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heckCompatibility="1" defaultThemeVersion="124226"/>
  <mc:AlternateContent xmlns:mc="http://schemas.openxmlformats.org/markup-compatibility/2006">
    <mc:Choice Requires="x15">
      <x15ac:absPath xmlns:x15ac="http://schemas.microsoft.com/office/spreadsheetml/2010/11/ac" url="S:\Western Region\2000 Western Region Office\WUTC\WUTC-LeMay\Commodity Credit\2183 Pacific\Commodity Price Adjust 1-1-2024\"/>
    </mc:Choice>
  </mc:AlternateContent>
  <xr:revisionPtr revIDLastSave="0" documentId="13_ncr:1_{37CDD2CA-4E3E-4507-84DF-CB5B93514C0F}" xr6:coauthVersionLast="47" xr6:coauthVersionMax="47" xr10:uidLastSave="{00000000-0000-0000-0000-000000000000}"/>
  <bookViews>
    <workbookView xWindow="28680" yWindow="-120" windowWidth="29040" windowHeight="15840" tabRatio="684" xr2:uid="{00000000-000D-0000-FFFF-FFFF00000000}"/>
  </bookViews>
  <sheets>
    <sheet name="Pacific CPA 1.1.24" sheetId="9" r:id="rId1"/>
    <sheet name="Pacific CPA 1.1.23" sheetId="8" r:id="rId2"/>
    <sheet name="Pacific CPA 1.1.22" sheetId="7" r:id="rId3"/>
    <sheet name="Pacific CPA 1.1.21" sheetId="6" r:id="rId4"/>
    <sheet name="Pacific CPA Eff. 1.1.20" sheetId="4" r:id="rId5"/>
    <sheet name="Pacific CPA Eff. 7.1.19" sheetId="1" r:id="rId6"/>
    <sheet name="Pacific CPA Eff. 1.1.19" sheetId="5" r:id="rId7"/>
    <sheet name="Pacific CPA 7.1.18" sheetId="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BREMAIR_COST_of_SERVICE_STUDY" localSheetId="2">#REF!</definedName>
    <definedName name="BREMAIR_COST_of_SERVICE_STUDY" localSheetId="1">#REF!</definedName>
    <definedName name="BREMAIR_COST_of_SERVICE_STUDY" localSheetId="0">#REF!</definedName>
    <definedName name="BREMAIR_COST_of_SERVICE_STUDY" localSheetId="7">#REF!</definedName>
    <definedName name="BREMAIR_COST_of_SERVICE_STUDY" localSheetId="6">#REF!</definedName>
    <definedName name="BREMAIR_COST_of_SERVICE_STUDY" localSheetId="4">#REF!</definedName>
    <definedName name="BREMAIR_COST_of_SERVICE_STUDY">#REF!</definedName>
    <definedName name="_xlnm.Print_Area" localSheetId="3">'Pacific CPA 1.1.21'!$A$1:$O$78</definedName>
    <definedName name="_xlnm.Print_Area" localSheetId="2">'Pacific CPA 1.1.22'!$A$1:$O$78</definedName>
    <definedName name="_xlnm.Print_Area" localSheetId="1">'Pacific CPA 1.1.23'!$A$1:$O$78</definedName>
    <definedName name="_xlnm.Print_Area" localSheetId="0">'Pacific CPA 1.1.24'!$A$1:$O$78</definedName>
    <definedName name="_xlnm.Print_Area" localSheetId="7">'Pacific CPA 7.1.18'!$A$1:$O$82</definedName>
    <definedName name="_xlnm.Print_Area" localSheetId="6">'Pacific CPA Eff. 1.1.19'!$A$1:$I$84</definedName>
    <definedName name="_xlnm.Print_Area" localSheetId="4">'Pacific CPA Eff. 1.1.20'!$A$1:$I$81</definedName>
    <definedName name="_xlnm.Print_Area" localSheetId="5">'Pacific CPA Eff. 7.1.19'!$A$1:$I$83</definedName>
    <definedName name="_xlnm.Print_Titles" localSheetId="3">'Pacific CPA 1.1.21'!$1:$4</definedName>
    <definedName name="_xlnm.Print_Titles" localSheetId="2">'Pacific CPA 1.1.22'!$1:$4</definedName>
    <definedName name="_xlnm.Print_Titles" localSheetId="1">'Pacific CPA 1.1.23'!$1:$4</definedName>
    <definedName name="_xlnm.Print_Titles" localSheetId="0">'Pacific CPA 1.1.24'!$1:$4</definedName>
    <definedName name="_xlnm.Print_Titles" localSheetId="7">'Pacific CPA 7.1.18'!$1:$4</definedName>
    <definedName name="_xlnm.Print_Titles" localSheetId="6">'Pacific CPA Eff. 1.1.19'!$1:$4</definedName>
    <definedName name="_xlnm.Print_Titles" localSheetId="4">'Pacific CPA Eff. 1.1.20'!$1:$4</definedName>
    <definedName name="_xlnm.Print_Titles" localSheetId="5">'Pacific CPA Eff. 7.1.19'!$1:$4</definedName>
    <definedName name="Print1" localSheetId="3">#REF!</definedName>
    <definedName name="Print1" localSheetId="2">#REF!</definedName>
    <definedName name="Print1" localSheetId="1">#REF!</definedName>
    <definedName name="Print1" localSheetId="0">#REF!</definedName>
    <definedName name="Print1" localSheetId="6">#REF!</definedName>
    <definedName name="Print1" localSheetId="4">#REF!</definedName>
    <definedName name="Print1">#REF!</definedName>
    <definedName name="Print2" localSheetId="3">#REF!</definedName>
    <definedName name="Print2" localSheetId="2">#REF!</definedName>
    <definedName name="Print2" localSheetId="1">#REF!</definedName>
    <definedName name="Print2" localSheetId="0">#REF!</definedName>
    <definedName name="Print2" localSheetId="6">#REF!</definedName>
    <definedName name="Print2" localSheetId="4">#REF!</definedName>
    <definedName name="Print2">#REF!</definedName>
  </definedNames>
  <calcPr calcId="191029" iterate="1" iterateCount="2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9" l="1"/>
  <c r="E31" i="9"/>
  <c r="F31" i="9"/>
  <c r="G31" i="9"/>
  <c r="H31" i="9"/>
  <c r="I31" i="9"/>
  <c r="J31" i="9"/>
  <c r="K31" i="9"/>
  <c r="L31" i="9"/>
  <c r="M31" i="9"/>
  <c r="N37" i="7" l="1"/>
  <c r="C67" i="9" l="1"/>
  <c r="B67" i="9"/>
  <c r="C63" i="9"/>
  <c r="D63" i="9"/>
  <c r="E63" i="9"/>
  <c r="F63" i="9"/>
  <c r="G63" i="9"/>
  <c r="H63" i="9"/>
  <c r="I63" i="9"/>
  <c r="J63" i="9"/>
  <c r="K63" i="9"/>
  <c r="L63" i="9"/>
  <c r="M63" i="9"/>
  <c r="B63" i="9"/>
  <c r="C47" i="9"/>
  <c r="D47" i="9"/>
  <c r="E47" i="9"/>
  <c r="F47" i="9"/>
  <c r="G47" i="9"/>
  <c r="H47" i="9"/>
  <c r="I47" i="9"/>
  <c r="J47" i="9"/>
  <c r="K47" i="9"/>
  <c r="L47" i="9"/>
  <c r="M47" i="9"/>
  <c r="C48" i="9"/>
  <c r="D48" i="9"/>
  <c r="E48" i="9"/>
  <c r="F48" i="9"/>
  <c r="G48" i="9"/>
  <c r="H48" i="9"/>
  <c r="I48" i="9"/>
  <c r="J48" i="9"/>
  <c r="K48" i="9"/>
  <c r="L48" i="9"/>
  <c r="M48" i="9"/>
  <c r="B48" i="9"/>
  <c r="B47" i="9"/>
  <c r="C31" i="9"/>
  <c r="B31" i="9"/>
  <c r="C27" i="9"/>
  <c r="D27" i="9"/>
  <c r="E27" i="9"/>
  <c r="F27" i="9"/>
  <c r="G27" i="9"/>
  <c r="H27" i="9"/>
  <c r="I27" i="9"/>
  <c r="J27" i="9"/>
  <c r="K27" i="9"/>
  <c r="L27" i="9"/>
  <c r="M27" i="9"/>
  <c r="B27" i="9"/>
  <c r="C18" i="9"/>
  <c r="D18" i="9"/>
  <c r="E18" i="9"/>
  <c r="F18" i="9"/>
  <c r="G18" i="9"/>
  <c r="H18" i="9"/>
  <c r="I18" i="9"/>
  <c r="J18" i="9"/>
  <c r="K18" i="9"/>
  <c r="L18" i="9"/>
  <c r="M18" i="9"/>
  <c r="B18" i="9"/>
  <c r="C17" i="9"/>
  <c r="D17" i="9"/>
  <c r="E17" i="9"/>
  <c r="F17" i="9"/>
  <c r="G17" i="9"/>
  <c r="H17" i="9"/>
  <c r="I17" i="9"/>
  <c r="J17" i="9"/>
  <c r="K17" i="9"/>
  <c r="L17" i="9"/>
  <c r="M17" i="9"/>
  <c r="B17" i="9"/>
  <c r="C11" i="9"/>
  <c r="D11" i="9"/>
  <c r="E11" i="9"/>
  <c r="F11" i="9"/>
  <c r="G11" i="9"/>
  <c r="H11" i="9"/>
  <c r="I11" i="9"/>
  <c r="J11" i="9"/>
  <c r="K11" i="9"/>
  <c r="L11" i="9"/>
  <c r="M11" i="9"/>
  <c r="C12" i="9"/>
  <c r="D12" i="9"/>
  <c r="E12" i="9"/>
  <c r="F12" i="9"/>
  <c r="G12" i="9"/>
  <c r="H12" i="9"/>
  <c r="I12" i="9"/>
  <c r="J12" i="9"/>
  <c r="K12" i="9"/>
  <c r="L12" i="9"/>
  <c r="M12" i="9"/>
  <c r="B12" i="9"/>
  <c r="B11" i="9"/>
  <c r="C32" i="9" l="1"/>
  <c r="J54" i="9"/>
  <c r="C22" i="9"/>
  <c r="B54" i="9"/>
  <c r="J53" i="9"/>
  <c r="I53" i="9"/>
  <c r="F53" i="9"/>
  <c r="D53" i="9"/>
  <c r="B53" i="9"/>
  <c r="J22" i="9"/>
  <c r="N12" i="9"/>
  <c r="L21" i="9"/>
  <c r="K21" i="9"/>
  <c r="F14" i="9"/>
  <c r="D21" i="9"/>
  <c r="C68" i="9"/>
  <c r="M54" i="9"/>
  <c r="L54" i="9"/>
  <c r="K54" i="9"/>
  <c r="E54" i="9"/>
  <c r="D54" i="9"/>
  <c r="D58" i="9" s="1"/>
  <c r="C54" i="9"/>
  <c r="H53" i="9"/>
  <c r="G53" i="9"/>
  <c r="M50" i="9"/>
  <c r="L50" i="9"/>
  <c r="K50" i="9"/>
  <c r="J50" i="9"/>
  <c r="I50" i="9"/>
  <c r="H50" i="9"/>
  <c r="G50" i="9"/>
  <c r="F50" i="9"/>
  <c r="E50" i="9"/>
  <c r="D50" i="9"/>
  <c r="C50" i="9"/>
  <c r="N47" i="9"/>
  <c r="B45" i="9"/>
  <c r="C45" i="9" s="1"/>
  <c r="D45" i="9" s="1"/>
  <c r="E45" i="9" s="1"/>
  <c r="F45" i="9" s="1"/>
  <c r="G45" i="9" s="1"/>
  <c r="H45" i="9" s="1"/>
  <c r="I45" i="9" s="1"/>
  <c r="J45" i="9" s="1"/>
  <c r="K45" i="9" s="1"/>
  <c r="L45" i="9" s="1"/>
  <c r="M45" i="9" s="1"/>
  <c r="L22" i="9"/>
  <c r="K22" i="9"/>
  <c r="I54" i="9"/>
  <c r="H54" i="9"/>
  <c r="G54" i="9"/>
  <c r="F22" i="9"/>
  <c r="D22" i="9"/>
  <c r="M53" i="9"/>
  <c r="L53" i="9"/>
  <c r="K53" i="9"/>
  <c r="E53" i="9"/>
  <c r="C53" i="9"/>
  <c r="H14" i="9"/>
  <c r="M22" i="9"/>
  <c r="M14" i="9"/>
  <c r="H21" i="9"/>
  <c r="G14" i="9"/>
  <c r="E14" i="9"/>
  <c r="B21" i="9"/>
  <c r="C6" i="9"/>
  <c r="D6" i="9" s="1"/>
  <c r="E6" i="9" s="1"/>
  <c r="F6" i="9" s="1"/>
  <c r="G6" i="9" s="1"/>
  <c r="H6" i="9" s="1"/>
  <c r="I6" i="9" s="1"/>
  <c r="J6" i="9" s="1"/>
  <c r="K6" i="9" s="1"/>
  <c r="L6" i="9" s="1"/>
  <c r="M6" i="9" s="1"/>
  <c r="L58" i="9" l="1"/>
  <c r="N63" i="9"/>
  <c r="P63" i="9" s="1"/>
  <c r="B68" i="9"/>
  <c r="B32" i="9"/>
  <c r="C58" i="9"/>
  <c r="K58" i="9"/>
  <c r="E58" i="9"/>
  <c r="M58" i="9"/>
  <c r="H58" i="9"/>
  <c r="J14" i="9"/>
  <c r="C14" i="9"/>
  <c r="B22" i="9"/>
  <c r="B24" i="9" s="1"/>
  <c r="B30" i="9" s="1"/>
  <c r="I14" i="9"/>
  <c r="I21" i="9"/>
  <c r="E57" i="9"/>
  <c r="K24" i="9"/>
  <c r="K30" i="9" s="1"/>
  <c r="I58" i="9"/>
  <c r="B58" i="9"/>
  <c r="D24" i="9"/>
  <c r="D30" i="9" s="1"/>
  <c r="M57" i="9"/>
  <c r="F57" i="9"/>
  <c r="J58" i="9"/>
  <c r="L24" i="9"/>
  <c r="L30" i="9" s="1"/>
  <c r="G58" i="9"/>
  <c r="E22" i="9"/>
  <c r="G57" i="9"/>
  <c r="C21" i="9"/>
  <c r="C24" i="9" s="1"/>
  <c r="C30" i="9" s="1"/>
  <c r="H57" i="9"/>
  <c r="G22" i="9"/>
  <c r="I57" i="9"/>
  <c r="K14" i="9"/>
  <c r="E21" i="9"/>
  <c r="F54" i="9"/>
  <c r="F58" i="9" s="1"/>
  <c r="B57" i="9"/>
  <c r="J57" i="9"/>
  <c r="N11" i="9"/>
  <c r="N14" i="9" s="1"/>
  <c r="D14" i="9"/>
  <c r="L14" i="9"/>
  <c r="F21" i="9"/>
  <c r="F24" i="9" s="1"/>
  <c r="F30" i="9" s="1"/>
  <c r="I22" i="9"/>
  <c r="I24" i="9" s="1"/>
  <c r="N27" i="9"/>
  <c r="N48" i="9"/>
  <c r="N50" i="9" s="1"/>
  <c r="P50" i="9" s="1"/>
  <c r="C57" i="9"/>
  <c r="K57" i="9"/>
  <c r="K60" i="9" s="1"/>
  <c r="K66" i="9" s="1"/>
  <c r="G21" i="9"/>
  <c r="J21" i="9"/>
  <c r="J24" i="9" s="1"/>
  <c r="J30" i="9" s="1"/>
  <c r="B14" i="9"/>
  <c r="M21" i="9"/>
  <c r="M24" i="9" s="1"/>
  <c r="M30" i="9" s="1"/>
  <c r="B50" i="9"/>
  <c r="L57" i="9"/>
  <c r="L60" i="9" s="1"/>
  <c r="L66" i="9" s="1"/>
  <c r="H22" i="9"/>
  <c r="H24" i="9" s="1"/>
  <c r="H30" i="9" s="1"/>
  <c r="D57" i="9"/>
  <c r="D60" i="9" s="1"/>
  <c r="D66" i="9" s="1"/>
  <c r="G24" i="9" l="1"/>
  <c r="G30" i="9" s="1"/>
  <c r="I60" i="9"/>
  <c r="I66" i="9" s="1"/>
  <c r="H60" i="9"/>
  <c r="H66" i="9" s="1"/>
  <c r="M60" i="9"/>
  <c r="M66" i="9" s="1"/>
  <c r="E60" i="9"/>
  <c r="E66" i="9" s="1"/>
  <c r="C60" i="9"/>
  <c r="C66" i="9" s="1"/>
  <c r="N22" i="9"/>
  <c r="C33" i="9"/>
  <c r="I30" i="9"/>
  <c r="E24" i="9"/>
  <c r="F60" i="9"/>
  <c r="N21" i="9"/>
  <c r="B33" i="9"/>
  <c r="N58" i="9"/>
  <c r="J60" i="9"/>
  <c r="N57" i="9"/>
  <c r="B60" i="9"/>
  <c r="G60" i="9"/>
  <c r="C69" i="9" l="1"/>
  <c r="N24" i="9"/>
  <c r="N36" i="9" s="1"/>
  <c r="N60" i="9"/>
  <c r="J66" i="9"/>
  <c r="F66" i="9"/>
  <c r="E30" i="9"/>
  <c r="G66" i="9"/>
  <c r="B66" i="9"/>
  <c r="B69" i="9"/>
  <c r="N72" i="9" l="1"/>
  <c r="P60" i="9"/>
  <c r="M63" i="8" l="1"/>
  <c r="L63" i="8"/>
  <c r="K63" i="8"/>
  <c r="J63" i="8"/>
  <c r="I63" i="8"/>
  <c r="H63" i="8"/>
  <c r="G63" i="8"/>
  <c r="F63" i="8"/>
  <c r="E63" i="8"/>
  <c r="D63" i="8"/>
  <c r="C63" i="8"/>
  <c r="B63" i="8"/>
  <c r="C47" i="8"/>
  <c r="D47" i="8"/>
  <c r="E47" i="8"/>
  <c r="F47" i="8"/>
  <c r="G47" i="8"/>
  <c r="H47" i="8"/>
  <c r="I47" i="8"/>
  <c r="J47" i="8"/>
  <c r="K47" i="8"/>
  <c r="L47" i="8"/>
  <c r="M47" i="8"/>
  <c r="C48" i="8"/>
  <c r="D48" i="8"/>
  <c r="E48" i="8"/>
  <c r="F48" i="8"/>
  <c r="G48" i="8"/>
  <c r="H48" i="8"/>
  <c r="I48" i="8"/>
  <c r="J48" i="8"/>
  <c r="K48" i="8"/>
  <c r="L48" i="8"/>
  <c r="M48" i="8"/>
  <c r="B48" i="8"/>
  <c r="B47" i="8"/>
  <c r="M27" i="8"/>
  <c r="L27" i="8"/>
  <c r="K27" i="8"/>
  <c r="J27" i="8"/>
  <c r="I27" i="8"/>
  <c r="H27" i="8"/>
  <c r="G27" i="8"/>
  <c r="F27" i="8"/>
  <c r="E27" i="8"/>
  <c r="D27" i="8"/>
  <c r="C27" i="8"/>
  <c r="B27" i="8"/>
  <c r="M18" i="8"/>
  <c r="L18" i="8"/>
  <c r="K18" i="8"/>
  <c r="J18" i="8"/>
  <c r="I18" i="8"/>
  <c r="H18" i="8"/>
  <c r="G18" i="8"/>
  <c r="F18" i="8"/>
  <c r="E18" i="8"/>
  <c r="D18" i="8"/>
  <c r="C18" i="8"/>
  <c r="M17" i="8"/>
  <c r="L17" i="8"/>
  <c r="K17" i="8"/>
  <c r="J17" i="8"/>
  <c r="I17" i="8"/>
  <c r="H17" i="8"/>
  <c r="G17" i="8"/>
  <c r="F17" i="8"/>
  <c r="E17" i="8"/>
  <c r="D17" i="8"/>
  <c r="C17" i="8"/>
  <c r="B18" i="8"/>
  <c r="B17" i="8"/>
  <c r="M12" i="8"/>
  <c r="L12" i="8"/>
  <c r="K12" i="8"/>
  <c r="J12" i="8"/>
  <c r="I12" i="8"/>
  <c r="H12" i="8"/>
  <c r="G12" i="8"/>
  <c r="F12" i="8"/>
  <c r="E12" i="8"/>
  <c r="D12" i="8"/>
  <c r="C12" i="8"/>
  <c r="M11" i="8"/>
  <c r="L11" i="8"/>
  <c r="K11" i="8"/>
  <c r="J11" i="8"/>
  <c r="I11" i="8"/>
  <c r="H11" i="8"/>
  <c r="G11" i="8"/>
  <c r="F11" i="8"/>
  <c r="E11" i="8"/>
  <c r="D11" i="8"/>
  <c r="C11" i="8"/>
  <c r="B12" i="8"/>
  <c r="B11" i="8"/>
  <c r="B45" i="8" l="1"/>
  <c r="C45" i="8" s="1"/>
  <c r="D45" i="8" s="1"/>
  <c r="E45" i="8" s="1"/>
  <c r="F45" i="8" s="1"/>
  <c r="G45" i="8" s="1"/>
  <c r="H45" i="8" s="1"/>
  <c r="I45" i="8" s="1"/>
  <c r="J45" i="8" s="1"/>
  <c r="K45" i="8" s="1"/>
  <c r="L45" i="8" s="1"/>
  <c r="M45" i="8" s="1"/>
  <c r="M54" i="8"/>
  <c r="I54" i="8"/>
  <c r="H54" i="8"/>
  <c r="G54" i="8"/>
  <c r="F54" i="8"/>
  <c r="E54" i="8"/>
  <c r="B54" i="8"/>
  <c r="M53" i="8"/>
  <c r="L53" i="8"/>
  <c r="K53" i="8"/>
  <c r="J53" i="8"/>
  <c r="I53" i="8"/>
  <c r="H53" i="8"/>
  <c r="G53" i="8"/>
  <c r="F53" i="8"/>
  <c r="E53" i="8"/>
  <c r="D53" i="8"/>
  <c r="C53" i="8"/>
  <c r="B53" i="8"/>
  <c r="B21" i="8"/>
  <c r="C6" i="8"/>
  <c r="D6" i="8" s="1"/>
  <c r="E6" i="8" s="1"/>
  <c r="F6" i="8" s="1"/>
  <c r="G6" i="8" s="1"/>
  <c r="H6" i="8" s="1"/>
  <c r="I6" i="8" s="1"/>
  <c r="J6" i="8" s="1"/>
  <c r="K6" i="8" s="1"/>
  <c r="L6" i="8" s="1"/>
  <c r="M6" i="8" s="1"/>
  <c r="B50" i="8" l="1"/>
  <c r="J50" i="8"/>
  <c r="C57" i="8"/>
  <c r="K57" i="8"/>
  <c r="G58" i="8"/>
  <c r="H14" i="8"/>
  <c r="I14" i="8"/>
  <c r="J14" i="8"/>
  <c r="D22" i="8"/>
  <c r="L22" i="8"/>
  <c r="H58" i="8"/>
  <c r="C14" i="8"/>
  <c r="K14" i="8"/>
  <c r="E50" i="8"/>
  <c r="I58" i="8"/>
  <c r="D14" i="8"/>
  <c r="L14" i="8"/>
  <c r="E14" i="8"/>
  <c r="M14" i="8"/>
  <c r="F50" i="8"/>
  <c r="B22" i="8"/>
  <c r="B24" i="8" s="1"/>
  <c r="B30" i="8" s="1"/>
  <c r="J22" i="8"/>
  <c r="D57" i="8"/>
  <c r="L57" i="8"/>
  <c r="C50" i="8"/>
  <c r="N27" i="8"/>
  <c r="P27" i="8" s="1"/>
  <c r="M57" i="8"/>
  <c r="K50" i="8"/>
  <c r="N48" i="8"/>
  <c r="J54" i="8"/>
  <c r="J58" i="8" s="1"/>
  <c r="F14" i="8"/>
  <c r="H22" i="8"/>
  <c r="G50" i="8"/>
  <c r="G14" i="8"/>
  <c r="I22" i="8"/>
  <c r="H50" i="8"/>
  <c r="H21" i="8"/>
  <c r="I50" i="8"/>
  <c r="N63" i="8"/>
  <c r="P63" i="8" s="1"/>
  <c r="I21" i="8"/>
  <c r="E22" i="8"/>
  <c r="M22" i="8"/>
  <c r="C22" i="8"/>
  <c r="K22" i="8"/>
  <c r="E58" i="8"/>
  <c r="M58" i="8"/>
  <c r="B57" i="8"/>
  <c r="J57" i="8"/>
  <c r="F58" i="8"/>
  <c r="J21" i="8"/>
  <c r="K21" i="8"/>
  <c r="E57" i="8"/>
  <c r="B14" i="8"/>
  <c r="D21" i="8"/>
  <c r="L21" i="8"/>
  <c r="G22" i="8"/>
  <c r="N47" i="8"/>
  <c r="D50" i="8"/>
  <c r="L50" i="8"/>
  <c r="F57" i="8"/>
  <c r="N12" i="8"/>
  <c r="C21" i="8"/>
  <c r="E21" i="8"/>
  <c r="M21" i="8"/>
  <c r="M50" i="8"/>
  <c r="C54" i="8"/>
  <c r="C58" i="8" s="1"/>
  <c r="K54" i="8"/>
  <c r="K58" i="8" s="1"/>
  <c r="G57" i="8"/>
  <c r="B58" i="8"/>
  <c r="N11" i="8"/>
  <c r="F21" i="8"/>
  <c r="D54" i="8"/>
  <c r="D58" i="8" s="1"/>
  <c r="L54" i="8"/>
  <c r="L58" i="8" s="1"/>
  <c r="H57" i="8"/>
  <c r="G21" i="8"/>
  <c r="I57" i="8"/>
  <c r="F22" i="8"/>
  <c r="C63" i="7"/>
  <c r="D63" i="7"/>
  <c r="E63" i="7"/>
  <c r="F63" i="7"/>
  <c r="G63" i="7"/>
  <c r="H63" i="7"/>
  <c r="I63" i="7"/>
  <c r="J63" i="7"/>
  <c r="K63" i="7"/>
  <c r="L63" i="7"/>
  <c r="M63" i="7"/>
  <c r="B63" i="7"/>
  <c r="B48" i="7"/>
  <c r="C48" i="7"/>
  <c r="D48" i="7"/>
  <c r="E48" i="7"/>
  <c r="F48" i="7"/>
  <c r="G48" i="7"/>
  <c r="H48" i="7"/>
  <c r="I48" i="7"/>
  <c r="J48" i="7"/>
  <c r="K48" i="7"/>
  <c r="L48" i="7"/>
  <c r="M48" i="7"/>
  <c r="C47" i="7"/>
  <c r="D47" i="7"/>
  <c r="E47" i="7"/>
  <c r="F47" i="7"/>
  <c r="G47" i="7"/>
  <c r="H47" i="7"/>
  <c r="I47" i="7"/>
  <c r="J47" i="7"/>
  <c r="K47" i="7"/>
  <c r="L47" i="7"/>
  <c r="M47" i="7"/>
  <c r="B47" i="7"/>
  <c r="M27" i="7"/>
  <c r="C27" i="7"/>
  <c r="D27" i="7"/>
  <c r="E27" i="7"/>
  <c r="F27" i="7"/>
  <c r="G27" i="7"/>
  <c r="H27" i="7"/>
  <c r="I27" i="7"/>
  <c r="J27" i="7"/>
  <c r="K27" i="7"/>
  <c r="L27" i="7"/>
  <c r="B27" i="7"/>
  <c r="M18" i="7"/>
  <c r="M17" i="7"/>
  <c r="M53" i="7" s="1"/>
  <c r="C17" i="7"/>
  <c r="C53" i="7" s="1"/>
  <c r="D17" i="7"/>
  <c r="D53" i="7" s="1"/>
  <c r="E17" i="7"/>
  <c r="E53" i="7" s="1"/>
  <c r="F17" i="7"/>
  <c r="F53" i="7" s="1"/>
  <c r="G17" i="7"/>
  <c r="G53" i="7" s="1"/>
  <c r="H17" i="7"/>
  <c r="H53" i="7" s="1"/>
  <c r="I17" i="7"/>
  <c r="I53" i="7" s="1"/>
  <c r="J17" i="7"/>
  <c r="J53" i="7" s="1"/>
  <c r="K17" i="7"/>
  <c r="K53" i="7" s="1"/>
  <c r="L17" i="7"/>
  <c r="L53" i="7" s="1"/>
  <c r="C18" i="7"/>
  <c r="D18" i="7"/>
  <c r="E18" i="7"/>
  <c r="F18" i="7"/>
  <c r="G18" i="7"/>
  <c r="H18" i="7"/>
  <c r="I18" i="7"/>
  <c r="J18" i="7"/>
  <c r="K18" i="7"/>
  <c r="L18" i="7"/>
  <c r="B18" i="7"/>
  <c r="B17" i="7"/>
  <c r="C11" i="7"/>
  <c r="D11" i="7"/>
  <c r="E11" i="7"/>
  <c r="F11" i="7"/>
  <c r="G11" i="7"/>
  <c r="H11" i="7"/>
  <c r="I11" i="7"/>
  <c r="J11" i="7"/>
  <c r="K11" i="7"/>
  <c r="L11" i="7"/>
  <c r="M11" i="7"/>
  <c r="C12" i="7"/>
  <c r="D12" i="7"/>
  <c r="E12" i="7"/>
  <c r="F12" i="7"/>
  <c r="G12" i="7"/>
  <c r="H12" i="7"/>
  <c r="I12" i="7"/>
  <c r="J12" i="7"/>
  <c r="K12" i="7"/>
  <c r="L12" i="7"/>
  <c r="M12" i="7"/>
  <c r="B12" i="7"/>
  <c r="B11" i="7"/>
  <c r="I60" i="8" l="1"/>
  <c r="E60" i="8"/>
  <c r="G24" i="8"/>
  <c r="G30" i="8" s="1"/>
  <c r="N50" i="8"/>
  <c r="P50" i="8" s="1"/>
  <c r="C60" i="8"/>
  <c r="K60" i="8"/>
  <c r="J24" i="8"/>
  <c r="J30" i="8" s="1"/>
  <c r="L24" i="8"/>
  <c r="L30" i="8" s="1"/>
  <c r="G60" i="8"/>
  <c r="H60" i="8"/>
  <c r="D24" i="8"/>
  <c r="D30" i="8" s="1"/>
  <c r="D60" i="8"/>
  <c r="H24" i="8"/>
  <c r="H30" i="8" s="1"/>
  <c r="M60" i="8"/>
  <c r="I24" i="8"/>
  <c r="I30" i="8" s="1"/>
  <c r="F60" i="8"/>
  <c r="K24" i="8"/>
  <c r="K30" i="8" s="1"/>
  <c r="K22" i="7"/>
  <c r="C22" i="7"/>
  <c r="L60" i="8"/>
  <c r="C24" i="8"/>
  <c r="C30" i="8" s="1"/>
  <c r="N22" i="8"/>
  <c r="M24" i="8"/>
  <c r="M30" i="8" s="1"/>
  <c r="J60" i="8"/>
  <c r="E24" i="8"/>
  <c r="E30" i="8" s="1"/>
  <c r="F24" i="8"/>
  <c r="F30" i="8" s="1"/>
  <c r="N14" i="8"/>
  <c r="P14" i="8" s="1"/>
  <c r="N21" i="8"/>
  <c r="N58" i="8"/>
  <c r="B60" i="8"/>
  <c r="N57" i="8"/>
  <c r="J22" i="7"/>
  <c r="I21" i="7"/>
  <c r="I57" i="7"/>
  <c r="E22" i="7"/>
  <c r="H22" i="7"/>
  <c r="M21" i="7"/>
  <c r="I22" i="7"/>
  <c r="M57" i="7"/>
  <c r="E57" i="7"/>
  <c r="L57" i="7"/>
  <c r="K57" i="7"/>
  <c r="C57" i="7"/>
  <c r="J57" i="7"/>
  <c r="D57" i="7"/>
  <c r="L22" i="7"/>
  <c r="D22" i="7"/>
  <c r="J21" i="7"/>
  <c r="F22" i="7"/>
  <c r="N27" i="7"/>
  <c r="P27" i="7" s="1"/>
  <c r="F57" i="7"/>
  <c r="H21" i="7"/>
  <c r="G21" i="7"/>
  <c r="F21" i="7"/>
  <c r="E21" i="7"/>
  <c r="L21" i="7"/>
  <c r="H57" i="7"/>
  <c r="D21" i="7"/>
  <c r="K21" i="7"/>
  <c r="C21" i="7"/>
  <c r="G22" i="7"/>
  <c r="M22" i="7"/>
  <c r="G57" i="7"/>
  <c r="N63" i="7"/>
  <c r="P63" i="7" s="1"/>
  <c r="J50" i="7"/>
  <c r="F50" i="7"/>
  <c r="B50" i="7"/>
  <c r="K50" i="7"/>
  <c r="G50" i="7"/>
  <c r="N48" i="7"/>
  <c r="M50" i="7"/>
  <c r="I50" i="7"/>
  <c r="E50" i="7"/>
  <c r="N47" i="7"/>
  <c r="B45" i="7"/>
  <c r="C45" i="7" s="1"/>
  <c r="D45" i="7" s="1"/>
  <c r="E45" i="7" s="1"/>
  <c r="F45" i="7" s="1"/>
  <c r="G45" i="7" s="1"/>
  <c r="H45" i="7" s="1"/>
  <c r="I45" i="7" s="1"/>
  <c r="J45" i="7" s="1"/>
  <c r="K45" i="7" s="1"/>
  <c r="L45" i="7" s="1"/>
  <c r="M45" i="7" s="1"/>
  <c r="M54" i="7"/>
  <c r="M58" i="7" s="1"/>
  <c r="L54" i="7"/>
  <c r="L58" i="7" s="1"/>
  <c r="K54" i="7"/>
  <c r="K58" i="7" s="1"/>
  <c r="J54" i="7"/>
  <c r="J58" i="7" s="1"/>
  <c r="I54" i="7"/>
  <c r="I58" i="7" s="1"/>
  <c r="H54" i="7"/>
  <c r="H58" i="7" s="1"/>
  <c r="G54" i="7"/>
  <c r="G58" i="7" s="1"/>
  <c r="F54" i="7"/>
  <c r="F58" i="7" s="1"/>
  <c r="E54" i="7"/>
  <c r="E58" i="7" s="1"/>
  <c r="D54" i="7"/>
  <c r="D58" i="7" s="1"/>
  <c r="C54" i="7"/>
  <c r="C58" i="7" s="1"/>
  <c r="B54" i="7"/>
  <c r="B53" i="7"/>
  <c r="N12" i="7"/>
  <c r="L14" i="7"/>
  <c r="J14" i="7"/>
  <c r="H14" i="7"/>
  <c r="F14" i="7"/>
  <c r="D14" i="7"/>
  <c r="B14" i="7"/>
  <c r="C6" i="7"/>
  <c r="D6" i="7" s="1"/>
  <c r="E6" i="7" s="1"/>
  <c r="F6" i="7" s="1"/>
  <c r="G6" i="7" s="1"/>
  <c r="H6" i="7" s="1"/>
  <c r="I6" i="7" s="1"/>
  <c r="J6" i="7" s="1"/>
  <c r="K6" i="7" s="1"/>
  <c r="L6" i="7" s="1"/>
  <c r="M6" i="7" s="1"/>
  <c r="M66" i="8" l="1"/>
  <c r="J66" i="8"/>
  <c r="K66" i="8"/>
  <c r="L66" i="8"/>
  <c r="D66" i="8"/>
  <c r="H66" i="8"/>
  <c r="E66" i="8"/>
  <c r="F66" i="8"/>
  <c r="C66" i="8"/>
  <c r="G66" i="8"/>
  <c r="I66" i="8"/>
  <c r="B66" i="8"/>
  <c r="C24" i="7"/>
  <c r="K24" i="7"/>
  <c r="K30" i="7" s="1"/>
  <c r="N24" i="8"/>
  <c r="N36" i="8" s="1"/>
  <c r="N60" i="8"/>
  <c r="N72" i="8" s="1"/>
  <c r="I24" i="7"/>
  <c r="I30" i="7" s="1"/>
  <c r="I60" i="7"/>
  <c r="I66" i="7" s="1"/>
  <c r="C30" i="7"/>
  <c r="M60" i="7"/>
  <c r="N50" i="7"/>
  <c r="P50" i="7" s="1"/>
  <c r="M24" i="7"/>
  <c r="E24" i="7"/>
  <c r="G24" i="7"/>
  <c r="E60" i="7"/>
  <c r="F60" i="7"/>
  <c r="C60" i="7"/>
  <c r="G60" i="7"/>
  <c r="K60" i="7"/>
  <c r="J60" i="7"/>
  <c r="D60" i="7"/>
  <c r="H60" i="7"/>
  <c r="L60" i="7"/>
  <c r="G14" i="7"/>
  <c r="B21" i="7"/>
  <c r="N21" i="7" s="1"/>
  <c r="C14" i="7"/>
  <c r="K14" i="7"/>
  <c r="N11" i="7"/>
  <c r="N14" i="7" s="1"/>
  <c r="P14" i="7" s="1"/>
  <c r="B22" i="7"/>
  <c r="C50" i="7"/>
  <c r="B57" i="7"/>
  <c r="E14" i="7"/>
  <c r="D50" i="7"/>
  <c r="H50" i="7"/>
  <c r="L50" i="7"/>
  <c r="B58" i="7"/>
  <c r="N58" i="7" s="1"/>
  <c r="I14" i="7"/>
  <c r="M14" i="7"/>
  <c r="C63" i="6"/>
  <c r="D63" i="6"/>
  <c r="E63" i="6"/>
  <c r="F63" i="6"/>
  <c r="G63" i="6"/>
  <c r="H63" i="6"/>
  <c r="I63" i="6"/>
  <c r="J63" i="6"/>
  <c r="K63" i="6"/>
  <c r="L63" i="6"/>
  <c r="M63" i="6"/>
  <c r="B63" i="6"/>
  <c r="C47" i="6"/>
  <c r="D47" i="6"/>
  <c r="E47" i="6"/>
  <c r="F47" i="6"/>
  <c r="G47" i="6"/>
  <c r="H47" i="6"/>
  <c r="I47" i="6"/>
  <c r="J47" i="6"/>
  <c r="K47" i="6"/>
  <c r="L47" i="6"/>
  <c r="M47" i="6"/>
  <c r="C48" i="6"/>
  <c r="D48" i="6"/>
  <c r="E48" i="6"/>
  <c r="F48" i="6"/>
  <c r="G48" i="6"/>
  <c r="H48" i="6"/>
  <c r="I48" i="6"/>
  <c r="J48" i="6"/>
  <c r="K48" i="6"/>
  <c r="L48" i="6"/>
  <c r="M48" i="6"/>
  <c r="B48" i="6"/>
  <c r="B47" i="6"/>
  <c r="C27" i="6"/>
  <c r="D27" i="6"/>
  <c r="E27" i="6"/>
  <c r="F27" i="6"/>
  <c r="G27" i="6"/>
  <c r="H27" i="6"/>
  <c r="I27" i="6"/>
  <c r="J27" i="6"/>
  <c r="K27" i="6"/>
  <c r="L27" i="6"/>
  <c r="M27" i="6"/>
  <c r="N27" i="6"/>
  <c r="B27" i="6"/>
  <c r="H32" i="9" l="1"/>
  <c r="H33" i="9" s="1"/>
  <c r="I32" i="9"/>
  <c r="I33" i="9" s="1"/>
  <c r="J32" i="9"/>
  <c r="J33" i="9" s="1"/>
  <c r="E67" i="9"/>
  <c r="E68" i="9" s="1"/>
  <c r="E69" i="9" s="1"/>
  <c r="F67" i="9"/>
  <c r="F68" i="9" s="1"/>
  <c r="F69" i="9" s="1"/>
  <c r="I67" i="9"/>
  <c r="J67" i="9"/>
  <c r="K67" i="9"/>
  <c r="L67" i="9"/>
  <c r="M67" i="9"/>
  <c r="D67" i="9"/>
  <c r="G67" i="9"/>
  <c r="H67" i="9"/>
  <c r="H68" i="9" s="1"/>
  <c r="H69" i="9" s="1"/>
  <c r="G68" i="9"/>
  <c r="G69" i="9" s="1"/>
  <c r="M68" i="9"/>
  <c r="M69" i="9" s="1"/>
  <c r="D68" i="9"/>
  <c r="D69" i="9" s="1"/>
  <c r="L68" i="9"/>
  <c r="L69" i="9" s="1"/>
  <c r="K68" i="9"/>
  <c r="K69" i="9" s="1"/>
  <c r="I68" i="9"/>
  <c r="I69" i="9" s="1"/>
  <c r="J68" i="9"/>
  <c r="J69" i="9" s="1"/>
  <c r="E32" i="9"/>
  <c r="E33" i="9" s="1"/>
  <c r="K32" i="9"/>
  <c r="K33" i="9" s="1"/>
  <c r="M32" i="9"/>
  <c r="M33" i="9" s="1"/>
  <c r="G32" i="9"/>
  <c r="G33" i="9" s="1"/>
  <c r="L32" i="9"/>
  <c r="L33" i="9" s="1"/>
  <c r="F32" i="9"/>
  <c r="F33" i="9" s="1"/>
  <c r="D32" i="9"/>
  <c r="D33" i="9" s="1"/>
  <c r="P24" i="8"/>
  <c r="P60" i="8"/>
  <c r="E66" i="7"/>
  <c r="J66" i="7"/>
  <c r="F66" i="7"/>
  <c r="H66" i="7"/>
  <c r="D66" i="7"/>
  <c r="G30" i="7"/>
  <c r="E30" i="7"/>
  <c r="K66" i="7"/>
  <c r="C66" i="7"/>
  <c r="L66" i="7"/>
  <c r="M30" i="7"/>
  <c r="G66" i="7"/>
  <c r="M66" i="7"/>
  <c r="H24" i="7"/>
  <c r="F24" i="7"/>
  <c r="D24" i="7"/>
  <c r="B24" i="7"/>
  <c r="B30" i="7" s="1"/>
  <c r="L24" i="7"/>
  <c r="B60" i="7"/>
  <c r="B66" i="7" s="1"/>
  <c r="N57" i="7"/>
  <c r="N60" i="7" s="1"/>
  <c r="N22" i="7"/>
  <c r="J24" i="7"/>
  <c r="N63" i="6"/>
  <c r="M18" i="6"/>
  <c r="M54" i="6" s="1"/>
  <c r="M58" i="6" s="1"/>
  <c r="L18" i="6"/>
  <c r="K18" i="6"/>
  <c r="K54" i="6" s="1"/>
  <c r="K58" i="6" s="1"/>
  <c r="J18" i="6"/>
  <c r="I18" i="6"/>
  <c r="I54" i="6" s="1"/>
  <c r="I58" i="6" s="1"/>
  <c r="H18" i="6"/>
  <c r="G18" i="6"/>
  <c r="G54" i="6" s="1"/>
  <c r="G58" i="6" s="1"/>
  <c r="F18" i="6"/>
  <c r="E18" i="6"/>
  <c r="E54" i="6" s="1"/>
  <c r="E58" i="6" s="1"/>
  <c r="D18" i="6"/>
  <c r="C18" i="6"/>
  <c r="C54" i="6" s="1"/>
  <c r="C58" i="6" s="1"/>
  <c r="B18" i="6"/>
  <c r="B54" i="6" s="1"/>
  <c r="B58" i="6" s="1"/>
  <c r="C11" i="6"/>
  <c r="D11" i="6"/>
  <c r="E11" i="6"/>
  <c r="F11" i="6"/>
  <c r="G11" i="6"/>
  <c r="H11" i="6"/>
  <c r="I11" i="6"/>
  <c r="J11" i="6"/>
  <c r="K11" i="6"/>
  <c r="L11" i="6"/>
  <c r="M11" i="6"/>
  <c r="C12" i="6"/>
  <c r="D12" i="6"/>
  <c r="E12" i="6"/>
  <c r="F12" i="6"/>
  <c r="G12" i="6"/>
  <c r="H12" i="6"/>
  <c r="I12" i="6"/>
  <c r="J12" i="6"/>
  <c r="K12" i="6"/>
  <c r="L12" i="6"/>
  <c r="M12" i="6"/>
  <c r="B12" i="6"/>
  <c r="B11" i="6"/>
  <c r="C6" i="6"/>
  <c r="D6" i="6" s="1"/>
  <c r="E6" i="6" s="1"/>
  <c r="F6" i="6" s="1"/>
  <c r="G6" i="6" s="1"/>
  <c r="H6" i="6" s="1"/>
  <c r="I6" i="6" s="1"/>
  <c r="J6" i="6" s="1"/>
  <c r="K6" i="6" s="1"/>
  <c r="L6" i="6" s="1"/>
  <c r="M6" i="6" s="1"/>
  <c r="M50" i="6"/>
  <c r="L50" i="6"/>
  <c r="K50" i="6"/>
  <c r="J50" i="6"/>
  <c r="I50" i="6"/>
  <c r="H50" i="6"/>
  <c r="G50" i="6"/>
  <c r="F50" i="6"/>
  <c r="E50" i="6"/>
  <c r="D50" i="6"/>
  <c r="C50" i="6"/>
  <c r="B50" i="6"/>
  <c r="N48" i="6"/>
  <c r="N47" i="6"/>
  <c r="B45" i="6"/>
  <c r="C45" i="6" s="1"/>
  <c r="D45" i="6" s="1"/>
  <c r="E45" i="6" s="1"/>
  <c r="F45" i="6" s="1"/>
  <c r="G45" i="6" s="1"/>
  <c r="H45" i="6" s="1"/>
  <c r="I45" i="6" s="1"/>
  <c r="J45" i="6" s="1"/>
  <c r="K45" i="6" s="1"/>
  <c r="L45" i="6" s="1"/>
  <c r="M45" i="6" s="1"/>
  <c r="N69" i="9" l="1"/>
  <c r="N33" i="9"/>
  <c r="N35" i="9" s="1"/>
  <c r="N37" i="9" s="1"/>
  <c r="M22" i="6"/>
  <c r="D22" i="6"/>
  <c r="N72" i="7"/>
  <c r="P60" i="7"/>
  <c r="D30" i="7"/>
  <c r="J30" i="7"/>
  <c r="F30" i="7"/>
  <c r="H30" i="7"/>
  <c r="L30" i="7"/>
  <c r="N24" i="7"/>
  <c r="N36" i="7" s="1"/>
  <c r="I22" i="6"/>
  <c r="E22" i="6"/>
  <c r="L14" i="6"/>
  <c r="H14" i="6"/>
  <c r="D14" i="6"/>
  <c r="B14" i="6"/>
  <c r="K22" i="6"/>
  <c r="G22" i="6"/>
  <c r="C22" i="6"/>
  <c r="F14" i="6"/>
  <c r="J22" i="6"/>
  <c r="B22" i="6"/>
  <c r="I14" i="6"/>
  <c r="F54" i="6"/>
  <c r="F58" i="6" s="1"/>
  <c r="J54" i="6"/>
  <c r="J58" i="6" s="1"/>
  <c r="K14" i="6"/>
  <c r="D54" i="6"/>
  <c r="D58" i="6" s="1"/>
  <c r="H54" i="6"/>
  <c r="H58" i="6" s="1"/>
  <c r="L54" i="6"/>
  <c r="L58" i="6" s="1"/>
  <c r="C14" i="6"/>
  <c r="F22" i="6"/>
  <c r="G14" i="6"/>
  <c r="E14" i="6"/>
  <c r="N12" i="6"/>
  <c r="L22" i="6"/>
  <c r="H22" i="6"/>
  <c r="N11" i="6"/>
  <c r="M14" i="6"/>
  <c r="N50" i="6"/>
  <c r="J14" i="6"/>
  <c r="P69" i="9" l="1"/>
  <c r="N71" i="9"/>
  <c r="N73" i="9" s="1"/>
  <c r="M67" i="8"/>
  <c r="M68" i="8" s="1"/>
  <c r="M69" i="8" s="1"/>
  <c r="E67" i="8"/>
  <c r="E68" i="8" s="1"/>
  <c r="E69" i="8" s="1"/>
  <c r="L67" i="8"/>
  <c r="L68" i="8" s="1"/>
  <c r="L69" i="8" s="1"/>
  <c r="D67" i="8"/>
  <c r="D68" i="8" s="1"/>
  <c r="D69" i="8" s="1"/>
  <c r="H67" i="8"/>
  <c r="H68" i="8" s="1"/>
  <c r="H69" i="8" s="1"/>
  <c r="G67" i="8"/>
  <c r="G68" i="8" s="1"/>
  <c r="G69" i="8" s="1"/>
  <c r="F67" i="8"/>
  <c r="F68" i="8" s="1"/>
  <c r="F69" i="8" s="1"/>
  <c r="K67" i="8"/>
  <c r="K68" i="8" s="1"/>
  <c r="K69" i="8" s="1"/>
  <c r="J67" i="8"/>
  <c r="J68" i="8" s="1"/>
  <c r="J69" i="8" s="1"/>
  <c r="I67" i="8"/>
  <c r="I68" i="8" s="1"/>
  <c r="I69" i="8" s="1"/>
  <c r="D31" i="8"/>
  <c r="M31" i="8"/>
  <c r="E31" i="8"/>
  <c r="L31" i="8"/>
  <c r="K31" i="8"/>
  <c r="J31" i="8"/>
  <c r="F31" i="8"/>
  <c r="I31" i="8"/>
  <c r="H31" i="8"/>
  <c r="G31" i="8"/>
  <c r="P24" i="7"/>
  <c r="N14" i="6"/>
  <c r="N22" i="6"/>
  <c r="N58" i="6"/>
  <c r="H81" i="5" l="1"/>
  <c r="H78" i="5"/>
  <c r="G72" i="5"/>
  <c r="F72" i="5"/>
  <c r="E72" i="5"/>
  <c r="D72" i="5"/>
  <c r="C72" i="5"/>
  <c r="B72" i="5"/>
  <c r="G67" i="5"/>
  <c r="F67" i="5"/>
  <c r="E67" i="5"/>
  <c r="D67" i="5"/>
  <c r="C67" i="5"/>
  <c r="B67" i="5"/>
  <c r="G66" i="5"/>
  <c r="F66" i="5"/>
  <c r="E66" i="5"/>
  <c r="D66" i="5"/>
  <c r="C66" i="5"/>
  <c r="B66" i="5"/>
  <c r="G51" i="5"/>
  <c r="F51" i="5"/>
  <c r="E51" i="5"/>
  <c r="D51" i="5"/>
  <c r="C51" i="5"/>
  <c r="B51" i="5"/>
  <c r="G50" i="5"/>
  <c r="F50" i="5"/>
  <c r="E50" i="5"/>
  <c r="D50" i="5"/>
  <c r="C50" i="5"/>
  <c r="B50" i="5"/>
  <c r="G48" i="5"/>
  <c r="F48" i="5"/>
  <c r="E48" i="5"/>
  <c r="D48" i="5"/>
  <c r="C48" i="5"/>
  <c r="B48" i="5"/>
  <c r="H47" i="5"/>
  <c r="H42" i="5"/>
  <c r="H39" i="5"/>
  <c r="G33" i="5"/>
  <c r="F33" i="5"/>
  <c r="E33" i="5"/>
  <c r="D33" i="5"/>
  <c r="C33" i="5"/>
  <c r="B33" i="5"/>
  <c r="G28" i="5"/>
  <c r="F28" i="5"/>
  <c r="E28" i="5"/>
  <c r="D28" i="5"/>
  <c r="C28" i="5"/>
  <c r="B28" i="5"/>
  <c r="G27" i="5"/>
  <c r="F27" i="5"/>
  <c r="E27" i="5"/>
  <c r="D27" i="5"/>
  <c r="C27" i="5"/>
  <c r="B27" i="5"/>
  <c r="G18" i="5"/>
  <c r="F18" i="5"/>
  <c r="F57" i="5" s="1"/>
  <c r="E18" i="5"/>
  <c r="D18" i="5"/>
  <c r="D57" i="5" s="1"/>
  <c r="C18" i="5"/>
  <c r="C57" i="5" s="1"/>
  <c r="B18" i="5"/>
  <c r="B57" i="5" s="1"/>
  <c r="G17" i="5"/>
  <c r="G56" i="5" s="1"/>
  <c r="F17" i="5"/>
  <c r="F56" i="5" s="1"/>
  <c r="E17" i="5"/>
  <c r="E56" i="5" s="1"/>
  <c r="D17" i="5"/>
  <c r="D56" i="5" s="1"/>
  <c r="C17" i="5"/>
  <c r="C56" i="5" s="1"/>
  <c r="B17" i="5"/>
  <c r="B56" i="5" s="1"/>
  <c r="G12" i="5"/>
  <c r="F12" i="5"/>
  <c r="E12" i="5"/>
  <c r="D12" i="5"/>
  <c r="C12" i="5"/>
  <c r="B12" i="5"/>
  <c r="G11" i="5"/>
  <c r="F11" i="5"/>
  <c r="E11" i="5"/>
  <c r="D11" i="5"/>
  <c r="C11" i="5"/>
  <c r="B11" i="5"/>
  <c r="C53" i="5" l="1"/>
  <c r="G69" i="5"/>
  <c r="F30" i="5"/>
  <c r="C61" i="5"/>
  <c r="F53" i="5"/>
  <c r="B30" i="5"/>
  <c r="C69" i="5"/>
  <c r="D21" i="5"/>
  <c r="G53" i="5"/>
  <c r="E14" i="5"/>
  <c r="E30" i="5"/>
  <c r="G30" i="5"/>
  <c r="B53" i="5"/>
  <c r="B61" i="5"/>
  <c r="F61" i="5"/>
  <c r="D61" i="5"/>
  <c r="C60" i="5"/>
  <c r="G60" i="5"/>
  <c r="C30" i="5"/>
  <c r="E53" i="5"/>
  <c r="E69" i="5"/>
  <c r="B22" i="5"/>
  <c r="H27" i="5"/>
  <c r="H28" i="5"/>
  <c r="H12" i="5"/>
  <c r="E22" i="5"/>
  <c r="F22" i="5"/>
  <c r="E57" i="5"/>
  <c r="E61" i="5" s="1"/>
  <c r="F14" i="5"/>
  <c r="D14" i="5"/>
  <c r="H67" i="5"/>
  <c r="B14" i="5"/>
  <c r="C14" i="5"/>
  <c r="G14" i="5"/>
  <c r="G22" i="5"/>
  <c r="D60" i="5"/>
  <c r="H51" i="5"/>
  <c r="B69" i="5"/>
  <c r="F69" i="5"/>
  <c r="D69" i="5"/>
  <c r="F60" i="5"/>
  <c r="B60" i="5"/>
  <c r="E21" i="5"/>
  <c r="F21" i="5"/>
  <c r="B21" i="5"/>
  <c r="C22" i="5"/>
  <c r="H11" i="5"/>
  <c r="C21" i="5"/>
  <c r="G21" i="5"/>
  <c r="D22" i="5"/>
  <c r="D30" i="5"/>
  <c r="D53" i="5"/>
  <c r="G57" i="5"/>
  <c r="G61" i="5" s="1"/>
  <c r="E60" i="5"/>
  <c r="H66" i="5"/>
  <c r="H50" i="5"/>
  <c r="D63" i="5" l="1"/>
  <c r="D71" i="5" s="1"/>
  <c r="D74" i="5" s="1"/>
  <c r="D24" i="5"/>
  <c r="D32" i="5" s="1"/>
  <c r="D35" i="5" s="1"/>
  <c r="C63" i="5"/>
  <c r="C71" i="5" s="1"/>
  <c r="C74" i="5" s="1"/>
  <c r="E63" i="5"/>
  <c r="E71" i="5" s="1"/>
  <c r="E74" i="5" s="1"/>
  <c r="F63" i="5"/>
  <c r="F71" i="5" s="1"/>
  <c r="F74" i="5" s="1"/>
  <c r="H22" i="5"/>
  <c r="H69" i="5"/>
  <c r="H14" i="5"/>
  <c r="E24" i="5"/>
  <c r="E32" i="5" s="1"/>
  <c r="E35" i="5" s="1"/>
  <c r="H30" i="5"/>
  <c r="H61" i="5"/>
  <c r="H53" i="5"/>
  <c r="C24" i="5"/>
  <c r="C32" i="5" s="1"/>
  <c r="C35" i="5" s="1"/>
  <c r="F24" i="5"/>
  <c r="F32" i="5" s="1"/>
  <c r="F35" i="5" s="1"/>
  <c r="G24" i="5"/>
  <c r="G32" i="5" s="1"/>
  <c r="G35" i="5" s="1"/>
  <c r="G63" i="5"/>
  <c r="G71" i="5" s="1"/>
  <c r="G74" i="5" s="1"/>
  <c r="B24" i="5"/>
  <c r="H21" i="5"/>
  <c r="B63" i="5"/>
  <c r="H60" i="5"/>
  <c r="H24" i="5" l="1"/>
  <c r="H63" i="5"/>
  <c r="H77" i="5"/>
  <c r="B71" i="5"/>
  <c r="B74" i="5" s="1"/>
  <c r="H74" i="5" s="1"/>
  <c r="H76" i="5" s="1"/>
  <c r="B32" i="5"/>
  <c r="B35" i="5" s="1"/>
  <c r="H35" i="5" s="1"/>
  <c r="H38" i="5"/>
  <c r="H79" i="5" l="1"/>
  <c r="D33" i="1"/>
  <c r="G33" i="1"/>
  <c r="F33" i="1"/>
  <c r="E33" i="1"/>
  <c r="H82" i="5"/>
  <c r="H83" i="5" s="1"/>
  <c r="H81" i="1"/>
  <c r="G72" i="1"/>
  <c r="F72" i="1"/>
  <c r="E72" i="1"/>
  <c r="D72" i="1"/>
  <c r="H37" i="5"/>
  <c r="H40" i="5" s="1"/>
  <c r="H42" i="1" s="1"/>
  <c r="I82" i="5" l="1"/>
  <c r="C71" i="4"/>
  <c r="B71" i="4"/>
  <c r="C33" i="4"/>
  <c r="B33" i="4"/>
  <c r="H43" i="5"/>
  <c r="H44" i="5" s="1"/>
  <c r="I43" i="5" l="1"/>
  <c r="F68" i="4"/>
  <c r="B68" i="4"/>
  <c r="G68" i="4"/>
  <c r="C68" i="4"/>
  <c r="G52" i="4"/>
  <c r="E52" i="4"/>
  <c r="C52" i="4"/>
  <c r="B47" i="4"/>
  <c r="H46" i="4"/>
  <c r="D30" i="4"/>
  <c r="G30" i="4"/>
  <c r="F30" i="4"/>
  <c r="C30" i="4"/>
  <c r="B30" i="4"/>
  <c r="G56" i="4"/>
  <c r="G60" i="4" s="1"/>
  <c r="F56" i="4"/>
  <c r="E56" i="4"/>
  <c r="D22" i="4"/>
  <c r="C56" i="4"/>
  <c r="C60" i="4" s="1"/>
  <c r="B56" i="4"/>
  <c r="F55" i="4"/>
  <c r="F59" i="4" s="1"/>
  <c r="E55" i="4"/>
  <c r="D55" i="4"/>
  <c r="C55" i="4"/>
  <c r="B55" i="4"/>
  <c r="B59" i="4" s="1"/>
  <c r="F14" i="4"/>
  <c r="B14" i="4"/>
  <c r="G14" i="4"/>
  <c r="F21" i="4"/>
  <c r="C14" i="4"/>
  <c r="B21" i="4"/>
  <c r="C6" i="4"/>
  <c r="C47" i="4" s="1"/>
  <c r="B60" i="4" l="1"/>
  <c r="B62" i="4" s="1"/>
  <c r="F60" i="4"/>
  <c r="F62" i="4" s="1"/>
  <c r="F70" i="4" s="1"/>
  <c r="H65" i="4"/>
  <c r="D14" i="4"/>
  <c r="D6" i="4"/>
  <c r="D47" i="4" s="1"/>
  <c r="E14" i="4"/>
  <c r="C21" i="4"/>
  <c r="H28" i="4"/>
  <c r="D56" i="4"/>
  <c r="D60" i="4" s="1"/>
  <c r="E68" i="4"/>
  <c r="H11" i="4"/>
  <c r="H12" i="4"/>
  <c r="G21" i="4"/>
  <c r="E60" i="4"/>
  <c r="E30" i="4"/>
  <c r="B52" i="4"/>
  <c r="F52" i="4"/>
  <c r="D52" i="4"/>
  <c r="D59" i="4"/>
  <c r="E59" i="4"/>
  <c r="H50" i="4"/>
  <c r="D21" i="4"/>
  <c r="D24" i="4" s="1"/>
  <c r="D32" i="4" s="1"/>
  <c r="E22" i="4"/>
  <c r="H49" i="4"/>
  <c r="G55" i="4"/>
  <c r="G59" i="4" s="1"/>
  <c r="G62" i="4" s="1"/>
  <c r="G70" i="4" s="1"/>
  <c r="C59" i="4"/>
  <c r="C62" i="4" s="1"/>
  <c r="C70" i="4" s="1"/>
  <c r="C73" i="4" s="1"/>
  <c r="D68" i="4"/>
  <c r="E21" i="4"/>
  <c r="B22" i="4"/>
  <c r="F22" i="4"/>
  <c r="F24" i="4" s="1"/>
  <c r="F32" i="4" s="1"/>
  <c r="H27" i="4"/>
  <c r="H66" i="4"/>
  <c r="C22" i="4"/>
  <c r="G22" i="4"/>
  <c r="M71" i="3"/>
  <c r="L71" i="3"/>
  <c r="K71" i="3"/>
  <c r="J71" i="3"/>
  <c r="I71" i="3"/>
  <c r="H71" i="3"/>
  <c r="G71" i="3"/>
  <c r="F71" i="3"/>
  <c r="E71" i="3"/>
  <c r="D71" i="3"/>
  <c r="C71" i="3"/>
  <c r="B71" i="3"/>
  <c r="M66" i="3"/>
  <c r="L66" i="3"/>
  <c r="K66" i="3"/>
  <c r="J66" i="3"/>
  <c r="I66" i="3"/>
  <c r="H66" i="3"/>
  <c r="G66" i="3"/>
  <c r="F66" i="3"/>
  <c r="E66" i="3"/>
  <c r="D66" i="3"/>
  <c r="C66" i="3"/>
  <c r="B66" i="3"/>
  <c r="M65" i="3"/>
  <c r="L65" i="3"/>
  <c r="K65" i="3"/>
  <c r="J65" i="3"/>
  <c r="I65" i="3"/>
  <c r="I68" i="3" s="1"/>
  <c r="H65" i="3"/>
  <c r="G65" i="3"/>
  <c r="F65" i="3"/>
  <c r="E65" i="3"/>
  <c r="D65" i="3"/>
  <c r="C65" i="3"/>
  <c r="B65" i="3"/>
  <c r="M50" i="3"/>
  <c r="L50" i="3"/>
  <c r="K50" i="3"/>
  <c r="J50" i="3"/>
  <c r="I50" i="3"/>
  <c r="H50" i="3"/>
  <c r="G50" i="3"/>
  <c r="F50" i="3"/>
  <c r="E50" i="3"/>
  <c r="D50" i="3"/>
  <c r="C50" i="3"/>
  <c r="B50" i="3"/>
  <c r="M49" i="3"/>
  <c r="L49" i="3"/>
  <c r="K49" i="3"/>
  <c r="J49" i="3"/>
  <c r="I49" i="3"/>
  <c r="H49" i="3"/>
  <c r="G49" i="3"/>
  <c r="F49" i="3"/>
  <c r="E49" i="3"/>
  <c r="D49" i="3"/>
  <c r="C49" i="3"/>
  <c r="B49" i="3"/>
  <c r="B47" i="3"/>
  <c r="C47" i="3" s="1"/>
  <c r="D47" i="3" s="1"/>
  <c r="E47" i="3" s="1"/>
  <c r="F47" i="3" s="1"/>
  <c r="G47" i="3" s="1"/>
  <c r="H47" i="3" s="1"/>
  <c r="I47" i="3" s="1"/>
  <c r="J47" i="3" s="1"/>
  <c r="K47" i="3" s="1"/>
  <c r="L47" i="3" s="1"/>
  <c r="M47" i="3" s="1"/>
  <c r="M33" i="3"/>
  <c r="L33" i="3"/>
  <c r="K33" i="3"/>
  <c r="J33" i="3"/>
  <c r="I33" i="3"/>
  <c r="H33" i="3"/>
  <c r="G33" i="3"/>
  <c r="F33" i="3"/>
  <c r="E33" i="3"/>
  <c r="D33" i="3"/>
  <c r="C33" i="3"/>
  <c r="B33" i="3"/>
  <c r="M28" i="3"/>
  <c r="L28" i="3"/>
  <c r="K28" i="3"/>
  <c r="J28" i="3"/>
  <c r="I28" i="3"/>
  <c r="H28" i="3"/>
  <c r="G28" i="3"/>
  <c r="F28" i="3"/>
  <c r="E28" i="3"/>
  <c r="D28" i="3"/>
  <c r="C28" i="3"/>
  <c r="B28" i="3"/>
  <c r="M27" i="3"/>
  <c r="L27" i="3"/>
  <c r="K27" i="3"/>
  <c r="J27" i="3"/>
  <c r="I27" i="3"/>
  <c r="H27" i="3"/>
  <c r="G27" i="3"/>
  <c r="F27" i="3"/>
  <c r="F30" i="3" s="1"/>
  <c r="E27" i="3"/>
  <c r="D27" i="3"/>
  <c r="C27" i="3"/>
  <c r="B27" i="3"/>
  <c r="M18" i="3"/>
  <c r="L18" i="3"/>
  <c r="L56" i="3" s="1"/>
  <c r="K18" i="3"/>
  <c r="J18" i="3"/>
  <c r="J56" i="3" s="1"/>
  <c r="I18" i="3"/>
  <c r="H18" i="3"/>
  <c r="H56" i="3" s="1"/>
  <c r="G18" i="3"/>
  <c r="F18" i="3"/>
  <c r="F56" i="3" s="1"/>
  <c r="E18" i="3"/>
  <c r="D18" i="3"/>
  <c r="D56" i="3" s="1"/>
  <c r="C18" i="3"/>
  <c r="B18" i="3"/>
  <c r="B56" i="3" s="1"/>
  <c r="M17" i="3"/>
  <c r="G39" i="3" s="1"/>
  <c r="L17" i="3"/>
  <c r="L55" i="3" s="1"/>
  <c r="K17" i="3"/>
  <c r="K55" i="3" s="1"/>
  <c r="J17" i="3"/>
  <c r="J55" i="3" s="1"/>
  <c r="I17" i="3"/>
  <c r="C39" i="3" s="1"/>
  <c r="H17" i="3"/>
  <c r="H55" i="3" s="1"/>
  <c r="G17" i="3"/>
  <c r="G55" i="3" s="1"/>
  <c r="F17" i="3"/>
  <c r="F55" i="3" s="1"/>
  <c r="E17" i="3"/>
  <c r="E55" i="3" s="1"/>
  <c r="D17" i="3"/>
  <c r="D55" i="3" s="1"/>
  <c r="C17" i="3"/>
  <c r="B17" i="3"/>
  <c r="B55" i="3" s="1"/>
  <c r="M12" i="3"/>
  <c r="L12" i="3"/>
  <c r="K12" i="3"/>
  <c r="J12" i="3"/>
  <c r="I12" i="3"/>
  <c r="H12" i="3"/>
  <c r="B41" i="3" s="1"/>
  <c r="G12" i="3"/>
  <c r="F12" i="3"/>
  <c r="E12" i="3"/>
  <c r="D12" i="3"/>
  <c r="C12" i="3"/>
  <c r="B12" i="3"/>
  <c r="M11" i="3"/>
  <c r="L11" i="3"/>
  <c r="L21" i="3" s="1"/>
  <c r="K11" i="3"/>
  <c r="J11" i="3"/>
  <c r="I11" i="3"/>
  <c r="H11" i="3"/>
  <c r="G11" i="3"/>
  <c r="F11" i="3"/>
  <c r="E11" i="3"/>
  <c r="D11" i="3"/>
  <c r="D21" i="3" s="1"/>
  <c r="C11" i="3"/>
  <c r="B11" i="3"/>
  <c r="G14" i="3" l="1"/>
  <c r="G30" i="3"/>
  <c r="K68" i="3"/>
  <c r="G59" i="3"/>
  <c r="J68" i="3"/>
  <c r="C52" i="3"/>
  <c r="C68" i="3"/>
  <c r="H21" i="3"/>
  <c r="F41" i="3"/>
  <c r="H30" i="4"/>
  <c r="I14" i="3"/>
  <c r="I30" i="3"/>
  <c r="D68" i="3"/>
  <c r="L68" i="3"/>
  <c r="D52" i="3"/>
  <c r="L52" i="3"/>
  <c r="H60" i="4"/>
  <c r="J30" i="3"/>
  <c r="E52" i="3"/>
  <c r="M68" i="3"/>
  <c r="C14" i="3"/>
  <c r="K14" i="3"/>
  <c r="K59" i="3"/>
  <c r="C30" i="3"/>
  <c r="K30" i="3"/>
  <c r="F68" i="3"/>
  <c r="D30" i="3"/>
  <c r="L30" i="3"/>
  <c r="G52" i="3"/>
  <c r="G68" i="3"/>
  <c r="E14" i="3"/>
  <c r="E30" i="3"/>
  <c r="M30" i="3"/>
  <c r="H52" i="3"/>
  <c r="H68" i="3"/>
  <c r="E6" i="4"/>
  <c r="E47" i="4" s="1"/>
  <c r="H30" i="3"/>
  <c r="B60" i="3"/>
  <c r="F60" i="3"/>
  <c r="J60" i="3"/>
  <c r="E22" i="3"/>
  <c r="I22" i="3"/>
  <c r="M22" i="3"/>
  <c r="N27" i="3"/>
  <c r="F39" i="3"/>
  <c r="F40" i="3" s="1"/>
  <c r="F42" i="3" s="1"/>
  <c r="C21" i="3"/>
  <c r="C22" i="3"/>
  <c r="G22" i="3"/>
  <c r="K22" i="3"/>
  <c r="N65" i="3"/>
  <c r="N66" i="3"/>
  <c r="B68" i="3"/>
  <c r="E68" i="3"/>
  <c r="G40" i="3"/>
  <c r="G41" i="3"/>
  <c r="B21" i="3"/>
  <c r="F22" i="3"/>
  <c r="N49" i="3"/>
  <c r="N50" i="3"/>
  <c r="L14" i="3"/>
  <c r="N28" i="3"/>
  <c r="B30" i="3"/>
  <c r="C41" i="3"/>
  <c r="B22" i="3"/>
  <c r="F21" i="3"/>
  <c r="N12" i="3"/>
  <c r="D41" i="3"/>
  <c r="D14" i="3"/>
  <c r="H14" i="3"/>
  <c r="D60" i="3"/>
  <c r="H60" i="3"/>
  <c r="L60" i="3"/>
  <c r="J22" i="3"/>
  <c r="B39" i="3"/>
  <c r="B40" i="3" s="1"/>
  <c r="B42" i="3" s="1"/>
  <c r="C24" i="4"/>
  <c r="C32" i="4" s="1"/>
  <c r="C35" i="4" s="1"/>
  <c r="H68" i="4"/>
  <c r="D62" i="4"/>
  <c r="D70" i="4" s="1"/>
  <c r="E24" i="4"/>
  <c r="E32" i="4" s="1"/>
  <c r="H52" i="4"/>
  <c r="E62" i="4"/>
  <c r="E70" i="4" s="1"/>
  <c r="H22" i="4"/>
  <c r="G24" i="4"/>
  <c r="G32" i="4" s="1"/>
  <c r="H14" i="4"/>
  <c r="K14" i="4" s="1"/>
  <c r="H59" i="4"/>
  <c r="B70" i="4"/>
  <c r="B73" i="4" s="1"/>
  <c r="H21" i="4"/>
  <c r="B24" i="4"/>
  <c r="D59" i="3"/>
  <c r="H59" i="3"/>
  <c r="L59" i="3"/>
  <c r="B78" i="3"/>
  <c r="F78" i="3"/>
  <c r="C77" i="3"/>
  <c r="G77" i="3"/>
  <c r="F59" i="3"/>
  <c r="J59" i="3"/>
  <c r="D78" i="3"/>
  <c r="N11" i="3"/>
  <c r="M14" i="3"/>
  <c r="B14" i="3"/>
  <c r="F14" i="3"/>
  <c r="J14" i="3"/>
  <c r="E21" i="3"/>
  <c r="I21" i="3"/>
  <c r="M21" i="3"/>
  <c r="D22" i="3"/>
  <c r="D24" i="3" s="1"/>
  <c r="H22" i="3"/>
  <c r="L22" i="3"/>
  <c r="L24" i="3" s="1"/>
  <c r="L32" i="3" s="1"/>
  <c r="L35" i="3" s="1"/>
  <c r="D39" i="3"/>
  <c r="D40" i="3" s="1"/>
  <c r="B52" i="3"/>
  <c r="F52" i="3"/>
  <c r="J52" i="3"/>
  <c r="I55" i="3"/>
  <c r="I59" i="3" s="1"/>
  <c r="M55" i="3"/>
  <c r="M59" i="3" s="1"/>
  <c r="E56" i="3"/>
  <c r="E60" i="3" s="1"/>
  <c r="I56" i="3"/>
  <c r="I60" i="3" s="1"/>
  <c r="M56" i="3"/>
  <c r="M60" i="3" s="1"/>
  <c r="E59" i="3"/>
  <c r="K21" i="3"/>
  <c r="J21" i="3"/>
  <c r="E39" i="3"/>
  <c r="E40" i="3" s="1"/>
  <c r="K52" i="3"/>
  <c r="B59" i="3"/>
  <c r="G21" i="3"/>
  <c r="C40" i="3"/>
  <c r="E41" i="3"/>
  <c r="C55" i="3"/>
  <c r="C59" i="3" s="1"/>
  <c r="C56" i="3"/>
  <c r="C60" i="3" s="1"/>
  <c r="G56" i="3"/>
  <c r="G60" i="3" s="1"/>
  <c r="G62" i="3" s="1"/>
  <c r="K56" i="3"/>
  <c r="K60" i="3" s="1"/>
  <c r="I52" i="3"/>
  <c r="M52" i="3"/>
  <c r="B77" i="3" l="1"/>
  <c r="H24" i="3"/>
  <c r="D32" i="3"/>
  <c r="D35" i="3" s="1"/>
  <c r="F6" i="4"/>
  <c r="H32" i="3"/>
  <c r="H35" i="3" s="1"/>
  <c r="M24" i="3"/>
  <c r="M32" i="3" s="1"/>
  <c r="M35" i="3" s="1"/>
  <c r="I24" i="3"/>
  <c r="I32" i="3"/>
  <c r="I35" i="3" s="1"/>
  <c r="H62" i="4"/>
  <c r="K62" i="3"/>
  <c r="K70" i="3" s="1"/>
  <c r="K73" i="3" s="1"/>
  <c r="G70" i="3"/>
  <c r="G73" i="3" s="1"/>
  <c r="J62" i="3"/>
  <c r="J70" i="3" s="1"/>
  <c r="J73" i="3" s="1"/>
  <c r="D62" i="3"/>
  <c r="D70" i="3" s="1"/>
  <c r="D73" i="3" s="1"/>
  <c r="C42" i="3"/>
  <c r="H62" i="3"/>
  <c r="H70" i="3" s="1"/>
  <c r="H73" i="3" s="1"/>
  <c r="F77" i="3"/>
  <c r="F79" i="3" s="1"/>
  <c r="F62" i="3"/>
  <c r="F70" i="3" s="1"/>
  <c r="F73" i="3" s="1"/>
  <c r="B24" i="3"/>
  <c r="B32" i="3" s="1"/>
  <c r="B35" i="3" s="1"/>
  <c r="J24" i="3"/>
  <c r="J32" i="3" s="1"/>
  <c r="J35" i="3" s="1"/>
  <c r="K24" i="3"/>
  <c r="K32" i="3" s="1"/>
  <c r="K35" i="3" s="1"/>
  <c r="E24" i="3"/>
  <c r="E32" i="3" s="1"/>
  <c r="E35" i="3" s="1"/>
  <c r="E77" i="3"/>
  <c r="G78" i="3"/>
  <c r="G79" i="3" s="1"/>
  <c r="N52" i="3"/>
  <c r="G42" i="3"/>
  <c r="C24" i="3"/>
  <c r="C32" i="3" s="1"/>
  <c r="C35" i="3" s="1"/>
  <c r="G24" i="3"/>
  <c r="G32" i="3" s="1"/>
  <c r="G35" i="3" s="1"/>
  <c r="M62" i="3"/>
  <c r="M70" i="3" s="1"/>
  <c r="M73" i="3" s="1"/>
  <c r="N14" i="3"/>
  <c r="N30" i="3"/>
  <c r="E62" i="3"/>
  <c r="E70" i="3" s="1"/>
  <c r="E73" i="3" s="1"/>
  <c r="N68" i="3"/>
  <c r="N60" i="3"/>
  <c r="B79" i="3"/>
  <c r="E42" i="3"/>
  <c r="I62" i="3"/>
  <c r="I70" i="3" s="1"/>
  <c r="I73" i="3" s="1"/>
  <c r="D42" i="3"/>
  <c r="E78" i="3"/>
  <c r="L62" i="3"/>
  <c r="L70" i="3" s="1"/>
  <c r="L73" i="3" s="1"/>
  <c r="F24" i="3"/>
  <c r="F32" i="3" s="1"/>
  <c r="F35" i="3" s="1"/>
  <c r="H24" i="4"/>
  <c r="H76" i="4"/>
  <c r="H38" i="4"/>
  <c r="B32" i="4"/>
  <c r="B35" i="4" s="1"/>
  <c r="F47" i="4"/>
  <c r="G6" i="4"/>
  <c r="G47" i="4" s="1"/>
  <c r="D77" i="3"/>
  <c r="D79" i="3" s="1"/>
  <c r="N22" i="3"/>
  <c r="C78" i="3"/>
  <c r="C79" i="3" s="1"/>
  <c r="C62" i="3"/>
  <c r="C70" i="3" s="1"/>
  <c r="C73" i="3" s="1"/>
  <c r="B62" i="3"/>
  <c r="B70" i="3" s="1"/>
  <c r="B73" i="3" s="1"/>
  <c r="N59" i="3"/>
  <c r="N21" i="3"/>
  <c r="E79" i="3" l="1"/>
  <c r="K31" i="6"/>
  <c r="L31" i="6"/>
  <c r="E31" i="6"/>
  <c r="M31" i="6"/>
  <c r="F31" i="6"/>
  <c r="D31" i="6"/>
  <c r="G31" i="6"/>
  <c r="H31" i="6"/>
  <c r="I31" i="6"/>
  <c r="J31" i="6"/>
  <c r="G67" i="6"/>
  <c r="H67" i="6"/>
  <c r="I67" i="6"/>
  <c r="J67" i="6"/>
  <c r="K67" i="6"/>
  <c r="L67" i="6"/>
  <c r="E67" i="6"/>
  <c r="M67" i="6"/>
  <c r="F67" i="6"/>
  <c r="D67" i="6"/>
  <c r="N38" i="3"/>
  <c r="N73" i="3"/>
  <c r="N75" i="3" s="1"/>
  <c r="N35" i="3"/>
  <c r="N37" i="3" s="1"/>
  <c r="N39" i="3" s="1"/>
  <c r="N42" i="3" s="1"/>
  <c r="O42" i="3" s="1"/>
  <c r="N62" i="3"/>
  <c r="N76" i="3"/>
  <c r="N24" i="3"/>
  <c r="N77" i="3" l="1"/>
  <c r="N80" i="3" s="1"/>
  <c r="N81" i="3" s="1"/>
  <c r="C31" i="7"/>
  <c r="C33" i="7" s="1"/>
  <c r="B31" i="7"/>
  <c r="B33" i="7" s="1"/>
  <c r="C67" i="7"/>
  <c r="C69" i="7" s="1"/>
  <c r="B67" i="7"/>
  <c r="B69" i="7" s="1"/>
  <c r="N43" i="3"/>
  <c r="C72" i="1"/>
  <c r="B72" i="1"/>
  <c r="O80" i="3" l="1"/>
  <c r="C33" i="1"/>
  <c r="B33" i="1"/>
  <c r="E66" i="1" l="1"/>
  <c r="F66" i="1"/>
  <c r="G66" i="1"/>
  <c r="G67" i="1" l="1"/>
  <c r="F67" i="1"/>
  <c r="E67" i="1"/>
  <c r="D67" i="1"/>
  <c r="C67" i="1"/>
  <c r="B67" i="1"/>
  <c r="D66" i="1"/>
  <c r="C66" i="1"/>
  <c r="B66" i="1"/>
  <c r="B51" i="1"/>
  <c r="C51" i="1"/>
  <c r="D51" i="1"/>
  <c r="E51" i="1"/>
  <c r="F51" i="1"/>
  <c r="G51" i="1"/>
  <c r="C50" i="1"/>
  <c r="D50" i="1"/>
  <c r="E50" i="1"/>
  <c r="F50" i="1"/>
  <c r="G50" i="1"/>
  <c r="B50" i="1"/>
  <c r="G28" i="1"/>
  <c r="F28" i="1"/>
  <c r="E28" i="1"/>
  <c r="D28" i="1"/>
  <c r="C28" i="1"/>
  <c r="B28" i="1"/>
  <c r="G27" i="1"/>
  <c r="F27" i="1"/>
  <c r="E27" i="1"/>
  <c r="D27" i="1"/>
  <c r="C27" i="1"/>
  <c r="B27" i="1"/>
  <c r="G18" i="1"/>
  <c r="F18" i="1"/>
  <c r="E18" i="1"/>
  <c r="D18" i="1"/>
  <c r="C18" i="1"/>
  <c r="B18" i="1"/>
  <c r="G17" i="1"/>
  <c r="F17" i="1"/>
  <c r="E17" i="1"/>
  <c r="D17" i="1"/>
  <c r="C17" i="1"/>
  <c r="B17" i="1"/>
  <c r="G12" i="1"/>
  <c r="F12" i="1"/>
  <c r="E12" i="1"/>
  <c r="D12" i="1"/>
  <c r="C12" i="1"/>
  <c r="B12" i="1"/>
  <c r="G11" i="1"/>
  <c r="F11" i="1"/>
  <c r="E11" i="1"/>
  <c r="D11" i="1"/>
  <c r="C11" i="1"/>
  <c r="B11" i="1"/>
  <c r="C6" i="1"/>
  <c r="D6" i="1" s="1"/>
  <c r="E6" i="1" s="1"/>
  <c r="F6" i="1" s="1"/>
  <c r="G6" i="1" s="1"/>
  <c r="H47" i="1" l="1"/>
  <c r="C48" i="1"/>
  <c r="D48" i="1"/>
  <c r="E48" i="1"/>
  <c r="F48" i="1"/>
  <c r="G48" i="1"/>
  <c r="B48" i="1"/>
  <c r="C56" i="1" l="1"/>
  <c r="D56" i="1"/>
  <c r="E56" i="1"/>
  <c r="F56" i="1"/>
  <c r="B57" i="1"/>
  <c r="C57" i="1"/>
  <c r="D57" i="1"/>
  <c r="E57" i="1"/>
  <c r="F57" i="1"/>
  <c r="G57" i="1"/>
  <c r="G56" i="1" l="1"/>
  <c r="B56" i="1"/>
  <c r="B21" i="1"/>
  <c r="G69" i="1" l="1"/>
  <c r="E69" i="1"/>
  <c r="D69" i="1"/>
  <c r="C69" i="1"/>
  <c r="B69" i="1"/>
  <c r="H27" i="1"/>
  <c r="G22" i="1"/>
  <c r="F22" i="1"/>
  <c r="D22" i="1"/>
  <c r="C22" i="1"/>
  <c r="B22" i="1"/>
  <c r="B24" i="1" s="1"/>
  <c r="G21" i="1"/>
  <c r="E21" i="1"/>
  <c r="D21" i="1"/>
  <c r="C21" i="1"/>
  <c r="G14" i="1"/>
  <c r="F14" i="1"/>
  <c r="E14" i="1"/>
  <c r="D14" i="1"/>
  <c r="C14" i="1"/>
  <c r="B14" i="1"/>
  <c r="H12" i="1"/>
  <c r="H11" i="1"/>
  <c r="H14" i="1" s="1"/>
  <c r="D24" i="1" l="1"/>
  <c r="G24" i="1"/>
  <c r="C24" i="1"/>
  <c r="B60" i="1"/>
  <c r="C60" i="1"/>
  <c r="D60" i="1"/>
  <c r="E60" i="1"/>
  <c r="F60" i="1"/>
  <c r="G60" i="1"/>
  <c r="B61" i="1"/>
  <c r="C61" i="1"/>
  <c r="D61" i="1"/>
  <c r="E61" i="1"/>
  <c r="F61" i="1"/>
  <c r="G61" i="1"/>
  <c r="F69" i="1" l="1"/>
  <c r="G30" i="1"/>
  <c r="C30" i="1"/>
  <c r="H28" i="1"/>
  <c r="F30" i="1"/>
  <c r="E30" i="1"/>
  <c r="D30" i="1"/>
  <c r="B30" i="1"/>
  <c r="F21" i="1"/>
  <c r="F24" i="1" l="1"/>
  <c r="H21" i="1"/>
  <c r="H66" i="1"/>
  <c r="H67" i="1"/>
  <c r="B53" i="1"/>
  <c r="E53" i="1"/>
  <c r="H60" i="1"/>
  <c r="H30" i="1"/>
  <c r="H39" i="1" s="1"/>
  <c r="H50" i="1"/>
  <c r="H69" i="1" l="1"/>
  <c r="H78" i="1" s="1"/>
  <c r="G53" i="1"/>
  <c r="G63" i="1"/>
  <c r="G71" i="1" s="1"/>
  <c r="G74" i="1" s="1"/>
  <c r="D63" i="1"/>
  <c r="D71" i="1" s="1"/>
  <c r="D74" i="1" s="1"/>
  <c r="B63" i="1"/>
  <c r="D32" i="1"/>
  <c r="D35" i="1" s="1"/>
  <c r="C53" i="1"/>
  <c r="C63" i="1"/>
  <c r="C71" i="1" s="1"/>
  <c r="C74" i="1" s="1"/>
  <c r="B32" i="1"/>
  <c r="B35" i="1" s="1"/>
  <c r="F53" i="1"/>
  <c r="F63" i="1"/>
  <c r="F71" i="1" s="1"/>
  <c r="F74" i="1" s="1"/>
  <c r="G32" i="1"/>
  <c r="G35" i="1" s="1"/>
  <c r="D53" i="1"/>
  <c r="E63" i="1"/>
  <c r="E71" i="1" s="1"/>
  <c r="E74" i="1" s="1"/>
  <c r="E22" i="1"/>
  <c r="F32" i="1"/>
  <c r="F35" i="1" s="1"/>
  <c r="B71" i="1" l="1"/>
  <c r="B74" i="1" s="1"/>
  <c r="H77" i="1"/>
  <c r="E24" i="1"/>
  <c r="H51" i="1"/>
  <c r="H53" i="1" s="1"/>
  <c r="C32" i="1"/>
  <c r="C35" i="1" s="1"/>
  <c r="G71" i="4" l="1"/>
  <c r="F71" i="4"/>
  <c r="F73" i="4" s="1"/>
  <c r="E71" i="4"/>
  <c r="E73" i="4" s="1"/>
  <c r="D71" i="4"/>
  <c r="D73" i="4" s="1"/>
  <c r="E32" i="1"/>
  <c r="E35" i="1" s="1"/>
  <c r="H35" i="1" s="1"/>
  <c r="H37" i="1" s="1"/>
  <c r="H38" i="1"/>
  <c r="H61" i="1"/>
  <c r="H63" i="1" s="1"/>
  <c r="H74" i="1"/>
  <c r="H76" i="1" s="1"/>
  <c r="H79" i="1" s="1"/>
  <c r="H79" i="4" s="1"/>
  <c r="H22" i="1"/>
  <c r="H24" i="1" s="1"/>
  <c r="G73" i="4" l="1"/>
  <c r="C67" i="6"/>
  <c r="B67" i="6"/>
  <c r="H73" i="4"/>
  <c r="H75" i="4" s="1"/>
  <c r="H77" i="4" s="1"/>
  <c r="E33" i="4"/>
  <c r="E35" i="4" s="1"/>
  <c r="D33" i="4"/>
  <c r="D35" i="4" s="1"/>
  <c r="G33" i="4"/>
  <c r="F33" i="4"/>
  <c r="F35" i="4" s="1"/>
  <c r="H40" i="1"/>
  <c r="H41" i="4" s="1"/>
  <c r="H82" i="1"/>
  <c r="I82" i="1" s="1"/>
  <c r="H43" i="1" l="1"/>
  <c r="G35" i="4"/>
  <c r="C31" i="6"/>
  <c r="B31" i="6"/>
  <c r="H35" i="4"/>
  <c r="H37" i="4" s="1"/>
  <c r="H39" i="4" s="1"/>
  <c r="H42" i="4" s="1"/>
  <c r="H43" i="4" s="1"/>
  <c r="H80" i="4"/>
  <c r="I80" i="4" s="1"/>
  <c r="I43" i="1"/>
  <c r="H44" i="1"/>
  <c r="H83" i="1"/>
  <c r="I42" i="4" l="1"/>
  <c r="H81" i="4"/>
  <c r="C17" i="6" l="1"/>
  <c r="D17" i="6"/>
  <c r="E17" i="6"/>
  <c r="F17" i="6"/>
  <c r="G17" i="6"/>
  <c r="H17" i="6"/>
  <c r="I17" i="6"/>
  <c r="J17" i="6"/>
  <c r="K17" i="6"/>
  <c r="L17" i="6"/>
  <c r="M17" i="6"/>
  <c r="B17" i="6"/>
  <c r="F53" i="6" l="1"/>
  <c r="F57" i="6" s="1"/>
  <c r="F60" i="6" s="1"/>
  <c r="F66" i="6" s="1"/>
  <c r="F69" i="6" s="1"/>
  <c r="F21" i="6"/>
  <c r="F24" i="6" s="1"/>
  <c r="F30" i="6" s="1"/>
  <c r="F33" i="6" s="1"/>
  <c r="B53" i="6"/>
  <c r="B57" i="6" s="1"/>
  <c r="B21" i="6"/>
  <c r="D21" i="6"/>
  <c r="D24" i="6" s="1"/>
  <c r="D30" i="6" s="1"/>
  <c r="D33" i="6" s="1"/>
  <c r="D53" i="6"/>
  <c r="D57" i="6" s="1"/>
  <c r="D60" i="6" s="1"/>
  <c r="D66" i="6" s="1"/>
  <c r="D69" i="6" s="1"/>
  <c r="J21" i="6"/>
  <c r="J24" i="6" s="1"/>
  <c r="J30" i="6" s="1"/>
  <c r="J33" i="6" s="1"/>
  <c r="J53" i="6"/>
  <c r="J57" i="6" s="1"/>
  <c r="J60" i="6" s="1"/>
  <c r="J66" i="6" s="1"/>
  <c r="J69" i="6" s="1"/>
  <c r="M21" i="6"/>
  <c r="M24" i="6" s="1"/>
  <c r="M30" i="6" s="1"/>
  <c r="M33" i="6" s="1"/>
  <c r="M53" i="6"/>
  <c r="M57" i="6" s="1"/>
  <c r="M60" i="6" s="1"/>
  <c r="M66" i="6" s="1"/>
  <c r="M69" i="6" s="1"/>
  <c r="I21" i="6"/>
  <c r="I24" i="6" s="1"/>
  <c r="I30" i="6" s="1"/>
  <c r="I33" i="6" s="1"/>
  <c r="I53" i="6"/>
  <c r="I57" i="6" s="1"/>
  <c r="I60" i="6" s="1"/>
  <c r="I66" i="6" s="1"/>
  <c r="I69" i="6" s="1"/>
  <c r="E53" i="6"/>
  <c r="E57" i="6" s="1"/>
  <c r="E60" i="6" s="1"/>
  <c r="E66" i="6" s="1"/>
  <c r="E69" i="6" s="1"/>
  <c r="E21" i="6"/>
  <c r="E24" i="6" s="1"/>
  <c r="E30" i="6" s="1"/>
  <c r="E33" i="6" s="1"/>
  <c r="L21" i="6"/>
  <c r="L24" i="6" s="1"/>
  <c r="L30" i="6" s="1"/>
  <c r="L33" i="6" s="1"/>
  <c r="L53" i="6"/>
  <c r="L57" i="6" s="1"/>
  <c r="L60" i="6" s="1"/>
  <c r="L66" i="6" s="1"/>
  <c r="L69" i="6" s="1"/>
  <c r="H53" i="6"/>
  <c r="H57" i="6" s="1"/>
  <c r="H60" i="6" s="1"/>
  <c r="H66" i="6" s="1"/>
  <c r="H69" i="6" s="1"/>
  <c r="H21" i="6"/>
  <c r="H24" i="6" s="1"/>
  <c r="H30" i="6" s="1"/>
  <c r="H33" i="6" s="1"/>
  <c r="K53" i="6"/>
  <c r="K57" i="6" s="1"/>
  <c r="K60" i="6" s="1"/>
  <c r="K66" i="6" s="1"/>
  <c r="K69" i="6" s="1"/>
  <c r="K21" i="6"/>
  <c r="K24" i="6" s="1"/>
  <c r="K30" i="6" s="1"/>
  <c r="K33" i="6" s="1"/>
  <c r="G53" i="6"/>
  <c r="G57" i="6" s="1"/>
  <c r="G60" i="6" s="1"/>
  <c r="G66" i="6" s="1"/>
  <c r="G69" i="6" s="1"/>
  <c r="G21" i="6"/>
  <c r="G24" i="6" s="1"/>
  <c r="G30" i="6" s="1"/>
  <c r="G33" i="6" s="1"/>
  <c r="C53" i="6"/>
  <c r="C57" i="6" s="1"/>
  <c r="C60" i="6" s="1"/>
  <c r="C66" i="6" s="1"/>
  <c r="C69" i="6" s="1"/>
  <c r="C21" i="6"/>
  <c r="C24" i="6" s="1"/>
  <c r="C30" i="6" s="1"/>
  <c r="C33" i="6" s="1"/>
  <c r="B24" i="6" l="1"/>
  <c r="B30" i="6" s="1"/>
  <c r="B33" i="6" s="1"/>
  <c r="N21" i="6"/>
  <c r="N24" i="6" s="1"/>
  <c r="N36" i="6" s="1"/>
  <c r="B60" i="6"/>
  <c r="B66" i="6" s="1"/>
  <c r="B69" i="6" s="1"/>
  <c r="N57" i="6"/>
  <c r="N60" i="6" s="1"/>
  <c r="N72" i="6" s="1"/>
  <c r="G32" i="8" l="1"/>
  <c r="G33" i="8" s="1"/>
  <c r="F32" i="8"/>
  <c r="F33" i="8" s="1"/>
  <c r="M32" i="8"/>
  <c r="M33" i="8" s="1"/>
  <c r="E32" i="8"/>
  <c r="E33" i="8" s="1"/>
  <c r="L32" i="8"/>
  <c r="L33" i="8" s="1"/>
  <c r="H32" i="8"/>
  <c r="H33" i="8" s="1"/>
  <c r="K32" i="8"/>
  <c r="K33" i="8" s="1"/>
  <c r="I32" i="8"/>
  <c r="I33" i="8" s="1"/>
  <c r="J32" i="8"/>
  <c r="J33" i="8" s="1"/>
  <c r="L67" i="7"/>
  <c r="L69" i="7" s="1"/>
  <c r="E67" i="7"/>
  <c r="E69" i="7" s="1"/>
  <c r="M67" i="7"/>
  <c r="F67" i="7"/>
  <c r="F69" i="7" s="1"/>
  <c r="D67" i="7"/>
  <c r="D69" i="7" s="1"/>
  <c r="G67" i="7"/>
  <c r="G69" i="7" s="1"/>
  <c r="H67" i="7"/>
  <c r="H69" i="7" s="1"/>
  <c r="I67" i="7"/>
  <c r="I69" i="7" s="1"/>
  <c r="J67" i="7"/>
  <c r="J69" i="7" s="1"/>
  <c r="K67" i="7"/>
  <c r="K69" i="7" s="1"/>
  <c r="L31" i="7"/>
  <c r="L33" i="7" s="1"/>
  <c r="E31" i="7"/>
  <c r="E33" i="7" s="1"/>
  <c r="M31" i="7"/>
  <c r="F31" i="7"/>
  <c r="F33" i="7" s="1"/>
  <c r="D31" i="7"/>
  <c r="D33" i="7" s="1"/>
  <c r="G31" i="7"/>
  <c r="G33" i="7" s="1"/>
  <c r="H31" i="7"/>
  <c r="H33" i="7" s="1"/>
  <c r="I31" i="7"/>
  <c r="I33" i="7" s="1"/>
  <c r="J31" i="7"/>
  <c r="J33" i="7" s="1"/>
  <c r="K31" i="7"/>
  <c r="K33" i="7" s="1"/>
  <c r="R33" i="6"/>
  <c r="N33" i="6"/>
  <c r="N35" i="6" s="1"/>
  <c r="N37" i="6" s="1"/>
  <c r="N69" i="6"/>
  <c r="N71" i="6" s="1"/>
  <c r="N73" i="6" s="1"/>
  <c r="R34" i="6"/>
  <c r="M69" i="7" l="1"/>
  <c r="C67" i="8"/>
  <c r="C68" i="8" s="1"/>
  <c r="C69" i="8" s="1"/>
  <c r="B67" i="8"/>
  <c r="B68" i="8" s="1"/>
  <c r="B69" i="8" s="1"/>
  <c r="N69" i="8" s="1"/>
  <c r="B31" i="8"/>
  <c r="C31" i="8"/>
  <c r="M33" i="7"/>
  <c r="N33" i="7" s="1"/>
  <c r="N35" i="7" s="1"/>
  <c r="N76" i="6"/>
  <c r="O76" i="6" s="1"/>
  <c r="N75" i="7"/>
  <c r="N40" i="6"/>
  <c r="N41" i="6" s="1"/>
  <c r="N39" i="7"/>
  <c r="N69" i="7"/>
  <c r="N71" i="7" s="1"/>
  <c r="N73" i="7" s="1"/>
  <c r="N75" i="8" s="1"/>
  <c r="R35" i="6"/>
  <c r="N71" i="8" l="1"/>
  <c r="P69" i="8"/>
  <c r="D32" i="8"/>
  <c r="D33" i="8" s="1"/>
  <c r="N39" i="8"/>
  <c r="C32" i="8"/>
  <c r="C33" i="8" s="1"/>
  <c r="N76" i="7"/>
  <c r="O76" i="7" s="1"/>
  <c r="B32" i="8"/>
  <c r="B33" i="8" s="1"/>
  <c r="N33" i="8" s="1"/>
  <c r="N40" i="7"/>
  <c r="N41" i="7" s="1"/>
  <c r="N77" i="6"/>
  <c r="N77" i="7"/>
  <c r="O40" i="6"/>
  <c r="N75" i="9" l="1"/>
  <c r="N76" i="9" s="1"/>
  <c r="O76" i="9" s="1"/>
  <c r="N73" i="8"/>
  <c r="N76" i="8"/>
  <c r="O76" i="8" s="1"/>
  <c r="N35" i="8"/>
  <c r="N37" i="8" s="1"/>
  <c r="P33" i="8"/>
  <c r="O40" i="7"/>
  <c r="N77" i="9" l="1"/>
  <c r="N40" i="8"/>
  <c r="O40" i="8" s="1"/>
  <c r="N39" i="9"/>
  <c r="N40" i="9" s="1"/>
  <c r="N41" i="9" s="1"/>
  <c r="N77" i="8"/>
  <c r="N41" i="8"/>
  <c r="O40"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Garland</author>
  </authors>
  <commentList>
    <comment ref="H37" authorId="0" shapeId="0" xr:uid="{00000000-0006-0000-0300-000001000000}">
      <text>
        <r>
          <rPr>
            <b/>
            <sz val="9"/>
            <color indexed="81"/>
            <rFont val="Tahoma"/>
            <family val="2"/>
          </rPr>
          <t>Heather Garland:</t>
        </r>
        <r>
          <rPr>
            <sz val="9"/>
            <color indexed="81"/>
            <rFont val="Tahoma"/>
            <family val="2"/>
          </rPr>
          <t xml:space="preserve">
Divided by two because we will be paying back over 12 months instead of 6.</t>
        </r>
      </text>
    </comment>
    <comment ref="H75" authorId="0" shapeId="0" xr:uid="{00000000-0006-0000-0300-00000200000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Lindsay Waldram</author>
  </authors>
  <commentList>
    <comment ref="H39" authorId="0" shapeId="0" xr:uid="{00000000-0006-0000-0400-000001000000}">
      <text>
        <r>
          <rPr>
            <b/>
            <sz val="9"/>
            <color indexed="81"/>
            <rFont val="Tahoma"/>
            <family val="2"/>
          </rPr>
          <t>Lindsay Waldram:</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78" authorId="0" shapeId="0" xr:uid="{00000000-0006-0000-0400-000002000000}">
      <text>
        <r>
          <rPr>
            <b/>
            <sz val="9"/>
            <color indexed="81"/>
            <rFont val="Tahoma"/>
            <family val="2"/>
          </rPr>
          <t>Lindsay Waldram:</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8" authorId="0" shapeId="0" xr:uid="{00000000-0006-0000-0600-00000100000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76" authorId="0" shapeId="0" xr:uid="{00000000-0006-0000-0600-00000200000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<sst xmlns="http://schemas.openxmlformats.org/spreadsheetml/2006/main" count="447" uniqueCount="61">
  <si>
    <t>Pacific Disposal/Butler Cove Refuse</t>
  </si>
  <si>
    <t>Commodity Credit Accrual Calculation</t>
  </si>
  <si>
    <t>Total</t>
  </si>
  <si>
    <t>Single Family</t>
  </si>
  <si>
    <t>Tonnages</t>
  </si>
  <si>
    <t>Co-Mingled</t>
  </si>
  <si>
    <t>Glass</t>
  </si>
  <si>
    <t>Total Tons</t>
  </si>
  <si>
    <t>Revenue</t>
  </si>
  <si>
    <t>Total Revenue</t>
  </si>
  <si>
    <t>Pacific Customers</t>
  </si>
  <si>
    <t>Butlers Cove Cust</t>
  </si>
  <si>
    <t>Total Customer</t>
  </si>
  <si>
    <t>Actual Earned</t>
  </si>
  <si>
    <t>Projected Earnings</t>
  </si>
  <si>
    <t>Change:</t>
  </si>
  <si>
    <t>Multi-Family</t>
  </si>
  <si>
    <t>(Under)/Over Earned</t>
  </si>
  <si>
    <t>Over/(Under) Earned:</t>
  </si>
  <si>
    <t>Harold LeMay Enterprises, Inc. G-98</t>
  </si>
  <si>
    <t>Price per Ton</t>
  </si>
  <si>
    <t>6 Month Average:</t>
  </si>
  <si>
    <t>Effective January 1, 2019</t>
  </si>
  <si>
    <t>6-Month</t>
  </si>
  <si>
    <t>Revenue Impact:</t>
  </si>
  <si>
    <t>New Commodity (Debit)/Credit:</t>
  </si>
  <si>
    <t>Old (Debit)/Credit:</t>
  </si>
  <si>
    <t>Effective July 1, 2018</t>
  </si>
  <si>
    <t>12-Month</t>
  </si>
  <si>
    <t>6-Month Projection at Net Price per Ton</t>
  </si>
  <si>
    <t>Price per Ton-Net of $45 Processing Fee</t>
  </si>
  <si>
    <t>New Commodity Debit:</t>
  </si>
  <si>
    <t>6-Month Netted Down Revenue - Commingle</t>
  </si>
  <si>
    <t>6-Month Revenue - Glass</t>
  </si>
  <si>
    <t>Old Credit:</t>
  </si>
  <si>
    <t>Total Projected 6-Mo Revenue</t>
  </si>
  <si>
    <t>12-Month Revenue Impact:</t>
  </si>
  <si>
    <t>TG-180426</t>
  </si>
  <si>
    <t>True-Up From TG-180426</t>
  </si>
  <si>
    <t>Effective January 1, 2020</t>
  </si>
  <si>
    <t>Printing&amp;Postage:</t>
  </si>
  <si>
    <t>12 Month Average:</t>
  </si>
  <si>
    <t>Effective January 1, 2021</t>
  </si>
  <si>
    <t>Customers</t>
  </si>
  <si>
    <t>New Commodity Debit/(Credit):</t>
  </si>
  <si>
    <t>Old Debit/(Credit):</t>
  </si>
  <si>
    <t>Pacific Disposal/Butler Cove Refuse/ Rural Garbage</t>
  </si>
  <si>
    <t>Effective January 1, 2022</t>
  </si>
  <si>
    <t>12 Month Average Commodity Value:</t>
  </si>
  <si>
    <t>Effective January 1, 2023</t>
  </si>
  <si>
    <t>Glass Revenue (Expense)/ton</t>
  </si>
  <si>
    <t>Earned Revenue (Expense)</t>
  </si>
  <si>
    <t>Commingle</t>
  </si>
  <si>
    <t>Earned Revenue (Expense)/Customer</t>
  </si>
  <si>
    <t>Projected Revenue (Expense)/Customer</t>
  </si>
  <si>
    <t>Due From (To) Customers</t>
  </si>
  <si>
    <t>Projected Revenue (Expense)</t>
  </si>
  <si>
    <t>Tons</t>
  </si>
  <si>
    <t>Commingle Revenue (Expense)/ton</t>
  </si>
  <si>
    <t>12-Month rolling cost/(benefit) of material sales/customer</t>
  </si>
  <si>
    <t>Effective January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</si>
</sst>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_(* #,##0.000_);_(* \(#,##0.000\);_(* &quot;-&quot;??_);_(@_)"/>
    <numFmt numFmtId="168" formatCode="0.0%"/>
  </numFmts>
  <fonts count="73"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indexed="12"/>
      <name val="Arial"/>
      <family val="2"/>
    </font>
    <font>
      <sz val="10"/>
      <color indexed="8"/>
      <name val="Arial"/>
      <family val="2"/>
    </font>
    <font>
      <b/>
      <u/>
      <sz val="10"/>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color indexed="8"/>
      <name val="Arial"/>
      <family val="2"/>
    </font>
    <font>
      <sz val="10"/>
      <name val="Tahoma"/>
      <family val="2"/>
    </font>
    <font>
      <u/>
      <sz val="10"/>
      <color indexed="12"/>
      <name val="Arial"/>
      <family val="2"/>
    </font>
    <font>
      <sz val="11"/>
      <color indexed="8"/>
      <name val="Arial"/>
      <family val="2"/>
    </font>
    <font>
      <sz val="1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1"/>
      <color indexed="9"/>
      <name val="Calibri"/>
      <family val="2"/>
    </font>
    <font>
      <i/>
      <sz val="11"/>
      <color indexed="23"/>
      <name val="Calibri"/>
      <family val="2"/>
    </font>
    <font>
      <sz val="11"/>
      <color indexed="10"/>
      <name val="Calibri"/>
      <family val="2"/>
    </font>
    <font>
      <b/>
      <sz val="14"/>
      <name val="Helv"/>
    </font>
    <font>
      <sz val="18"/>
      <color indexed="13"/>
      <name val="Helv"/>
    </font>
    <font>
      <sz val="12"/>
      <color indexed="13"/>
      <name val="Helv"/>
    </font>
    <font>
      <b/>
      <sz val="11"/>
      <name val="Century Gothic"/>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10"/>
      <color rgb="FFFF0000"/>
      <name val="Arial"/>
      <family val="2"/>
    </font>
    <font>
      <sz val="9"/>
      <color indexed="81"/>
      <name val="Tahoma"/>
      <family val="2"/>
    </font>
    <font>
      <b/>
      <sz val="9"/>
      <color indexed="81"/>
      <name val="Tahoma"/>
      <family val="2"/>
    </font>
    <font>
      <b/>
      <sz val="10"/>
      <color rgb="FF0000FF"/>
      <name val="Arial"/>
      <family val="2"/>
    </font>
    <font>
      <sz val="10"/>
      <color rgb="FFFF0000"/>
      <name val="Arial"/>
      <family val="2"/>
    </font>
  </fonts>
  <fills count="67">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39997558519241921"/>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49"/>
      </top>
      <bottom style="double">
        <color indexed="4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
      <left/>
      <right/>
      <top style="thin">
        <color indexed="64"/>
      </top>
      <bottom style="medium">
        <color indexed="64"/>
      </bottom>
      <diagonal/>
    </border>
  </borders>
  <cellStyleXfs count="1539">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2" fillId="0" borderId="0"/>
    <xf numFmtId="41" fontId="2" fillId="0" borderId="0"/>
    <xf numFmtId="41" fontId="2" fillId="0" borderId="0"/>
    <xf numFmtId="41" fontId="2" fillId="0" borderId="0"/>
    <xf numFmtId="0" fontId="10" fillId="10" borderId="0" applyNumberFormat="0" applyBorder="0" applyAlignment="0" applyProtection="0"/>
    <xf numFmtId="3" fontId="2" fillId="0" borderId="0"/>
    <xf numFmtId="3" fontId="2" fillId="0" borderId="0"/>
    <xf numFmtId="3" fontId="2" fillId="0" borderId="0"/>
    <xf numFmtId="3" fontId="2" fillId="0" borderId="0"/>
    <xf numFmtId="0" fontId="11" fillId="1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5" fillId="0" borderId="0"/>
    <xf numFmtId="0" fontId="12" fillId="0" borderId="0"/>
    <xf numFmtId="0" fontId="12" fillId="0" borderId="0"/>
    <xf numFmtId="0" fontId="13" fillId="12" borderId="1" applyAlignment="0">
      <alignment horizontal="right"/>
      <protection locked="0"/>
    </xf>
    <xf numFmtId="44" fontId="2"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4" fillId="15" borderId="0">
      <protection locked="0"/>
    </xf>
    <xf numFmtId="4" fontId="4" fillId="15" borderId="0">
      <protection locked="0"/>
    </xf>
    <xf numFmtId="0" fontId="21" fillId="0" borderId="7" applyNumberFormat="0" applyFill="0" applyAlignment="0" applyProtection="0"/>
    <xf numFmtId="0" fontId="22" fillId="4" borderId="0" applyNumberFormat="0" applyBorder="0" applyAlignment="0" applyProtection="0"/>
    <xf numFmtId="43"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8" fillId="16" borderId="8" applyNumberFormat="0" applyFont="0" applyAlignment="0" applyProtection="0"/>
    <xf numFmtId="168" fontId="24" fillId="0" borderId="0" applyNumberFormat="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168" fontId="2" fillId="0" borderId="0" applyFont="0" applyFill="0" applyBorder="0" applyAlignment="0" applyProtection="0"/>
    <xf numFmtId="10" fontId="2" fillId="0" borderId="0" applyFont="0" applyFill="0" applyBorder="0" applyAlignment="0" applyProtection="0"/>
    <xf numFmtId="0" fontId="2" fillId="0" borderId="0"/>
    <xf numFmtId="0" fontId="2" fillId="0" borderId="0"/>
    <xf numFmtId="0" fontId="2" fillId="0" borderId="0"/>
    <xf numFmtId="0" fontId="2" fillId="0" borderId="0"/>
    <xf numFmtId="0" fontId="25" fillId="0" borderId="0" applyNumberFormat="0" applyFont="0" applyFill="0" applyBorder="0" applyAlignment="0" applyProtection="0">
      <alignment horizontal="left"/>
    </xf>
    <xf numFmtId="0" fontId="26" fillId="0" borderId="9">
      <alignment horizontal="center"/>
    </xf>
    <xf numFmtId="0" fontId="5" fillId="0" borderId="0">
      <alignment vertical="top"/>
    </xf>
    <xf numFmtId="0" fontId="5" fillId="0" borderId="0">
      <alignment vertical="top"/>
    </xf>
    <xf numFmtId="0" fontId="5" fillId="0" borderId="0" applyNumberFormat="0" applyBorder="0" applyAlignment="0"/>
    <xf numFmtId="0" fontId="27" fillId="0" borderId="10" applyNumberFormat="0" applyFill="0" applyAlignment="0" applyProtection="0"/>
    <xf numFmtId="0" fontId="5" fillId="0" borderId="0">
      <alignment vertical="top"/>
    </xf>
    <xf numFmtId="0" fontId="28" fillId="0" borderId="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29" fillId="0" borderId="0"/>
    <xf numFmtId="0" fontId="5" fillId="0" borderId="0">
      <alignment vertical="top"/>
    </xf>
    <xf numFmtId="0" fontId="5" fillId="0" borderId="0">
      <alignment vertical="top"/>
    </xf>
    <xf numFmtId="0" fontId="2" fillId="0" borderId="0"/>
    <xf numFmtId="0" fontId="5" fillId="0" borderId="0"/>
    <xf numFmtId="0" fontId="5" fillId="0" borderId="0"/>
    <xf numFmtId="0" fontId="2" fillId="0" borderId="0"/>
    <xf numFmtId="0" fontId="5" fillId="0" borderId="0">
      <alignment vertical="top"/>
    </xf>
    <xf numFmtId="0" fontId="2" fillId="0" borderId="0">
      <alignment vertical="top"/>
    </xf>
    <xf numFmtId="9" fontId="2"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xf numFmtId="0" fontId="28" fillId="0" borderId="0" applyNumberFormat="0" applyBorder="0" applyAlignment="0"/>
    <xf numFmtId="0" fontId="5" fillId="0" borderId="0" applyNumberFormat="0" applyBorder="0" applyAlignment="0"/>
    <xf numFmtId="0" fontId="1" fillId="0" borderId="0"/>
    <xf numFmtId="43" fontId="2" fillId="0" borderId="0" applyFont="0" applyFill="0" applyBorder="0" applyAlignment="0" applyProtection="0"/>
    <xf numFmtId="44" fontId="32" fillId="0" borderId="0" applyFont="0" applyFill="0" applyBorder="0" applyAlignment="0" applyProtection="0"/>
    <xf numFmtId="44" fontId="31" fillId="0" borderId="0" applyFont="0" applyFill="0" applyBorder="0" applyAlignment="0" applyProtection="0"/>
    <xf numFmtId="0" fontId="30" fillId="0" borderId="0" applyNumberFormat="0" applyFill="0" applyBorder="0" applyAlignment="0" applyProtection="0">
      <alignment vertical="top"/>
      <protection locked="0"/>
    </xf>
    <xf numFmtId="0" fontId="23" fillId="0" borderId="0"/>
    <xf numFmtId="0" fontId="2" fillId="0" borderId="0"/>
    <xf numFmtId="0" fontId="1" fillId="0" borderId="0"/>
    <xf numFmtId="9" fontId="1" fillId="0" borderId="0" applyFont="0" applyFill="0" applyBorder="0" applyAlignment="0" applyProtection="0"/>
    <xf numFmtId="0" fontId="2" fillId="0" borderId="0"/>
    <xf numFmtId="0" fontId="1" fillId="0" borderId="0"/>
    <xf numFmtId="0" fontId="34" fillId="0" borderId="11" applyNumberFormat="0" applyFill="0" applyAlignment="0" applyProtection="0"/>
    <xf numFmtId="0" fontId="35" fillId="0" borderId="12" applyNumberFormat="0" applyFill="0" applyAlignment="0" applyProtection="0"/>
    <xf numFmtId="0" fontId="36" fillId="0" borderId="13" applyNumberFormat="0" applyFill="0" applyAlignment="0" applyProtection="0"/>
    <xf numFmtId="0" fontId="36" fillId="0" borderId="0" applyNumberFormat="0" applyFill="0" applyBorder="0" applyAlignment="0" applyProtection="0"/>
    <xf numFmtId="0" fontId="37" fillId="17" borderId="0" applyNumberFormat="0" applyBorder="0" applyAlignment="0" applyProtection="0"/>
    <xf numFmtId="0" fontId="38" fillId="18" borderId="0" applyNumberFormat="0" applyBorder="0" applyAlignment="0" applyProtection="0"/>
    <xf numFmtId="0" fontId="39" fillId="19" borderId="0" applyNumberFormat="0" applyBorder="0" applyAlignment="0" applyProtection="0"/>
    <xf numFmtId="0" fontId="40" fillId="20" borderId="14" applyNumberFormat="0" applyAlignment="0" applyProtection="0"/>
    <xf numFmtId="0" fontId="41" fillId="21" borderId="15" applyNumberFormat="0" applyAlignment="0" applyProtection="0"/>
    <xf numFmtId="0" fontId="42" fillId="21" borderId="14" applyNumberFormat="0" applyAlignment="0" applyProtection="0"/>
    <xf numFmtId="0" fontId="43" fillId="0" borderId="16" applyNumberFormat="0" applyFill="0" applyAlignment="0" applyProtection="0"/>
    <xf numFmtId="0" fontId="44" fillId="22" borderId="17"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9" applyNumberFormat="0" applyFill="0" applyAlignment="0" applyProtection="0"/>
    <xf numFmtId="0" fontId="4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48" fillId="47" borderId="0" applyNumberFormat="0" applyBorder="0" applyAlignment="0" applyProtection="0"/>
    <xf numFmtId="0" fontId="8" fillId="49"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48"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52" borderId="0" applyNumberFormat="0" applyBorder="0" applyAlignment="0" applyProtection="0"/>
    <xf numFmtId="0" fontId="8" fillId="50" borderId="0" applyNumberFormat="0" applyBorder="0" applyAlignment="0" applyProtection="0"/>
    <xf numFmtId="0" fontId="8" fillId="53" borderId="0" applyNumberFormat="0" applyBorder="0" applyAlignment="0" applyProtection="0"/>
    <xf numFmtId="0" fontId="9" fillId="54" borderId="0" applyNumberFormat="0" applyBorder="0" applyAlignment="0" applyProtection="0"/>
    <xf numFmtId="0" fontId="9" fillId="52" borderId="0" applyNumberFormat="0" applyBorder="0" applyAlignment="0" applyProtection="0"/>
    <xf numFmtId="0" fontId="9" fillId="55"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5" borderId="0" applyNumberFormat="0" applyBorder="0" applyAlignment="0" applyProtection="0"/>
    <xf numFmtId="0" fontId="9" fillId="5" borderId="0" applyNumberFormat="0" applyBorder="0" applyAlignment="0" applyProtection="0"/>
    <xf numFmtId="0" fontId="11" fillId="2" borderId="3" applyNumberFormat="0" applyAlignment="0" applyProtection="0"/>
    <xf numFmtId="0" fontId="50" fillId="58" borderId="20" applyNumberFormat="0" applyAlignment="0" applyProtection="0"/>
    <xf numFmtId="43" fontId="5"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wrapText="1"/>
    </xf>
    <xf numFmtId="43" fontId="2"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44" fontId="1"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alignment wrapText="1"/>
    </xf>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alignment wrapText="1"/>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23" fillId="0" borderId="0"/>
    <xf numFmtId="0" fontId="23" fillId="0" borderId="0"/>
    <xf numFmtId="0" fontId="23" fillId="0" borderId="21"/>
    <xf numFmtId="0" fontId="51" fillId="0" borderId="0" applyNumberFormat="0" applyFill="0" applyBorder="0" applyAlignment="0" applyProtection="0"/>
    <xf numFmtId="0" fontId="2" fillId="0" borderId="0"/>
    <xf numFmtId="0" fontId="58" fillId="0" borderId="22" applyNumberFormat="0" applyFill="0" applyAlignment="0" applyProtection="0"/>
    <xf numFmtId="0" fontId="59" fillId="0" borderId="5" applyNumberFormat="0" applyFill="0" applyAlignment="0" applyProtection="0"/>
    <xf numFmtId="0" fontId="60" fillId="0" borderId="23" applyNumberFormat="0" applyFill="0" applyAlignment="0" applyProtection="0"/>
    <xf numFmtId="0" fontId="60" fillId="0" borderId="0" applyNumberFormat="0" applyFill="0" applyBorder="0" applyAlignment="0" applyProtection="0"/>
    <xf numFmtId="0" fontId="61" fillId="48" borderId="3" applyNumberFormat="0" applyAlignment="0" applyProtection="0"/>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53" fillId="59" borderId="21"/>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63" fillId="0" borderId="0"/>
    <xf numFmtId="0" fontId="1" fillId="0" borderId="0"/>
    <xf numFmtId="0" fontId="8" fillId="0" borderId="0"/>
    <xf numFmtId="0" fontId="2" fillId="0" borderId="0"/>
    <xf numFmtId="0" fontId="1" fillId="0" borderId="0"/>
    <xf numFmtId="0" fontId="1" fillId="0" borderId="0"/>
    <xf numFmtId="0" fontId="6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wrapText="1"/>
    </xf>
    <xf numFmtId="0" fontId="2" fillId="0" borderId="0">
      <alignment wrapText="1"/>
    </xf>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1" fillId="0" borderId="0"/>
    <xf numFmtId="0" fontId="1" fillId="0" borderId="0"/>
    <xf numFmtId="0" fontId="2" fillId="0" borderId="0">
      <alignment wrapText="1"/>
    </xf>
    <xf numFmtId="0" fontId="5" fillId="0" borderId="0"/>
    <xf numFmtId="0" fontId="2" fillId="0" borderId="0">
      <alignment wrapText="1"/>
    </xf>
    <xf numFmtId="0" fontId="5" fillId="0" borderId="0"/>
    <xf numFmtId="0" fontId="2" fillId="0" borderId="0">
      <alignment wrapText="1"/>
    </xf>
    <xf numFmtId="0" fontId="49" fillId="0" borderId="0"/>
    <xf numFmtId="0" fontId="5" fillId="0" borderId="0">
      <alignment vertical="top"/>
    </xf>
    <xf numFmtId="0" fontId="2" fillId="0" borderId="0"/>
    <xf numFmtId="0" fontId="5" fillId="0" borderId="0">
      <alignment vertical="top"/>
    </xf>
    <xf numFmtId="0" fontId="2" fillId="0" borderId="0"/>
    <xf numFmtId="0" fontId="5" fillId="0" borderId="0"/>
    <xf numFmtId="0" fontId="1" fillId="0" borderId="0"/>
    <xf numFmtId="0" fontId="1" fillId="0" borderId="0"/>
    <xf numFmtId="0" fontId="5" fillId="0" borderId="0"/>
    <xf numFmtId="0" fontId="1" fillId="0" borderId="0"/>
    <xf numFmtId="0" fontId="1" fillId="0" borderId="0"/>
    <xf numFmtId="0" fontId="2" fillId="0" borderId="0"/>
    <xf numFmtId="0" fontId="5" fillId="0" borderId="0">
      <alignment vertical="top"/>
    </xf>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5" fillId="0" borderId="0"/>
    <xf numFmtId="0" fontId="5"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2" fillId="0" borderId="0"/>
    <xf numFmtId="0" fontId="8" fillId="16" borderId="8" applyNumberFormat="0" applyFont="0" applyAlignment="0" applyProtection="0"/>
    <xf numFmtId="0" fontId="1" fillId="23" borderId="18" applyNumberFormat="0" applyFont="0" applyAlignment="0" applyProtection="0"/>
    <xf numFmtId="0" fontId="5" fillId="16" borderId="8" applyNumberFormat="0" applyFont="0" applyAlignment="0" applyProtection="0"/>
    <xf numFmtId="0" fontId="65" fillId="61" borderId="2" applyBorder="0">
      <alignment horizontal="centerContinuous"/>
    </xf>
    <xf numFmtId="0" fontId="56" fillId="62" borderId="24" applyBorder="0">
      <alignment horizontal="centerContinuous"/>
    </xf>
    <xf numFmtId="0" fontId="57" fillId="2" borderId="25"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alignment vertical="top"/>
    </xf>
    <xf numFmtId="0" fontId="23" fillId="0" borderId="0"/>
    <xf numFmtId="0" fontId="23" fillId="0" borderId="0"/>
    <xf numFmtId="0" fontId="5" fillId="0" borderId="0">
      <alignment vertical="top"/>
    </xf>
    <xf numFmtId="0" fontId="5" fillId="0" borderId="0">
      <alignment vertical="top"/>
    </xf>
    <xf numFmtId="0" fontId="23" fillId="0" borderId="21"/>
    <xf numFmtId="0" fontId="23" fillId="0" borderId="21"/>
    <xf numFmtId="0" fontId="54" fillId="60" borderId="0"/>
    <xf numFmtId="0" fontId="55" fillId="60" borderId="0"/>
    <xf numFmtId="0" fontId="62" fillId="0" borderId="0" applyNumberFormat="0" applyFill="0" applyBorder="0" applyAlignment="0" applyProtection="0"/>
    <xf numFmtId="0" fontId="27" fillId="0" borderId="26" applyNumberFormat="0" applyFill="0" applyAlignment="0" applyProtection="0"/>
    <xf numFmtId="0" fontId="53" fillId="0" borderId="27"/>
    <xf numFmtId="0" fontId="53" fillId="0" borderId="27"/>
    <xf numFmtId="0" fontId="53" fillId="0" borderId="21"/>
    <xf numFmtId="0" fontId="53" fillId="0" borderId="21"/>
    <xf numFmtId="0" fontId="52" fillId="0" borderId="0" applyNumberFormat="0" applyFill="0" applyBorder="0" applyAlignment="0" applyProtection="0"/>
    <xf numFmtId="0" fontId="2" fillId="0" borderId="0"/>
    <xf numFmtId="0" fontId="66" fillId="0" borderId="0" applyNumberFormat="0" applyFill="0" applyBorder="0" applyAlignment="0" applyProtection="0">
      <alignment vertical="top"/>
      <protection locked="0"/>
    </xf>
    <xf numFmtId="0" fontId="1" fillId="0" borderId="0"/>
    <xf numFmtId="0" fontId="63" fillId="0" borderId="0"/>
    <xf numFmtId="0" fontId="5" fillId="0" borderId="0">
      <alignment vertical="top"/>
    </xf>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1" fillId="0" borderId="0"/>
  </cellStyleXfs>
  <cellXfs count="96">
    <xf numFmtId="0" fontId="0" fillId="0" borderId="0" xfId="0"/>
    <xf numFmtId="0" fontId="3" fillId="0" borderId="0" xfId="4" applyFont="1" applyAlignment="1">
      <alignment horizontal="center"/>
    </xf>
    <xf numFmtId="17" fontId="3" fillId="0" borderId="1" xfId="4" applyNumberFormat="1" applyFont="1" applyBorder="1" applyAlignment="1">
      <alignment horizontal="center"/>
    </xf>
    <xf numFmtId="17" fontId="3" fillId="0" borderId="0" xfId="4" applyNumberFormat="1" applyFont="1" applyAlignment="1">
      <alignment horizontal="center"/>
    </xf>
    <xf numFmtId="43" fontId="2" fillId="0" borderId="0" xfId="1" applyFont="1" applyFill="1" applyBorder="1" applyAlignment="1">
      <alignment horizontal="center"/>
    </xf>
    <xf numFmtId="43" fontId="2" fillId="0" borderId="0" xfId="1" applyFont="1" applyFill="1" applyBorder="1"/>
    <xf numFmtId="0" fontId="3" fillId="0" borderId="0" xfId="4" applyFont="1"/>
    <xf numFmtId="165" fontId="3" fillId="0" borderId="0" xfId="1" applyNumberFormat="1" applyFont="1" applyFill="1" applyBorder="1"/>
    <xf numFmtId="165" fontId="2" fillId="0" borderId="0" xfId="1" applyNumberFormat="1" applyFont="1" applyFill="1" applyBorder="1"/>
    <xf numFmtId="166" fontId="2" fillId="0" borderId="0" xfId="2" applyNumberFormat="1" applyFont="1" applyFill="1" applyBorder="1"/>
    <xf numFmtId="0" fontId="2" fillId="0" borderId="0" xfId="1" applyNumberFormat="1" applyFont="1" applyFill="1"/>
    <xf numFmtId="43" fontId="2" fillId="0" borderId="0" xfId="1" applyFont="1" applyFill="1"/>
    <xf numFmtId="3" fontId="2" fillId="0" borderId="0" xfId="1" applyNumberFormat="1" applyFont="1" applyFill="1"/>
    <xf numFmtId="0" fontId="3" fillId="0" borderId="0" xfId="1" applyNumberFormat="1" applyFont="1" applyFill="1"/>
    <xf numFmtId="43" fontId="3" fillId="0" borderId="0" xfId="1" applyFont="1" applyFill="1"/>
    <xf numFmtId="167" fontId="2" fillId="0" borderId="0" xfId="1" applyNumberFormat="1" applyFont="1" applyFill="1" applyBorder="1"/>
    <xf numFmtId="165" fontId="2" fillId="0" borderId="0" xfId="1" applyNumberFormat="1" applyFont="1" applyFill="1"/>
    <xf numFmtId="44" fontId="2" fillId="0" borderId="0" xfId="2" applyFont="1" applyFill="1" applyBorder="1"/>
    <xf numFmtId="44" fontId="3" fillId="0" borderId="0" xfId="2" applyFont="1" applyFill="1" applyBorder="1"/>
    <xf numFmtId="165" fontId="3" fillId="0" borderId="0" xfId="1" applyNumberFormat="1" applyFont="1" applyFill="1"/>
    <xf numFmtId="4" fontId="3" fillId="0" borderId="0" xfId="1" applyNumberFormat="1" applyFont="1" applyFill="1" applyBorder="1"/>
    <xf numFmtId="165" fontId="2" fillId="0" borderId="0" xfId="1" applyNumberFormat="1" applyFont="1" applyFill="1" applyAlignment="1">
      <alignment horizontal="right"/>
    </xf>
    <xf numFmtId="0" fontId="2" fillId="0" borderId="0" xfId="4"/>
    <xf numFmtId="17" fontId="3" fillId="0" borderId="0" xfId="4" quotePrefix="1" applyNumberFormat="1" applyFont="1" applyAlignment="1">
      <alignment horizontal="center"/>
    </xf>
    <xf numFmtId="0" fontId="6" fillId="0" borderId="0" xfId="4" applyFont="1" applyAlignment="1">
      <alignment horizontal="center"/>
    </xf>
    <xf numFmtId="0" fontId="7" fillId="0" borderId="0" xfId="4" applyFont="1" applyAlignment="1">
      <alignment horizontal="left"/>
    </xf>
    <xf numFmtId="0" fontId="7" fillId="0" borderId="0" xfId="4" applyFont="1"/>
    <xf numFmtId="44" fontId="2" fillId="0" borderId="0" xfId="2" applyFont="1" applyFill="1"/>
    <xf numFmtId="10" fontId="2" fillId="0" borderId="0" xfId="3" applyNumberFormat="1" applyFont="1" applyFill="1" applyAlignment="1">
      <alignment horizontal="right"/>
    </xf>
    <xf numFmtId="0" fontId="6" fillId="0" borderId="0" xfId="4" applyFont="1" applyAlignment="1">
      <alignment horizontal="left"/>
    </xf>
    <xf numFmtId="3" fontId="2" fillId="0" borderId="0" xfId="4" applyNumberFormat="1"/>
    <xf numFmtId="0" fontId="2" fillId="0" borderId="0" xfId="4" applyAlignment="1">
      <alignment horizontal="center"/>
    </xf>
    <xf numFmtId="0" fontId="2" fillId="0" borderId="1" xfId="4" applyBorder="1" applyAlignment="1">
      <alignment horizontal="center"/>
    </xf>
    <xf numFmtId="164" fontId="2" fillId="0" borderId="0" xfId="4" applyNumberFormat="1" applyAlignment="1">
      <alignment horizontal="center"/>
    </xf>
    <xf numFmtId="17" fontId="2" fillId="0" borderId="0" xfId="4" applyNumberFormat="1" applyAlignment="1">
      <alignment horizontal="center"/>
    </xf>
    <xf numFmtId="43" fontId="3" fillId="0" borderId="2" xfId="1" applyFont="1" applyFill="1" applyBorder="1"/>
    <xf numFmtId="166" fontId="2" fillId="0" borderId="0" xfId="2" applyNumberFormat="1" applyFont="1" applyFill="1"/>
    <xf numFmtId="166" fontId="2" fillId="0" borderId="2" xfId="2" applyNumberFormat="1" applyFont="1" applyFill="1" applyBorder="1"/>
    <xf numFmtId="165" fontId="2" fillId="0" borderId="2" xfId="1" applyNumberFormat="1" applyFont="1" applyFill="1" applyBorder="1"/>
    <xf numFmtId="2" fontId="2" fillId="0" borderId="0" xfId="4" applyNumberFormat="1"/>
    <xf numFmtId="166" fontId="3" fillId="0" borderId="2" xfId="2" applyNumberFormat="1" applyFont="1" applyFill="1" applyBorder="1"/>
    <xf numFmtId="165" fontId="3" fillId="0" borderId="2" xfId="1" applyNumberFormat="1" applyFont="1" applyFill="1" applyBorder="1"/>
    <xf numFmtId="165" fontId="3" fillId="0" borderId="0" xfId="1" applyNumberFormat="1" applyFont="1" applyFill="1" applyAlignment="1">
      <alignment horizontal="right"/>
    </xf>
    <xf numFmtId="164" fontId="2" fillId="0" borderId="0" xfId="1" applyNumberFormat="1" applyFont="1" applyFill="1" applyBorder="1" applyAlignment="1">
      <alignment horizontal="center"/>
    </xf>
    <xf numFmtId="43" fontId="2" fillId="0" borderId="0" xfId="4" applyNumberFormat="1"/>
    <xf numFmtId="43" fontId="3" fillId="0" borderId="0" xfId="1" applyFont="1" applyFill="1" applyBorder="1"/>
    <xf numFmtId="44" fontId="2" fillId="0" borderId="0" xfId="4" applyNumberFormat="1"/>
    <xf numFmtId="4" fontId="3" fillId="0" borderId="0" xfId="4" applyNumberFormat="1" applyFont="1"/>
    <xf numFmtId="3" fontId="2" fillId="0" borderId="0" xfId="1" applyNumberFormat="1" applyFont="1" applyFill="1" applyBorder="1"/>
    <xf numFmtId="3" fontId="3" fillId="0" borderId="0" xfId="1" applyNumberFormat="1" applyFont="1" applyFill="1" applyBorder="1"/>
    <xf numFmtId="4" fontId="2" fillId="0" borderId="0" xfId="1" applyNumberFormat="1" applyFont="1" applyFill="1" applyBorder="1"/>
    <xf numFmtId="165" fontId="2" fillId="0" borderId="0" xfId="1" applyNumberFormat="1" applyFont="1" applyFill="1" applyBorder="1" applyAlignment="1">
      <alignment horizontal="right"/>
    </xf>
    <xf numFmtId="39" fontId="2" fillId="0" borderId="0" xfId="1" applyNumberFormat="1" applyFont="1" applyFill="1" applyBorder="1"/>
    <xf numFmtId="39" fontId="2" fillId="0" borderId="0" xfId="4" applyNumberFormat="1"/>
    <xf numFmtId="165" fontId="3" fillId="0" borderId="0" xfId="4" applyNumberFormat="1" applyFont="1"/>
    <xf numFmtId="165" fontId="2" fillId="0" borderId="0" xfId="4" applyNumberFormat="1"/>
    <xf numFmtId="10" fontId="2" fillId="0" borderId="0" xfId="3" applyNumberFormat="1" applyFont="1" applyFill="1" applyBorder="1"/>
    <xf numFmtId="43" fontId="3" fillId="0" borderId="0" xfId="4" applyNumberFormat="1" applyFont="1"/>
    <xf numFmtId="165" fontId="2" fillId="0" borderId="0" xfId="2" applyNumberFormat="1" applyFont="1" applyFill="1"/>
    <xf numFmtId="166" fontId="3" fillId="0" borderId="0" xfId="2" applyNumberFormat="1" applyFont="1" applyFill="1"/>
    <xf numFmtId="166" fontId="3" fillId="0" borderId="0" xfId="2" applyNumberFormat="1" applyFont="1" applyFill="1" applyBorder="1"/>
    <xf numFmtId="0" fontId="67" fillId="0" borderId="0" xfId="30" applyNumberFormat="1" applyFont="1" applyBorder="1"/>
    <xf numFmtId="0" fontId="2" fillId="0" borderId="0" xfId="4" applyAlignment="1">
      <alignment horizontal="right" wrapText="1"/>
    </xf>
    <xf numFmtId="0" fontId="2" fillId="0" borderId="0" xfId="1" applyNumberFormat="1" applyFont="1" applyFill="1" applyBorder="1" applyAlignment="1">
      <alignment horizontal="right"/>
    </xf>
    <xf numFmtId="0" fontId="2" fillId="0" borderId="0" xfId="1" applyNumberFormat="1" applyFont="1" applyFill="1" applyBorder="1"/>
    <xf numFmtId="43" fontId="2" fillId="63" borderId="0" xfId="1" applyFont="1" applyFill="1"/>
    <xf numFmtId="8" fontId="2" fillId="63" borderId="0" xfId="2" applyNumberFormat="1" applyFont="1" applyFill="1"/>
    <xf numFmtId="165" fontId="2" fillId="63" borderId="0" xfId="1" applyNumberFormat="1" applyFont="1" applyFill="1"/>
    <xf numFmtId="0" fontId="68" fillId="0" borderId="0" xfId="4" applyFont="1"/>
    <xf numFmtId="44" fontId="2" fillId="63" borderId="0" xfId="2" applyFont="1" applyFill="1"/>
    <xf numFmtId="43" fontId="2" fillId="63" borderId="0" xfId="1" applyFont="1" applyFill="1" applyBorder="1"/>
    <xf numFmtId="0" fontId="67" fillId="0" borderId="0" xfId="30" applyNumberFormat="1" applyFont="1"/>
    <xf numFmtId="166" fontId="2" fillId="0" borderId="1" xfId="2" applyNumberFormat="1" applyFont="1" applyFill="1" applyBorder="1"/>
    <xf numFmtId="0" fontId="2" fillId="0" borderId="0" xfId="1" applyNumberFormat="1" applyFont="1" applyFill="1" applyAlignment="1">
      <alignment horizontal="right"/>
    </xf>
    <xf numFmtId="166" fontId="2" fillId="0" borderId="0" xfId="2" applyNumberFormat="1" applyFont="1" applyFill="1" applyAlignment="1">
      <alignment horizontal="right"/>
    </xf>
    <xf numFmtId="44" fontId="2" fillId="0" borderId="28" xfId="4" applyNumberFormat="1" applyBorder="1"/>
    <xf numFmtId="44" fontId="2" fillId="0" borderId="1" xfId="4" applyNumberFormat="1" applyBorder="1"/>
    <xf numFmtId="44" fontId="2" fillId="0" borderId="0" xfId="2" applyFont="1" applyFill="1" applyAlignment="1">
      <alignment horizontal="right"/>
    </xf>
    <xf numFmtId="0" fontId="71" fillId="0" borderId="0" xfId="4" applyFont="1"/>
    <xf numFmtId="7" fontId="2" fillId="63" borderId="0" xfId="2" applyNumberFormat="1" applyFont="1" applyFill="1"/>
    <xf numFmtId="44" fontId="3" fillId="0" borderId="28" xfId="2" applyFont="1" applyFill="1" applyBorder="1"/>
    <xf numFmtId="44" fontId="2" fillId="0" borderId="1" xfId="2" applyFont="1" applyFill="1" applyBorder="1"/>
    <xf numFmtId="9" fontId="2" fillId="0" borderId="0" xfId="3" applyFont="1" applyFill="1" applyBorder="1"/>
    <xf numFmtId="44" fontId="3" fillId="0" borderId="0" xfId="2" applyFont="1" applyFill="1"/>
    <xf numFmtId="10" fontId="2" fillId="0" borderId="0" xfId="3" applyNumberFormat="1" applyFont="1" applyFill="1" applyAlignment="1">
      <alignment horizontal="left"/>
    </xf>
    <xf numFmtId="165" fontId="2" fillId="0" borderId="0" xfId="1" applyNumberFormat="1" applyFont="1" applyFill="1" applyAlignment="1">
      <alignment horizontal="left"/>
    </xf>
    <xf numFmtId="8" fontId="2" fillId="0" borderId="0" xfId="2" applyNumberFormat="1" applyFont="1" applyFill="1"/>
    <xf numFmtId="43" fontId="72" fillId="64" borderId="0" xfId="1" applyFont="1" applyFill="1" applyBorder="1"/>
    <xf numFmtId="44" fontId="2" fillId="63" borderId="0" xfId="2" applyFont="1" applyFill="1" applyBorder="1"/>
    <xf numFmtId="43" fontId="2" fillId="0" borderId="0" xfId="1" applyFont="1" applyFill="1" applyAlignment="1">
      <alignment horizontal="right"/>
    </xf>
    <xf numFmtId="44" fontId="3" fillId="0" borderId="0" xfId="4" applyNumberFormat="1" applyFont="1"/>
    <xf numFmtId="43" fontId="3" fillId="65" borderId="2" xfId="1" applyFont="1" applyFill="1" applyBorder="1"/>
    <xf numFmtId="166" fontId="3" fillId="0" borderId="29" xfId="2" applyNumberFormat="1" applyFont="1" applyFill="1" applyBorder="1"/>
    <xf numFmtId="44" fontId="2" fillId="66" borderId="0" xfId="2" applyFont="1" applyFill="1"/>
    <xf numFmtId="43" fontId="72" fillId="63" borderId="0" xfId="1" applyFont="1" applyFill="1" applyBorder="1"/>
    <xf numFmtId="165" fontId="68" fillId="64" borderId="0" xfId="1" applyNumberFormat="1" applyFont="1" applyFill="1" applyBorder="1"/>
  </cellXfs>
  <cellStyles count="1539">
    <cellStyle name="20% - Accent1" xfId="185" builtinId="30" customBuiltin="1"/>
    <cellStyle name="20% - Accent1 2" xfId="5" xr:uid="{00000000-0005-0000-0000-000001000000}"/>
    <cellStyle name="20% - Accent1 3" xfId="208" xr:uid="{00000000-0005-0000-0000-000002000000}"/>
    <cellStyle name="20% - Accent2" xfId="189" builtinId="34" customBuiltin="1"/>
    <cellStyle name="20% - Accent2 2" xfId="209" xr:uid="{00000000-0005-0000-0000-000004000000}"/>
    <cellStyle name="20% - Accent3" xfId="193" builtinId="38" customBuiltin="1"/>
    <cellStyle name="20% - Accent3 2" xfId="210" xr:uid="{00000000-0005-0000-0000-000006000000}"/>
    <cellStyle name="20% - Accent4" xfId="197" builtinId="42" customBuiltin="1"/>
    <cellStyle name="20% - Accent4 2" xfId="6" xr:uid="{00000000-0005-0000-0000-000008000000}"/>
    <cellStyle name="20% - Accent4 3" xfId="211" xr:uid="{00000000-0005-0000-0000-000009000000}"/>
    <cellStyle name="20% - Accent5" xfId="201" builtinId="46" customBuiltin="1"/>
    <cellStyle name="20% - Accent5 2" xfId="212" xr:uid="{00000000-0005-0000-0000-00000B000000}"/>
    <cellStyle name="20% - Accent6" xfId="205" builtinId="50" customBuiltin="1"/>
    <cellStyle name="20% - Accent6 2" xfId="213" xr:uid="{00000000-0005-0000-0000-00000D000000}"/>
    <cellStyle name="40% - Accent1" xfId="186" builtinId="31" customBuiltin="1"/>
    <cellStyle name="40% - Accent1 2" xfId="7" xr:uid="{00000000-0005-0000-0000-00000F000000}"/>
    <cellStyle name="40% - Accent1 3" xfId="214" xr:uid="{00000000-0005-0000-0000-000010000000}"/>
    <cellStyle name="40% - Accent2" xfId="190" builtinId="35" customBuiltin="1"/>
    <cellStyle name="40% - Accent2 2" xfId="215" xr:uid="{00000000-0005-0000-0000-000012000000}"/>
    <cellStyle name="40% - Accent3" xfId="194" builtinId="39" customBuiltin="1"/>
    <cellStyle name="40% - Accent3 2" xfId="216" xr:uid="{00000000-0005-0000-0000-000014000000}"/>
    <cellStyle name="40% - Accent4" xfId="198" builtinId="43" customBuiltin="1"/>
    <cellStyle name="40% - Accent4 2" xfId="8" xr:uid="{00000000-0005-0000-0000-000016000000}"/>
    <cellStyle name="40% - Accent4 3" xfId="217" xr:uid="{00000000-0005-0000-0000-000017000000}"/>
    <cellStyle name="40% - Accent5" xfId="202" builtinId="47" customBuiltin="1"/>
    <cellStyle name="40% - Accent5 2" xfId="9" xr:uid="{00000000-0005-0000-0000-000019000000}"/>
    <cellStyle name="40% - Accent6" xfId="206" builtinId="51" customBuiltin="1"/>
    <cellStyle name="40% - Accent6 2" xfId="10" xr:uid="{00000000-0005-0000-0000-00001B000000}"/>
    <cellStyle name="40% - Accent6 3" xfId="218" xr:uid="{00000000-0005-0000-0000-00001C000000}"/>
    <cellStyle name="60% - Accent1" xfId="187" builtinId="32" customBuiltin="1"/>
    <cellStyle name="60% - Accent1 2" xfId="11" xr:uid="{00000000-0005-0000-0000-00001E000000}"/>
    <cellStyle name="60% - Accent1 3" xfId="219" xr:uid="{00000000-0005-0000-0000-00001F000000}"/>
    <cellStyle name="60% - Accent2" xfId="191" builtinId="36" customBuiltin="1"/>
    <cellStyle name="60% - Accent2 2" xfId="12" xr:uid="{00000000-0005-0000-0000-000021000000}"/>
    <cellStyle name="60% - Accent3" xfId="195" builtinId="40" customBuiltin="1"/>
    <cellStyle name="60% - Accent3 2" xfId="13" xr:uid="{00000000-0005-0000-0000-000023000000}"/>
    <cellStyle name="60% - Accent3 3" xfId="220" xr:uid="{00000000-0005-0000-0000-000024000000}"/>
    <cellStyle name="60% - Accent4" xfId="199" builtinId="44" customBuiltin="1"/>
    <cellStyle name="60% - Accent4 2" xfId="14" xr:uid="{00000000-0005-0000-0000-000026000000}"/>
    <cellStyle name="60% - Accent4 3" xfId="221" xr:uid="{00000000-0005-0000-0000-000027000000}"/>
    <cellStyle name="60% - Accent5" xfId="203" builtinId="48" customBuiltin="1"/>
    <cellStyle name="60% - Accent5 2" xfId="15" xr:uid="{00000000-0005-0000-0000-000029000000}"/>
    <cellStyle name="60% - Accent6" xfId="207" builtinId="52" customBuiltin="1"/>
    <cellStyle name="60% - Accent6 2" xfId="222" xr:uid="{00000000-0005-0000-0000-00002B000000}"/>
    <cellStyle name="Accent1" xfId="184" builtinId="29" customBuiltin="1"/>
    <cellStyle name="Accent1 2" xfId="16" xr:uid="{00000000-0005-0000-0000-00002D000000}"/>
    <cellStyle name="Accent1 3" xfId="223" xr:uid="{00000000-0005-0000-0000-00002E000000}"/>
    <cellStyle name="Accent2" xfId="188" builtinId="33" customBuiltin="1"/>
    <cellStyle name="Accent2 2" xfId="17" xr:uid="{00000000-0005-0000-0000-000030000000}"/>
    <cellStyle name="Accent3" xfId="192" builtinId="37" customBuiltin="1"/>
    <cellStyle name="Accent3 2" xfId="18" xr:uid="{00000000-0005-0000-0000-000032000000}"/>
    <cellStyle name="Accent4" xfId="196" builtinId="41" customBuiltin="1"/>
    <cellStyle name="Accent4 2" xfId="224" xr:uid="{00000000-0005-0000-0000-000034000000}"/>
    <cellStyle name="Accent5" xfId="200" builtinId="45" customBuiltin="1"/>
    <cellStyle name="Accent5 2" xfId="225" xr:uid="{00000000-0005-0000-0000-000036000000}"/>
    <cellStyle name="Accent6" xfId="204" builtinId="49" customBuiltin="1"/>
    <cellStyle name="Accent6 2" xfId="19" xr:uid="{00000000-0005-0000-0000-000038000000}"/>
    <cellStyle name="Accounting" xfId="20" xr:uid="{00000000-0005-0000-0000-000039000000}"/>
    <cellStyle name="Accounting 2" xfId="21" xr:uid="{00000000-0005-0000-0000-00003A000000}"/>
    <cellStyle name="Accounting 3" xfId="22" xr:uid="{00000000-0005-0000-0000-00003B000000}"/>
    <cellStyle name="Accounting_Thurston" xfId="23" xr:uid="{00000000-0005-0000-0000-00003C000000}"/>
    <cellStyle name="Bad" xfId="174" builtinId="27" customBuiltin="1"/>
    <cellStyle name="Bad 2" xfId="24" xr:uid="{00000000-0005-0000-0000-00003E000000}"/>
    <cellStyle name="Budget" xfId="25" xr:uid="{00000000-0005-0000-0000-00003F000000}"/>
    <cellStyle name="Budget 2" xfId="26" xr:uid="{00000000-0005-0000-0000-000040000000}"/>
    <cellStyle name="Budget 3" xfId="27" xr:uid="{00000000-0005-0000-0000-000041000000}"/>
    <cellStyle name="Budget_Thurston" xfId="28" xr:uid="{00000000-0005-0000-0000-000042000000}"/>
    <cellStyle name="Calculation" xfId="178" builtinId="22" customBuiltin="1"/>
    <cellStyle name="Calculation 2" xfId="29" xr:uid="{00000000-0005-0000-0000-000044000000}"/>
    <cellStyle name="Calculation 3" xfId="226" xr:uid="{00000000-0005-0000-0000-000045000000}"/>
    <cellStyle name="Check Cell" xfId="180" builtinId="23" customBuiltin="1"/>
    <cellStyle name="Check Cell 2" xfId="227" xr:uid="{00000000-0005-0000-0000-000047000000}"/>
    <cellStyle name="Comma" xfId="1" builtinId="3"/>
    <cellStyle name="Comma 10" xfId="30" xr:uid="{00000000-0005-0000-0000-000049000000}"/>
    <cellStyle name="Comma 11" xfId="31" xr:uid="{00000000-0005-0000-0000-00004A000000}"/>
    <cellStyle name="Comma 12" xfId="32" xr:uid="{00000000-0005-0000-0000-00004B000000}"/>
    <cellStyle name="Comma 13" xfId="33" xr:uid="{00000000-0005-0000-0000-00004C000000}"/>
    <cellStyle name="Comma 14" xfId="34" xr:uid="{00000000-0005-0000-0000-00004D000000}"/>
    <cellStyle name="Comma 15" xfId="35" xr:uid="{00000000-0005-0000-0000-00004E000000}"/>
    <cellStyle name="Comma 16" xfId="36" xr:uid="{00000000-0005-0000-0000-00004F000000}"/>
    <cellStyle name="Comma 17" xfId="131" xr:uid="{00000000-0005-0000-0000-000050000000}"/>
    <cellStyle name="Comma 17 2" xfId="228" xr:uid="{00000000-0005-0000-0000-000051000000}"/>
    <cellStyle name="Comma 17 3" xfId="229" xr:uid="{00000000-0005-0000-0000-000052000000}"/>
    <cellStyle name="Comma 17 4" xfId="230" xr:uid="{00000000-0005-0000-0000-000053000000}"/>
    <cellStyle name="Comma 18" xfId="231" xr:uid="{00000000-0005-0000-0000-000054000000}"/>
    <cellStyle name="Comma 18 2" xfId="232" xr:uid="{00000000-0005-0000-0000-000055000000}"/>
    <cellStyle name="Comma 18 3" xfId="233" xr:uid="{00000000-0005-0000-0000-000056000000}"/>
    <cellStyle name="Comma 19" xfId="234" xr:uid="{00000000-0005-0000-0000-000057000000}"/>
    <cellStyle name="Comma 19 2" xfId="235" xr:uid="{00000000-0005-0000-0000-000058000000}"/>
    <cellStyle name="Comma 2" xfId="37" xr:uid="{00000000-0005-0000-0000-000059000000}"/>
    <cellStyle name="Comma 2 2" xfId="38" xr:uid="{00000000-0005-0000-0000-00005A000000}"/>
    <cellStyle name="Comma 2 2 2" xfId="236" xr:uid="{00000000-0005-0000-0000-00005B000000}"/>
    <cellStyle name="Comma 2 2 3" xfId="237" xr:uid="{00000000-0005-0000-0000-00005C000000}"/>
    <cellStyle name="Comma 2 3" xfId="39" xr:uid="{00000000-0005-0000-0000-00005D000000}"/>
    <cellStyle name="Comma 2 3 2" xfId="238" xr:uid="{00000000-0005-0000-0000-00005E000000}"/>
    <cellStyle name="Comma 2 4" xfId="159" xr:uid="{00000000-0005-0000-0000-00005F000000}"/>
    <cellStyle name="Comma 3" xfId="40" xr:uid="{00000000-0005-0000-0000-000060000000}"/>
    <cellStyle name="Comma 3 2" xfId="41" xr:uid="{00000000-0005-0000-0000-000061000000}"/>
    <cellStyle name="Comma 3 2 2" xfId="42" xr:uid="{00000000-0005-0000-0000-000062000000}"/>
    <cellStyle name="Comma 3 3" xfId="43" xr:uid="{00000000-0005-0000-0000-000063000000}"/>
    <cellStyle name="Comma 3 3 2" xfId="239" xr:uid="{00000000-0005-0000-0000-000064000000}"/>
    <cellStyle name="Comma 4" xfId="44" xr:uid="{00000000-0005-0000-0000-000065000000}"/>
    <cellStyle name="Comma 4 2" xfId="45" xr:uid="{00000000-0005-0000-0000-000066000000}"/>
    <cellStyle name="Comma 4 2 2" xfId="132" xr:uid="{00000000-0005-0000-0000-000067000000}"/>
    <cellStyle name="Comma 4 2 2 2" xfId="240" xr:uid="{00000000-0005-0000-0000-000068000000}"/>
    <cellStyle name="Comma 4 2 3" xfId="241" xr:uid="{00000000-0005-0000-0000-000069000000}"/>
    <cellStyle name="Comma 4 2 3 2" xfId="242" xr:uid="{00000000-0005-0000-0000-00006A000000}"/>
    <cellStyle name="Comma 4 2 3 3" xfId="243" xr:uid="{00000000-0005-0000-0000-00006B000000}"/>
    <cellStyle name="Comma 4 2 4" xfId="244" xr:uid="{00000000-0005-0000-0000-00006C000000}"/>
    <cellStyle name="Comma 4 2 4 2" xfId="245" xr:uid="{00000000-0005-0000-0000-00006D000000}"/>
    <cellStyle name="Comma 4 2 4 3" xfId="246" xr:uid="{00000000-0005-0000-0000-00006E000000}"/>
    <cellStyle name="Comma 4 2 5" xfId="247" xr:uid="{00000000-0005-0000-0000-00006F000000}"/>
    <cellStyle name="Comma 4 2 5 2" xfId="248" xr:uid="{00000000-0005-0000-0000-000070000000}"/>
    <cellStyle name="Comma 4 2 5 3" xfId="249" xr:uid="{00000000-0005-0000-0000-000071000000}"/>
    <cellStyle name="Comma 4 2 6" xfId="250" xr:uid="{00000000-0005-0000-0000-000072000000}"/>
    <cellStyle name="Comma 4 2 6 2" xfId="251" xr:uid="{00000000-0005-0000-0000-000073000000}"/>
    <cellStyle name="Comma 4 2 6 3" xfId="252" xr:uid="{00000000-0005-0000-0000-000074000000}"/>
    <cellStyle name="Comma 4 2 7" xfId="253" xr:uid="{00000000-0005-0000-0000-000075000000}"/>
    <cellStyle name="Comma 4 2 7 2" xfId="254" xr:uid="{00000000-0005-0000-0000-000076000000}"/>
    <cellStyle name="Comma 4 2 7 3" xfId="255" xr:uid="{00000000-0005-0000-0000-000077000000}"/>
    <cellStyle name="Comma 4 2 8" xfId="256" xr:uid="{00000000-0005-0000-0000-000078000000}"/>
    <cellStyle name="Comma 4 3" xfId="46" xr:uid="{00000000-0005-0000-0000-000079000000}"/>
    <cellStyle name="Comma 4 3 2" xfId="257" xr:uid="{00000000-0005-0000-0000-00007A000000}"/>
    <cellStyle name="Comma 4 3 2 2" xfId="258" xr:uid="{00000000-0005-0000-0000-00007B000000}"/>
    <cellStyle name="Comma 4 3 3" xfId="259" xr:uid="{00000000-0005-0000-0000-00007C000000}"/>
    <cellStyle name="Comma 4 3 3 2" xfId="260" xr:uid="{00000000-0005-0000-0000-00007D000000}"/>
    <cellStyle name="Comma 4 3 3 3" xfId="261" xr:uid="{00000000-0005-0000-0000-00007E000000}"/>
    <cellStyle name="Comma 4 3 4" xfId="262" xr:uid="{00000000-0005-0000-0000-00007F000000}"/>
    <cellStyle name="Comma 4 3 4 2" xfId="263" xr:uid="{00000000-0005-0000-0000-000080000000}"/>
    <cellStyle name="Comma 4 3 4 3" xfId="264" xr:uid="{00000000-0005-0000-0000-000081000000}"/>
    <cellStyle name="Comma 4 3 5" xfId="265" xr:uid="{00000000-0005-0000-0000-000082000000}"/>
    <cellStyle name="Comma 4 4" xfId="47" xr:uid="{00000000-0005-0000-0000-000083000000}"/>
    <cellStyle name="Comma 4 4 2" xfId="266" xr:uid="{00000000-0005-0000-0000-000084000000}"/>
    <cellStyle name="Comma 4 4 2 2" xfId="267" xr:uid="{00000000-0005-0000-0000-000085000000}"/>
    <cellStyle name="Comma 4 4 3" xfId="268" xr:uid="{00000000-0005-0000-0000-000086000000}"/>
    <cellStyle name="Comma 4 4 3 2" xfId="269" xr:uid="{00000000-0005-0000-0000-000087000000}"/>
    <cellStyle name="Comma 4 4 3 3" xfId="270" xr:uid="{00000000-0005-0000-0000-000088000000}"/>
    <cellStyle name="Comma 4 4 4" xfId="271" xr:uid="{00000000-0005-0000-0000-000089000000}"/>
    <cellStyle name="Comma 4 4 4 2" xfId="272" xr:uid="{00000000-0005-0000-0000-00008A000000}"/>
    <cellStyle name="Comma 4 4 4 3" xfId="273" xr:uid="{00000000-0005-0000-0000-00008B000000}"/>
    <cellStyle name="Comma 4 4 5" xfId="274" xr:uid="{00000000-0005-0000-0000-00008C000000}"/>
    <cellStyle name="Comma 4 5" xfId="48" xr:uid="{00000000-0005-0000-0000-00008D000000}"/>
    <cellStyle name="Comma 4 5 2" xfId="275" xr:uid="{00000000-0005-0000-0000-00008E000000}"/>
    <cellStyle name="Comma 4 6" xfId="276" xr:uid="{00000000-0005-0000-0000-00008F000000}"/>
    <cellStyle name="Comma 4 6 2" xfId="277" xr:uid="{00000000-0005-0000-0000-000090000000}"/>
    <cellStyle name="Comma 4 6 3" xfId="278" xr:uid="{00000000-0005-0000-0000-000091000000}"/>
    <cellStyle name="Comma 4 7" xfId="279" xr:uid="{00000000-0005-0000-0000-000092000000}"/>
    <cellStyle name="Comma 4 8" xfId="280" xr:uid="{00000000-0005-0000-0000-000093000000}"/>
    <cellStyle name="Comma 5" xfId="49" xr:uid="{00000000-0005-0000-0000-000094000000}"/>
    <cellStyle name="Comma 5 2" xfId="133" xr:uid="{00000000-0005-0000-0000-000095000000}"/>
    <cellStyle name="Comma 5 2 2" xfId="281" xr:uid="{00000000-0005-0000-0000-000096000000}"/>
    <cellStyle name="Comma 5 3" xfId="282" xr:uid="{00000000-0005-0000-0000-000097000000}"/>
    <cellStyle name="Comma 5 3 2" xfId="283" xr:uid="{00000000-0005-0000-0000-000098000000}"/>
    <cellStyle name="Comma 5 3 3" xfId="284" xr:uid="{00000000-0005-0000-0000-000099000000}"/>
    <cellStyle name="Comma 5 4" xfId="285" xr:uid="{00000000-0005-0000-0000-00009A000000}"/>
    <cellStyle name="Comma 5 4 2" xfId="286" xr:uid="{00000000-0005-0000-0000-00009B000000}"/>
    <cellStyle name="Comma 5 4 3" xfId="287" xr:uid="{00000000-0005-0000-0000-00009C000000}"/>
    <cellStyle name="Comma 5 5" xfId="288" xr:uid="{00000000-0005-0000-0000-00009D000000}"/>
    <cellStyle name="Comma 6" xfId="50" xr:uid="{00000000-0005-0000-0000-00009E000000}"/>
    <cellStyle name="Comma 6 2" xfId="289" xr:uid="{00000000-0005-0000-0000-00009F000000}"/>
    <cellStyle name="Comma 6 3" xfId="290" xr:uid="{00000000-0005-0000-0000-0000A0000000}"/>
    <cellStyle name="Comma 6 3 2" xfId="291" xr:uid="{00000000-0005-0000-0000-0000A1000000}"/>
    <cellStyle name="Comma 6 3 3" xfId="292" xr:uid="{00000000-0005-0000-0000-0000A2000000}"/>
    <cellStyle name="Comma 6 4" xfId="293" xr:uid="{00000000-0005-0000-0000-0000A3000000}"/>
    <cellStyle name="Comma 6 4 2" xfId="294" xr:uid="{00000000-0005-0000-0000-0000A4000000}"/>
    <cellStyle name="Comma 6 4 3" xfId="295" xr:uid="{00000000-0005-0000-0000-0000A5000000}"/>
    <cellStyle name="Comma 6 5" xfId="296" xr:uid="{00000000-0005-0000-0000-0000A6000000}"/>
    <cellStyle name="Comma 6 5 2" xfId="297" xr:uid="{00000000-0005-0000-0000-0000A7000000}"/>
    <cellStyle name="Comma 6 5 3" xfId="298" xr:uid="{00000000-0005-0000-0000-0000A8000000}"/>
    <cellStyle name="Comma 6 6" xfId="299" xr:uid="{00000000-0005-0000-0000-0000A9000000}"/>
    <cellStyle name="Comma 7" xfId="51" xr:uid="{00000000-0005-0000-0000-0000AA000000}"/>
    <cellStyle name="Comma 7 2" xfId="300" xr:uid="{00000000-0005-0000-0000-0000AB000000}"/>
    <cellStyle name="Comma 8" xfId="52" xr:uid="{00000000-0005-0000-0000-0000AC000000}"/>
    <cellStyle name="Comma 9" xfId="53" xr:uid="{00000000-0005-0000-0000-0000AD000000}"/>
    <cellStyle name="Comma(2)" xfId="54" xr:uid="{00000000-0005-0000-0000-0000AE000000}"/>
    <cellStyle name="Comma(2) 2" xfId="301" xr:uid="{00000000-0005-0000-0000-0000AF000000}"/>
    <cellStyle name="Comma0 - Style2" xfId="55" xr:uid="{00000000-0005-0000-0000-0000B0000000}"/>
    <cellStyle name="Comma1 - Style1" xfId="56" xr:uid="{00000000-0005-0000-0000-0000B1000000}"/>
    <cellStyle name="Comments" xfId="57" xr:uid="{00000000-0005-0000-0000-0000B2000000}"/>
    <cellStyle name="Currency" xfId="2" builtinId="4"/>
    <cellStyle name="Currency 10" xfId="302" xr:uid="{00000000-0005-0000-0000-0000B4000000}"/>
    <cellStyle name="Currency 10 2" xfId="303" xr:uid="{00000000-0005-0000-0000-0000B5000000}"/>
    <cellStyle name="Currency 2" xfId="58" xr:uid="{00000000-0005-0000-0000-0000B6000000}"/>
    <cellStyle name="Currency 2 2" xfId="59" xr:uid="{00000000-0005-0000-0000-0000B7000000}"/>
    <cellStyle name="Currency 2 2 2" xfId="304" xr:uid="{00000000-0005-0000-0000-0000B8000000}"/>
    <cellStyle name="Currency 2 3" xfId="160" xr:uid="{00000000-0005-0000-0000-0000B9000000}"/>
    <cellStyle name="Currency 2 3 2" xfId="305" xr:uid="{00000000-0005-0000-0000-0000BA000000}"/>
    <cellStyle name="Currency 2 4" xfId="306" xr:uid="{00000000-0005-0000-0000-0000BB000000}"/>
    <cellStyle name="Currency 2 4 2" xfId="307" xr:uid="{00000000-0005-0000-0000-0000BC000000}"/>
    <cellStyle name="Currency 2 5" xfId="308" xr:uid="{00000000-0005-0000-0000-0000BD000000}"/>
    <cellStyle name="Currency 3" xfId="60" xr:uid="{00000000-0005-0000-0000-0000BE000000}"/>
    <cellStyle name="Currency 3 2" xfId="134" xr:uid="{00000000-0005-0000-0000-0000BF000000}"/>
    <cellStyle name="Currency 3 2 2" xfId="309" xr:uid="{00000000-0005-0000-0000-0000C0000000}"/>
    <cellStyle name="Currency 3 2 2 2" xfId="310" xr:uid="{00000000-0005-0000-0000-0000C1000000}"/>
    <cellStyle name="Currency 3 2 2 2 2" xfId="311" xr:uid="{00000000-0005-0000-0000-0000C2000000}"/>
    <cellStyle name="Currency 3 2 2 2 3" xfId="312" xr:uid="{00000000-0005-0000-0000-0000C3000000}"/>
    <cellStyle name="Currency 3 2 2 3" xfId="313" xr:uid="{00000000-0005-0000-0000-0000C4000000}"/>
    <cellStyle name="Currency 3 2 2 3 2" xfId="314" xr:uid="{00000000-0005-0000-0000-0000C5000000}"/>
    <cellStyle name="Currency 3 2 2 3 3" xfId="315" xr:uid="{00000000-0005-0000-0000-0000C6000000}"/>
    <cellStyle name="Currency 3 2 2 4" xfId="316" xr:uid="{00000000-0005-0000-0000-0000C7000000}"/>
    <cellStyle name="Currency 3 2 2 5" xfId="317" xr:uid="{00000000-0005-0000-0000-0000C8000000}"/>
    <cellStyle name="Currency 3 2 3" xfId="318" xr:uid="{00000000-0005-0000-0000-0000C9000000}"/>
    <cellStyle name="Currency 3 2 3 2" xfId="319" xr:uid="{00000000-0005-0000-0000-0000CA000000}"/>
    <cellStyle name="Currency 3 2 3 3" xfId="320" xr:uid="{00000000-0005-0000-0000-0000CB000000}"/>
    <cellStyle name="Currency 3 2 4" xfId="321" xr:uid="{00000000-0005-0000-0000-0000CC000000}"/>
    <cellStyle name="Currency 3 2 4 2" xfId="322" xr:uid="{00000000-0005-0000-0000-0000CD000000}"/>
    <cellStyle name="Currency 3 2 4 3" xfId="323" xr:uid="{00000000-0005-0000-0000-0000CE000000}"/>
    <cellStyle name="Currency 3 2 5" xfId="324" xr:uid="{00000000-0005-0000-0000-0000CF000000}"/>
    <cellStyle name="Currency 3 2 6" xfId="325" xr:uid="{00000000-0005-0000-0000-0000D0000000}"/>
    <cellStyle name="Currency 3 3" xfId="161" xr:uid="{00000000-0005-0000-0000-0000D1000000}"/>
    <cellStyle name="Currency 3 3 2" xfId="326" xr:uid="{00000000-0005-0000-0000-0000D2000000}"/>
    <cellStyle name="Currency 3 3 2 2" xfId="327" xr:uid="{00000000-0005-0000-0000-0000D3000000}"/>
    <cellStyle name="Currency 3 3 2 3" xfId="328" xr:uid="{00000000-0005-0000-0000-0000D4000000}"/>
    <cellStyle name="Currency 3 3 3" xfId="329" xr:uid="{00000000-0005-0000-0000-0000D5000000}"/>
    <cellStyle name="Currency 3 3 3 2" xfId="330" xr:uid="{00000000-0005-0000-0000-0000D6000000}"/>
    <cellStyle name="Currency 3 3 3 3" xfId="331" xr:uid="{00000000-0005-0000-0000-0000D7000000}"/>
    <cellStyle name="Currency 3 3 4" xfId="332" xr:uid="{00000000-0005-0000-0000-0000D8000000}"/>
    <cellStyle name="Currency 3 3 5" xfId="333" xr:uid="{00000000-0005-0000-0000-0000D9000000}"/>
    <cellStyle name="Currency 3 4" xfId="334" xr:uid="{00000000-0005-0000-0000-0000DA000000}"/>
    <cellStyle name="Currency 3 4 2" xfId="335" xr:uid="{00000000-0005-0000-0000-0000DB000000}"/>
    <cellStyle name="Currency 3 5" xfId="336" xr:uid="{00000000-0005-0000-0000-0000DC000000}"/>
    <cellStyle name="Currency 3 6" xfId="337" xr:uid="{00000000-0005-0000-0000-0000DD000000}"/>
    <cellStyle name="Currency 3 7" xfId="338" xr:uid="{00000000-0005-0000-0000-0000DE000000}"/>
    <cellStyle name="Currency 4" xfId="61" xr:uid="{00000000-0005-0000-0000-0000DF000000}"/>
    <cellStyle name="Currency 4 2" xfId="135" xr:uid="{00000000-0005-0000-0000-0000E0000000}"/>
    <cellStyle name="Currency 4 3" xfId="339" xr:uid="{00000000-0005-0000-0000-0000E1000000}"/>
    <cellStyle name="Currency 4 3 2" xfId="340" xr:uid="{00000000-0005-0000-0000-0000E2000000}"/>
    <cellStyle name="Currency 5" xfId="62" xr:uid="{00000000-0005-0000-0000-0000E3000000}"/>
    <cellStyle name="Currency 5 2" xfId="136" xr:uid="{00000000-0005-0000-0000-0000E4000000}"/>
    <cellStyle name="Currency 5 2 2" xfId="341" xr:uid="{00000000-0005-0000-0000-0000E5000000}"/>
    <cellStyle name="Currency 5 3" xfId="342" xr:uid="{00000000-0005-0000-0000-0000E6000000}"/>
    <cellStyle name="Currency 5 3 2" xfId="343" xr:uid="{00000000-0005-0000-0000-0000E7000000}"/>
    <cellStyle name="Currency 5 3 3" xfId="344" xr:uid="{00000000-0005-0000-0000-0000E8000000}"/>
    <cellStyle name="Currency 5 3 4" xfId="345" xr:uid="{00000000-0005-0000-0000-0000E9000000}"/>
    <cellStyle name="Currency 5 4" xfId="346" xr:uid="{00000000-0005-0000-0000-0000EA000000}"/>
    <cellStyle name="Currency 5 4 2" xfId="347" xr:uid="{00000000-0005-0000-0000-0000EB000000}"/>
    <cellStyle name="Currency 5 4 3" xfId="348" xr:uid="{00000000-0005-0000-0000-0000EC000000}"/>
    <cellStyle name="Currency 5 5" xfId="349" xr:uid="{00000000-0005-0000-0000-0000ED000000}"/>
    <cellStyle name="Currency 5 5 2" xfId="350" xr:uid="{00000000-0005-0000-0000-0000EE000000}"/>
    <cellStyle name="Currency 5 5 3" xfId="351" xr:uid="{00000000-0005-0000-0000-0000EF000000}"/>
    <cellStyle name="Currency 5 6" xfId="352" xr:uid="{00000000-0005-0000-0000-0000F0000000}"/>
    <cellStyle name="Currency 6" xfId="63" xr:uid="{00000000-0005-0000-0000-0000F1000000}"/>
    <cellStyle name="Currency 6 2" xfId="137" xr:uid="{00000000-0005-0000-0000-0000F2000000}"/>
    <cellStyle name="Currency 6 3" xfId="353" xr:uid="{00000000-0005-0000-0000-0000F3000000}"/>
    <cellStyle name="Currency 6 3 2" xfId="354" xr:uid="{00000000-0005-0000-0000-0000F4000000}"/>
    <cellStyle name="Currency 7" xfId="64" xr:uid="{00000000-0005-0000-0000-0000F5000000}"/>
    <cellStyle name="Currency 8" xfId="138" xr:uid="{00000000-0005-0000-0000-0000F6000000}"/>
    <cellStyle name="Currency 8 2" xfId="355" xr:uid="{00000000-0005-0000-0000-0000F7000000}"/>
    <cellStyle name="Currency 8 3" xfId="356" xr:uid="{00000000-0005-0000-0000-0000F8000000}"/>
    <cellStyle name="Currency 9" xfId="139" xr:uid="{00000000-0005-0000-0000-0000F9000000}"/>
    <cellStyle name="Currency 9 2" xfId="357" xr:uid="{00000000-0005-0000-0000-0000FA000000}"/>
    <cellStyle name="Currency 9 3" xfId="358" xr:uid="{00000000-0005-0000-0000-0000FB000000}"/>
    <cellStyle name="Custom - Style1" xfId="359" xr:uid="{00000000-0005-0000-0000-0000FC000000}"/>
    <cellStyle name="Custom - Style8" xfId="360" xr:uid="{00000000-0005-0000-0000-0000FD000000}"/>
    <cellStyle name="Data   - Style2" xfId="361" xr:uid="{00000000-0005-0000-0000-0000FE000000}"/>
    <cellStyle name="Data Enter" xfId="65" xr:uid="{00000000-0005-0000-0000-0000FF000000}"/>
    <cellStyle name="Explanatory Text" xfId="182" builtinId="53" customBuiltin="1"/>
    <cellStyle name="Explanatory Text 2" xfId="362" xr:uid="{00000000-0005-0000-0000-000001010000}"/>
    <cellStyle name="F9ReportControlStyle_ctpInquire" xfId="363" xr:uid="{00000000-0005-0000-0000-000002010000}"/>
    <cellStyle name="FactSheet" xfId="66" xr:uid="{00000000-0005-0000-0000-000003010000}"/>
    <cellStyle name="Good" xfId="173" builtinId="26" customBuiltin="1"/>
    <cellStyle name="Good 2" xfId="67" xr:uid="{00000000-0005-0000-0000-000005010000}"/>
    <cellStyle name="Heading 1" xfId="169" builtinId="16" customBuiltin="1"/>
    <cellStyle name="Heading 1 2" xfId="68" xr:uid="{00000000-0005-0000-0000-000007010000}"/>
    <cellStyle name="Heading 1 3" xfId="364" xr:uid="{00000000-0005-0000-0000-000008010000}"/>
    <cellStyle name="Heading 2" xfId="170" builtinId="17" customBuiltin="1"/>
    <cellStyle name="Heading 2 2" xfId="69" xr:uid="{00000000-0005-0000-0000-00000A010000}"/>
    <cellStyle name="Heading 2 3" xfId="365" xr:uid="{00000000-0005-0000-0000-00000B010000}"/>
    <cellStyle name="Heading 3" xfId="171" builtinId="18" customBuiltin="1"/>
    <cellStyle name="Heading 3 2" xfId="70" xr:uid="{00000000-0005-0000-0000-00000D010000}"/>
    <cellStyle name="Heading 3 3" xfId="366" xr:uid="{00000000-0005-0000-0000-00000E010000}"/>
    <cellStyle name="Heading 4" xfId="172" builtinId="19" customBuiltin="1"/>
    <cellStyle name="Heading 4 2" xfId="367" xr:uid="{00000000-0005-0000-0000-000010010000}"/>
    <cellStyle name="Hyperlink 2" xfId="71" xr:uid="{00000000-0005-0000-0000-000011010000}"/>
    <cellStyle name="Hyperlink 2 2" xfId="162" xr:uid="{00000000-0005-0000-0000-000012010000}"/>
    <cellStyle name="Hyperlink 3" xfId="72" xr:uid="{00000000-0005-0000-0000-000013010000}"/>
    <cellStyle name="Hyperlink 4" xfId="1521" xr:uid="{00000000-0005-0000-0000-000014010000}"/>
    <cellStyle name="Input" xfId="176" builtinId="20" customBuiltin="1"/>
    <cellStyle name="Input 2" xfId="368" xr:uid="{00000000-0005-0000-0000-000016010000}"/>
    <cellStyle name="input(0)" xfId="73" xr:uid="{00000000-0005-0000-0000-000017010000}"/>
    <cellStyle name="Input(2)" xfId="74" xr:uid="{00000000-0005-0000-0000-000018010000}"/>
    <cellStyle name="INT Paramter" xfId="369" xr:uid="{00000000-0005-0000-0000-000019010000}"/>
    <cellStyle name="INT Paramter 2" xfId="370" xr:uid="{00000000-0005-0000-0000-00001A010000}"/>
    <cellStyle name="INT Paramter 3" xfId="371" xr:uid="{00000000-0005-0000-0000-00001B010000}"/>
    <cellStyle name="INT Paramter_13008" xfId="372" xr:uid="{00000000-0005-0000-0000-00001C010000}"/>
    <cellStyle name="Labels - Style3" xfId="373" xr:uid="{00000000-0005-0000-0000-00001D010000}"/>
    <cellStyle name="Linked Cell" xfId="179" builtinId="24" customBuiltin="1"/>
    <cellStyle name="Linked Cell 2" xfId="75" xr:uid="{00000000-0005-0000-0000-00001F010000}"/>
    <cellStyle name="Neutral" xfId="175" builtinId="28" customBuiltin="1"/>
    <cellStyle name="Neutral 2" xfId="76" xr:uid="{00000000-0005-0000-0000-000021010000}"/>
    <cellStyle name="New_normal" xfId="77" xr:uid="{00000000-0005-0000-0000-000022010000}"/>
    <cellStyle name="Normal" xfId="0" builtinId="0"/>
    <cellStyle name="Normal - Style1" xfId="78" xr:uid="{00000000-0005-0000-0000-000024010000}"/>
    <cellStyle name="Normal - Style2" xfId="79" xr:uid="{00000000-0005-0000-0000-000025010000}"/>
    <cellStyle name="Normal - Style3" xfId="80" xr:uid="{00000000-0005-0000-0000-000026010000}"/>
    <cellStyle name="Normal - Style4" xfId="81" xr:uid="{00000000-0005-0000-0000-000027010000}"/>
    <cellStyle name="Normal - Style5" xfId="82" xr:uid="{00000000-0005-0000-0000-000028010000}"/>
    <cellStyle name="Normal - Style6" xfId="374" xr:uid="{00000000-0005-0000-0000-000029010000}"/>
    <cellStyle name="Normal - Style7" xfId="375" xr:uid="{00000000-0005-0000-0000-00002A010000}"/>
    <cellStyle name="Normal - Style8" xfId="376" xr:uid="{00000000-0005-0000-0000-00002B010000}"/>
    <cellStyle name="Normal 10" xfId="83" xr:uid="{00000000-0005-0000-0000-00002C010000}"/>
    <cellStyle name="Normal 10 2" xfId="377" xr:uid="{00000000-0005-0000-0000-00002D010000}"/>
    <cellStyle name="Normal 10 2 2" xfId="378" xr:uid="{00000000-0005-0000-0000-00002E010000}"/>
    <cellStyle name="Normal 10 2 2 2" xfId="379" xr:uid="{00000000-0005-0000-0000-00002F010000}"/>
    <cellStyle name="Normal 10 2 2 2 2" xfId="380" xr:uid="{00000000-0005-0000-0000-000030010000}"/>
    <cellStyle name="Normal 10 2 2 2 2 2" xfId="381" xr:uid="{00000000-0005-0000-0000-000031010000}"/>
    <cellStyle name="Normal 10 2 2 2 2 3" xfId="382" xr:uid="{00000000-0005-0000-0000-000032010000}"/>
    <cellStyle name="Normal 10 2 2 2 2_13008" xfId="383" xr:uid="{00000000-0005-0000-0000-000033010000}"/>
    <cellStyle name="Normal 10 2 2 2 3" xfId="384" xr:uid="{00000000-0005-0000-0000-000034010000}"/>
    <cellStyle name="Normal 10 2 2 2 3 2" xfId="385" xr:uid="{00000000-0005-0000-0000-000035010000}"/>
    <cellStyle name="Normal 10 2 2 2 3 3" xfId="386" xr:uid="{00000000-0005-0000-0000-000036010000}"/>
    <cellStyle name="Normal 10 2 2 2 3_13008" xfId="387" xr:uid="{00000000-0005-0000-0000-000037010000}"/>
    <cellStyle name="Normal 10 2 2 2 4" xfId="388" xr:uid="{00000000-0005-0000-0000-000038010000}"/>
    <cellStyle name="Normal 10 2 2 2 5" xfId="389" xr:uid="{00000000-0005-0000-0000-000039010000}"/>
    <cellStyle name="Normal 10 2 2 2_13008" xfId="390" xr:uid="{00000000-0005-0000-0000-00003A010000}"/>
    <cellStyle name="Normal 10 2 2 3" xfId="391" xr:uid="{00000000-0005-0000-0000-00003B010000}"/>
    <cellStyle name="Normal 10 2 2 3 2" xfId="392" xr:uid="{00000000-0005-0000-0000-00003C010000}"/>
    <cellStyle name="Normal 10 2 2 3 3" xfId="393" xr:uid="{00000000-0005-0000-0000-00003D010000}"/>
    <cellStyle name="Normal 10 2 2 3_13008" xfId="394" xr:uid="{00000000-0005-0000-0000-00003E010000}"/>
    <cellStyle name="Normal 10 2 2 4" xfId="395" xr:uid="{00000000-0005-0000-0000-00003F010000}"/>
    <cellStyle name="Normal 10 2 2 4 2" xfId="396" xr:uid="{00000000-0005-0000-0000-000040010000}"/>
    <cellStyle name="Normal 10 2 2 4 3" xfId="397" xr:uid="{00000000-0005-0000-0000-000041010000}"/>
    <cellStyle name="Normal 10 2 2 4_13008" xfId="398" xr:uid="{00000000-0005-0000-0000-000042010000}"/>
    <cellStyle name="Normal 10 2 2 5" xfId="399" xr:uid="{00000000-0005-0000-0000-000043010000}"/>
    <cellStyle name="Normal 10 2 2 5 2" xfId="400" xr:uid="{00000000-0005-0000-0000-000044010000}"/>
    <cellStyle name="Normal 10 2 2 5 3" xfId="401" xr:uid="{00000000-0005-0000-0000-000045010000}"/>
    <cellStyle name="Normal 10 2 2 5_13008" xfId="402" xr:uid="{00000000-0005-0000-0000-000046010000}"/>
    <cellStyle name="Normal 10 2 2 6" xfId="403" xr:uid="{00000000-0005-0000-0000-000047010000}"/>
    <cellStyle name="Normal 10 2 2 7" xfId="404" xr:uid="{00000000-0005-0000-0000-000048010000}"/>
    <cellStyle name="Normal 10 2 2_13008" xfId="405" xr:uid="{00000000-0005-0000-0000-000049010000}"/>
    <cellStyle name="Normal 10 2 3" xfId="406" xr:uid="{00000000-0005-0000-0000-00004A010000}"/>
    <cellStyle name="Normal 10 2 3 2" xfId="407" xr:uid="{00000000-0005-0000-0000-00004B010000}"/>
    <cellStyle name="Normal 10 2 3 2 2" xfId="408" xr:uid="{00000000-0005-0000-0000-00004C010000}"/>
    <cellStyle name="Normal 10 2 3 2 3" xfId="409" xr:uid="{00000000-0005-0000-0000-00004D010000}"/>
    <cellStyle name="Normal 10 2 3 2_13008" xfId="410" xr:uid="{00000000-0005-0000-0000-00004E010000}"/>
    <cellStyle name="Normal 10 2 3 3" xfId="411" xr:uid="{00000000-0005-0000-0000-00004F010000}"/>
    <cellStyle name="Normal 10 2 3 3 2" xfId="412" xr:uid="{00000000-0005-0000-0000-000050010000}"/>
    <cellStyle name="Normal 10 2 3 3 3" xfId="413" xr:uid="{00000000-0005-0000-0000-000051010000}"/>
    <cellStyle name="Normal 10 2 3 3_13008" xfId="414" xr:uid="{00000000-0005-0000-0000-000052010000}"/>
    <cellStyle name="Normal 10 2 3 4" xfId="415" xr:uid="{00000000-0005-0000-0000-000053010000}"/>
    <cellStyle name="Normal 10 2 3 5" xfId="416" xr:uid="{00000000-0005-0000-0000-000054010000}"/>
    <cellStyle name="Normal 10 2 3_13008" xfId="417" xr:uid="{00000000-0005-0000-0000-000055010000}"/>
    <cellStyle name="Normal 10 2 4" xfId="418" xr:uid="{00000000-0005-0000-0000-000056010000}"/>
    <cellStyle name="Normal 10 2 4 2" xfId="419" xr:uid="{00000000-0005-0000-0000-000057010000}"/>
    <cellStyle name="Normal 10 2 4 3" xfId="420" xr:uid="{00000000-0005-0000-0000-000058010000}"/>
    <cellStyle name="Normal 10 2 4_13008" xfId="421" xr:uid="{00000000-0005-0000-0000-000059010000}"/>
    <cellStyle name="Normal 10 2 5" xfId="422" xr:uid="{00000000-0005-0000-0000-00005A010000}"/>
    <cellStyle name="Normal 10 2 5 2" xfId="423" xr:uid="{00000000-0005-0000-0000-00005B010000}"/>
    <cellStyle name="Normal 10 2 5 3" xfId="424" xr:uid="{00000000-0005-0000-0000-00005C010000}"/>
    <cellStyle name="Normal 10 2 5_13008" xfId="425" xr:uid="{00000000-0005-0000-0000-00005D010000}"/>
    <cellStyle name="Normal 10 2 6" xfId="426" xr:uid="{00000000-0005-0000-0000-00005E010000}"/>
    <cellStyle name="Normal 10 2 6 2" xfId="427" xr:uid="{00000000-0005-0000-0000-00005F010000}"/>
    <cellStyle name="Normal 10 2 6 3" xfId="428" xr:uid="{00000000-0005-0000-0000-000060010000}"/>
    <cellStyle name="Normal 10 2 6_13008" xfId="429" xr:uid="{00000000-0005-0000-0000-000061010000}"/>
    <cellStyle name="Normal 10 2 7" xfId="430" xr:uid="{00000000-0005-0000-0000-000062010000}"/>
    <cellStyle name="Normal 10 2 8" xfId="431" xr:uid="{00000000-0005-0000-0000-000063010000}"/>
    <cellStyle name="Normal 10 2_13008" xfId="432" xr:uid="{00000000-0005-0000-0000-000064010000}"/>
    <cellStyle name="Normal 10 3" xfId="433" xr:uid="{00000000-0005-0000-0000-000065010000}"/>
    <cellStyle name="Normal 10 3 2" xfId="434" xr:uid="{00000000-0005-0000-0000-000066010000}"/>
    <cellStyle name="Normal 10 3 2 2" xfId="435" xr:uid="{00000000-0005-0000-0000-000067010000}"/>
    <cellStyle name="Normal 10 3 2 3" xfId="436" xr:uid="{00000000-0005-0000-0000-000068010000}"/>
    <cellStyle name="Normal 10 3 2_13008" xfId="437" xr:uid="{00000000-0005-0000-0000-000069010000}"/>
    <cellStyle name="Normal 10 3 3" xfId="438" xr:uid="{00000000-0005-0000-0000-00006A010000}"/>
    <cellStyle name="Normal 10 3 3 2" xfId="439" xr:uid="{00000000-0005-0000-0000-00006B010000}"/>
    <cellStyle name="Normal 10 3 3 3" xfId="440" xr:uid="{00000000-0005-0000-0000-00006C010000}"/>
    <cellStyle name="Normal 10 3 3_13008" xfId="441" xr:uid="{00000000-0005-0000-0000-00006D010000}"/>
    <cellStyle name="Normal 10 3 4" xfId="442" xr:uid="{00000000-0005-0000-0000-00006E010000}"/>
    <cellStyle name="Normal 10 3 5" xfId="443" xr:uid="{00000000-0005-0000-0000-00006F010000}"/>
    <cellStyle name="Normal 10 3_13008" xfId="444" xr:uid="{00000000-0005-0000-0000-000070010000}"/>
    <cellStyle name="Normal 10 4" xfId="445" xr:uid="{00000000-0005-0000-0000-000071010000}"/>
    <cellStyle name="Normal 10 4 2" xfId="446" xr:uid="{00000000-0005-0000-0000-000072010000}"/>
    <cellStyle name="Normal 10 4 3" xfId="447" xr:uid="{00000000-0005-0000-0000-000073010000}"/>
    <cellStyle name="Normal 10 4_13008" xfId="448" xr:uid="{00000000-0005-0000-0000-000074010000}"/>
    <cellStyle name="Normal 10 5" xfId="449" xr:uid="{00000000-0005-0000-0000-000075010000}"/>
    <cellStyle name="Normal 10 5 2" xfId="450" xr:uid="{00000000-0005-0000-0000-000076010000}"/>
    <cellStyle name="Normal 10 5 3" xfId="451" xr:uid="{00000000-0005-0000-0000-000077010000}"/>
    <cellStyle name="Normal 10 5_13008" xfId="452" xr:uid="{00000000-0005-0000-0000-000078010000}"/>
    <cellStyle name="Normal 10 6" xfId="453" xr:uid="{00000000-0005-0000-0000-000079010000}"/>
    <cellStyle name="Normal 10 6 2" xfId="454" xr:uid="{00000000-0005-0000-0000-00007A010000}"/>
    <cellStyle name="Normal 10 6 3" xfId="455" xr:uid="{00000000-0005-0000-0000-00007B010000}"/>
    <cellStyle name="Normal 10 6_13008" xfId="456" xr:uid="{00000000-0005-0000-0000-00007C010000}"/>
    <cellStyle name="Normal 10 7" xfId="457" xr:uid="{00000000-0005-0000-0000-00007D010000}"/>
    <cellStyle name="Normal 10 8" xfId="458" xr:uid="{00000000-0005-0000-0000-00007E010000}"/>
    <cellStyle name="Normal 10_13008" xfId="459" xr:uid="{00000000-0005-0000-0000-00007F010000}"/>
    <cellStyle name="Normal 11" xfId="84" xr:uid="{00000000-0005-0000-0000-000080010000}"/>
    <cellStyle name="Normal 11 10" xfId="460" xr:uid="{00000000-0005-0000-0000-000081010000}"/>
    <cellStyle name="Normal 11 11" xfId="461" xr:uid="{00000000-0005-0000-0000-000082010000}"/>
    <cellStyle name="Normal 11 2" xfId="462" xr:uid="{00000000-0005-0000-0000-000083010000}"/>
    <cellStyle name="Normal 11 2 2" xfId="463" xr:uid="{00000000-0005-0000-0000-000084010000}"/>
    <cellStyle name="Normal 11 2 2 2" xfId="464" xr:uid="{00000000-0005-0000-0000-000085010000}"/>
    <cellStyle name="Normal 11 2 2 2 2" xfId="465" xr:uid="{00000000-0005-0000-0000-000086010000}"/>
    <cellStyle name="Normal 11 2 2 2 3" xfId="466" xr:uid="{00000000-0005-0000-0000-000087010000}"/>
    <cellStyle name="Normal 11 2 2 2_13008" xfId="467" xr:uid="{00000000-0005-0000-0000-000088010000}"/>
    <cellStyle name="Normal 11 2 2 3" xfId="468" xr:uid="{00000000-0005-0000-0000-000089010000}"/>
    <cellStyle name="Normal 11 2 2 3 2" xfId="469" xr:uid="{00000000-0005-0000-0000-00008A010000}"/>
    <cellStyle name="Normal 11 2 2 3 3" xfId="470" xr:uid="{00000000-0005-0000-0000-00008B010000}"/>
    <cellStyle name="Normal 11 2 2 3_13008" xfId="471" xr:uid="{00000000-0005-0000-0000-00008C010000}"/>
    <cellStyle name="Normal 11 2 2 4" xfId="472" xr:uid="{00000000-0005-0000-0000-00008D010000}"/>
    <cellStyle name="Normal 11 2 2 5" xfId="473" xr:uid="{00000000-0005-0000-0000-00008E010000}"/>
    <cellStyle name="Normal 11 2 2_13008" xfId="474" xr:uid="{00000000-0005-0000-0000-00008F010000}"/>
    <cellStyle name="Normal 11 2 3" xfId="475" xr:uid="{00000000-0005-0000-0000-000090010000}"/>
    <cellStyle name="Normal 11 2 3 2" xfId="476" xr:uid="{00000000-0005-0000-0000-000091010000}"/>
    <cellStyle name="Normal 11 2 3 3" xfId="477" xr:uid="{00000000-0005-0000-0000-000092010000}"/>
    <cellStyle name="Normal 11 2 3_13008" xfId="478" xr:uid="{00000000-0005-0000-0000-000093010000}"/>
    <cellStyle name="Normal 11 2 4" xfId="479" xr:uid="{00000000-0005-0000-0000-000094010000}"/>
    <cellStyle name="Normal 11 2 4 2" xfId="480" xr:uid="{00000000-0005-0000-0000-000095010000}"/>
    <cellStyle name="Normal 11 2 4 3" xfId="481" xr:uid="{00000000-0005-0000-0000-000096010000}"/>
    <cellStyle name="Normal 11 2 4_13008" xfId="482" xr:uid="{00000000-0005-0000-0000-000097010000}"/>
    <cellStyle name="Normal 11 2 5" xfId="483" xr:uid="{00000000-0005-0000-0000-000098010000}"/>
    <cellStyle name="Normal 11 2 5 2" xfId="484" xr:uid="{00000000-0005-0000-0000-000099010000}"/>
    <cellStyle name="Normal 11 2 5 3" xfId="485" xr:uid="{00000000-0005-0000-0000-00009A010000}"/>
    <cellStyle name="Normal 11 2 5_13008" xfId="486" xr:uid="{00000000-0005-0000-0000-00009B010000}"/>
    <cellStyle name="Normal 11 2 6" xfId="487" xr:uid="{00000000-0005-0000-0000-00009C010000}"/>
    <cellStyle name="Normal 11 2 7" xfId="488" xr:uid="{00000000-0005-0000-0000-00009D010000}"/>
    <cellStyle name="Normal 11 2_13008" xfId="489" xr:uid="{00000000-0005-0000-0000-00009E010000}"/>
    <cellStyle name="Normal 11 3" xfId="490" xr:uid="{00000000-0005-0000-0000-00009F010000}"/>
    <cellStyle name="Normal 11 3 2" xfId="491" xr:uid="{00000000-0005-0000-0000-0000A0010000}"/>
    <cellStyle name="Normal 11 3 2 2" xfId="492" xr:uid="{00000000-0005-0000-0000-0000A1010000}"/>
    <cellStyle name="Normal 11 3 2 2 2" xfId="493" xr:uid="{00000000-0005-0000-0000-0000A2010000}"/>
    <cellStyle name="Normal 11 3 2 2 3" xfId="494" xr:uid="{00000000-0005-0000-0000-0000A3010000}"/>
    <cellStyle name="Normal 11 3 2 2_13008" xfId="495" xr:uid="{00000000-0005-0000-0000-0000A4010000}"/>
    <cellStyle name="Normal 11 3 2 3" xfId="496" xr:uid="{00000000-0005-0000-0000-0000A5010000}"/>
    <cellStyle name="Normal 11 3 2 3 2" xfId="497" xr:uid="{00000000-0005-0000-0000-0000A6010000}"/>
    <cellStyle name="Normal 11 3 2 3 3" xfId="498" xr:uid="{00000000-0005-0000-0000-0000A7010000}"/>
    <cellStyle name="Normal 11 3 2 3_13008" xfId="499" xr:uid="{00000000-0005-0000-0000-0000A8010000}"/>
    <cellStyle name="Normal 11 3 2 4" xfId="500" xr:uid="{00000000-0005-0000-0000-0000A9010000}"/>
    <cellStyle name="Normal 11 3 2 5" xfId="501" xr:uid="{00000000-0005-0000-0000-0000AA010000}"/>
    <cellStyle name="Normal 11 3 2_13008" xfId="502" xr:uid="{00000000-0005-0000-0000-0000AB010000}"/>
    <cellStyle name="Normal 11 3 3" xfId="503" xr:uid="{00000000-0005-0000-0000-0000AC010000}"/>
    <cellStyle name="Normal 11 3 3 2" xfId="504" xr:uid="{00000000-0005-0000-0000-0000AD010000}"/>
    <cellStyle name="Normal 11 3 3 3" xfId="505" xr:uid="{00000000-0005-0000-0000-0000AE010000}"/>
    <cellStyle name="Normal 11 3 3_13008" xfId="506" xr:uid="{00000000-0005-0000-0000-0000AF010000}"/>
    <cellStyle name="Normal 11 3 4" xfId="507" xr:uid="{00000000-0005-0000-0000-0000B0010000}"/>
    <cellStyle name="Normal 11 3 4 2" xfId="508" xr:uid="{00000000-0005-0000-0000-0000B1010000}"/>
    <cellStyle name="Normal 11 3 4 3" xfId="509" xr:uid="{00000000-0005-0000-0000-0000B2010000}"/>
    <cellStyle name="Normal 11 3 4_13008" xfId="510" xr:uid="{00000000-0005-0000-0000-0000B3010000}"/>
    <cellStyle name="Normal 11 3 5" xfId="511" xr:uid="{00000000-0005-0000-0000-0000B4010000}"/>
    <cellStyle name="Normal 11 3 5 2" xfId="512" xr:uid="{00000000-0005-0000-0000-0000B5010000}"/>
    <cellStyle name="Normal 11 3 5 3" xfId="513" xr:uid="{00000000-0005-0000-0000-0000B6010000}"/>
    <cellStyle name="Normal 11 3 5_13008" xfId="514" xr:uid="{00000000-0005-0000-0000-0000B7010000}"/>
    <cellStyle name="Normal 11 3 6" xfId="515" xr:uid="{00000000-0005-0000-0000-0000B8010000}"/>
    <cellStyle name="Normal 11 3 7" xfId="516" xr:uid="{00000000-0005-0000-0000-0000B9010000}"/>
    <cellStyle name="Normal 11 3_13008" xfId="517" xr:uid="{00000000-0005-0000-0000-0000BA010000}"/>
    <cellStyle name="Normal 11 4" xfId="518" xr:uid="{00000000-0005-0000-0000-0000BB010000}"/>
    <cellStyle name="Normal 11 4 2" xfId="519" xr:uid="{00000000-0005-0000-0000-0000BC010000}"/>
    <cellStyle name="Normal 11 4 2 2" xfId="520" xr:uid="{00000000-0005-0000-0000-0000BD010000}"/>
    <cellStyle name="Normal 11 4 2 2 2" xfId="521" xr:uid="{00000000-0005-0000-0000-0000BE010000}"/>
    <cellStyle name="Normal 11 4 2 2 2 2" xfId="522" xr:uid="{00000000-0005-0000-0000-0000BF010000}"/>
    <cellStyle name="Normal 11 4 2 2 2 3" xfId="523" xr:uid="{00000000-0005-0000-0000-0000C0010000}"/>
    <cellStyle name="Normal 11 4 2 2 2_13008" xfId="524" xr:uid="{00000000-0005-0000-0000-0000C1010000}"/>
    <cellStyle name="Normal 11 4 2 2 3" xfId="525" xr:uid="{00000000-0005-0000-0000-0000C2010000}"/>
    <cellStyle name="Normal 11 4 2 2 3 2" xfId="526" xr:uid="{00000000-0005-0000-0000-0000C3010000}"/>
    <cellStyle name="Normal 11 4 2 2 3 3" xfId="527" xr:uid="{00000000-0005-0000-0000-0000C4010000}"/>
    <cellStyle name="Normal 11 4 2 2 3_13008" xfId="528" xr:uid="{00000000-0005-0000-0000-0000C5010000}"/>
    <cellStyle name="Normal 11 4 2 2 4" xfId="529" xr:uid="{00000000-0005-0000-0000-0000C6010000}"/>
    <cellStyle name="Normal 11 4 2 2 5" xfId="530" xr:uid="{00000000-0005-0000-0000-0000C7010000}"/>
    <cellStyle name="Normal 11 4 2 2_13008" xfId="531" xr:uid="{00000000-0005-0000-0000-0000C8010000}"/>
    <cellStyle name="Normal 11 4 2 3" xfId="532" xr:uid="{00000000-0005-0000-0000-0000C9010000}"/>
    <cellStyle name="Normal 11 4 2 3 2" xfId="533" xr:uid="{00000000-0005-0000-0000-0000CA010000}"/>
    <cellStyle name="Normal 11 4 2 3 3" xfId="534" xr:uid="{00000000-0005-0000-0000-0000CB010000}"/>
    <cellStyle name="Normal 11 4 2 3_13008" xfId="535" xr:uid="{00000000-0005-0000-0000-0000CC010000}"/>
    <cellStyle name="Normal 11 4 2 4" xfId="536" xr:uid="{00000000-0005-0000-0000-0000CD010000}"/>
    <cellStyle name="Normal 11 4 2 4 2" xfId="537" xr:uid="{00000000-0005-0000-0000-0000CE010000}"/>
    <cellStyle name="Normal 11 4 2 4 3" xfId="538" xr:uid="{00000000-0005-0000-0000-0000CF010000}"/>
    <cellStyle name="Normal 11 4 2 4_13008" xfId="539" xr:uid="{00000000-0005-0000-0000-0000D0010000}"/>
    <cellStyle name="Normal 11 4 2 5" xfId="540" xr:uid="{00000000-0005-0000-0000-0000D1010000}"/>
    <cellStyle name="Normal 11 4 2 5 2" xfId="541" xr:uid="{00000000-0005-0000-0000-0000D2010000}"/>
    <cellStyle name="Normal 11 4 2 5 3" xfId="542" xr:uid="{00000000-0005-0000-0000-0000D3010000}"/>
    <cellStyle name="Normal 11 4 2 5_13008" xfId="543" xr:uid="{00000000-0005-0000-0000-0000D4010000}"/>
    <cellStyle name="Normal 11 4 2 6" xfId="544" xr:uid="{00000000-0005-0000-0000-0000D5010000}"/>
    <cellStyle name="Normal 11 4 2 7" xfId="545" xr:uid="{00000000-0005-0000-0000-0000D6010000}"/>
    <cellStyle name="Normal 11 4 2_13008" xfId="546" xr:uid="{00000000-0005-0000-0000-0000D7010000}"/>
    <cellStyle name="Normal 11 4 3" xfId="547" xr:uid="{00000000-0005-0000-0000-0000D8010000}"/>
    <cellStyle name="Normal 11 4 3 10" xfId="548" xr:uid="{00000000-0005-0000-0000-0000D9010000}"/>
    <cellStyle name="Normal 11 4 3 10 2" xfId="549" xr:uid="{00000000-0005-0000-0000-0000DA010000}"/>
    <cellStyle name="Normal 11 4 3 10 3" xfId="550" xr:uid="{00000000-0005-0000-0000-0000DB010000}"/>
    <cellStyle name="Normal 11 4 3 10_13008" xfId="551" xr:uid="{00000000-0005-0000-0000-0000DC010000}"/>
    <cellStyle name="Normal 11 4 3 11" xfId="552" xr:uid="{00000000-0005-0000-0000-0000DD010000}"/>
    <cellStyle name="Normal 11 4 3 11 2" xfId="553" xr:uid="{00000000-0005-0000-0000-0000DE010000}"/>
    <cellStyle name="Normal 11 4 3 11 3" xfId="554" xr:uid="{00000000-0005-0000-0000-0000DF010000}"/>
    <cellStyle name="Normal 11 4 3 11_13008" xfId="555" xr:uid="{00000000-0005-0000-0000-0000E0010000}"/>
    <cellStyle name="Normal 11 4 3 12" xfId="556" xr:uid="{00000000-0005-0000-0000-0000E1010000}"/>
    <cellStyle name="Normal 11 4 3 13" xfId="557" xr:uid="{00000000-0005-0000-0000-0000E2010000}"/>
    <cellStyle name="Normal 11 4 3 14" xfId="558" xr:uid="{00000000-0005-0000-0000-0000E3010000}"/>
    <cellStyle name="Normal 11 4 3 15" xfId="559" xr:uid="{00000000-0005-0000-0000-0000E4010000}"/>
    <cellStyle name="Normal 11 4 3 2" xfId="560" xr:uid="{00000000-0005-0000-0000-0000E5010000}"/>
    <cellStyle name="Normal 11 4 3 2 2" xfId="561" xr:uid="{00000000-0005-0000-0000-0000E6010000}"/>
    <cellStyle name="Normal 11 4 3 2 2 2" xfId="562" xr:uid="{00000000-0005-0000-0000-0000E7010000}"/>
    <cellStyle name="Normal 11 4 3 2 2 3" xfId="563" xr:uid="{00000000-0005-0000-0000-0000E8010000}"/>
    <cellStyle name="Normal 11 4 3 2 2_13008" xfId="564" xr:uid="{00000000-0005-0000-0000-0000E9010000}"/>
    <cellStyle name="Normal 11 4 3 2 3" xfId="565" xr:uid="{00000000-0005-0000-0000-0000EA010000}"/>
    <cellStyle name="Normal 11 4 3 2 3 2" xfId="566" xr:uid="{00000000-0005-0000-0000-0000EB010000}"/>
    <cellStyle name="Normal 11 4 3 2 3 3" xfId="567" xr:uid="{00000000-0005-0000-0000-0000EC010000}"/>
    <cellStyle name="Normal 11 4 3 2 3_13008" xfId="568" xr:uid="{00000000-0005-0000-0000-0000ED010000}"/>
    <cellStyle name="Normal 11 4 3 2 4" xfId="569" xr:uid="{00000000-0005-0000-0000-0000EE010000}"/>
    <cellStyle name="Normal 11 4 3 2 5" xfId="570" xr:uid="{00000000-0005-0000-0000-0000EF010000}"/>
    <cellStyle name="Normal 11 4 3 2_13008" xfId="571" xr:uid="{00000000-0005-0000-0000-0000F0010000}"/>
    <cellStyle name="Normal 11 4 3 3" xfId="572" xr:uid="{00000000-0005-0000-0000-0000F1010000}"/>
    <cellStyle name="Normal 11 4 3 3 2" xfId="573" xr:uid="{00000000-0005-0000-0000-0000F2010000}"/>
    <cellStyle name="Normal 11 4 3 3 2 2" xfId="574" xr:uid="{00000000-0005-0000-0000-0000F3010000}"/>
    <cellStyle name="Normal 11 4 3 3 2 3" xfId="575" xr:uid="{00000000-0005-0000-0000-0000F4010000}"/>
    <cellStyle name="Normal 11 4 3 3 2_13008" xfId="576" xr:uid="{00000000-0005-0000-0000-0000F5010000}"/>
    <cellStyle name="Normal 11 4 3 3 3" xfId="577" xr:uid="{00000000-0005-0000-0000-0000F6010000}"/>
    <cellStyle name="Normal 11 4 3 3 3 2" xfId="578" xr:uid="{00000000-0005-0000-0000-0000F7010000}"/>
    <cellStyle name="Normal 11 4 3 3 3 3" xfId="579" xr:uid="{00000000-0005-0000-0000-0000F8010000}"/>
    <cellStyle name="Normal 11 4 3 3 3_13008" xfId="580" xr:uid="{00000000-0005-0000-0000-0000F9010000}"/>
    <cellStyle name="Normal 11 4 3 3 4" xfId="581" xr:uid="{00000000-0005-0000-0000-0000FA010000}"/>
    <cellStyle name="Normal 11 4 3 3 5" xfId="582" xr:uid="{00000000-0005-0000-0000-0000FB010000}"/>
    <cellStyle name="Normal 11 4 3 3_13008" xfId="583" xr:uid="{00000000-0005-0000-0000-0000FC010000}"/>
    <cellStyle name="Normal 11 4 3 4" xfId="584" xr:uid="{00000000-0005-0000-0000-0000FD010000}"/>
    <cellStyle name="Normal 11 4 3 4 2" xfId="585" xr:uid="{00000000-0005-0000-0000-0000FE010000}"/>
    <cellStyle name="Normal 11 4 3 4 3" xfId="586" xr:uid="{00000000-0005-0000-0000-0000FF010000}"/>
    <cellStyle name="Normal 11 4 3 4_13008" xfId="587" xr:uid="{00000000-0005-0000-0000-000000020000}"/>
    <cellStyle name="Normal 11 4 3 5" xfId="588" xr:uid="{00000000-0005-0000-0000-000001020000}"/>
    <cellStyle name="Normal 11 4 3 5 2" xfId="589" xr:uid="{00000000-0005-0000-0000-000002020000}"/>
    <cellStyle name="Normal 11 4 3 5 3" xfId="590" xr:uid="{00000000-0005-0000-0000-000003020000}"/>
    <cellStyle name="Normal 11 4 3 5_13008" xfId="591" xr:uid="{00000000-0005-0000-0000-000004020000}"/>
    <cellStyle name="Normal 11 4 3 6" xfId="592" xr:uid="{00000000-0005-0000-0000-000005020000}"/>
    <cellStyle name="Normal 11 4 3 6 2" xfId="593" xr:uid="{00000000-0005-0000-0000-000006020000}"/>
    <cellStyle name="Normal 11 4 3 6 3" xfId="594" xr:uid="{00000000-0005-0000-0000-000007020000}"/>
    <cellStyle name="Normal 11 4 3 6_13008" xfId="595" xr:uid="{00000000-0005-0000-0000-000008020000}"/>
    <cellStyle name="Normal 11 4 3 7" xfId="596" xr:uid="{00000000-0005-0000-0000-000009020000}"/>
    <cellStyle name="Normal 11 4 3 7 2" xfId="597" xr:uid="{00000000-0005-0000-0000-00000A020000}"/>
    <cellStyle name="Normal 11 4 3 7 3" xfId="598" xr:uid="{00000000-0005-0000-0000-00000B020000}"/>
    <cellStyle name="Normal 11 4 3 7_13008" xfId="599" xr:uid="{00000000-0005-0000-0000-00000C020000}"/>
    <cellStyle name="Normal 11 4 3 8" xfId="600" xr:uid="{00000000-0005-0000-0000-00000D020000}"/>
    <cellStyle name="Normal 11 4 3 8 2" xfId="601" xr:uid="{00000000-0005-0000-0000-00000E020000}"/>
    <cellStyle name="Normal 11 4 3 8 3" xfId="602" xr:uid="{00000000-0005-0000-0000-00000F020000}"/>
    <cellStyle name="Normal 11 4 3 8_13008" xfId="603" xr:uid="{00000000-0005-0000-0000-000010020000}"/>
    <cellStyle name="Normal 11 4 3 9" xfId="604" xr:uid="{00000000-0005-0000-0000-000011020000}"/>
    <cellStyle name="Normal 11 4 3 9 2" xfId="605" xr:uid="{00000000-0005-0000-0000-000012020000}"/>
    <cellStyle name="Normal 11 4 3 9 3" xfId="606" xr:uid="{00000000-0005-0000-0000-000013020000}"/>
    <cellStyle name="Normal 11 4 3 9_13008" xfId="607" xr:uid="{00000000-0005-0000-0000-000014020000}"/>
    <cellStyle name="Normal 11 4 3_13008" xfId="608" xr:uid="{00000000-0005-0000-0000-000015020000}"/>
    <cellStyle name="Normal 11 4 4" xfId="609" xr:uid="{00000000-0005-0000-0000-000016020000}"/>
    <cellStyle name="Normal 11 4 4 2" xfId="610" xr:uid="{00000000-0005-0000-0000-000017020000}"/>
    <cellStyle name="Normal 11 4 4 2 2" xfId="611" xr:uid="{00000000-0005-0000-0000-000018020000}"/>
    <cellStyle name="Normal 11 4 4 2 3" xfId="612" xr:uid="{00000000-0005-0000-0000-000019020000}"/>
    <cellStyle name="Normal 11 4 4 2_13008" xfId="613" xr:uid="{00000000-0005-0000-0000-00001A020000}"/>
    <cellStyle name="Normal 11 4 4 3" xfId="614" xr:uid="{00000000-0005-0000-0000-00001B020000}"/>
    <cellStyle name="Normal 11 4 4 3 2" xfId="615" xr:uid="{00000000-0005-0000-0000-00001C020000}"/>
    <cellStyle name="Normal 11 4 4 3 3" xfId="616" xr:uid="{00000000-0005-0000-0000-00001D020000}"/>
    <cellStyle name="Normal 11 4 4 3_13008" xfId="617" xr:uid="{00000000-0005-0000-0000-00001E020000}"/>
    <cellStyle name="Normal 11 4 4 4" xfId="618" xr:uid="{00000000-0005-0000-0000-00001F020000}"/>
    <cellStyle name="Normal 11 4 4 5" xfId="619" xr:uid="{00000000-0005-0000-0000-000020020000}"/>
    <cellStyle name="Normal 11 4 4_13008" xfId="620" xr:uid="{00000000-0005-0000-0000-000021020000}"/>
    <cellStyle name="Normal 11 4 5" xfId="621" xr:uid="{00000000-0005-0000-0000-000022020000}"/>
    <cellStyle name="Normal 11 4 5 2" xfId="622" xr:uid="{00000000-0005-0000-0000-000023020000}"/>
    <cellStyle name="Normal 11 4 5 3" xfId="623" xr:uid="{00000000-0005-0000-0000-000024020000}"/>
    <cellStyle name="Normal 11 4 5_13008" xfId="624" xr:uid="{00000000-0005-0000-0000-000025020000}"/>
    <cellStyle name="Normal 11 4 6" xfId="625" xr:uid="{00000000-0005-0000-0000-000026020000}"/>
    <cellStyle name="Normal 11 4 6 2" xfId="626" xr:uid="{00000000-0005-0000-0000-000027020000}"/>
    <cellStyle name="Normal 11 4 6 3" xfId="627" xr:uid="{00000000-0005-0000-0000-000028020000}"/>
    <cellStyle name="Normal 11 4 6_13008" xfId="628" xr:uid="{00000000-0005-0000-0000-000029020000}"/>
    <cellStyle name="Normal 11 4 7" xfId="629" xr:uid="{00000000-0005-0000-0000-00002A020000}"/>
    <cellStyle name="Normal 11 4 7 2" xfId="630" xr:uid="{00000000-0005-0000-0000-00002B020000}"/>
    <cellStyle name="Normal 11 4 7 3" xfId="631" xr:uid="{00000000-0005-0000-0000-00002C020000}"/>
    <cellStyle name="Normal 11 4 7_13008" xfId="632" xr:uid="{00000000-0005-0000-0000-00002D020000}"/>
    <cellStyle name="Normal 11 4 8" xfId="633" xr:uid="{00000000-0005-0000-0000-00002E020000}"/>
    <cellStyle name="Normal 11 4 9" xfId="634" xr:uid="{00000000-0005-0000-0000-00002F020000}"/>
    <cellStyle name="Normal 11 4_13008" xfId="635" xr:uid="{00000000-0005-0000-0000-000030020000}"/>
    <cellStyle name="Normal 11 5" xfId="636" xr:uid="{00000000-0005-0000-0000-000031020000}"/>
    <cellStyle name="Normal 11 5 10" xfId="637" xr:uid="{00000000-0005-0000-0000-000032020000}"/>
    <cellStyle name="Normal 11 5 10 2" xfId="638" xr:uid="{00000000-0005-0000-0000-000033020000}"/>
    <cellStyle name="Normal 11 5 10 3" xfId="639" xr:uid="{00000000-0005-0000-0000-000034020000}"/>
    <cellStyle name="Normal 11 5 10_13008" xfId="640" xr:uid="{00000000-0005-0000-0000-000035020000}"/>
    <cellStyle name="Normal 11 5 11" xfId="641" xr:uid="{00000000-0005-0000-0000-000036020000}"/>
    <cellStyle name="Normal 11 5 11 2" xfId="642" xr:uid="{00000000-0005-0000-0000-000037020000}"/>
    <cellStyle name="Normal 11 5 11 3" xfId="643" xr:uid="{00000000-0005-0000-0000-000038020000}"/>
    <cellStyle name="Normal 11 5 11_13008" xfId="644" xr:uid="{00000000-0005-0000-0000-000039020000}"/>
    <cellStyle name="Normal 11 5 12" xfId="645" xr:uid="{00000000-0005-0000-0000-00003A020000}"/>
    <cellStyle name="Normal 11 5 13" xfId="646" xr:uid="{00000000-0005-0000-0000-00003B020000}"/>
    <cellStyle name="Normal 11 5 14" xfId="1522" xr:uid="{00000000-0005-0000-0000-00003C020000}"/>
    <cellStyle name="Normal 11 5 19" xfId="647" xr:uid="{00000000-0005-0000-0000-00003D020000}"/>
    <cellStyle name="Normal 11 5 19 2" xfId="648" xr:uid="{00000000-0005-0000-0000-00003E020000}"/>
    <cellStyle name="Normal 11 5 19_13008" xfId="649" xr:uid="{00000000-0005-0000-0000-00003F020000}"/>
    <cellStyle name="Normal 11 5 2" xfId="650" xr:uid="{00000000-0005-0000-0000-000040020000}"/>
    <cellStyle name="Normal 11 5 2 2" xfId="651" xr:uid="{00000000-0005-0000-0000-000041020000}"/>
    <cellStyle name="Normal 11 5 2 2 2" xfId="652" xr:uid="{00000000-0005-0000-0000-000042020000}"/>
    <cellStyle name="Normal 11 5 2 2 2 2" xfId="653" xr:uid="{00000000-0005-0000-0000-000043020000}"/>
    <cellStyle name="Normal 11 5 2 2 2 3" xfId="654" xr:uid="{00000000-0005-0000-0000-000044020000}"/>
    <cellStyle name="Normal 11 5 2 2 2_13008" xfId="655" xr:uid="{00000000-0005-0000-0000-000045020000}"/>
    <cellStyle name="Normal 11 5 2 2 3" xfId="656" xr:uid="{00000000-0005-0000-0000-000046020000}"/>
    <cellStyle name="Normal 11 5 2 2 3 2" xfId="657" xr:uid="{00000000-0005-0000-0000-000047020000}"/>
    <cellStyle name="Normal 11 5 2 2 3 3" xfId="658" xr:uid="{00000000-0005-0000-0000-000048020000}"/>
    <cellStyle name="Normal 11 5 2 2 3_13008" xfId="659" xr:uid="{00000000-0005-0000-0000-000049020000}"/>
    <cellStyle name="Normal 11 5 2 2 4" xfId="660" xr:uid="{00000000-0005-0000-0000-00004A020000}"/>
    <cellStyle name="Normal 11 5 2 2 5" xfId="661" xr:uid="{00000000-0005-0000-0000-00004B020000}"/>
    <cellStyle name="Normal 11 5 2 2_13008" xfId="662" xr:uid="{00000000-0005-0000-0000-00004C020000}"/>
    <cellStyle name="Normal 11 5 2 3" xfId="663" xr:uid="{00000000-0005-0000-0000-00004D020000}"/>
    <cellStyle name="Normal 11 5 2 3 2" xfId="664" xr:uid="{00000000-0005-0000-0000-00004E020000}"/>
    <cellStyle name="Normal 11 5 2 3 3" xfId="665" xr:uid="{00000000-0005-0000-0000-00004F020000}"/>
    <cellStyle name="Normal 11 5 2 3_13008" xfId="666" xr:uid="{00000000-0005-0000-0000-000050020000}"/>
    <cellStyle name="Normal 11 5 2 4" xfId="667" xr:uid="{00000000-0005-0000-0000-000051020000}"/>
    <cellStyle name="Normal 11 5 2 4 2" xfId="668" xr:uid="{00000000-0005-0000-0000-000052020000}"/>
    <cellStyle name="Normal 11 5 2 4 3" xfId="669" xr:uid="{00000000-0005-0000-0000-000053020000}"/>
    <cellStyle name="Normal 11 5 2 4_13008" xfId="670" xr:uid="{00000000-0005-0000-0000-000054020000}"/>
    <cellStyle name="Normal 11 5 2 5" xfId="671" xr:uid="{00000000-0005-0000-0000-000055020000}"/>
    <cellStyle name="Normal 11 5 2 5 2" xfId="672" xr:uid="{00000000-0005-0000-0000-000056020000}"/>
    <cellStyle name="Normal 11 5 2 5 3" xfId="673" xr:uid="{00000000-0005-0000-0000-000057020000}"/>
    <cellStyle name="Normal 11 5 2 5_13008" xfId="674" xr:uid="{00000000-0005-0000-0000-000058020000}"/>
    <cellStyle name="Normal 11 5 2 6" xfId="675" xr:uid="{00000000-0005-0000-0000-000059020000}"/>
    <cellStyle name="Normal 11 5 2 7" xfId="676" xr:uid="{00000000-0005-0000-0000-00005A020000}"/>
    <cellStyle name="Normal 11 5 2_13008" xfId="677" xr:uid="{00000000-0005-0000-0000-00005B020000}"/>
    <cellStyle name="Normal 11 5 3" xfId="678" xr:uid="{00000000-0005-0000-0000-00005C020000}"/>
    <cellStyle name="Normal 11 5 3 2" xfId="679" xr:uid="{00000000-0005-0000-0000-00005D020000}"/>
    <cellStyle name="Normal 11 5 3 2 2" xfId="680" xr:uid="{00000000-0005-0000-0000-00005E020000}"/>
    <cellStyle name="Normal 11 5 3 2 3" xfId="681" xr:uid="{00000000-0005-0000-0000-00005F020000}"/>
    <cellStyle name="Normal 11 5 3 2_13008" xfId="682" xr:uid="{00000000-0005-0000-0000-000060020000}"/>
    <cellStyle name="Normal 11 5 3 3" xfId="683" xr:uid="{00000000-0005-0000-0000-000061020000}"/>
    <cellStyle name="Normal 11 5 3 3 2" xfId="684" xr:uid="{00000000-0005-0000-0000-000062020000}"/>
    <cellStyle name="Normal 11 5 3 3 3" xfId="685" xr:uid="{00000000-0005-0000-0000-000063020000}"/>
    <cellStyle name="Normal 11 5 3 3_13008" xfId="686" xr:uid="{00000000-0005-0000-0000-000064020000}"/>
    <cellStyle name="Normal 11 5 3 4" xfId="687" xr:uid="{00000000-0005-0000-0000-000065020000}"/>
    <cellStyle name="Normal 11 5 3 5" xfId="688" xr:uid="{00000000-0005-0000-0000-000066020000}"/>
    <cellStyle name="Normal 11 5 3_13008" xfId="689" xr:uid="{00000000-0005-0000-0000-000067020000}"/>
    <cellStyle name="Normal 11 5 4" xfId="690" xr:uid="{00000000-0005-0000-0000-000068020000}"/>
    <cellStyle name="Normal 11 5 4 2" xfId="691" xr:uid="{00000000-0005-0000-0000-000069020000}"/>
    <cellStyle name="Normal 11 5 4 3" xfId="692" xr:uid="{00000000-0005-0000-0000-00006A020000}"/>
    <cellStyle name="Normal 11 5 4_13008" xfId="693" xr:uid="{00000000-0005-0000-0000-00006B020000}"/>
    <cellStyle name="Normal 11 5 5" xfId="694" xr:uid="{00000000-0005-0000-0000-00006C020000}"/>
    <cellStyle name="Normal 11 5 5 2" xfId="695" xr:uid="{00000000-0005-0000-0000-00006D020000}"/>
    <cellStyle name="Normal 11 5 5 3" xfId="696" xr:uid="{00000000-0005-0000-0000-00006E020000}"/>
    <cellStyle name="Normal 11 5 5_13008" xfId="697" xr:uid="{00000000-0005-0000-0000-00006F020000}"/>
    <cellStyle name="Normal 11 5 6" xfId="698" xr:uid="{00000000-0005-0000-0000-000070020000}"/>
    <cellStyle name="Normal 11 5 6 2" xfId="699" xr:uid="{00000000-0005-0000-0000-000071020000}"/>
    <cellStyle name="Normal 11 5 6 3" xfId="700" xr:uid="{00000000-0005-0000-0000-000072020000}"/>
    <cellStyle name="Normal 11 5 6_13008" xfId="701" xr:uid="{00000000-0005-0000-0000-000073020000}"/>
    <cellStyle name="Normal 11 5 7" xfId="702" xr:uid="{00000000-0005-0000-0000-000074020000}"/>
    <cellStyle name="Normal 11 5 7 2" xfId="703" xr:uid="{00000000-0005-0000-0000-000075020000}"/>
    <cellStyle name="Normal 11 5 7 3" xfId="704" xr:uid="{00000000-0005-0000-0000-000076020000}"/>
    <cellStyle name="Normal 11 5 7_13008" xfId="705" xr:uid="{00000000-0005-0000-0000-000077020000}"/>
    <cellStyle name="Normal 11 5 8" xfId="706" xr:uid="{00000000-0005-0000-0000-000078020000}"/>
    <cellStyle name="Normal 11 5 8 2" xfId="707" xr:uid="{00000000-0005-0000-0000-000079020000}"/>
    <cellStyle name="Normal 11 5 8 3" xfId="708" xr:uid="{00000000-0005-0000-0000-00007A020000}"/>
    <cellStyle name="Normal 11 5 8_13008" xfId="709" xr:uid="{00000000-0005-0000-0000-00007B020000}"/>
    <cellStyle name="Normal 11 5 9" xfId="710" xr:uid="{00000000-0005-0000-0000-00007C020000}"/>
    <cellStyle name="Normal 11 5 9 2" xfId="711" xr:uid="{00000000-0005-0000-0000-00007D020000}"/>
    <cellStyle name="Normal 11 5 9 3" xfId="712" xr:uid="{00000000-0005-0000-0000-00007E020000}"/>
    <cellStyle name="Normal 11 5 9_13008" xfId="713" xr:uid="{00000000-0005-0000-0000-00007F020000}"/>
    <cellStyle name="Normal 11 5_13008" xfId="714" xr:uid="{00000000-0005-0000-0000-000080020000}"/>
    <cellStyle name="Normal 11 6" xfId="715" xr:uid="{00000000-0005-0000-0000-000081020000}"/>
    <cellStyle name="Normal 11 6 2" xfId="716" xr:uid="{00000000-0005-0000-0000-000082020000}"/>
    <cellStyle name="Normal 11 6 2 2" xfId="717" xr:uid="{00000000-0005-0000-0000-000083020000}"/>
    <cellStyle name="Normal 11 6 2 3" xfId="718" xr:uid="{00000000-0005-0000-0000-000084020000}"/>
    <cellStyle name="Normal 11 6 2_13008" xfId="719" xr:uid="{00000000-0005-0000-0000-000085020000}"/>
    <cellStyle name="Normal 11 6 3" xfId="720" xr:uid="{00000000-0005-0000-0000-000086020000}"/>
    <cellStyle name="Normal 11 6 3 2" xfId="721" xr:uid="{00000000-0005-0000-0000-000087020000}"/>
    <cellStyle name="Normal 11 6 3 3" xfId="722" xr:uid="{00000000-0005-0000-0000-000088020000}"/>
    <cellStyle name="Normal 11 6 3_13008" xfId="723" xr:uid="{00000000-0005-0000-0000-000089020000}"/>
    <cellStyle name="Normal 11 6 4" xfId="724" xr:uid="{00000000-0005-0000-0000-00008A020000}"/>
    <cellStyle name="Normal 11 6 5" xfId="725" xr:uid="{00000000-0005-0000-0000-00008B020000}"/>
    <cellStyle name="Normal 11 6_13008" xfId="726" xr:uid="{00000000-0005-0000-0000-00008C020000}"/>
    <cellStyle name="Normal 11 7" xfId="727" xr:uid="{00000000-0005-0000-0000-00008D020000}"/>
    <cellStyle name="Normal 11 7 2" xfId="728" xr:uid="{00000000-0005-0000-0000-00008E020000}"/>
    <cellStyle name="Normal 11 7 3" xfId="729" xr:uid="{00000000-0005-0000-0000-00008F020000}"/>
    <cellStyle name="Normal 11 7_13008" xfId="730" xr:uid="{00000000-0005-0000-0000-000090020000}"/>
    <cellStyle name="Normal 11 8" xfId="731" xr:uid="{00000000-0005-0000-0000-000091020000}"/>
    <cellStyle name="Normal 11 8 2" xfId="732" xr:uid="{00000000-0005-0000-0000-000092020000}"/>
    <cellStyle name="Normal 11 8 3" xfId="733" xr:uid="{00000000-0005-0000-0000-000093020000}"/>
    <cellStyle name="Normal 11 8_13008" xfId="734" xr:uid="{00000000-0005-0000-0000-000094020000}"/>
    <cellStyle name="Normal 11 9" xfId="735" xr:uid="{00000000-0005-0000-0000-000095020000}"/>
    <cellStyle name="Normal 11 9 2" xfId="736" xr:uid="{00000000-0005-0000-0000-000096020000}"/>
    <cellStyle name="Normal 11 9 3" xfId="737" xr:uid="{00000000-0005-0000-0000-000097020000}"/>
    <cellStyle name="Normal 11 9_13008" xfId="738" xr:uid="{00000000-0005-0000-0000-000098020000}"/>
    <cellStyle name="Normal 11_13008" xfId="739" xr:uid="{00000000-0005-0000-0000-000099020000}"/>
    <cellStyle name="Normal 12" xfId="85" xr:uid="{00000000-0005-0000-0000-00009A020000}"/>
    <cellStyle name="Normal 12 2" xfId="740" xr:uid="{00000000-0005-0000-0000-00009B020000}"/>
    <cellStyle name="Normal 12 2 2" xfId="741" xr:uid="{00000000-0005-0000-0000-00009C020000}"/>
    <cellStyle name="Normal 12 2 3" xfId="742" xr:uid="{00000000-0005-0000-0000-00009D020000}"/>
    <cellStyle name="Normal 12 2_13008" xfId="743" xr:uid="{00000000-0005-0000-0000-00009E020000}"/>
    <cellStyle name="Normal 12 3" xfId="744" xr:uid="{00000000-0005-0000-0000-00009F020000}"/>
    <cellStyle name="Normal 12 3 2" xfId="745" xr:uid="{00000000-0005-0000-0000-0000A0020000}"/>
    <cellStyle name="Normal 12 3 3" xfId="746" xr:uid="{00000000-0005-0000-0000-0000A1020000}"/>
    <cellStyle name="Normal 12 3_13008" xfId="747" xr:uid="{00000000-0005-0000-0000-0000A2020000}"/>
    <cellStyle name="Normal 12 4" xfId="748" xr:uid="{00000000-0005-0000-0000-0000A3020000}"/>
    <cellStyle name="Normal 12 4 2" xfId="749" xr:uid="{00000000-0005-0000-0000-0000A4020000}"/>
    <cellStyle name="Normal 12 4 3" xfId="750" xr:uid="{00000000-0005-0000-0000-0000A5020000}"/>
    <cellStyle name="Normal 12 4_13008" xfId="751" xr:uid="{00000000-0005-0000-0000-0000A6020000}"/>
    <cellStyle name="Normal 12 5" xfId="752" xr:uid="{00000000-0005-0000-0000-0000A7020000}"/>
    <cellStyle name="Normal 12 5 2" xfId="753" xr:uid="{00000000-0005-0000-0000-0000A8020000}"/>
    <cellStyle name="Normal 12 5 3" xfId="754" xr:uid="{00000000-0005-0000-0000-0000A9020000}"/>
    <cellStyle name="Normal 12 5_13008" xfId="755" xr:uid="{00000000-0005-0000-0000-0000AA020000}"/>
    <cellStyle name="Normal 12 6" xfId="756" xr:uid="{00000000-0005-0000-0000-0000AB020000}"/>
    <cellStyle name="Normal 12 6 2" xfId="757" xr:uid="{00000000-0005-0000-0000-0000AC020000}"/>
    <cellStyle name="Normal 12 6 3" xfId="758" xr:uid="{00000000-0005-0000-0000-0000AD020000}"/>
    <cellStyle name="Normal 12 6_13008" xfId="759" xr:uid="{00000000-0005-0000-0000-0000AE020000}"/>
    <cellStyle name="Normal 12 7" xfId="760" xr:uid="{00000000-0005-0000-0000-0000AF020000}"/>
    <cellStyle name="Normal 12 7 2" xfId="761" xr:uid="{00000000-0005-0000-0000-0000B0020000}"/>
    <cellStyle name="Normal 12 7_13008" xfId="762" xr:uid="{00000000-0005-0000-0000-0000B1020000}"/>
    <cellStyle name="Normal 12 8" xfId="763" xr:uid="{00000000-0005-0000-0000-0000B2020000}"/>
    <cellStyle name="Normal 12 9" xfId="1520" xr:uid="{00000000-0005-0000-0000-0000B3020000}"/>
    <cellStyle name="Normal 13" xfId="86" xr:uid="{00000000-0005-0000-0000-0000B4020000}"/>
    <cellStyle name="Normal 13 2" xfId="764" xr:uid="{00000000-0005-0000-0000-0000B5020000}"/>
    <cellStyle name="Normal 13 2 2" xfId="765" xr:uid="{00000000-0005-0000-0000-0000B6020000}"/>
    <cellStyle name="Normal 13 2 2 2" xfId="766" xr:uid="{00000000-0005-0000-0000-0000B7020000}"/>
    <cellStyle name="Normal 13 2 2 3" xfId="767" xr:uid="{00000000-0005-0000-0000-0000B8020000}"/>
    <cellStyle name="Normal 13 2 2_13008" xfId="768" xr:uid="{00000000-0005-0000-0000-0000B9020000}"/>
    <cellStyle name="Normal 13 2 3" xfId="769" xr:uid="{00000000-0005-0000-0000-0000BA020000}"/>
    <cellStyle name="Normal 13 2 3 2" xfId="770" xr:uid="{00000000-0005-0000-0000-0000BB020000}"/>
    <cellStyle name="Normal 13 2 3 3" xfId="771" xr:uid="{00000000-0005-0000-0000-0000BC020000}"/>
    <cellStyle name="Normal 13 2 3_13008" xfId="772" xr:uid="{00000000-0005-0000-0000-0000BD020000}"/>
    <cellStyle name="Normal 13 2 4" xfId="773" xr:uid="{00000000-0005-0000-0000-0000BE020000}"/>
    <cellStyle name="Normal 13 2 5" xfId="774" xr:uid="{00000000-0005-0000-0000-0000BF020000}"/>
    <cellStyle name="Normal 13 2_13008" xfId="775" xr:uid="{00000000-0005-0000-0000-0000C0020000}"/>
    <cellStyle name="Normal 13 3" xfId="776" xr:uid="{00000000-0005-0000-0000-0000C1020000}"/>
    <cellStyle name="Normal 13 3 2" xfId="777" xr:uid="{00000000-0005-0000-0000-0000C2020000}"/>
    <cellStyle name="Normal 13 3 3" xfId="778" xr:uid="{00000000-0005-0000-0000-0000C3020000}"/>
    <cellStyle name="Normal 13 3_13008" xfId="779" xr:uid="{00000000-0005-0000-0000-0000C4020000}"/>
    <cellStyle name="Normal 13 4" xfId="780" xr:uid="{00000000-0005-0000-0000-0000C5020000}"/>
    <cellStyle name="Normal 13 4 2" xfId="781" xr:uid="{00000000-0005-0000-0000-0000C6020000}"/>
    <cellStyle name="Normal 13 4 3" xfId="782" xr:uid="{00000000-0005-0000-0000-0000C7020000}"/>
    <cellStyle name="Normal 13 4_13008" xfId="783" xr:uid="{00000000-0005-0000-0000-0000C8020000}"/>
    <cellStyle name="Normal 13 5" xfId="784" xr:uid="{00000000-0005-0000-0000-0000C9020000}"/>
    <cellStyle name="Normal 13 5 2" xfId="785" xr:uid="{00000000-0005-0000-0000-0000CA020000}"/>
    <cellStyle name="Normal 13 5 3" xfId="786" xr:uid="{00000000-0005-0000-0000-0000CB020000}"/>
    <cellStyle name="Normal 13 5_13008" xfId="787" xr:uid="{00000000-0005-0000-0000-0000CC020000}"/>
    <cellStyle name="Normal 13 6" xfId="788" xr:uid="{00000000-0005-0000-0000-0000CD020000}"/>
    <cellStyle name="Normal 13 6 2" xfId="789" xr:uid="{00000000-0005-0000-0000-0000CE020000}"/>
    <cellStyle name="Normal 13 6 3" xfId="790" xr:uid="{00000000-0005-0000-0000-0000CF020000}"/>
    <cellStyle name="Normal 13 6_13008" xfId="791" xr:uid="{00000000-0005-0000-0000-0000D0020000}"/>
    <cellStyle name="Normal 13 7" xfId="792" xr:uid="{00000000-0005-0000-0000-0000D1020000}"/>
    <cellStyle name="Normal 13 7 2" xfId="793" xr:uid="{00000000-0005-0000-0000-0000D2020000}"/>
    <cellStyle name="Normal 13 7_13008" xfId="794" xr:uid="{00000000-0005-0000-0000-0000D3020000}"/>
    <cellStyle name="Normal 13 8" xfId="795" xr:uid="{00000000-0005-0000-0000-0000D4020000}"/>
    <cellStyle name="Normal 13 9" xfId="796" xr:uid="{00000000-0005-0000-0000-0000D5020000}"/>
    <cellStyle name="Normal 13_13008" xfId="797" xr:uid="{00000000-0005-0000-0000-0000D6020000}"/>
    <cellStyle name="Normal 14" xfId="87" xr:uid="{00000000-0005-0000-0000-0000D7020000}"/>
    <cellStyle name="Normal 14 2" xfId="798" xr:uid="{00000000-0005-0000-0000-0000D8020000}"/>
    <cellStyle name="Normal 14 2 2" xfId="799" xr:uid="{00000000-0005-0000-0000-0000D9020000}"/>
    <cellStyle name="Normal 14 2 2 2" xfId="800" xr:uid="{00000000-0005-0000-0000-0000DA020000}"/>
    <cellStyle name="Normal 14 2 2 3" xfId="801" xr:uid="{00000000-0005-0000-0000-0000DB020000}"/>
    <cellStyle name="Normal 14 2 2_13008" xfId="802" xr:uid="{00000000-0005-0000-0000-0000DC020000}"/>
    <cellStyle name="Normal 14 2 3" xfId="803" xr:uid="{00000000-0005-0000-0000-0000DD020000}"/>
    <cellStyle name="Normal 14 2 3 2" xfId="804" xr:uid="{00000000-0005-0000-0000-0000DE020000}"/>
    <cellStyle name="Normal 14 2 3 3" xfId="805" xr:uid="{00000000-0005-0000-0000-0000DF020000}"/>
    <cellStyle name="Normal 14 2 3_13008" xfId="806" xr:uid="{00000000-0005-0000-0000-0000E0020000}"/>
    <cellStyle name="Normal 14 2 4" xfId="807" xr:uid="{00000000-0005-0000-0000-0000E1020000}"/>
    <cellStyle name="Normal 14 2 5" xfId="808" xr:uid="{00000000-0005-0000-0000-0000E2020000}"/>
    <cellStyle name="Normal 14 2_13008" xfId="809" xr:uid="{00000000-0005-0000-0000-0000E3020000}"/>
    <cellStyle name="Normal 14 3" xfId="810" xr:uid="{00000000-0005-0000-0000-0000E4020000}"/>
    <cellStyle name="Normal 14 3 2" xfId="811" xr:uid="{00000000-0005-0000-0000-0000E5020000}"/>
    <cellStyle name="Normal 14 3 3" xfId="812" xr:uid="{00000000-0005-0000-0000-0000E6020000}"/>
    <cellStyle name="Normal 14 3_13008" xfId="813" xr:uid="{00000000-0005-0000-0000-0000E7020000}"/>
    <cellStyle name="Normal 14 4" xfId="814" xr:uid="{00000000-0005-0000-0000-0000E8020000}"/>
    <cellStyle name="Normal 14 4 2" xfId="815" xr:uid="{00000000-0005-0000-0000-0000E9020000}"/>
    <cellStyle name="Normal 14 4 3" xfId="816" xr:uid="{00000000-0005-0000-0000-0000EA020000}"/>
    <cellStyle name="Normal 14 4_13008" xfId="817" xr:uid="{00000000-0005-0000-0000-0000EB020000}"/>
    <cellStyle name="Normal 14 5" xfId="818" xr:uid="{00000000-0005-0000-0000-0000EC020000}"/>
    <cellStyle name="Normal 14 5 2" xfId="819" xr:uid="{00000000-0005-0000-0000-0000ED020000}"/>
    <cellStyle name="Normal 14 5 3" xfId="820" xr:uid="{00000000-0005-0000-0000-0000EE020000}"/>
    <cellStyle name="Normal 14 5_13008" xfId="821" xr:uid="{00000000-0005-0000-0000-0000EF020000}"/>
    <cellStyle name="Normal 14 6" xfId="822" xr:uid="{00000000-0005-0000-0000-0000F0020000}"/>
    <cellStyle name="Normal 14 6 2" xfId="823" xr:uid="{00000000-0005-0000-0000-0000F1020000}"/>
    <cellStyle name="Normal 14 6 3" xfId="824" xr:uid="{00000000-0005-0000-0000-0000F2020000}"/>
    <cellStyle name="Normal 14 6_13008" xfId="825" xr:uid="{00000000-0005-0000-0000-0000F3020000}"/>
    <cellStyle name="Normal 14 7" xfId="826" xr:uid="{00000000-0005-0000-0000-0000F4020000}"/>
    <cellStyle name="Normal 14 8" xfId="827" xr:uid="{00000000-0005-0000-0000-0000F5020000}"/>
    <cellStyle name="Normal 14 9" xfId="828" xr:uid="{00000000-0005-0000-0000-0000F6020000}"/>
    <cellStyle name="Normal 14_13008" xfId="829" xr:uid="{00000000-0005-0000-0000-0000F7020000}"/>
    <cellStyle name="Normal 15" xfId="88" xr:uid="{00000000-0005-0000-0000-0000F8020000}"/>
    <cellStyle name="Normal 15 2" xfId="830" xr:uid="{00000000-0005-0000-0000-0000F9020000}"/>
    <cellStyle name="Normal 15 2 2" xfId="831" xr:uid="{00000000-0005-0000-0000-0000FA020000}"/>
    <cellStyle name="Normal 15 2 2 2" xfId="832" xr:uid="{00000000-0005-0000-0000-0000FB020000}"/>
    <cellStyle name="Normal 15 2 2 3" xfId="833" xr:uid="{00000000-0005-0000-0000-0000FC020000}"/>
    <cellStyle name="Normal 15 2 2_13008" xfId="834" xr:uid="{00000000-0005-0000-0000-0000FD020000}"/>
    <cellStyle name="Normal 15 2 3" xfId="835" xr:uid="{00000000-0005-0000-0000-0000FE020000}"/>
    <cellStyle name="Normal 15 2 4" xfId="836" xr:uid="{00000000-0005-0000-0000-0000FF020000}"/>
    <cellStyle name="Normal 15 2_13008" xfId="837" xr:uid="{00000000-0005-0000-0000-000000030000}"/>
    <cellStyle name="Normal 15 3" xfId="838" xr:uid="{00000000-0005-0000-0000-000001030000}"/>
    <cellStyle name="Normal 15 4" xfId="839" xr:uid="{00000000-0005-0000-0000-000002030000}"/>
    <cellStyle name="Normal 15 4 2" xfId="840" xr:uid="{00000000-0005-0000-0000-000003030000}"/>
    <cellStyle name="Normal 15 4 3" xfId="841" xr:uid="{00000000-0005-0000-0000-000004030000}"/>
    <cellStyle name="Normal 15 4_13008" xfId="842" xr:uid="{00000000-0005-0000-0000-000005030000}"/>
    <cellStyle name="Normal 15 5" xfId="843" xr:uid="{00000000-0005-0000-0000-000006030000}"/>
    <cellStyle name="Normal 15 5 2" xfId="844" xr:uid="{00000000-0005-0000-0000-000007030000}"/>
    <cellStyle name="Normal 15 5 3" xfId="845" xr:uid="{00000000-0005-0000-0000-000008030000}"/>
    <cellStyle name="Normal 15 5_13008" xfId="846" xr:uid="{00000000-0005-0000-0000-000009030000}"/>
    <cellStyle name="Normal 15 6" xfId="847" xr:uid="{00000000-0005-0000-0000-00000A030000}"/>
    <cellStyle name="Normal 15 6 2" xfId="848" xr:uid="{00000000-0005-0000-0000-00000B030000}"/>
    <cellStyle name="Normal 15 6 3" xfId="849" xr:uid="{00000000-0005-0000-0000-00000C030000}"/>
    <cellStyle name="Normal 15 6_13008" xfId="850" xr:uid="{00000000-0005-0000-0000-00000D030000}"/>
    <cellStyle name="Normal 15 7" xfId="851" xr:uid="{00000000-0005-0000-0000-00000E030000}"/>
    <cellStyle name="Normal 15 7 2" xfId="852" xr:uid="{00000000-0005-0000-0000-00000F030000}"/>
    <cellStyle name="Normal 15 7_13008" xfId="853" xr:uid="{00000000-0005-0000-0000-000010030000}"/>
    <cellStyle name="Normal 15 8" xfId="854" xr:uid="{00000000-0005-0000-0000-000011030000}"/>
    <cellStyle name="Normal 15 9" xfId="855" xr:uid="{00000000-0005-0000-0000-000012030000}"/>
    <cellStyle name="Normal 15_13008" xfId="856" xr:uid="{00000000-0005-0000-0000-000013030000}"/>
    <cellStyle name="Normal 16" xfId="89" xr:uid="{00000000-0005-0000-0000-000014030000}"/>
    <cellStyle name="Normal 16 2" xfId="857" xr:uid="{00000000-0005-0000-0000-000015030000}"/>
    <cellStyle name="Normal 16 3" xfId="858" xr:uid="{00000000-0005-0000-0000-000016030000}"/>
    <cellStyle name="Normal 16 4" xfId="859" xr:uid="{00000000-0005-0000-0000-000017030000}"/>
    <cellStyle name="Normal 16 5" xfId="860" xr:uid="{00000000-0005-0000-0000-000018030000}"/>
    <cellStyle name="Normal 17" xfId="90" xr:uid="{00000000-0005-0000-0000-000019030000}"/>
    <cellStyle name="Normal 17 2" xfId="861" xr:uid="{00000000-0005-0000-0000-00001A030000}"/>
    <cellStyle name="Normal 17 3" xfId="862" xr:uid="{00000000-0005-0000-0000-00001B030000}"/>
    <cellStyle name="Normal 17 4" xfId="863" xr:uid="{00000000-0005-0000-0000-00001C030000}"/>
    <cellStyle name="Normal 18" xfId="91" xr:uid="{00000000-0005-0000-0000-00001D030000}"/>
    <cellStyle name="Normal 18 2" xfId="864" xr:uid="{00000000-0005-0000-0000-00001E030000}"/>
    <cellStyle name="Normal 18 3" xfId="1523" xr:uid="{00000000-0005-0000-0000-00001F030000}"/>
    <cellStyle name="Normal 19" xfId="92" xr:uid="{00000000-0005-0000-0000-000020030000}"/>
    <cellStyle name="Normal 19 2" xfId="865" xr:uid="{00000000-0005-0000-0000-000021030000}"/>
    <cellStyle name="Normal 2" xfId="93" xr:uid="{00000000-0005-0000-0000-000022030000}"/>
    <cellStyle name="Normal 2 10" xfId="866" xr:uid="{00000000-0005-0000-0000-000023030000}"/>
    <cellStyle name="Normal 2 10 2" xfId="1537" xr:uid="{00000000-0005-0000-0000-000024030000}"/>
    <cellStyle name="Normal 2 11" xfId="867" xr:uid="{00000000-0005-0000-0000-000025030000}"/>
    <cellStyle name="Normal 2 11 2" xfId="868" xr:uid="{00000000-0005-0000-0000-000026030000}"/>
    <cellStyle name="Normal 2 11 3" xfId="869" xr:uid="{00000000-0005-0000-0000-000027030000}"/>
    <cellStyle name="Normal 2 11_13008" xfId="870" xr:uid="{00000000-0005-0000-0000-000028030000}"/>
    <cellStyle name="Normal 2 12" xfId="871" xr:uid="{00000000-0005-0000-0000-000029030000}"/>
    <cellStyle name="Normal 2 12 2" xfId="872" xr:uid="{00000000-0005-0000-0000-00002A030000}"/>
    <cellStyle name="Normal 2 12 3" xfId="873" xr:uid="{00000000-0005-0000-0000-00002B030000}"/>
    <cellStyle name="Normal 2 12_13008" xfId="874" xr:uid="{00000000-0005-0000-0000-00002C030000}"/>
    <cellStyle name="Normal 2 13" xfId="875" xr:uid="{00000000-0005-0000-0000-00002D030000}"/>
    <cellStyle name="Normal 2 13 2" xfId="876" xr:uid="{00000000-0005-0000-0000-00002E030000}"/>
    <cellStyle name="Normal 2 13 3" xfId="877" xr:uid="{00000000-0005-0000-0000-00002F030000}"/>
    <cellStyle name="Normal 2 13_13008" xfId="878" xr:uid="{00000000-0005-0000-0000-000030030000}"/>
    <cellStyle name="Normal 2 14" xfId="879" xr:uid="{00000000-0005-0000-0000-000031030000}"/>
    <cellStyle name="Normal 2 14 2" xfId="1534" xr:uid="{00000000-0005-0000-0000-000032030000}"/>
    <cellStyle name="Normal 2 15" xfId="880" xr:uid="{00000000-0005-0000-0000-000033030000}"/>
    <cellStyle name="Normal 2 15 2" xfId="881" xr:uid="{00000000-0005-0000-0000-000034030000}"/>
    <cellStyle name="Normal 2 15 3" xfId="882" xr:uid="{00000000-0005-0000-0000-000035030000}"/>
    <cellStyle name="Normal 2 15_13008" xfId="883" xr:uid="{00000000-0005-0000-0000-000036030000}"/>
    <cellStyle name="Normal 2 16" xfId="884" xr:uid="{00000000-0005-0000-0000-000037030000}"/>
    <cellStyle name="Normal 2 16 2" xfId="885" xr:uid="{00000000-0005-0000-0000-000038030000}"/>
    <cellStyle name="Normal 2 16 3" xfId="886" xr:uid="{00000000-0005-0000-0000-000039030000}"/>
    <cellStyle name="Normal 2 16_13008" xfId="887" xr:uid="{00000000-0005-0000-0000-00003A030000}"/>
    <cellStyle name="Normal 2 17" xfId="888" xr:uid="{00000000-0005-0000-0000-00003B030000}"/>
    <cellStyle name="Normal 2 17 2" xfId="889" xr:uid="{00000000-0005-0000-0000-00003C030000}"/>
    <cellStyle name="Normal 2 17 3" xfId="890" xr:uid="{00000000-0005-0000-0000-00003D030000}"/>
    <cellStyle name="Normal 2 17_13008" xfId="891" xr:uid="{00000000-0005-0000-0000-00003E030000}"/>
    <cellStyle name="Normal 2 18" xfId="892" xr:uid="{00000000-0005-0000-0000-00003F030000}"/>
    <cellStyle name="Normal 2 18 2" xfId="893" xr:uid="{00000000-0005-0000-0000-000040030000}"/>
    <cellStyle name="Normal 2 18 3" xfId="894" xr:uid="{00000000-0005-0000-0000-000041030000}"/>
    <cellStyle name="Normal 2 18_13008" xfId="895" xr:uid="{00000000-0005-0000-0000-000042030000}"/>
    <cellStyle name="Normal 2 19" xfId="896" xr:uid="{00000000-0005-0000-0000-000043030000}"/>
    <cellStyle name="Normal 2 2" xfId="94" xr:uid="{00000000-0005-0000-0000-000044030000}"/>
    <cellStyle name="Normal 2 2 2" xfId="95" xr:uid="{00000000-0005-0000-0000-000045030000}"/>
    <cellStyle name="Normal 2 2 2 2" xfId="897" xr:uid="{00000000-0005-0000-0000-000046030000}"/>
    <cellStyle name="Normal 2 2 2 2 2" xfId="898" xr:uid="{00000000-0005-0000-0000-000047030000}"/>
    <cellStyle name="Normal 2 2 2 2 2 2" xfId="899" xr:uid="{00000000-0005-0000-0000-000048030000}"/>
    <cellStyle name="Normal 2 2 2 2 2 2 2" xfId="900" xr:uid="{00000000-0005-0000-0000-000049030000}"/>
    <cellStyle name="Normal 2 2 2 2 2 2 3" xfId="901" xr:uid="{00000000-0005-0000-0000-00004A030000}"/>
    <cellStyle name="Normal 2 2 2 2 2 2_13008" xfId="902" xr:uid="{00000000-0005-0000-0000-00004B030000}"/>
    <cellStyle name="Normal 2 2 2 2 2 3" xfId="903" xr:uid="{00000000-0005-0000-0000-00004C030000}"/>
    <cellStyle name="Normal 2 2 2 2 2 3 2" xfId="904" xr:uid="{00000000-0005-0000-0000-00004D030000}"/>
    <cellStyle name="Normal 2 2 2 2 2 3 3" xfId="905" xr:uid="{00000000-0005-0000-0000-00004E030000}"/>
    <cellStyle name="Normal 2 2 2 2 2 3_13008" xfId="906" xr:uid="{00000000-0005-0000-0000-00004F030000}"/>
    <cellStyle name="Normal 2 2 2 2 2 4" xfId="907" xr:uid="{00000000-0005-0000-0000-000050030000}"/>
    <cellStyle name="Normal 2 2 2 2 2 5" xfId="908" xr:uid="{00000000-0005-0000-0000-000051030000}"/>
    <cellStyle name="Normal 2 2 2 2 2_13008" xfId="909" xr:uid="{00000000-0005-0000-0000-000052030000}"/>
    <cellStyle name="Normal 2 2 2 2 3" xfId="910" xr:uid="{00000000-0005-0000-0000-000053030000}"/>
    <cellStyle name="Normal 2 2 2 2 3 2" xfId="911" xr:uid="{00000000-0005-0000-0000-000054030000}"/>
    <cellStyle name="Normal 2 2 2 2 3 3" xfId="912" xr:uid="{00000000-0005-0000-0000-000055030000}"/>
    <cellStyle name="Normal 2 2 2 2 3_13008" xfId="913" xr:uid="{00000000-0005-0000-0000-000056030000}"/>
    <cellStyle name="Normal 2 2 2 2 4" xfId="914" xr:uid="{00000000-0005-0000-0000-000057030000}"/>
    <cellStyle name="Normal 2 2 2 2 4 2" xfId="915" xr:uid="{00000000-0005-0000-0000-000058030000}"/>
    <cellStyle name="Normal 2 2 2 2 4 3" xfId="916" xr:uid="{00000000-0005-0000-0000-000059030000}"/>
    <cellStyle name="Normal 2 2 2 2 4_13008" xfId="917" xr:uid="{00000000-0005-0000-0000-00005A030000}"/>
    <cellStyle name="Normal 2 2 2 2 5" xfId="918" xr:uid="{00000000-0005-0000-0000-00005B030000}"/>
    <cellStyle name="Normal 2 2 2 2 6" xfId="919" xr:uid="{00000000-0005-0000-0000-00005C030000}"/>
    <cellStyle name="Normal 2 2 2 2_13008" xfId="920" xr:uid="{00000000-0005-0000-0000-00005D030000}"/>
    <cellStyle name="Normal 2 2 2 3" xfId="921" xr:uid="{00000000-0005-0000-0000-00005E030000}"/>
    <cellStyle name="Normal 2 2 2 4" xfId="922" xr:uid="{00000000-0005-0000-0000-00005F030000}"/>
    <cellStyle name="Normal 2 2 2 4 2" xfId="923" xr:uid="{00000000-0005-0000-0000-000060030000}"/>
    <cellStyle name="Normal 2 2 2 4 2 2" xfId="924" xr:uid="{00000000-0005-0000-0000-000061030000}"/>
    <cellStyle name="Normal 2 2 2 4 2 3" xfId="925" xr:uid="{00000000-0005-0000-0000-000062030000}"/>
    <cellStyle name="Normal 2 2 2 4 2_13008" xfId="926" xr:uid="{00000000-0005-0000-0000-000063030000}"/>
    <cellStyle name="Normal 2 2 2 4 3" xfId="927" xr:uid="{00000000-0005-0000-0000-000064030000}"/>
    <cellStyle name="Normal 2 2 2 4 3 2" xfId="928" xr:uid="{00000000-0005-0000-0000-000065030000}"/>
    <cellStyle name="Normal 2 2 2 4 3 3" xfId="929" xr:uid="{00000000-0005-0000-0000-000066030000}"/>
    <cellStyle name="Normal 2 2 2 4 3_13008" xfId="930" xr:uid="{00000000-0005-0000-0000-000067030000}"/>
    <cellStyle name="Normal 2 2 2 4 4" xfId="931" xr:uid="{00000000-0005-0000-0000-000068030000}"/>
    <cellStyle name="Normal 2 2 2 4 5" xfId="932" xr:uid="{00000000-0005-0000-0000-000069030000}"/>
    <cellStyle name="Normal 2 2 2 4_13008" xfId="933" xr:uid="{00000000-0005-0000-0000-00006A030000}"/>
    <cellStyle name="Normal 2 2 2 5" xfId="934" xr:uid="{00000000-0005-0000-0000-00006B030000}"/>
    <cellStyle name="Normal 2 2 2 6" xfId="935" xr:uid="{00000000-0005-0000-0000-00006C030000}"/>
    <cellStyle name="Normal 2 2 2_11599" xfId="936" xr:uid="{00000000-0005-0000-0000-00006D030000}"/>
    <cellStyle name="Normal 2 2 3" xfId="96" xr:uid="{00000000-0005-0000-0000-00006E030000}"/>
    <cellStyle name="Normal 2 2 3 2" xfId="937" xr:uid="{00000000-0005-0000-0000-00006F030000}"/>
    <cellStyle name="Normal 2 2 3 2 2" xfId="938" xr:uid="{00000000-0005-0000-0000-000070030000}"/>
    <cellStyle name="Normal 2 2 3 2 2 2" xfId="939" xr:uid="{00000000-0005-0000-0000-000071030000}"/>
    <cellStyle name="Normal 2 2 3 2 2 3" xfId="940" xr:uid="{00000000-0005-0000-0000-000072030000}"/>
    <cellStyle name="Normal 2 2 3 2 2_13008" xfId="941" xr:uid="{00000000-0005-0000-0000-000073030000}"/>
    <cellStyle name="Normal 2 2 3 2 3" xfId="942" xr:uid="{00000000-0005-0000-0000-000074030000}"/>
    <cellStyle name="Normal 2 2 3 2 3 2" xfId="943" xr:uid="{00000000-0005-0000-0000-000075030000}"/>
    <cellStyle name="Normal 2 2 3 2 3 3" xfId="944" xr:uid="{00000000-0005-0000-0000-000076030000}"/>
    <cellStyle name="Normal 2 2 3 2 3_13008" xfId="945" xr:uid="{00000000-0005-0000-0000-000077030000}"/>
    <cellStyle name="Normal 2 2 3 2 4" xfId="946" xr:uid="{00000000-0005-0000-0000-000078030000}"/>
    <cellStyle name="Normal 2 2 3 2 5" xfId="947" xr:uid="{00000000-0005-0000-0000-000079030000}"/>
    <cellStyle name="Normal 2 2 3 2_13008" xfId="948" xr:uid="{00000000-0005-0000-0000-00007A030000}"/>
    <cellStyle name="Normal 2 2 3 3" xfId="949" xr:uid="{00000000-0005-0000-0000-00007B030000}"/>
    <cellStyle name="Normal 2 2 3 3 2" xfId="950" xr:uid="{00000000-0005-0000-0000-00007C030000}"/>
    <cellStyle name="Normal 2 2 3 3 3" xfId="951" xr:uid="{00000000-0005-0000-0000-00007D030000}"/>
    <cellStyle name="Normal 2 2 3 3_13008" xfId="952" xr:uid="{00000000-0005-0000-0000-00007E030000}"/>
    <cellStyle name="Normal 2 2 3 4" xfId="953" xr:uid="{00000000-0005-0000-0000-00007F030000}"/>
    <cellStyle name="Normal 2 2 3 4 2" xfId="954" xr:uid="{00000000-0005-0000-0000-000080030000}"/>
    <cellStyle name="Normal 2 2 3 4 3" xfId="955" xr:uid="{00000000-0005-0000-0000-000081030000}"/>
    <cellStyle name="Normal 2 2 3 4_13008" xfId="956" xr:uid="{00000000-0005-0000-0000-000082030000}"/>
    <cellStyle name="Normal 2 2 3 5" xfId="957" xr:uid="{00000000-0005-0000-0000-000083030000}"/>
    <cellStyle name="Normal 2 2 3 6" xfId="958" xr:uid="{00000000-0005-0000-0000-000084030000}"/>
    <cellStyle name="Normal 2 2 3_13008" xfId="959" xr:uid="{00000000-0005-0000-0000-000085030000}"/>
    <cellStyle name="Normal 2 2 4" xfId="960" xr:uid="{00000000-0005-0000-0000-000086030000}"/>
    <cellStyle name="Normal 2 2 4 2" xfId="961" xr:uid="{00000000-0005-0000-0000-000087030000}"/>
    <cellStyle name="Normal 2 2 4 2 2" xfId="962" xr:uid="{00000000-0005-0000-0000-000088030000}"/>
    <cellStyle name="Normal 2 2 4 2 3" xfId="963" xr:uid="{00000000-0005-0000-0000-000089030000}"/>
    <cellStyle name="Normal 2 2 4 2_13008" xfId="964" xr:uid="{00000000-0005-0000-0000-00008A030000}"/>
    <cellStyle name="Normal 2 2 4 3" xfId="965" xr:uid="{00000000-0005-0000-0000-00008B030000}"/>
    <cellStyle name="Normal 2 2 4 3 2" xfId="966" xr:uid="{00000000-0005-0000-0000-00008C030000}"/>
    <cellStyle name="Normal 2 2 4 3 3" xfId="967" xr:uid="{00000000-0005-0000-0000-00008D030000}"/>
    <cellStyle name="Normal 2 2 4 3_13008" xfId="968" xr:uid="{00000000-0005-0000-0000-00008E030000}"/>
    <cellStyle name="Normal 2 2 4 4" xfId="969" xr:uid="{00000000-0005-0000-0000-00008F030000}"/>
    <cellStyle name="Normal 2 2 4 5" xfId="970" xr:uid="{00000000-0005-0000-0000-000090030000}"/>
    <cellStyle name="Normal 2 2 4_13008" xfId="971" xr:uid="{00000000-0005-0000-0000-000091030000}"/>
    <cellStyle name="Normal 2 2 5" xfId="972" xr:uid="{00000000-0005-0000-0000-000092030000}"/>
    <cellStyle name="Normal 2 2 5 2" xfId="973" xr:uid="{00000000-0005-0000-0000-000093030000}"/>
    <cellStyle name="Normal 2 2 5 3" xfId="974" xr:uid="{00000000-0005-0000-0000-000094030000}"/>
    <cellStyle name="Normal 2 2 5_13008" xfId="975" xr:uid="{00000000-0005-0000-0000-000095030000}"/>
    <cellStyle name="Normal 2 2 6" xfId="976" xr:uid="{00000000-0005-0000-0000-000096030000}"/>
    <cellStyle name="Normal 2 2 6 2" xfId="977" xr:uid="{00000000-0005-0000-0000-000097030000}"/>
    <cellStyle name="Normal 2 2 6 3" xfId="978" xr:uid="{00000000-0005-0000-0000-000098030000}"/>
    <cellStyle name="Normal 2 2 6_13008" xfId="979" xr:uid="{00000000-0005-0000-0000-000099030000}"/>
    <cellStyle name="Normal 2 2 7" xfId="980" xr:uid="{00000000-0005-0000-0000-00009A030000}"/>
    <cellStyle name="Normal 2 2 7 2" xfId="981" xr:uid="{00000000-0005-0000-0000-00009B030000}"/>
    <cellStyle name="Normal 2 2 7 3" xfId="982" xr:uid="{00000000-0005-0000-0000-00009C030000}"/>
    <cellStyle name="Normal 2 2 7_13008" xfId="983" xr:uid="{00000000-0005-0000-0000-00009D030000}"/>
    <cellStyle name="Normal 2 2 8" xfId="984" xr:uid="{00000000-0005-0000-0000-00009E030000}"/>
    <cellStyle name="Normal 2 2 9" xfId="985" xr:uid="{00000000-0005-0000-0000-00009F030000}"/>
    <cellStyle name="Normal 2 2_11599" xfId="986" xr:uid="{00000000-0005-0000-0000-0000A0030000}"/>
    <cellStyle name="Normal 2 20" xfId="1524" xr:uid="{00000000-0005-0000-0000-0000A1030000}"/>
    <cellStyle name="Normal 2 3" xfId="97" xr:uid="{00000000-0005-0000-0000-0000A2030000}"/>
    <cellStyle name="Normal 2 3 2" xfId="98" xr:uid="{00000000-0005-0000-0000-0000A3030000}"/>
    <cellStyle name="Normal 2 3 3" xfId="99" xr:uid="{00000000-0005-0000-0000-0000A4030000}"/>
    <cellStyle name="Normal 2 3 4" xfId="987" xr:uid="{00000000-0005-0000-0000-0000A5030000}"/>
    <cellStyle name="Normal 2 3 4 2" xfId="988" xr:uid="{00000000-0005-0000-0000-0000A6030000}"/>
    <cellStyle name="Normal 2 3 4 3" xfId="989" xr:uid="{00000000-0005-0000-0000-0000A7030000}"/>
    <cellStyle name="Normal 2 3 4_13008" xfId="990" xr:uid="{00000000-0005-0000-0000-0000A8030000}"/>
    <cellStyle name="Normal 2 3 5" xfId="991" xr:uid="{00000000-0005-0000-0000-0000A9030000}"/>
    <cellStyle name="Normal 2 3_CloseManagement" xfId="992" xr:uid="{00000000-0005-0000-0000-0000AA030000}"/>
    <cellStyle name="Normal 2 4" xfId="100" xr:uid="{00000000-0005-0000-0000-0000AB030000}"/>
    <cellStyle name="Normal 2 4 2" xfId="993" xr:uid="{00000000-0005-0000-0000-0000AC030000}"/>
    <cellStyle name="Normal 2 5" xfId="101" xr:uid="{00000000-0005-0000-0000-0000AD030000}"/>
    <cellStyle name="Normal 2 5 2" xfId="994" xr:uid="{00000000-0005-0000-0000-0000AE030000}"/>
    <cellStyle name="Normal 2 6" xfId="140" xr:uid="{00000000-0005-0000-0000-0000AF030000}"/>
    <cellStyle name="Normal 2 6 2" xfId="995" xr:uid="{00000000-0005-0000-0000-0000B0030000}"/>
    <cellStyle name="Normal 2 6 2 2" xfId="996" xr:uid="{00000000-0005-0000-0000-0000B1030000}"/>
    <cellStyle name="Normal 2 6 2 3" xfId="997" xr:uid="{00000000-0005-0000-0000-0000B2030000}"/>
    <cellStyle name="Normal 2 6 2_13008" xfId="998" xr:uid="{00000000-0005-0000-0000-0000B3030000}"/>
    <cellStyle name="Normal 2 6 3" xfId="999" xr:uid="{00000000-0005-0000-0000-0000B4030000}"/>
    <cellStyle name="Normal 2 6 3 2" xfId="1000" xr:uid="{00000000-0005-0000-0000-0000B5030000}"/>
    <cellStyle name="Normal 2 6 3 3" xfId="1001" xr:uid="{00000000-0005-0000-0000-0000B6030000}"/>
    <cellStyle name="Normal 2 6 3_13008" xfId="1002" xr:uid="{00000000-0005-0000-0000-0000B7030000}"/>
    <cellStyle name="Normal 2 6 4" xfId="1003" xr:uid="{00000000-0005-0000-0000-0000B8030000}"/>
    <cellStyle name="Normal 2 6 5" xfId="1004" xr:uid="{00000000-0005-0000-0000-0000B9030000}"/>
    <cellStyle name="Normal 2 6 6" xfId="1535" xr:uid="{00000000-0005-0000-0000-0000BA030000}"/>
    <cellStyle name="Normal 2 6_13008" xfId="1005" xr:uid="{00000000-0005-0000-0000-0000BB030000}"/>
    <cellStyle name="Normal 2 7" xfId="141" xr:uid="{00000000-0005-0000-0000-0000BC030000}"/>
    <cellStyle name="Normal 2 7 2" xfId="1006" xr:uid="{00000000-0005-0000-0000-0000BD030000}"/>
    <cellStyle name="Normal 2 8" xfId="1007" xr:uid="{00000000-0005-0000-0000-0000BE030000}"/>
    <cellStyle name="Normal 2 8 2" xfId="1008" xr:uid="{00000000-0005-0000-0000-0000BF030000}"/>
    <cellStyle name="Normal 2 9" xfId="1009" xr:uid="{00000000-0005-0000-0000-0000C0030000}"/>
    <cellStyle name="Normal 2 9 2" xfId="1010" xr:uid="{00000000-0005-0000-0000-0000C1030000}"/>
    <cellStyle name="Normal 2_20140" xfId="1011" xr:uid="{00000000-0005-0000-0000-0000C2030000}"/>
    <cellStyle name="Normal 20" xfId="142" xr:uid="{00000000-0005-0000-0000-0000C3030000}"/>
    <cellStyle name="Normal 20 2" xfId="167" xr:uid="{00000000-0005-0000-0000-0000C4030000}"/>
    <cellStyle name="Normal 20_20325" xfId="1525" xr:uid="{00000000-0005-0000-0000-0000C5030000}"/>
    <cellStyle name="Normal 21" xfId="143" xr:uid="{00000000-0005-0000-0000-0000C6030000}"/>
    <cellStyle name="Normal 21 2" xfId="1012" xr:uid="{00000000-0005-0000-0000-0000C7030000}"/>
    <cellStyle name="Normal 21_20325" xfId="1526" xr:uid="{00000000-0005-0000-0000-0000C8030000}"/>
    <cellStyle name="Normal 22" xfId="144" xr:uid="{00000000-0005-0000-0000-0000C9030000}"/>
    <cellStyle name="Normal 22 2" xfId="1013" xr:uid="{00000000-0005-0000-0000-0000CA030000}"/>
    <cellStyle name="Normal 22 3" xfId="1014" xr:uid="{00000000-0005-0000-0000-0000CB030000}"/>
    <cellStyle name="Normal 22_20325" xfId="1527" xr:uid="{00000000-0005-0000-0000-0000CC030000}"/>
    <cellStyle name="Normal 23" xfId="145" xr:uid="{00000000-0005-0000-0000-0000CD030000}"/>
    <cellStyle name="Normal 23 2" xfId="1015" xr:uid="{00000000-0005-0000-0000-0000CE030000}"/>
    <cellStyle name="Normal 24" xfId="146" xr:uid="{00000000-0005-0000-0000-0000CF030000}"/>
    <cellStyle name="Normal 24 2" xfId="1016" xr:uid="{00000000-0005-0000-0000-0000D0030000}"/>
    <cellStyle name="Normal 24 3" xfId="1017" xr:uid="{00000000-0005-0000-0000-0000D1030000}"/>
    <cellStyle name="Normal 24_13008" xfId="1018" xr:uid="{00000000-0005-0000-0000-0000D2030000}"/>
    <cellStyle name="Normal 25" xfId="147" xr:uid="{00000000-0005-0000-0000-0000D3030000}"/>
    <cellStyle name="Normal 25 2" xfId="1019" xr:uid="{00000000-0005-0000-0000-0000D4030000}"/>
    <cellStyle name="Normal 25 3" xfId="1020" xr:uid="{00000000-0005-0000-0000-0000D5030000}"/>
    <cellStyle name="Normal 25_13008" xfId="1021" xr:uid="{00000000-0005-0000-0000-0000D6030000}"/>
    <cellStyle name="Normal 26" xfId="148" xr:uid="{00000000-0005-0000-0000-0000D7030000}"/>
    <cellStyle name="Normal 26 2" xfId="1022" xr:uid="{00000000-0005-0000-0000-0000D8030000}"/>
    <cellStyle name="Normal 27" xfId="149" xr:uid="{00000000-0005-0000-0000-0000D9030000}"/>
    <cellStyle name="Normal 27 2" xfId="1023" xr:uid="{00000000-0005-0000-0000-0000DA030000}"/>
    <cellStyle name="Normal 27 3" xfId="1024" xr:uid="{00000000-0005-0000-0000-0000DB030000}"/>
    <cellStyle name="Normal 27_20325" xfId="1528" xr:uid="{00000000-0005-0000-0000-0000DC030000}"/>
    <cellStyle name="Normal 28" xfId="158" xr:uid="{00000000-0005-0000-0000-0000DD030000}"/>
    <cellStyle name="Normal 29" xfId="165" xr:uid="{00000000-0005-0000-0000-0000DE030000}"/>
    <cellStyle name="Normal 3" xfId="102" xr:uid="{00000000-0005-0000-0000-0000DF030000}"/>
    <cellStyle name="Normal 3 2" xfId="103" xr:uid="{00000000-0005-0000-0000-0000E0030000}"/>
    <cellStyle name="Normal 3 2 2" xfId="1025" xr:uid="{00000000-0005-0000-0000-0000E1030000}"/>
    <cellStyle name="Normal 3 2 2 2" xfId="1026" xr:uid="{00000000-0005-0000-0000-0000E2030000}"/>
    <cellStyle name="Normal 3 2 2 2 2" xfId="1027" xr:uid="{00000000-0005-0000-0000-0000E3030000}"/>
    <cellStyle name="Normal 3 2 2 2 3" xfId="1028" xr:uid="{00000000-0005-0000-0000-0000E4030000}"/>
    <cellStyle name="Normal 3 2 2 2_13008" xfId="1029" xr:uid="{00000000-0005-0000-0000-0000E5030000}"/>
    <cellStyle name="Normal 3 2 2 3" xfId="1030" xr:uid="{00000000-0005-0000-0000-0000E6030000}"/>
    <cellStyle name="Normal 3 2 2 3 2" xfId="1031" xr:uid="{00000000-0005-0000-0000-0000E7030000}"/>
    <cellStyle name="Normal 3 2 2 3 3" xfId="1032" xr:uid="{00000000-0005-0000-0000-0000E8030000}"/>
    <cellStyle name="Normal 3 2 2 3_13008" xfId="1033" xr:uid="{00000000-0005-0000-0000-0000E9030000}"/>
    <cellStyle name="Normal 3 2 2 4" xfId="1034" xr:uid="{00000000-0005-0000-0000-0000EA030000}"/>
    <cellStyle name="Normal 3 2 2 5" xfId="1035" xr:uid="{00000000-0005-0000-0000-0000EB030000}"/>
    <cellStyle name="Normal 3 2 2_13008" xfId="1036" xr:uid="{00000000-0005-0000-0000-0000EC030000}"/>
    <cellStyle name="Normal 3 2 3" xfId="1037" xr:uid="{00000000-0005-0000-0000-0000ED030000}"/>
    <cellStyle name="Normal 3 2 3 2" xfId="1038" xr:uid="{00000000-0005-0000-0000-0000EE030000}"/>
    <cellStyle name="Normal 3 2 3 3" xfId="1039" xr:uid="{00000000-0005-0000-0000-0000EF030000}"/>
    <cellStyle name="Normal 3 2 3_13008" xfId="1040" xr:uid="{00000000-0005-0000-0000-0000F0030000}"/>
    <cellStyle name="Normal 3 2 4" xfId="1041" xr:uid="{00000000-0005-0000-0000-0000F1030000}"/>
    <cellStyle name="Normal 3 2 4 2" xfId="1042" xr:uid="{00000000-0005-0000-0000-0000F2030000}"/>
    <cellStyle name="Normal 3 2 4 3" xfId="1043" xr:uid="{00000000-0005-0000-0000-0000F3030000}"/>
    <cellStyle name="Normal 3 2 4_13008" xfId="1044" xr:uid="{00000000-0005-0000-0000-0000F4030000}"/>
    <cellStyle name="Normal 3 2 5" xfId="1045" xr:uid="{00000000-0005-0000-0000-0000F5030000}"/>
    <cellStyle name="Normal 3 2 5 2" xfId="1046" xr:uid="{00000000-0005-0000-0000-0000F6030000}"/>
    <cellStyle name="Normal 3 2 5 3" xfId="1047" xr:uid="{00000000-0005-0000-0000-0000F7030000}"/>
    <cellStyle name="Normal 3 2 5_13008" xfId="1048" xr:uid="{00000000-0005-0000-0000-0000F8030000}"/>
    <cellStyle name="Normal 3 2 6" xfId="1049" xr:uid="{00000000-0005-0000-0000-0000F9030000}"/>
    <cellStyle name="Normal 3 2 7" xfId="1050" xr:uid="{00000000-0005-0000-0000-0000FA030000}"/>
    <cellStyle name="Normal 3 2_13008" xfId="1051" xr:uid="{00000000-0005-0000-0000-0000FB030000}"/>
    <cellStyle name="Normal 3 3" xfId="163" xr:uid="{00000000-0005-0000-0000-0000FC030000}"/>
    <cellStyle name="Normal 3 3 2" xfId="1052" xr:uid="{00000000-0005-0000-0000-0000FD030000}"/>
    <cellStyle name="Normal 3 4" xfId="1053" xr:uid="{00000000-0005-0000-0000-0000FE030000}"/>
    <cellStyle name="Normal 3 4 2" xfId="1054" xr:uid="{00000000-0005-0000-0000-0000FF030000}"/>
    <cellStyle name="Normal 3 4 3" xfId="1055" xr:uid="{00000000-0005-0000-0000-000000040000}"/>
    <cellStyle name="Normal 3 4_13008" xfId="1056" xr:uid="{00000000-0005-0000-0000-000001040000}"/>
    <cellStyle name="Normal 3 5" xfId="1057" xr:uid="{00000000-0005-0000-0000-000002040000}"/>
    <cellStyle name="Normal 3 5 2" xfId="1058" xr:uid="{00000000-0005-0000-0000-000003040000}"/>
    <cellStyle name="Normal 3 5 3" xfId="1059" xr:uid="{00000000-0005-0000-0000-000004040000}"/>
    <cellStyle name="Normal 3 5_13008" xfId="1060" xr:uid="{00000000-0005-0000-0000-000005040000}"/>
    <cellStyle name="Normal 3 6" xfId="1061" xr:uid="{00000000-0005-0000-0000-000006040000}"/>
    <cellStyle name="Normal 3 6 2" xfId="1062" xr:uid="{00000000-0005-0000-0000-000007040000}"/>
    <cellStyle name="Normal 3 6 3" xfId="1063" xr:uid="{00000000-0005-0000-0000-000008040000}"/>
    <cellStyle name="Normal 3 6_13008" xfId="1064" xr:uid="{00000000-0005-0000-0000-000009040000}"/>
    <cellStyle name="Normal 3 7" xfId="1065" xr:uid="{00000000-0005-0000-0000-00000A040000}"/>
    <cellStyle name="Normal 3_11599" xfId="1066" xr:uid="{00000000-0005-0000-0000-00000B040000}"/>
    <cellStyle name="Normal 30" xfId="168" xr:uid="{00000000-0005-0000-0000-00000C040000}"/>
    <cellStyle name="Normal 30 2" xfId="1067" xr:uid="{00000000-0005-0000-0000-00000D040000}"/>
    <cellStyle name="Normal 30_20325" xfId="1529" xr:uid="{00000000-0005-0000-0000-00000E040000}"/>
    <cellStyle name="Normal 31" xfId="130" xr:uid="{00000000-0005-0000-0000-00000F040000}"/>
    <cellStyle name="Normal 31 2" xfId="1068" xr:uid="{00000000-0005-0000-0000-000010040000}"/>
    <cellStyle name="Normal 31_20325" xfId="1530" xr:uid="{00000000-0005-0000-0000-000011040000}"/>
    <cellStyle name="Normal 32" xfId="1069" xr:uid="{00000000-0005-0000-0000-000012040000}"/>
    <cellStyle name="Normal 32 2" xfId="1070" xr:uid="{00000000-0005-0000-0000-000013040000}"/>
    <cellStyle name="Normal 32_20325" xfId="1531" xr:uid="{00000000-0005-0000-0000-000014040000}"/>
    <cellStyle name="Normal 33" xfId="1071" xr:uid="{00000000-0005-0000-0000-000015040000}"/>
    <cellStyle name="Normal 33 2" xfId="1072" xr:uid="{00000000-0005-0000-0000-000016040000}"/>
    <cellStyle name="Normal 33_20325" xfId="1532" xr:uid="{00000000-0005-0000-0000-000017040000}"/>
    <cellStyle name="Normal 34" xfId="1073" xr:uid="{00000000-0005-0000-0000-000018040000}"/>
    <cellStyle name="Normal 34 2" xfId="1074" xr:uid="{00000000-0005-0000-0000-000019040000}"/>
    <cellStyle name="Normal 34_20325" xfId="1533" xr:uid="{00000000-0005-0000-0000-00001A040000}"/>
    <cellStyle name="Normal 35" xfId="1075" xr:uid="{00000000-0005-0000-0000-00001B040000}"/>
    <cellStyle name="Normal 36" xfId="1076" xr:uid="{00000000-0005-0000-0000-00001C040000}"/>
    <cellStyle name="Normal 37" xfId="1077" xr:uid="{00000000-0005-0000-0000-00001D040000}"/>
    <cellStyle name="Normal 38" xfId="1078" xr:uid="{00000000-0005-0000-0000-00001E040000}"/>
    <cellStyle name="Normal 38 2" xfId="1079" xr:uid="{00000000-0005-0000-0000-00001F040000}"/>
    <cellStyle name="Normal 38_13008" xfId="1080" xr:uid="{00000000-0005-0000-0000-000020040000}"/>
    <cellStyle name="Normal 39" xfId="1081" xr:uid="{00000000-0005-0000-0000-000021040000}"/>
    <cellStyle name="Normal 4" xfId="104" xr:uid="{00000000-0005-0000-0000-000022040000}"/>
    <cellStyle name="Normal 4 2" xfId="150" xr:uid="{00000000-0005-0000-0000-000023040000}"/>
    <cellStyle name="Normal 4 2 2" xfId="1082" xr:uid="{00000000-0005-0000-0000-000024040000}"/>
    <cellStyle name="Normal 4 2 3" xfId="1083" xr:uid="{00000000-0005-0000-0000-000025040000}"/>
    <cellStyle name="Normal 4 3" xfId="164" xr:uid="{00000000-0005-0000-0000-000026040000}"/>
    <cellStyle name="Normal 4 3 2" xfId="1084" xr:uid="{00000000-0005-0000-0000-000027040000}"/>
    <cellStyle name="Normal 4 3 3" xfId="1085" xr:uid="{00000000-0005-0000-0000-000028040000}"/>
    <cellStyle name="Normal 4 3_13008" xfId="1086" xr:uid="{00000000-0005-0000-0000-000029040000}"/>
    <cellStyle name="Normal 4 4" xfId="1087" xr:uid="{00000000-0005-0000-0000-00002A040000}"/>
    <cellStyle name="Normal 4 4 2" xfId="1088" xr:uid="{00000000-0005-0000-0000-00002B040000}"/>
    <cellStyle name="Normal 4 4 3" xfId="1089" xr:uid="{00000000-0005-0000-0000-00002C040000}"/>
    <cellStyle name="Normal 4 4_13008" xfId="1090" xr:uid="{00000000-0005-0000-0000-00002D040000}"/>
    <cellStyle name="Normal 4 5" xfId="1091" xr:uid="{00000000-0005-0000-0000-00002E040000}"/>
    <cellStyle name="Normal 4_Support" xfId="1092" xr:uid="{00000000-0005-0000-0000-00002F040000}"/>
    <cellStyle name="Normal 40" xfId="1093" xr:uid="{00000000-0005-0000-0000-000030040000}"/>
    <cellStyle name="Normal 41" xfId="1094" xr:uid="{00000000-0005-0000-0000-000031040000}"/>
    <cellStyle name="Normal 42" xfId="1095" xr:uid="{00000000-0005-0000-0000-000032040000}"/>
    <cellStyle name="Normal 43" xfId="1096" xr:uid="{00000000-0005-0000-0000-000033040000}"/>
    <cellStyle name="Normal 5" xfId="105" xr:uid="{00000000-0005-0000-0000-000034040000}"/>
    <cellStyle name="Normal 5 2" xfId="106" xr:uid="{00000000-0005-0000-0000-000035040000}"/>
    <cellStyle name="Normal 5 2 10" xfId="1097" xr:uid="{00000000-0005-0000-0000-000036040000}"/>
    <cellStyle name="Normal 5 2 2" xfId="1098" xr:uid="{00000000-0005-0000-0000-000037040000}"/>
    <cellStyle name="Normal 5 2 2 2" xfId="1099" xr:uid="{00000000-0005-0000-0000-000038040000}"/>
    <cellStyle name="Normal 5 2 2 2 2" xfId="1100" xr:uid="{00000000-0005-0000-0000-000039040000}"/>
    <cellStyle name="Normal 5 2 2 2 2 2" xfId="1101" xr:uid="{00000000-0005-0000-0000-00003A040000}"/>
    <cellStyle name="Normal 5 2 2 2 2 3" xfId="1102" xr:uid="{00000000-0005-0000-0000-00003B040000}"/>
    <cellStyle name="Normal 5 2 2 2 2_13008" xfId="1103" xr:uid="{00000000-0005-0000-0000-00003C040000}"/>
    <cellStyle name="Normal 5 2 2 2 3" xfId="1104" xr:uid="{00000000-0005-0000-0000-00003D040000}"/>
    <cellStyle name="Normal 5 2 2 2 3 2" xfId="1105" xr:uid="{00000000-0005-0000-0000-00003E040000}"/>
    <cellStyle name="Normal 5 2 2 2 3 3" xfId="1106" xr:uid="{00000000-0005-0000-0000-00003F040000}"/>
    <cellStyle name="Normal 5 2 2 2 3_13008" xfId="1107" xr:uid="{00000000-0005-0000-0000-000040040000}"/>
    <cellStyle name="Normal 5 2 2 2 4" xfId="1108" xr:uid="{00000000-0005-0000-0000-000041040000}"/>
    <cellStyle name="Normal 5 2 2 2 5" xfId="1109" xr:uid="{00000000-0005-0000-0000-000042040000}"/>
    <cellStyle name="Normal 5 2 2 2_13008" xfId="1110" xr:uid="{00000000-0005-0000-0000-000043040000}"/>
    <cellStyle name="Normal 5 2 2 3" xfId="1111" xr:uid="{00000000-0005-0000-0000-000044040000}"/>
    <cellStyle name="Normal 5 2 2 3 2" xfId="1112" xr:uid="{00000000-0005-0000-0000-000045040000}"/>
    <cellStyle name="Normal 5 2 2 3 3" xfId="1113" xr:uid="{00000000-0005-0000-0000-000046040000}"/>
    <cellStyle name="Normal 5 2 2 3_13008" xfId="1114" xr:uid="{00000000-0005-0000-0000-000047040000}"/>
    <cellStyle name="Normal 5 2 2 4" xfId="1115" xr:uid="{00000000-0005-0000-0000-000048040000}"/>
    <cellStyle name="Normal 5 2 2 4 2" xfId="1116" xr:uid="{00000000-0005-0000-0000-000049040000}"/>
    <cellStyle name="Normal 5 2 2 4 3" xfId="1117" xr:uid="{00000000-0005-0000-0000-00004A040000}"/>
    <cellStyle name="Normal 5 2 2 4_13008" xfId="1118" xr:uid="{00000000-0005-0000-0000-00004B040000}"/>
    <cellStyle name="Normal 5 2 2 5" xfId="1119" xr:uid="{00000000-0005-0000-0000-00004C040000}"/>
    <cellStyle name="Normal 5 2 2 5 2" xfId="1120" xr:uid="{00000000-0005-0000-0000-00004D040000}"/>
    <cellStyle name="Normal 5 2 2 5 3" xfId="1121" xr:uid="{00000000-0005-0000-0000-00004E040000}"/>
    <cellStyle name="Normal 5 2 2 5_13008" xfId="1122" xr:uid="{00000000-0005-0000-0000-00004F040000}"/>
    <cellStyle name="Normal 5 2 2 6" xfId="1123" xr:uid="{00000000-0005-0000-0000-000050040000}"/>
    <cellStyle name="Normal 5 2 2 7" xfId="1124" xr:uid="{00000000-0005-0000-0000-000051040000}"/>
    <cellStyle name="Normal 5 2 2_13008" xfId="1125" xr:uid="{00000000-0005-0000-0000-000052040000}"/>
    <cellStyle name="Normal 5 2 3" xfId="1126" xr:uid="{00000000-0005-0000-0000-000053040000}"/>
    <cellStyle name="Normal 5 2 3 2" xfId="1127" xr:uid="{00000000-0005-0000-0000-000054040000}"/>
    <cellStyle name="Normal 5 2 3 2 2" xfId="1128" xr:uid="{00000000-0005-0000-0000-000055040000}"/>
    <cellStyle name="Normal 5 2 3 2 2 2" xfId="1129" xr:uid="{00000000-0005-0000-0000-000056040000}"/>
    <cellStyle name="Normal 5 2 3 2 2 3" xfId="1130" xr:uid="{00000000-0005-0000-0000-000057040000}"/>
    <cellStyle name="Normal 5 2 3 2 2_13008" xfId="1131" xr:uid="{00000000-0005-0000-0000-000058040000}"/>
    <cellStyle name="Normal 5 2 3 2 3" xfId="1132" xr:uid="{00000000-0005-0000-0000-000059040000}"/>
    <cellStyle name="Normal 5 2 3 2 3 2" xfId="1133" xr:uid="{00000000-0005-0000-0000-00005A040000}"/>
    <cellStyle name="Normal 5 2 3 2 3 3" xfId="1134" xr:uid="{00000000-0005-0000-0000-00005B040000}"/>
    <cellStyle name="Normal 5 2 3 2 3_13008" xfId="1135" xr:uid="{00000000-0005-0000-0000-00005C040000}"/>
    <cellStyle name="Normal 5 2 3 2 4" xfId="1136" xr:uid="{00000000-0005-0000-0000-00005D040000}"/>
    <cellStyle name="Normal 5 2 3 2 5" xfId="1137" xr:uid="{00000000-0005-0000-0000-00005E040000}"/>
    <cellStyle name="Normal 5 2 3 2_13008" xfId="1138" xr:uid="{00000000-0005-0000-0000-00005F040000}"/>
    <cellStyle name="Normal 5 2 3 3" xfId="1139" xr:uid="{00000000-0005-0000-0000-000060040000}"/>
    <cellStyle name="Normal 5 2 3 3 2" xfId="1140" xr:uid="{00000000-0005-0000-0000-000061040000}"/>
    <cellStyle name="Normal 5 2 3 3 3" xfId="1141" xr:uid="{00000000-0005-0000-0000-000062040000}"/>
    <cellStyle name="Normal 5 2 3 3_13008" xfId="1142" xr:uid="{00000000-0005-0000-0000-000063040000}"/>
    <cellStyle name="Normal 5 2 3 4" xfId="1143" xr:uid="{00000000-0005-0000-0000-000064040000}"/>
    <cellStyle name="Normal 5 2 3 4 2" xfId="1144" xr:uid="{00000000-0005-0000-0000-000065040000}"/>
    <cellStyle name="Normal 5 2 3 4 3" xfId="1145" xr:uid="{00000000-0005-0000-0000-000066040000}"/>
    <cellStyle name="Normal 5 2 3 4_13008" xfId="1146" xr:uid="{00000000-0005-0000-0000-000067040000}"/>
    <cellStyle name="Normal 5 2 3 5" xfId="1147" xr:uid="{00000000-0005-0000-0000-000068040000}"/>
    <cellStyle name="Normal 5 2 3 5 2" xfId="1148" xr:uid="{00000000-0005-0000-0000-000069040000}"/>
    <cellStyle name="Normal 5 2 3 5 3" xfId="1149" xr:uid="{00000000-0005-0000-0000-00006A040000}"/>
    <cellStyle name="Normal 5 2 3 5_13008" xfId="1150" xr:uid="{00000000-0005-0000-0000-00006B040000}"/>
    <cellStyle name="Normal 5 2 3 6" xfId="1151" xr:uid="{00000000-0005-0000-0000-00006C040000}"/>
    <cellStyle name="Normal 5 2 3 7" xfId="1152" xr:uid="{00000000-0005-0000-0000-00006D040000}"/>
    <cellStyle name="Normal 5 2 3_13008" xfId="1153" xr:uid="{00000000-0005-0000-0000-00006E040000}"/>
    <cellStyle name="Normal 5 2 4" xfId="1154" xr:uid="{00000000-0005-0000-0000-00006F040000}"/>
    <cellStyle name="Normal 5 2 4 2" xfId="1155" xr:uid="{00000000-0005-0000-0000-000070040000}"/>
    <cellStyle name="Normal 5 2 4 2 2" xfId="1156" xr:uid="{00000000-0005-0000-0000-000071040000}"/>
    <cellStyle name="Normal 5 2 4 2 2 2" xfId="1157" xr:uid="{00000000-0005-0000-0000-000072040000}"/>
    <cellStyle name="Normal 5 2 4 2 2 3" xfId="1158" xr:uid="{00000000-0005-0000-0000-000073040000}"/>
    <cellStyle name="Normal 5 2 4 2 2_13008" xfId="1159" xr:uid="{00000000-0005-0000-0000-000074040000}"/>
    <cellStyle name="Normal 5 2 4 2 3" xfId="1160" xr:uid="{00000000-0005-0000-0000-000075040000}"/>
    <cellStyle name="Normal 5 2 4 2 3 2" xfId="1161" xr:uid="{00000000-0005-0000-0000-000076040000}"/>
    <cellStyle name="Normal 5 2 4 2 3 3" xfId="1162" xr:uid="{00000000-0005-0000-0000-000077040000}"/>
    <cellStyle name="Normal 5 2 4 2 3_13008" xfId="1163" xr:uid="{00000000-0005-0000-0000-000078040000}"/>
    <cellStyle name="Normal 5 2 4 2 4" xfId="1164" xr:uid="{00000000-0005-0000-0000-000079040000}"/>
    <cellStyle name="Normal 5 2 4 2 5" xfId="1165" xr:uid="{00000000-0005-0000-0000-00007A040000}"/>
    <cellStyle name="Normal 5 2 4 2_13008" xfId="1166" xr:uid="{00000000-0005-0000-0000-00007B040000}"/>
    <cellStyle name="Normal 5 2 4 3" xfId="1167" xr:uid="{00000000-0005-0000-0000-00007C040000}"/>
    <cellStyle name="Normal 5 2 4 3 2" xfId="1168" xr:uid="{00000000-0005-0000-0000-00007D040000}"/>
    <cellStyle name="Normal 5 2 4 3 3" xfId="1169" xr:uid="{00000000-0005-0000-0000-00007E040000}"/>
    <cellStyle name="Normal 5 2 4 3_13008" xfId="1170" xr:uid="{00000000-0005-0000-0000-00007F040000}"/>
    <cellStyle name="Normal 5 2 4 4" xfId="1171" xr:uid="{00000000-0005-0000-0000-000080040000}"/>
    <cellStyle name="Normal 5 2 4 4 2" xfId="1172" xr:uid="{00000000-0005-0000-0000-000081040000}"/>
    <cellStyle name="Normal 5 2 4 4 3" xfId="1173" xr:uid="{00000000-0005-0000-0000-000082040000}"/>
    <cellStyle name="Normal 5 2 4 4_13008" xfId="1174" xr:uid="{00000000-0005-0000-0000-000083040000}"/>
    <cellStyle name="Normal 5 2 4 5" xfId="1175" xr:uid="{00000000-0005-0000-0000-000084040000}"/>
    <cellStyle name="Normal 5 2 4 5 2" xfId="1176" xr:uid="{00000000-0005-0000-0000-000085040000}"/>
    <cellStyle name="Normal 5 2 4 5 3" xfId="1177" xr:uid="{00000000-0005-0000-0000-000086040000}"/>
    <cellStyle name="Normal 5 2 4 5_13008" xfId="1178" xr:uid="{00000000-0005-0000-0000-000087040000}"/>
    <cellStyle name="Normal 5 2 4 6" xfId="1179" xr:uid="{00000000-0005-0000-0000-000088040000}"/>
    <cellStyle name="Normal 5 2 4 7" xfId="1180" xr:uid="{00000000-0005-0000-0000-000089040000}"/>
    <cellStyle name="Normal 5 2 4_13008" xfId="1181" xr:uid="{00000000-0005-0000-0000-00008A040000}"/>
    <cellStyle name="Normal 5 2 5" xfId="1182" xr:uid="{00000000-0005-0000-0000-00008B040000}"/>
    <cellStyle name="Normal 5 2 5 10" xfId="1183" xr:uid="{00000000-0005-0000-0000-00008C040000}"/>
    <cellStyle name="Normal 5 2 5 19" xfId="1184" xr:uid="{00000000-0005-0000-0000-00008D040000}"/>
    <cellStyle name="Normal 5 2 5 19 2" xfId="1185" xr:uid="{00000000-0005-0000-0000-00008E040000}"/>
    <cellStyle name="Normal 5 2 5 19_13008" xfId="1186" xr:uid="{00000000-0005-0000-0000-00008F040000}"/>
    <cellStyle name="Normal 5 2 5 2" xfId="1187" xr:uid="{00000000-0005-0000-0000-000090040000}"/>
    <cellStyle name="Normal 5 2 5 2 2" xfId="1188" xr:uid="{00000000-0005-0000-0000-000091040000}"/>
    <cellStyle name="Normal 5 2 5 2 2 2" xfId="1189" xr:uid="{00000000-0005-0000-0000-000092040000}"/>
    <cellStyle name="Normal 5 2 5 2 2 2 2" xfId="1190" xr:uid="{00000000-0005-0000-0000-000093040000}"/>
    <cellStyle name="Normal 5 2 5 2 2 2 3" xfId="1191" xr:uid="{00000000-0005-0000-0000-000094040000}"/>
    <cellStyle name="Normal 5 2 5 2 2 2_13008" xfId="1192" xr:uid="{00000000-0005-0000-0000-000095040000}"/>
    <cellStyle name="Normal 5 2 5 2 2 3" xfId="1193" xr:uid="{00000000-0005-0000-0000-000096040000}"/>
    <cellStyle name="Normal 5 2 5 2 2 3 2" xfId="1194" xr:uid="{00000000-0005-0000-0000-000097040000}"/>
    <cellStyle name="Normal 5 2 5 2 2 3 3" xfId="1195" xr:uid="{00000000-0005-0000-0000-000098040000}"/>
    <cellStyle name="Normal 5 2 5 2 2 3_13008" xfId="1196" xr:uid="{00000000-0005-0000-0000-000099040000}"/>
    <cellStyle name="Normal 5 2 5 2 2 4" xfId="1197" xr:uid="{00000000-0005-0000-0000-00009A040000}"/>
    <cellStyle name="Normal 5 2 5 2 2 5" xfId="1198" xr:uid="{00000000-0005-0000-0000-00009B040000}"/>
    <cellStyle name="Normal 5 2 5 2 2_13008" xfId="1199" xr:uid="{00000000-0005-0000-0000-00009C040000}"/>
    <cellStyle name="Normal 5 2 5 2 3" xfId="1200" xr:uid="{00000000-0005-0000-0000-00009D040000}"/>
    <cellStyle name="Normal 5 2 5 2 3 2" xfId="1201" xr:uid="{00000000-0005-0000-0000-00009E040000}"/>
    <cellStyle name="Normal 5 2 5 2 3 3" xfId="1202" xr:uid="{00000000-0005-0000-0000-00009F040000}"/>
    <cellStyle name="Normal 5 2 5 2 3_13008" xfId="1203" xr:uid="{00000000-0005-0000-0000-0000A0040000}"/>
    <cellStyle name="Normal 5 2 5 2 4" xfId="1204" xr:uid="{00000000-0005-0000-0000-0000A1040000}"/>
    <cellStyle name="Normal 5 2 5 2 4 2" xfId="1205" xr:uid="{00000000-0005-0000-0000-0000A2040000}"/>
    <cellStyle name="Normal 5 2 5 2 4 3" xfId="1206" xr:uid="{00000000-0005-0000-0000-0000A3040000}"/>
    <cellStyle name="Normal 5 2 5 2 4_13008" xfId="1207" xr:uid="{00000000-0005-0000-0000-0000A4040000}"/>
    <cellStyle name="Normal 5 2 5 2 5" xfId="1208" xr:uid="{00000000-0005-0000-0000-0000A5040000}"/>
    <cellStyle name="Normal 5 2 5 2 5 2" xfId="1209" xr:uid="{00000000-0005-0000-0000-0000A6040000}"/>
    <cellStyle name="Normal 5 2 5 2 5 3" xfId="1210" xr:uid="{00000000-0005-0000-0000-0000A7040000}"/>
    <cellStyle name="Normal 5 2 5 2 5_13008" xfId="1211" xr:uid="{00000000-0005-0000-0000-0000A8040000}"/>
    <cellStyle name="Normal 5 2 5 2 6" xfId="1212" xr:uid="{00000000-0005-0000-0000-0000A9040000}"/>
    <cellStyle name="Normal 5 2 5 2 7" xfId="1213" xr:uid="{00000000-0005-0000-0000-0000AA040000}"/>
    <cellStyle name="Normal 5 2 5 2_13008" xfId="1214" xr:uid="{00000000-0005-0000-0000-0000AB040000}"/>
    <cellStyle name="Normal 5 2 5 3" xfId="1215" xr:uid="{00000000-0005-0000-0000-0000AC040000}"/>
    <cellStyle name="Normal 5 2 5 3 10" xfId="1216" xr:uid="{00000000-0005-0000-0000-0000AD040000}"/>
    <cellStyle name="Normal 5 2 5 3 10 2" xfId="1217" xr:uid="{00000000-0005-0000-0000-0000AE040000}"/>
    <cellStyle name="Normal 5 2 5 3 10 3" xfId="1218" xr:uid="{00000000-0005-0000-0000-0000AF040000}"/>
    <cellStyle name="Normal 5 2 5 3 10_13008" xfId="1219" xr:uid="{00000000-0005-0000-0000-0000B0040000}"/>
    <cellStyle name="Normal 5 2 5 3 11" xfId="1220" xr:uid="{00000000-0005-0000-0000-0000B1040000}"/>
    <cellStyle name="Normal 5 2 5 3 11 2" xfId="1221" xr:uid="{00000000-0005-0000-0000-0000B2040000}"/>
    <cellStyle name="Normal 5 2 5 3 11 3" xfId="1222" xr:uid="{00000000-0005-0000-0000-0000B3040000}"/>
    <cellStyle name="Normal 5 2 5 3 11_13008" xfId="1223" xr:uid="{00000000-0005-0000-0000-0000B4040000}"/>
    <cellStyle name="Normal 5 2 5 3 12" xfId="1224" xr:uid="{00000000-0005-0000-0000-0000B5040000}"/>
    <cellStyle name="Normal 5 2 5 3 12 2" xfId="1225" xr:uid="{00000000-0005-0000-0000-0000B6040000}"/>
    <cellStyle name="Normal 5 2 5 3 12 3" xfId="1226" xr:uid="{00000000-0005-0000-0000-0000B7040000}"/>
    <cellStyle name="Normal 5 2 5 3 12_13008" xfId="1227" xr:uid="{00000000-0005-0000-0000-0000B8040000}"/>
    <cellStyle name="Normal 5 2 5 3 13" xfId="1228" xr:uid="{00000000-0005-0000-0000-0000B9040000}"/>
    <cellStyle name="Normal 5 2 5 3 14" xfId="1229" xr:uid="{00000000-0005-0000-0000-0000BA040000}"/>
    <cellStyle name="Normal 5 2 5 3 15" xfId="1230" xr:uid="{00000000-0005-0000-0000-0000BB040000}"/>
    <cellStyle name="Normal 5 2 5 3 16" xfId="1231" xr:uid="{00000000-0005-0000-0000-0000BC040000}"/>
    <cellStyle name="Normal 5 2 5 3 17" xfId="1538" xr:uid="{00000000-0005-0000-0000-0000BD040000}"/>
    <cellStyle name="Normal 5 2 5 3 2" xfId="1232" xr:uid="{00000000-0005-0000-0000-0000BE040000}"/>
    <cellStyle name="Normal 5 2 5 3 2 2" xfId="1233" xr:uid="{00000000-0005-0000-0000-0000BF040000}"/>
    <cellStyle name="Normal 5 2 5 3 2 2 2" xfId="1234" xr:uid="{00000000-0005-0000-0000-0000C0040000}"/>
    <cellStyle name="Normal 5 2 5 3 2 2 2 2" xfId="1235" xr:uid="{00000000-0005-0000-0000-0000C1040000}"/>
    <cellStyle name="Normal 5 2 5 3 2 2 2 3" xfId="1236" xr:uid="{00000000-0005-0000-0000-0000C2040000}"/>
    <cellStyle name="Normal 5 2 5 3 2 2 2_13008" xfId="1237" xr:uid="{00000000-0005-0000-0000-0000C3040000}"/>
    <cellStyle name="Normal 5 2 5 3 2 2 3" xfId="1238" xr:uid="{00000000-0005-0000-0000-0000C4040000}"/>
    <cellStyle name="Normal 5 2 5 3 2 2 3 2" xfId="1239" xr:uid="{00000000-0005-0000-0000-0000C5040000}"/>
    <cellStyle name="Normal 5 2 5 3 2 2 3 3" xfId="1240" xr:uid="{00000000-0005-0000-0000-0000C6040000}"/>
    <cellStyle name="Normal 5 2 5 3 2 2 3_13008" xfId="1241" xr:uid="{00000000-0005-0000-0000-0000C7040000}"/>
    <cellStyle name="Normal 5 2 5 3 2 2 4" xfId="1242" xr:uid="{00000000-0005-0000-0000-0000C8040000}"/>
    <cellStyle name="Normal 5 2 5 3 2 2 5" xfId="1243" xr:uid="{00000000-0005-0000-0000-0000C9040000}"/>
    <cellStyle name="Normal 5 2 5 3 2 2_13008" xfId="1244" xr:uid="{00000000-0005-0000-0000-0000CA040000}"/>
    <cellStyle name="Normal 5 2 5 3 2 3" xfId="1245" xr:uid="{00000000-0005-0000-0000-0000CB040000}"/>
    <cellStyle name="Normal 5 2 5 3 2 3 2" xfId="1246" xr:uid="{00000000-0005-0000-0000-0000CC040000}"/>
    <cellStyle name="Normal 5 2 5 3 2 3 3" xfId="1247" xr:uid="{00000000-0005-0000-0000-0000CD040000}"/>
    <cellStyle name="Normal 5 2 5 3 2 3_13008" xfId="1248" xr:uid="{00000000-0005-0000-0000-0000CE040000}"/>
    <cellStyle name="Normal 5 2 5 3 2 4" xfId="1249" xr:uid="{00000000-0005-0000-0000-0000CF040000}"/>
    <cellStyle name="Normal 5 2 5 3 2 4 2" xfId="1250" xr:uid="{00000000-0005-0000-0000-0000D0040000}"/>
    <cellStyle name="Normal 5 2 5 3 2 4 3" xfId="1251" xr:uid="{00000000-0005-0000-0000-0000D1040000}"/>
    <cellStyle name="Normal 5 2 5 3 2 4_13008" xfId="1252" xr:uid="{00000000-0005-0000-0000-0000D2040000}"/>
    <cellStyle name="Normal 5 2 5 3 2 5" xfId="1253" xr:uid="{00000000-0005-0000-0000-0000D3040000}"/>
    <cellStyle name="Normal 5 2 5 3 2 5 2" xfId="1254" xr:uid="{00000000-0005-0000-0000-0000D4040000}"/>
    <cellStyle name="Normal 5 2 5 3 2 5 3" xfId="1255" xr:uid="{00000000-0005-0000-0000-0000D5040000}"/>
    <cellStyle name="Normal 5 2 5 3 2 5_13008" xfId="1256" xr:uid="{00000000-0005-0000-0000-0000D6040000}"/>
    <cellStyle name="Normal 5 2 5 3 2 6" xfId="1257" xr:uid="{00000000-0005-0000-0000-0000D7040000}"/>
    <cellStyle name="Normal 5 2 5 3 2 7" xfId="1258" xr:uid="{00000000-0005-0000-0000-0000D8040000}"/>
    <cellStyle name="Normal 5 2 5 3 2_13008" xfId="1259" xr:uid="{00000000-0005-0000-0000-0000D9040000}"/>
    <cellStyle name="Normal 5 2 5 3 3" xfId="1260" xr:uid="{00000000-0005-0000-0000-0000DA040000}"/>
    <cellStyle name="Normal 5 2 5 3 3 2" xfId="1261" xr:uid="{00000000-0005-0000-0000-0000DB040000}"/>
    <cellStyle name="Normal 5 2 5 3 3 2 2" xfId="1262" xr:uid="{00000000-0005-0000-0000-0000DC040000}"/>
    <cellStyle name="Normal 5 2 5 3 3 2 3" xfId="1263" xr:uid="{00000000-0005-0000-0000-0000DD040000}"/>
    <cellStyle name="Normal 5 2 5 3 3 2_13008" xfId="1264" xr:uid="{00000000-0005-0000-0000-0000DE040000}"/>
    <cellStyle name="Normal 5 2 5 3 3 3" xfId="1265" xr:uid="{00000000-0005-0000-0000-0000DF040000}"/>
    <cellStyle name="Normal 5 2 5 3 3 3 2" xfId="1266" xr:uid="{00000000-0005-0000-0000-0000E0040000}"/>
    <cellStyle name="Normal 5 2 5 3 3 3 3" xfId="1267" xr:uid="{00000000-0005-0000-0000-0000E1040000}"/>
    <cellStyle name="Normal 5 2 5 3 3 3_13008" xfId="1268" xr:uid="{00000000-0005-0000-0000-0000E2040000}"/>
    <cellStyle name="Normal 5 2 5 3 3 4" xfId="1269" xr:uid="{00000000-0005-0000-0000-0000E3040000}"/>
    <cellStyle name="Normal 5 2 5 3 3 5" xfId="1270" xr:uid="{00000000-0005-0000-0000-0000E4040000}"/>
    <cellStyle name="Normal 5 2 5 3 3_13008" xfId="1271" xr:uid="{00000000-0005-0000-0000-0000E5040000}"/>
    <cellStyle name="Normal 5 2 5 3 4" xfId="1272" xr:uid="{00000000-0005-0000-0000-0000E6040000}"/>
    <cellStyle name="Normal 5 2 5 3 4 2" xfId="1273" xr:uid="{00000000-0005-0000-0000-0000E7040000}"/>
    <cellStyle name="Normal 5 2 5 3 4 3" xfId="1274" xr:uid="{00000000-0005-0000-0000-0000E8040000}"/>
    <cellStyle name="Normal 5 2 5 3 4_13008" xfId="1275" xr:uid="{00000000-0005-0000-0000-0000E9040000}"/>
    <cellStyle name="Normal 5 2 5 3 5" xfId="1276" xr:uid="{00000000-0005-0000-0000-0000EA040000}"/>
    <cellStyle name="Normal 5 2 5 3 5 2" xfId="1277" xr:uid="{00000000-0005-0000-0000-0000EB040000}"/>
    <cellStyle name="Normal 5 2 5 3 5 3" xfId="1278" xr:uid="{00000000-0005-0000-0000-0000EC040000}"/>
    <cellStyle name="Normal 5 2 5 3 5_13008" xfId="1279" xr:uid="{00000000-0005-0000-0000-0000ED040000}"/>
    <cellStyle name="Normal 5 2 5 3 6" xfId="1280" xr:uid="{00000000-0005-0000-0000-0000EE040000}"/>
    <cellStyle name="Normal 5 2 5 3 6 2" xfId="1281" xr:uid="{00000000-0005-0000-0000-0000EF040000}"/>
    <cellStyle name="Normal 5 2 5 3 6 3" xfId="1282" xr:uid="{00000000-0005-0000-0000-0000F0040000}"/>
    <cellStyle name="Normal 5 2 5 3 6_13008" xfId="1283" xr:uid="{00000000-0005-0000-0000-0000F1040000}"/>
    <cellStyle name="Normal 5 2 5 3 7" xfId="1284" xr:uid="{00000000-0005-0000-0000-0000F2040000}"/>
    <cellStyle name="Normal 5 2 5 3 7 2" xfId="1285" xr:uid="{00000000-0005-0000-0000-0000F3040000}"/>
    <cellStyle name="Normal 5 2 5 3 7 3" xfId="1286" xr:uid="{00000000-0005-0000-0000-0000F4040000}"/>
    <cellStyle name="Normal 5 2 5 3 7_13008" xfId="1287" xr:uid="{00000000-0005-0000-0000-0000F5040000}"/>
    <cellStyle name="Normal 5 2 5 3 8" xfId="1288" xr:uid="{00000000-0005-0000-0000-0000F6040000}"/>
    <cellStyle name="Normal 5 2 5 3 8 2" xfId="1289" xr:uid="{00000000-0005-0000-0000-0000F7040000}"/>
    <cellStyle name="Normal 5 2 5 3 8 3" xfId="1290" xr:uid="{00000000-0005-0000-0000-0000F8040000}"/>
    <cellStyle name="Normal 5 2 5 3 8_13008" xfId="1291" xr:uid="{00000000-0005-0000-0000-0000F9040000}"/>
    <cellStyle name="Normal 5 2 5 3 9" xfId="1292" xr:uid="{00000000-0005-0000-0000-0000FA040000}"/>
    <cellStyle name="Normal 5 2 5 3 9 2" xfId="1293" xr:uid="{00000000-0005-0000-0000-0000FB040000}"/>
    <cellStyle name="Normal 5 2 5 3 9 3" xfId="1294" xr:uid="{00000000-0005-0000-0000-0000FC040000}"/>
    <cellStyle name="Normal 5 2 5 3 9_13008" xfId="1295" xr:uid="{00000000-0005-0000-0000-0000FD040000}"/>
    <cellStyle name="Normal 5 2 5 3_13008" xfId="1296" xr:uid="{00000000-0005-0000-0000-0000FE040000}"/>
    <cellStyle name="Normal 5 2 5 4" xfId="1297" xr:uid="{00000000-0005-0000-0000-0000FF040000}"/>
    <cellStyle name="Normal 5 2 5 4 2" xfId="1298" xr:uid="{00000000-0005-0000-0000-000000050000}"/>
    <cellStyle name="Normal 5 2 5 4 2 2" xfId="1299" xr:uid="{00000000-0005-0000-0000-000001050000}"/>
    <cellStyle name="Normal 5 2 5 4 2 3" xfId="1300" xr:uid="{00000000-0005-0000-0000-000002050000}"/>
    <cellStyle name="Normal 5 2 5 4 2_13008" xfId="1301" xr:uid="{00000000-0005-0000-0000-000003050000}"/>
    <cellStyle name="Normal 5 2 5 4 3" xfId="1302" xr:uid="{00000000-0005-0000-0000-000004050000}"/>
    <cellStyle name="Normal 5 2 5 4 3 2" xfId="1303" xr:uid="{00000000-0005-0000-0000-000005050000}"/>
    <cellStyle name="Normal 5 2 5 4 3 3" xfId="1304" xr:uid="{00000000-0005-0000-0000-000006050000}"/>
    <cellStyle name="Normal 5 2 5 4 3_13008" xfId="1305" xr:uid="{00000000-0005-0000-0000-000007050000}"/>
    <cellStyle name="Normal 5 2 5 4 4" xfId="1306" xr:uid="{00000000-0005-0000-0000-000008050000}"/>
    <cellStyle name="Normal 5 2 5 4 5" xfId="1307" xr:uid="{00000000-0005-0000-0000-000009050000}"/>
    <cellStyle name="Normal 5 2 5 4_13008" xfId="1308" xr:uid="{00000000-0005-0000-0000-00000A050000}"/>
    <cellStyle name="Normal 5 2 5 5" xfId="1309" xr:uid="{00000000-0005-0000-0000-00000B050000}"/>
    <cellStyle name="Normal 5 2 5 5 2" xfId="1310" xr:uid="{00000000-0005-0000-0000-00000C050000}"/>
    <cellStyle name="Normal 5 2 5 5 3" xfId="1311" xr:uid="{00000000-0005-0000-0000-00000D050000}"/>
    <cellStyle name="Normal 5 2 5 5_13008" xfId="1312" xr:uid="{00000000-0005-0000-0000-00000E050000}"/>
    <cellStyle name="Normal 5 2 5 6" xfId="1313" xr:uid="{00000000-0005-0000-0000-00000F050000}"/>
    <cellStyle name="Normal 5 2 5 6 2" xfId="1314" xr:uid="{00000000-0005-0000-0000-000010050000}"/>
    <cellStyle name="Normal 5 2 5 6 3" xfId="1315" xr:uid="{00000000-0005-0000-0000-000011050000}"/>
    <cellStyle name="Normal 5 2 5 6_13008" xfId="1316" xr:uid="{00000000-0005-0000-0000-000012050000}"/>
    <cellStyle name="Normal 5 2 5 7" xfId="1317" xr:uid="{00000000-0005-0000-0000-000013050000}"/>
    <cellStyle name="Normal 5 2 5 7 2" xfId="1318" xr:uid="{00000000-0005-0000-0000-000014050000}"/>
    <cellStyle name="Normal 5 2 5 7 3" xfId="1319" xr:uid="{00000000-0005-0000-0000-000015050000}"/>
    <cellStyle name="Normal 5 2 5 7_13008" xfId="1320" xr:uid="{00000000-0005-0000-0000-000016050000}"/>
    <cellStyle name="Normal 5 2 5 8" xfId="1321" xr:uid="{00000000-0005-0000-0000-000017050000}"/>
    <cellStyle name="Normal 5 2 5 8 2" xfId="1322" xr:uid="{00000000-0005-0000-0000-000018050000}"/>
    <cellStyle name="Normal 5 2 5 8 3" xfId="1323" xr:uid="{00000000-0005-0000-0000-000019050000}"/>
    <cellStyle name="Normal 5 2 5 8_13008" xfId="1324" xr:uid="{00000000-0005-0000-0000-00001A050000}"/>
    <cellStyle name="Normal 5 2 5 9" xfId="1325" xr:uid="{00000000-0005-0000-0000-00001B050000}"/>
    <cellStyle name="Normal 5 2 5_13008" xfId="1326" xr:uid="{00000000-0005-0000-0000-00001C050000}"/>
    <cellStyle name="Normal 5 2 6" xfId="1327" xr:uid="{00000000-0005-0000-0000-00001D050000}"/>
    <cellStyle name="Normal 5 2 7" xfId="1328" xr:uid="{00000000-0005-0000-0000-00001E050000}"/>
    <cellStyle name="Normal 5 2 7 2" xfId="1329" xr:uid="{00000000-0005-0000-0000-00001F050000}"/>
    <cellStyle name="Normal 5 2 7 3" xfId="1330" xr:uid="{00000000-0005-0000-0000-000020050000}"/>
    <cellStyle name="Normal 5 2 7_13008" xfId="1331" xr:uid="{00000000-0005-0000-0000-000021050000}"/>
    <cellStyle name="Normal 5 2 8" xfId="1332" xr:uid="{00000000-0005-0000-0000-000022050000}"/>
    <cellStyle name="Normal 5 2 8 2" xfId="1333" xr:uid="{00000000-0005-0000-0000-000023050000}"/>
    <cellStyle name="Normal 5 2 8 3" xfId="1334" xr:uid="{00000000-0005-0000-0000-000024050000}"/>
    <cellStyle name="Normal 5 2 8_13008" xfId="1335" xr:uid="{00000000-0005-0000-0000-000025050000}"/>
    <cellStyle name="Normal 5 2 9" xfId="1336" xr:uid="{00000000-0005-0000-0000-000026050000}"/>
    <cellStyle name="Normal 5 2 9 2" xfId="1337" xr:uid="{00000000-0005-0000-0000-000027050000}"/>
    <cellStyle name="Normal 5 2 9 3" xfId="1338" xr:uid="{00000000-0005-0000-0000-000028050000}"/>
    <cellStyle name="Normal 5 2 9_13008" xfId="1339" xr:uid="{00000000-0005-0000-0000-000029050000}"/>
    <cellStyle name="Normal 5 2_13008" xfId="1340" xr:uid="{00000000-0005-0000-0000-00002A050000}"/>
    <cellStyle name="Normal 5 3" xfId="1341" xr:uid="{00000000-0005-0000-0000-00002B050000}"/>
    <cellStyle name="Normal 5 3 2" xfId="1342" xr:uid="{00000000-0005-0000-0000-00002C050000}"/>
    <cellStyle name="Normal 5 4" xfId="1343" xr:uid="{00000000-0005-0000-0000-00002D050000}"/>
    <cellStyle name="Normal 5 4 2" xfId="1344" xr:uid="{00000000-0005-0000-0000-00002E050000}"/>
    <cellStyle name="Normal 5 4 2 2" xfId="1345" xr:uid="{00000000-0005-0000-0000-00002F050000}"/>
    <cellStyle name="Normal 5 4 2 3" xfId="1346" xr:uid="{00000000-0005-0000-0000-000030050000}"/>
    <cellStyle name="Normal 5 4 2_13008" xfId="1347" xr:uid="{00000000-0005-0000-0000-000031050000}"/>
    <cellStyle name="Normal 5 4 3" xfId="1348" xr:uid="{00000000-0005-0000-0000-000032050000}"/>
    <cellStyle name="Normal 5 4 3 2" xfId="1349" xr:uid="{00000000-0005-0000-0000-000033050000}"/>
    <cellStyle name="Normal 5 4 3 3" xfId="1350" xr:uid="{00000000-0005-0000-0000-000034050000}"/>
    <cellStyle name="Normal 5 4 3_13008" xfId="1351" xr:uid="{00000000-0005-0000-0000-000035050000}"/>
    <cellStyle name="Normal 5 4 4" xfId="1352" xr:uid="{00000000-0005-0000-0000-000036050000}"/>
    <cellStyle name="Normal 5 4 5" xfId="1353" xr:uid="{00000000-0005-0000-0000-000037050000}"/>
    <cellStyle name="Normal 5 4_13008" xfId="1354" xr:uid="{00000000-0005-0000-0000-000038050000}"/>
    <cellStyle name="Normal 5 5" xfId="1355" xr:uid="{00000000-0005-0000-0000-000039050000}"/>
    <cellStyle name="Normal 5 5 2" xfId="1356" xr:uid="{00000000-0005-0000-0000-00003A050000}"/>
    <cellStyle name="Normal 5 5 3" xfId="1357" xr:uid="{00000000-0005-0000-0000-00003B050000}"/>
    <cellStyle name="Normal 5 5_13008" xfId="1358" xr:uid="{00000000-0005-0000-0000-00003C050000}"/>
    <cellStyle name="Normal 5 6" xfId="1359" xr:uid="{00000000-0005-0000-0000-00003D050000}"/>
    <cellStyle name="Normal 5 6 2" xfId="1360" xr:uid="{00000000-0005-0000-0000-00003E050000}"/>
    <cellStyle name="Normal 5 6 3" xfId="1361" xr:uid="{00000000-0005-0000-0000-00003F050000}"/>
    <cellStyle name="Normal 5 6_13008" xfId="1362" xr:uid="{00000000-0005-0000-0000-000040050000}"/>
    <cellStyle name="Normal 5 7" xfId="1363" xr:uid="{00000000-0005-0000-0000-000041050000}"/>
    <cellStyle name="Normal 5 8" xfId="1364" xr:uid="{00000000-0005-0000-0000-000042050000}"/>
    <cellStyle name="Normal 5_13008" xfId="1365" xr:uid="{00000000-0005-0000-0000-000043050000}"/>
    <cellStyle name="Normal 6" xfId="107" xr:uid="{00000000-0005-0000-0000-000044050000}"/>
    <cellStyle name="Normal 6 2" xfId="1366" xr:uid="{00000000-0005-0000-0000-000045050000}"/>
    <cellStyle name="Normal 6 2 2" xfId="1367" xr:uid="{00000000-0005-0000-0000-000046050000}"/>
    <cellStyle name="Normal 6 2 2 2" xfId="1368" xr:uid="{00000000-0005-0000-0000-000047050000}"/>
    <cellStyle name="Normal 6 2 2 3" xfId="1369" xr:uid="{00000000-0005-0000-0000-000048050000}"/>
    <cellStyle name="Normal 6 2 2_13008" xfId="1370" xr:uid="{00000000-0005-0000-0000-000049050000}"/>
    <cellStyle name="Normal 6 2 3" xfId="1371" xr:uid="{00000000-0005-0000-0000-00004A050000}"/>
    <cellStyle name="Normal 6 2 3 2" xfId="1372" xr:uid="{00000000-0005-0000-0000-00004B050000}"/>
    <cellStyle name="Normal 6 2 3 3" xfId="1373" xr:uid="{00000000-0005-0000-0000-00004C050000}"/>
    <cellStyle name="Normal 6 2 3_13008" xfId="1374" xr:uid="{00000000-0005-0000-0000-00004D050000}"/>
    <cellStyle name="Normal 6 2 4" xfId="1375" xr:uid="{00000000-0005-0000-0000-00004E050000}"/>
    <cellStyle name="Normal 6 2 5" xfId="1376" xr:uid="{00000000-0005-0000-0000-00004F050000}"/>
    <cellStyle name="Normal 6 2_13008" xfId="1377" xr:uid="{00000000-0005-0000-0000-000050050000}"/>
    <cellStyle name="Normal 6 3" xfId="1378" xr:uid="{00000000-0005-0000-0000-000051050000}"/>
    <cellStyle name="Normal 6 3 2" xfId="1379" xr:uid="{00000000-0005-0000-0000-000052050000}"/>
    <cellStyle name="Normal 6 3 3" xfId="1380" xr:uid="{00000000-0005-0000-0000-000053050000}"/>
    <cellStyle name="Normal 6 3_13008" xfId="1381" xr:uid="{00000000-0005-0000-0000-000054050000}"/>
    <cellStyle name="Normal 6 4" xfId="1382" xr:uid="{00000000-0005-0000-0000-000055050000}"/>
    <cellStyle name="Normal 6 4 2" xfId="1383" xr:uid="{00000000-0005-0000-0000-000056050000}"/>
    <cellStyle name="Normal 6 4 3" xfId="1384" xr:uid="{00000000-0005-0000-0000-000057050000}"/>
    <cellStyle name="Normal 6 4_13008" xfId="1385" xr:uid="{00000000-0005-0000-0000-000058050000}"/>
    <cellStyle name="Normal 6 5" xfId="1386" xr:uid="{00000000-0005-0000-0000-000059050000}"/>
    <cellStyle name="Normal 6 5 2" xfId="1387" xr:uid="{00000000-0005-0000-0000-00005A050000}"/>
    <cellStyle name="Normal 6 5 3" xfId="1388" xr:uid="{00000000-0005-0000-0000-00005B050000}"/>
    <cellStyle name="Normal 6 5_13008" xfId="1389" xr:uid="{00000000-0005-0000-0000-00005C050000}"/>
    <cellStyle name="Normal 6 6" xfId="1390" xr:uid="{00000000-0005-0000-0000-00005D050000}"/>
    <cellStyle name="Normal 6 7" xfId="1391" xr:uid="{00000000-0005-0000-0000-00005E050000}"/>
    <cellStyle name="Normal 6_13008" xfId="1392" xr:uid="{00000000-0005-0000-0000-00005F050000}"/>
    <cellStyle name="Normal 7" xfId="108" xr:uid="{00000000-0005-0000-0000-000060050000}"/>
    <cellStyle name="Normal 7 2" xfId="1393" xr:uid="{00000000-0005-0000-0000-000061050000}"/>
    <cellStyle name="Normal 7 2 2" xfId="1394" xr:uid="{00000000-0005-0000-0000-000062050000}"/>
    <cellStyle name="Normal 7 2 2 2" xfId="1395" xr:uid="{00000000-0005-0000-0000-000063050000}"/>
    <cellStyle name="Normal 7 2 2 3" xfId="1396" xr:uid="{00000000-0005-0000-0000-000064050000}"/>
    <cellStyle name="Normal 7 2 2_13008" xfId="1397" xr:uid="{00000000-0005-0000-0000-000065050000}"/>
    <cellStyle name="Normal 7 2 3" xfId="1398" xr:uid="{00000000-0005-0000-0000-000066050000}"/>
    <cellStyle name="Normal 7 2 3 2" xfId="1399" xr:uid="{00000000-0005-0000-0000-000067050000}"/>
    <cellStyle name="Normal 7 2 3 3" xfId="1400" xr:uid="{00000000-0005-0000-0000-000068050000}"/>
    <cellStyle name="Normal 7 2 3_13008" xfId="1401" xr:uid="{00000000-0005-0000-0000-000069050000}"/>
    <cellStyle name="Normal 7 2 4" xfId="1402" xr:uid="{00000000-0005-0000-0000-00006A050000}"/>
    <cellStyle name="Normal 7 2 5" xfId="1403" xr:uid="{00000000-0005-0000-0000-00006B050000}"/>
    <cellStyle name="Normal 7 2_13008" xfId="1404" xr:uid="{00000000-0005-0000-0000-00006C050000}"/>
    <cellStyle name="Normal 7 3" xfId="1405" xr:uid="{00000000-0005-0000-0000-00006D050000}"/>
    <cellStyle name="Normal 7 3 2" xfId="1406" xr:uid="{00000000-0005-0000-0000-00006E050000}"/>
    <cellStyle name="Normal 7 3 3" xfId="1407" xr:uid="{00000000-0005-0000-0000-00006F050000}"/>
    <cellStyle name="Normal 7 3_13008" xfId="1408" xr:uid="{00000000-0005-0000-0000-000070050000}"/>
    <cellStyle name="Normal 7 4" xfId="1409" xr:uid="{00000000-0005-0000-0000-000071050000}"/>
    <cellStyle name="Normal 7 4 2" xfId="1410" xr:uid="{00000000-0005-0000-0000-000072050000}"/>
    <cellStyle name="Normal 7 4 3" xfId="1411" xr:uid="{00000000-0005-0000-0000-000073050000}"/>
    <cellStyle name="Normal 7 4_13008" xfId="1412" xr:uid="{00000000-0005-0000-0000-000074050000}"/>
    <cellStyle name="Normal 7 5" xfId="1413" xr:uid="{00000000-0005-0000-0000-000075050000}"/>
    <cellStyle name="Normal 7 6" xfId="1414" xr:uid="{00000000-0005-0000-0000-000076050000}"/>
    <cellStyle name="Normal 7 7" xfId="1415" xr:uid="{00000000-0005-0000-0000-000077050000}"/>
    <cellStyle name="Normal 7_13008" xfId="1416" xr:uid="{00000000-0005-0000-0000-000078050000}"/>
    <cellStyle name="Normal 8" xfId="109" xr:uid="{00000000-0005-0000-0000-000079050000}"/>
    <cellStyle name="Normal 8 2" xfId="1417" xr:uid="{00000000-0005-0000-0000-00007A050000}"/>
    <cellStyle name="Normal 8 2 2" xfId="1418" xr:uid="{00000000-0005-0000-0000-00007B050000}"/>
    <cellStyle name="Normal 8 2 2 2" xfId="1419" xr:uid="{00000000-0005-0000-0000-00007C050000}"/>
    <cellStyle name="Normal 8 2 2 3" xfId="1420" xr:uid="{00000000-0005-0000-0000-00007D050000}"/>
    <cellStyle name="Normal 8 2 2_13008" xfId="1421" xr:uid="{00000000-0005-0000-0000-00007E050000}"/>
    <cellStyle name="Normal 8 2 3" xfId="1422" xr:uid="{00000000-0005-0000-0000-00007F050000}"/>
    <cellStyle name="Normal 8 2 3 2" xfId="1423" xr:uid="{00000000-0005-0000-0000-000080050000}"/>
    <cellStyle name="Normal 8 2 3 3" xfId="1424" xr:uid="{00000000-0005-0000-0000-000081050000}"/>
    <cellStyle name="Normal 8 2 3_13008" xfId="1425" xr:uid="{00000000-0005-0000-0000-000082050000}"/>
    <cellStyle name="Normal 8 2 4" xfId="1426" xr:uid="{00000000-0005-0000-0000-000083050000}"/>
    <cellStyle name="Normal 8 2 5" xfId="1427" xr:uid="{00000000-0005-0000-0000-000084050000}"/>
    <cellStyle name="Normal 8 2_13008" xfId="1428" xr:uid="{00000000-0005-0000-0000-000085050000}"/>
    <cellStyle name="Normal 8 3" xfId="1429" xr:uid="{00000000-0005-0000-0000-000086050000}"/>
    <cellStyle name="Normal 8 3 2" xfId="1430" xr:uid="{00000000-0005-0000-0000-000087050000}"/>
    <cellStyle name="Normal 8 3 3" xfId="1431" xr:uid="{00000000-0005-0000-0000-000088050000}"/>
    <cellStyle name="Normal 8 3_13008" xfId="1432" xr:uid="{00000000-0005-0000-0000-000089050000}"/>
    <cellStyle name="Normal 8 4" xfId="1433" xr:uid="{00000000-0005-0000-0000-00008A050000}"/>
    <cellStyle name="Normal 8 4 2" xfId="1434" xr:uid="{00000000-0005-0000-0000-00008B050000}"/>
    <cellStyle name="Normal 8 4 3" xfId="1435" xr:uid="{00000000-0005-0000-0000-00008C050000}"/>
    <cellStyle name="Normal 8 4_13008" xfId="1436" xr:uid="{00000000-0005-0000-0000-00008D050000}"/>
    <cellStyle name="Normal 8 5" xfId="1437" xr:uid="{00000000-0005-0000-0000-00008E050000}"/>
    <cellStyle name="Normal 8 5 2" xfId="1438" xr:uid="{00000000-0005-0000-0000-00008F050000}"/>
    <cellStyle name="Normal 8 5 3" xfId="1439" xr:uid="{00000000-0005-0000-0000-000090050000}"/>
    <cellStyle name="Normal 8 5_13008" xfId="1440" xr:uid="{00000000-0005-0000-0000-000091050000}"/>
    <cellStyle name="Normal 8 6" xfId="1441" xr:uid="{00000000-0005-0000-0000-000092050000}"/>
    <cellStyle name="Normal 8 7" xfId="1442" xr:uid="{00000000-0005-0000-0000-000093050000}"/>
    <cellStyle name="Normal 8_13008" xfId="1443" xr:uid="{00000000-0005-0000-0000-000094050000}"/>
    <cellStyle name="Normal 9" xfId="110" xr:uid="{00000000-0005-0000-0000-000095050000}"/>
    <cellStyle name="Normal 9 2" xfId="1444" xr:uid="{00000000-0005-0000-0000-000096050000}"/>
    <cellStyle name="Normal 9 2 2" xfId="1445" xr:uid="{00000000-0005-0000-0000-000097050000}"/>
    <cellStyle name="Normal 9 2 2 2" xfId="1446" xr:uid="{00000000-0005-0000-0000-000098050000}"/>
    <cellStyle name="Normal 9 2 2 3" xfId="1447" xr:uid="{00000000-0005-0000-0000-000099050000}"/>
    <cellStyle name="Normal 9 2 2_13008" xfId="1448" xr:uid="{00000000-0005-0000-0000-00009A050000}"/>
    <cellStyle name="Normal 9 2 3" xfId="1449" xr:uid="{00000000-0005-0000-0000-00009B050000}"/>
    <cellStyle name="Normal 9 2 3 2" xfId="1450" xr:uid="{00000000-0005-0000-0000-00009C050000}"/>
    <cellStyle name="Normal 9 2 3 3" xfId="1451" xr:uid="{00000000-0005-0000-0000-00009D050000}"/>
    <cellStyle name="Normal 9 2 3_13008" xfId="1452" xr:uid="{00000000-0005-0000-0000-00009E050000}"/>
    <cellStyle name="Normal 9 2 4" xfId="1453" xr:uid="{00000000-0005-0000-0000-00009F050000}"/>
    <cellStyle name="Normal 9 2 4 2" xfId="1454" xr:uid="{00000000-0005-0000-0000-0000A0050000}"/>
    <cellStyle name="Normal 9 2 4_13008" xfId="1455" xr:uid="{00000000-0005-0000-0000-0000A1050000}"/>
    <cellStyle name="Normal 9 2 5" xfId="1456" xr:uid="{00000000-0005-0000-0000-0000A2050000}"/>
    <cellStyle name="Normal 9 2 5 2" xfId="1457" xr:uid="{00000000-0005-0000-0000-0000A3050000}"/>
    <cellStyle name="Normal 9 2 5_13008" xfId="1458" xr:uid="{00000000-0005-0000-0000-0000A4050000}"/>
    <cellStyle name="Normal 9 2 6" xfId="1459" xr:uid="{00000000-0005-0000-0000-0000A5050000}"/>
    <cellStyle name="Normal 9 2_13008" xfId="1460" xr:uid="{00000000-0005-0000-0000-0000A6050000}"/>
    <cellStyle name="Normal 9 3" xfId="1461" xr:uid="{00000000-0005-0000-0000-0000A7050000}"/>
    <cellStyle name="Normal 9 3 2" xfId="1462" xr:uid="{00000000-0005-0000-0000-0000A8050000}"/>
    <cellStyle name="Normal 9 3 3" xfId="1463" xr:uid="{00000000-0005-0000-0000-0000A9050000}"/>
    <cellStyle name="Normal 9 3_13008" xfId="1464" xr:uid="{00000000-0005-0000-0000-0000AA050000}"/>
    <cellStyle name="Normal 9 4" xfId="1465" xr:uid="{00000000-0005-0000-0000-0000AB050000}"/>
    <cellStyle name="Normal 9 4 2" xfId="1466" xr:uid="{00000000-0005-0000-0000-0000AC050000}"/>
    <cellStyle name="Normal 9 4 3" xfId="1467" xr:uid="{00000000-0005-0000-0000-0000AD050000}"/>
    <cellStyle name="Normal 9 4_13008" xfId="1468" xr:uid="{00000000-0005-0000-0000-0000AE050000}"/>
    <cellStyle name="Normal 9 5" xfId="1469" xr:uid="{00000000-0005-0000-0000-0000AF050000}"/>
    <cellStyle name="Normal 9 5 2" xfId="1470" xr:uid="{00000000-0005-0000-0000-0000B0050000}"/>
    <cellStyle name="Normal 9 6" xfId="1471" xr:uid="{00000000-0005-0000-0000-0000B1050000}"/>
    <cellStyle name="Normal 9 7" xfId="1472" xr:uid="{00000000-0005-0000-0000-0000B2050000}"/>
    <cellStyle name="Normal 9_13008" xfId="1473" xr:uid="{00000000-0005-0000-0000-0000B3050000}"/>
    <cellStyle name="Normal 98" xfId="1474" xr:uid="{00000000-0005-0000-0000-0000B4050000}"/>
    <cellStyle name="Normal_Pacific 1-1-06" xfId="4" xr:uid="{00000000-0005-0000-0000-0000B5050000}"/>
    <cellStyle name="Note 2" xfId="111" xr:uid="{00000000-0005-0000-0000-0000B6050000}"/>
    <cellStyle name="Note 2 2" xfId="1475" xr:uid="{00000000-0005-0000-0000-0000B7050000}"/>
    <cellStyle name="Note 2 3" xfId="1476" xr:uid="{00000000-0005-0000-0000-0000B8050000}"/>
    <cellStyle name="Note 3" xfId="1477" xr:uid="{00000000-0005-0000-0000-0000B9050000}"/>
    <cellStyle name="Notes" xfId="112" xr:uid="{00000000-0005-0000-0000-0000BA050000}"/>
    <cellStyle name="NotIncluded1" xfId="1478" xr:uid="{00000000-0005-0000-0000-0000BB050000}"/>
    <cellStyle name="OptionalGood" xfId="1479" xr:uid="{00000000-0005-0000-0000-0000BC050000}"/>
    <cellStyle name="Output" xfId="177" builtinId="21" customBuiltin="1"/>
    <cellStyle name="Output 2" xfId="1480" xr:uid="{00000000-0005-0000-0000-0000BE050000}"/>
    <cellStyle name="Percent" xfId="3" builtinId="5"/>
    <cellStyle name="Percent 2" xfId="113" xr:uid="{00000000-0005-0000-0000-0000C0050000}"/>
    <cellStyle name="Percent 2 2" xfId="114" xr:uid="{00000000-0005-0000-0000-0000C1050000}"/>
    <cellStyle name="Percent 2 2 2" xfId="151" xr:uid="{00000000-0005-0000-0000-0000C2050000}"/>
    <cellStyle name="Percent 2 2 2 2" xfId="1481" xr:uid="{00000000-0005-0000-0000-0000C3050000}"/>
    <cellStyle name="Percent 2 2 2 3" xfId="1482" xr:uid="{00000000-0005-0000-0000-0000C4050000}"/>
    <cellStyle name="Percent 2 2 3" xfId="1483" xr:uid="{00000000-0005-0000-0000-0000C5050000}"/>
    <cellStyle name="Percent 2 2 3 2" xfId="1484" xr:uid="{00000000-0005-0000-0000-0000C6050000}"/>
    <cellStyle name="Percent 2 2 3 3" xfId="1485" xr:uid="{00000000-0005-0000-0000-0000C7050000}"/>
    <cellStyle name="Percent 2 2 4" xfId="1486" xr:uid="{00000000-0005-0000-0000-0000C8050000}"/>
    <cellStyle name="Percent 2 2 4 2" xfId="1487" xr:uid="{00000000-0005-0000-0000-0000C9050000}"/>
    <cellStyle name="Percent 2 2 4 3" xfId="1488" xr:uid="{00000000-0005-0000-0000-0000CA050000}"/>
    <cellStyle name="Percent 2 2 5" xfId="1489" xr:uid="{00000000-0005-0000-0000-0000CB050000}"/>
    <cellStyle name="Percent 2 2 5 2" xfId="1490" xr:uid="{00000000-0005-0000-0000-0000CC050000}"/>
    <cellStyle name="Percent 2 2 5 3" xfId="1491" xr:uid="{00000000-0005-0000-0000-0000CD050000}"/>
    <cellStyle name="Percent 2 2 6" xfId="1492" xr:uid="{00000000-0005-0000-0000-0000CE050000}"/>
    <cellStyle name="Percent 2 2 6 2" xfId="1493" xr:uid="{00000000-0005-0000-0000-0000CF050000}"/>
    <cellStyle name="Percent 2 2 6 3" xfId="1494" xr:uid="{00000000-0005-0000-0000-0000D0050000}"/>
    <cellStyle name="Percent 2 2 7" xfId="1495" xr:uid="{00000000-0005-0000-0000-0000D1050000}"/>
    <cellStyle name="Percent 2 2 7 2" xfId="1496" xr:uid="{00000000-0005-0000-0000-0000D2050000}"/>
    <cellStyle name="Percent 2 2 7 3" xfId="1497" xr:uid="{00000000-0005-0000-0000-0000D3050000}"/>
    <cellStyle name="Percent 2 2 8" xfId="1498" xr:uid="{00000000-0005-0000-0000-0000D4050000}"/>
    <cellStyle name="Percent 2 2 9" xfId="1499" xr:uid="{00000000-0005-0000-0000-0000D5050000}"/>
    <cellStyle name="Percent 3" xfId="115" xr:uid="{00000000-0005-0000-0000-0000D6050000}"/>
    <cellStyle name="Percent 3 2" xfId="1500" xr:uid="{00000000-0005-0000-0000-0000D7050000}"/>
    <cellStyle name="Percent 4" xfId="116" xr:uid="{00000000-0005-0000-0000-0000D8050000}"/>
    <cellStyle name="Percent 4 2" xfId="152" xr:uid="{00000000-0005-0000-0000-0000D9050000}"/>
    <cellStyle name="Percent 4 3" xfId="153" xr:uid="{00000000-0005-0000-0000-0000DA050000}"/>
    <cellStyle name="Percent 4 3 2" xfId="1501" xr:uid="{00000000-0005-0000-0000-0000DB050000}"/>
    <cellStyle name="Percent 4 3 3" xfId="1502" xr:uid="{00000000-0005-0000-0000-0000DC050000}"/>
    <cellStyle name="Percent 5" xfId="154" xr:uid="{00000000-0005-0000-0000-0000DD050000}"/>
    <cellStyle name="Percent 5 2" xfId="1503" xr:uid="{00000000-0005-0000-0000-0000DE050000}"/>
    <cellStyle name="Percent 6" xfId="166" xr:uid="{00000000-0005-0000-0000-0000DF050000}"/>
    <cellStyle name="Percent 7" xfId="1504" xr:uid="{00000000-0005-0000-0000-0000E0050000}"/>
    <cellStyle name="Percent 7 2" xfId="1536" xr:uid="{00000000-0005-0000-0000-0000E1050000}"/>
    <cellStyle name="Percent(1)" xfId="117" xr:uid="{00000000-0005-0000-0000-0000E2050000}"/>
    <cellStyle name="Percent(2)" xfId="118" xr:uid="{00000000-0005-0000-0000-0000E3050000}"/>
    <cellStyle name="PRM" xfId="119" xr:uid="{00000000-0005-0000-0000-0000E4050000}"/>
    <cellStyle name="PRM 2" xfId="120" xr:uid="{00000000-0005-0000-0000-0000E5050000}"/>
    <cellStyle name="PRM 3" xfId="121" xr:uid="{00000000-0005-0000-0000-0000E6050000}"/>
    <cellStyle name="PRM_Thurston" xfId="122" xr:uid="{00000000-0005-0000-0000-0000E7050000}"/>
    <cellStyle name="PSChar" xfId="123" xr:uid="{00000000-0005-0000-0000-0000E8050000}"/>
    <cellStyle name="PSHeading" xfId="124" xr:uid="{00000000-0005-0000-0000-0000E9050000}"/>
    <cellStyle name="Reset  - Style4" xfId="1505" xr:uid="{00000000-0005-0000-0000-0000EA050000}"/>
    <cellStyle name="Reset  - Style7" xfId="1506" xr:uid="{00000000-0005-0000-0000-0000EB050000}"/>
    <cellStyle name="Style 1" xfId="125" xr:uid="{00000000-0005-0000-0000-0000EC050000}"/>
    <cellStyle name="Style 1 2" xfId="126" xr:uid="{00000000-0005-0000-0000-0000ED050000}"/>
    <cellStyle name="Style 1 2 2" xfId="1507" xr:uid="{00000000-0005-0000-0000-0000EE050000}"/>
    <cellStyle name="Style 1 3" xfId="1508" xr:uid="{00000000-0005-0000-0000-0000EF050000}"/>
    <cellStyle name="Style 1_Recycle Center Commodities MRF" xfId="129" xr:uid="{00000000-0005-0000-0000-0000F0050000}"/>
    <cellStyle name="STYLE1" xfId="127" xr:uid="{00000000-0005-0000-0000-0000F1050000}"/>
    <cellStyle name="STYLE1 2" xfId="157" xr:uid="{00000000-0005-0000-0000-0000F2050000}"/>
    <cellStyle name="STYLE1 3" xfId="156" xr:uid="{00000000-0005-0000-0000-0000F3050000}"/>
    <cellStyle name="Table  - Style5" xfId="1509" xr:uid="{00000000-0005-0000-0000-0000F4050000}"/>
    <cellStyle name="Table  - Style6" xfId="1510" xr:uid="{00000000-0005-0000-0000-0000F5050000}"/>
    <cellStyle name="Title" xfId="155" builtinId="15" customBuiltin="1"/>
    <cellStyle name="Title  - Style1" xfId="1511" xr:uid="{00000000-0005-0000-0000-0000F7050000}"/>
    <cellStyle name="Title  - Style6" xfId="1512" xr:uid="{00000000-0005-0000-0000-0000F8050000}"/>
    <cellStyle name="Title 2" xfId="1513" xr:uid="{00000000-0005-0000-0000-0000F9050000}"/>
    <cellStyle name="Total" xfId="183" builtinId="25" customBuiltin="1"/>
    <cellStyle name="Total 2" xfId="128" xr:uid="{00000000-0005-0000-0000-0000FB050000}"/>
    <cellStyle name="Total 3" xfId="1514" xr:uid="{00000000-0005-0000-0000-0000FC050000}"/>
    <cellStyle name="TotCol - Style5" xfId="1515" xr:uid="{00000000-0005-0000-0000-0000FD050000}"/>
    <cellStyle name="TotCol - Style7" xfId="1516" xr:uid="{00000000-0005-0000-0000-0000FE050000}"/>
    <cellStyle name="TotRow - Style4" xfId="1517" xr:uid="{00000000-0005-0000-0000-0000FF050000}"/>
    <cellStyle name="TotRow - Style8" xfId="1518" xr:uid="{00000000-0005-0000-0000-000000060000}"/>
    <cellStyle name="Warning Text" xfId="181" builtinId="11" customBuiltin="1"/>
    <cellStyle name="Warning Text 2" xfId="1519" xr:uid="{00000000-0005-0000-0000-000002060000}"/>
  </cellStyles>
  <dxfs count="11">
    <dxf>
      <fill>
        <patternFill patternType="solid">
          <fgColor rgb="FFDBE5F1"/>
          <bgColor rgb="FFDBE5F1"/>
        </patternFill>
      </fill>
      <border>
        <bottom style="thin">
          <color rgb="FF95B3D7"/>
        </bottom>
      </border>
    </dxf>
    <dxf>
      <fill>
        <patternFill patternType="solid">
          <fgColor rgb="FFDBE5F1"/>
          <bgColor rgb="FFDBE5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8D8D8"/>
          <bgColor rgb="FFD8D8D8"/>
        </patternFill>
      </fill>
    </dxf>
    <dxf>
      <fill>
        <patternFill patternType="solid">
          <fgColor rgb="FFD8D8D8"/>
          <bgColor rgb="FFD8D8D8"/>
        </patternFill>
      </fill>
      <border>
        <left style="thin">
          <color rgb="FFBFBFBF"/>
        </left>
        <right style="thin">
          <color rgb="FFBFBFBF"/>
        </right>
      </border>
    </dxf>
    <dxf>
      <fill>
        <patternFill patternType="solid">
          <fgColor rgb="FFD8D8D8"/>
          <bgColor rgb="FFD8D8D8"/>
        </patternFill>
      </fill>
    </dxf>
    <dxf>
      <font>
        <b/>
        <color rgb="FF000000"/>
      </font>
      <fill>
        <patternFill patternType="solid">
          <fgColor rgb="FFDBE5F1"/>
          <bgColor rgb="FFDBE5F1"/>
        </patternFill>
      </fill>
      <border>
        <top style="thin">
          <color rgb="FF95B3D7"/>
        </top>
      </border>
    </dxf>
    <dxf>
      <font>
        <b/>
        <color rgb="FF000000"/>
      </font>
      <fill>
        <patternFill patternType="solid">
          <fgColor rgb="FFDBE5F1"/>
          <bgColor rgb="FFDBE5F1"/>
        </patternFill>
      </fill>
      <border>
        <bottom style="thin">
          <color rgb="FF95B3D7"/>
        </bottom>
      </border>
    </dxf>
  </dxfs>
  <tableStyles count="1" defaultTableStyle="TableStyleMedium9" defaultPivotStyle="PivotStyleLight16">
    <tableStyle name="PivotStyleLight16 2" table="0" count="11" xr9:uid="{00000000-0011-0000-FFFF-FFFF00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Western%20Region\2000%20Western%20Region%20Office\WUTC\WIP%20Files\Commodity%20Credit\2024%20Accrual%20Spreadsheets\2024.01%20S%20LeMay%20Comm%20Credits\Pacific%20Disposal%20Commodity%20Accrual%20Calc%202024.01.xlsx" TargetMode="External"/><Relationship Id="rId1" Type="http://schemas.openxmlformats.org/officeDocument/2006/relationships/externalLinkPath" Target="/Western%20Region/2000%20Western%20Region%20Office/WUTC/WIP%20Files/Commodity%20Credit/2024%20Accrual%20Spreadsheets/2024.01%20S%20LeMay%20Comm%20Credits/Pacific%20Disposal%20Commodity%20Accrual%20Calc%202024.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3%20Pacific\Commodity%20Price%20Adjust%201-1-19\Pacific%20Disposal,%20Commodity%20Adjust%20Calc%201-1-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est-file01\Regions\Western%20Region\WUTC\WIP%20Files\Commodity%20Credit\2017-2018%20Accrual%20Spreadsheets\Pacific%20Disposal,%20Butler's%20Cover,%20Rural%20Refuse%20Commodity%20Accrual%20Calc%202017-2018%20UPDATED%20FOR%20NEW%20M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3%20Pacific\Commodities%207-1-2017\Pacific%20Disposal,%20Commodity%20Credit%20Calculation,%207-1-201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2000%20Western%20Region%20Office\WUTC\WUTC-LeMay\Commodity%20Credit\2183%20Pacific\Commodity%20Price%20Adjust%201-1-2023\Pacific%20Disposal%20Commodity%20Accrual%20Calc%202023.01.xlsx" TargetMode="External"/><Relationship Id="rId1" Type="http://schemas.openxmlformats.org/officeDocument/2006/relationships/externalLinkPath" Target="Pacific%20Disposal%20Commodity%20Accrual%20Calc%202023.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0%20Western%20Region%20Office/WUTC/WUTC-LeMay/Commodity%20Credit/2183%20Pacific/Commodity%20Price%20Adjust%201-1-2023/Pacific%20Disposal%20Commodity%20Accrual%20Calc%2020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y%20Price%20Adjust%201-1-2022/Pacific%20Disposal%20Commodity%20Accrual%20Calc%202021.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3%20Pacific\Commodity%20Price%20Adjust%201-1-2020\Pacific%20Disposal,%20Commodity%20Adjust%20Calc%201-1-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3%20Rural\Commodity%20Price%20Adjust%201-1-2020\Rural%20Garbage%20Service,%20CPA%20Calc%20-1-1-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3%20Pacific\Commodity%20Price%20Adjust%201-1-2021\Pacific%20Disposal,%20Butler's%20Cover,%20Rural%20Refuse%20Commodity%20Accrual%20Calc%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3%20Pacific\Commodities%207-1-2018\Pacific%20Disposal,%20Commodity%20Credit%20Calculation,%207-1-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est-file01\Regions\Western%20Region\WUTC\WIP%20Files\Commodity%20Credit\2018-2019%20Accrual%20Spreadsheets\Pacific%20Disposal,%20Butler's%20Cover,%20Rural%20Refuse%20Commodity%20Accrual%20Calc%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cific Comm Credit"/>
      <sheetName val="Single Fam Comm Details"/>
      <sheetName val="Multi Fam Comm Details"/>
      <sheetName val="Yearly Totals 21"/>
      <sheetName val="Yearly Totals 22"/>
      <sheetName val="Yearly Totals 23"/>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10">
          <cell r="B10">
            <v>1025.1100000000001</v>
          </cell>
          <cell r="C10">
            <v>1045.2499999999998</v>
          </cell>
          <cell r="D10">
            <v>1138.2799999999997</v>
          </cell>
          <cell r="E10">
            <v>849.78</v>
          </cell>
          <cell r="F10">
            <v>1015.6099999999997</v>
          </cell>
          <cell r="G10">
            <v>942.66</v>
          </cell>
          <cell r="H10">
            <v>1050.1199999999999</v>
          </cell>
          <cell r="I10">
            <v>979.68999999999994</v>
          </cell>
          <cell r="J10">
            <v>939.88</v>
          </cell>
          <cell r="K10">
            <v>978.87</v>
          </cell>
          <cell r="L10">
            <v>943.01000000000022</v>
          </cell>
          <cell r="M10">
            <v>985.51</v>
          </cell>
        </row>
        <row r="11">
          <cell r="B11">
            <v>114.3</v>
          </cell>
          <cell r="C11">
            <v>117.17</v>
          </cell>
          <cell r="D11">
            <v>146.53</v>
          </cell>
          <cell r="E11">
            <v>91.86</v>
          </cell>
          <cell r="F11">
            <v>118.11</v>
          </cell>
          <cell r="G11">
            <v>94.4</v>
          </cell>
          <cell r="H11">
            <v>123.69</v>
          </cell>
          <cell r="I11">
            <v>96.77</v>
          </cell>
          <cell r="J11">
            <v>98.19</v>
          </cell>
          <cell r="K11">
            <v>127.82</v>
          </cell>
          <cell r="L11">
            <v>111.06</v>
          </cell>
          <cell r="M11">
            <v>83.54</v>
          </cell>
        </row>
        <row r="16">
          <cell r="B16">
            <v>-117.39685</v>
          </cell>
          <cell r="C16">
            <v>-131.00376</v>
          </cell>
          <cell r="D16">
            <v>-130.912564</v>
          </cell>
          <cell r="E16">
            <v>-114.59896399999998</v>
          </cell>
          <cell r="F16">
            <v>-115.28181599999998</v>
          </cell>
          <cell r="G16">
            <v>-111.802516</v>
          </cell>
          <cell r="H16">
            <v>-106.307616</v>
          </cell>
          <cell r="I16">
            <v>-109.36141599999999</v>
          </cell>
          <cell r="J16">
            <v>-122.21801600000001</v>
          </cell>
          <cell r="K16">
            <v>-124.96461600000001</v>
          </cell>
          <cell r="L16">
            <v>-116.22791600000002</v>
          </cell>
          <cell r="M16">
            <v>-105.892916</v>
          </cell>
        </row>
        <row r="17">
          <cell r="B17">
            <v>-33</v>
          </cell>
          <cell r="C17">
            <v>-33</v>
          </cell>
          <cell r="D17">
            <v>-33</v>
          </cell>
          <cell r="E17">
            <v>-33</v>
          </cell>
          <cell r="F17">
            <v>-33</v>
          </cell>
          <cell r="G17">
            <v>-33</v>
          </cell>
          <cell r="H17">
            <v>-33</v>
          </cell>
          <cell r="I17">
            <v>-33</v>
          </cell>
          <cell r="J17">
            <v>-33</v>
          </cell>
          <cell r="K17">
            <v>-33</v>
          </cell>
          <cell r="L17">
            <v>-33</v>
          </cell>
          <cell r="M17">
            <v>-33</v>
          </cell>
        </row>
        <row r="26">
          <cell r="B26">
            <v>63291</v>
          </cell>
          <cell r="C26">
            <v>63184</v>
          </cell>
          <cell r="D26">
            <v>63180</v>
          </cell>
          <cell r="E26">
            <v>63315</v>
          </cell>
          <cell r="F26">
            <v>63396</v>
          </cell>
          <cell r="G26">
            <v>63653</v>
          </cell>
          <cell r="H26">
            <v>63975</v>
          </cell>
          <cell r="I26">
            <v>63998</v>
          </cell>
          <cell r="J26">
            <v>63991</v>
          </cell>
          <cell r="K26">
            <v>63612</v>
          </cell>
          <cell r="L26">
            <v>63991</v>
          </cell>
          <cell r="M26">
            <v>63882</v>
          </cell>
        </row>
        <row r="44">
          <cell r="B44">
            <v>104.28266799999999</v>
          </cell>
          <cell r="C44">
            <v>104.29185199999998</v>
          </cell>
          <cell r="D44">
            <v>99.533585999999985</v>
          </cell>
          <cell r="E44">
            <v>94.805319999999995</v>
          </cell>
          <cell r="F44">
            <v>109.02011799999998</v>
          </cell>
          <cell r="G44">
            <v>99.533586000000014</v>
          </cell>
          <cell r="H44">
            <v>99.665694000000016</v>
          </cell>
          <cell r="I44">
            <v>99.665694000000016</v>
          </cell>
          <cell r="J44">
            <v>95.128617000000006</v>
          </cell>
          <cell r="K44">
            <v>104.20277100000003</v>
          </cell>
          <cell r="L44">
            <v>99.665694000000016</v>
          </cell>
          <cell r="M44">
            <v>95.128617000000006</v>
          </cell>
        </row>
        <row r="45">
          <cell r="B45">
            <v>17.420000000000002</v>
          </cell>
          <cell r="C45">
            <v>17.55</v>
          </cell>
          <cell r="D45">
            <v>20.270000000000003</v>
          </cell>
          <cell r="E45">
            <v>17.350000000000001</v>
          </cell>
          <cell r="F45">
            <v>20.45</v>
          </cell>
          <cell r="G45">
            <v>18.11</v>
          </cell>
          <cell r="H45">
            <v>20.03</v>
          </cell>
          <cell r="I45">
            <v>18.920000000000002</v>
          </cell>
          <cell r="J45">
            <v>18.3</v>
          </cell>
          <cell r="K45">
            <v>20.9</v>
          </cell>
          <cell r="L45">
            <v>19.510000000000002</v>
          </cell>
          <cell r="M45">
            <v>17.71</v>
          </cell>
        </row>
        <row r="47">
          <cell r="N47">
            <v>1431.4442170000002</v>
          </cell>
        </row>
        <row r="57">
          <cell r="N57">
            <v>-148771.44881489285</v>
          </cell>
        </row>
        <row r="60">
          <cell r="B60">
            <v>12993.665198237884</v>
          </cell>
          <cell r="C60">
            <v>12994.500000000002</v>
          </cell>
          <cell r="D60">
            <v>13019.629955947137</v>
          </cell>
          <cell r="E60">
            <v>13369.775330396475</v>
          </cell>
          <cell r="F60">
            <v>13470.061674008812</v>
          </cell>
          <cell r="G60">
            <v>13633.662995594716</v>
          </cell>
          <cell r="H60">
            <v>13779.47577092511</v>
          </cell>
          <cell r="I60">
            <v>13956.594713656386</v>
          </cell>
          <cell r="J60">
            <v>13959.295154185023</v>
          </cell>
          <cell r="K60">
            <v>14007.317180616739</v>
          </cell>
          <cell r="L60">
            <v>14528.544247787613</v>
          </cell>
          <cell r="M60">
            <v>14443.7389380531</v>
          </cell>
          <cell r="N60">
            <v>164156.26115940901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ing &amp; Postage"/>
      <sheetName val="Pacific Comm Credit"/>
    </sheetNames>
    <sheetDataSet>
      <sheetData sheetId="0">
        <row r="6">
          <cell r="J6">
            <v>7.5181066438551464E-2</v>
          </cell>
        </row>
        <row r="7">
          <cell r="J7">
            <v>7.5181066438551478E-2</v>
          </cell>
        </row>
      </sheetData>
      <sheetData sheetId="1">
        <row r="38">
          <cell r="H38">
            <v>-1.2259697247382961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Yearly Totals 17"/>
      <sheetName val="Pioneer Pricing"/>
      <sheetName val="MF Customer Counts"/>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1042.6900000000003</v>
          </cell>
          <cell r="C9">
            <v>995.99999999999989</v>
          </cell>
          <cell r="D9">
            <v>925.58</v>
          </cell>
          <cell r="E9">
            <v>989.97000000000014</v>
          </cell>
          <cell r="F9">
            <v>928.02</v>
          </cell>
          <cell r="G9">
            <v>934.42999999999972</v>
          </cell>
          <cell r="H9">
            <v>1025.8800000000001</v>
          </cell>
          <cell r="I9">
            <v>1036.6799999999998</v>
          </cell>
          <cell r="J9">
            <v>1129.6716880000001</v>
          </cell>
          <cell r="K9">
            <v>808.91343600000016</v>
          </cell>
          <cell r="L9">
            <v>1058.0130359999996</v>
          </cell>
          <cell r="M9">
            <v>923.55285099999992</v>
          </cell>
        </row>
        <row r="10">
          <cell r="B10">
            <v>148.13999999999999</v>
          </cell>
          <cell r="C10">
            <v>131.29</v>
          </cell>
          <cell r="D10">
            <v>149.47</v>
          </cell>
          <cell r="E10">
            <v>154.04000000000002</v>
          </cell>
          <cell r="F10">
            <v>136.63</v>
          </cell>
          <cell r="G10">
            <v>132.31</v>
          </cell>
          <cell r="H10">
            <v>114.27000000000001</v>
          </cell>
          <cell r="I10">
            <v>128.38999999999999</v>
          </cell>
          <cell r="J10">
            <v>147.63</v>
          </cell>
          <cell r="K10">
            <v>97.610000000000014</v>
          </cell>
          <cell r="L10">
            <v>118.82</v>
          </cell>
          <cell r="M10">
            <v>112.94</v>
          </cell>
        </row>
        <row r="15">
          <cell r="B15">
            <v>62.714999999999996</v>
          </cell>
          <cell r="C15">
            <v>85.117999999999995</v>
          </cell>
          <cell r="D15">
            <v>94.094999999999999</v>
          </cell>
          <cell r="E15">
            <v>80.64</v>
          </cell>
          <cell r="F15">
            <v>61.322000000000017</v>
          </cell>
          <cell r="G15">
            <v>22.388999999999996</v>
          </cell>
          <cell r="H15">
            <v>35.187000000000005</v>
          </cell>
          <cell r="I15">
            <v>32.935000000000024</v>
          </cell>
          <cell r="J15">
            <v>-18.190220000000004</v>
          </cell>
          <cell r="K15">
            <v>-33.529720000000005</v>
          </cell>
          <cell r="L15">
            <v>-38.297619999999981</v>
          </cell>
          <cell r="M15">
            <v>-50.726408000000006</v>
          </cell>
        </row>
        <row r="16">
          <cell r="B16">
            <v>30</v>
          </cell>
          <cell r="C16">
            <v>30</v>
          </cell>
          <cell r="D16">
            <v>30</v>
          </cell>
          <cell r="E16">
            <v>30</v>
          </cell>
          <cell r="F16">
            <v>30</v>
          </cell>
          <cell r="G16">
            <v>30</v>
          </cell>
          <cell r="H16">
            <v>30</v>
          </cell>
          <cell r="I16">
            <v>30</v>
          </cell>
          <cell r="J16">
            <v>-30</v>
          </cell>
          <cell r="K16">
            <v>-30</v>
          </cell>
          <cell r="L16">
            <v>-30</v>
          </cell>
          <cell r="M16">
            <v>-30</v>
          </cell>
        </row>
        <row r="23">
          <cell r="B23">
            <v>45797</v>
          </cell>
          <cell r="C23">
            <v>45900</v>
          </cell>
          <cell r="D23">
            <v>45900</v>
          </cell>
          <cell r="E23">
            <v>46228</v>
          </cell>
          <cell r="F23">
            <v>46274</v>
          </cell>
          <cell r="G23">
            <v>45845</v>
          </cell>
          <cell r="H23">
            <v>45870</v>
          </cell>
          <cell r="I23">
            <v>45877</v>
          </cell>
          <cell r="J23">
            <v>45952</v>
          </cell>
          <cell r="K23">
            <v>45920</v>
          </cell>
          <cell r="L23">
            <v>46147</v>
          </cell>
          <cell r="M23">
            <v>46391</v>
          </cell>
        </row>
        <row r="24">
          <cell r="B24">
            <v>3581</v>
          </cell>
          <cell r="C24">
            <v>3602</v>
          </cell>
          <cell r="D24">
            <v>3602</v>
          </cell>
          <cell r="E24">
            <v>3620</v>
          </cell>
          <cell r="F24">
            <v>3622</v>
          </cell>
          <cell r="G24">
            <v>3576</v>
          </cell>
          <cell r="H24">
            <v>3574</v>
          </cell>
          <cell r="I24">
            <v>3575</v>
          </cell>
          <cell r="J24">
            <v>3583</v>
          </cell>
          <cell r="K24">
            <v>3586</v>
          </cell>
          <cell r="L24">
            <v>3603</v>
          </cell>
          <cell r="M24">
            <v>3616</v>
          </cell>
        </row>
        <row r="41">
          <cell r="B41">
            <v>86.26</v>
          </cell>
          <cell r="C41">
            <v>82.469999999999985</v>
          </cell>
          <cell r="D41">
            <v>78.75</v>
          </cell>
          <cell r="E41">
            <v>86.26</v>
          </cell>
          <cell r="F41">
            <v>78.75</v>
          </cell>
          <cell r="G41">
            <v>82.46999999999997</v>
          </cell>
          <cell r="H41">
            <v>82.469999999999985</v>
          </cell>
          <cell r="I41">
            <v>78.75</v>
          </cell>
          <cell r="J41">
            <v>81.952767999999992</v>
          </cell>
          <cell r="K41">
            <v>75.019995999999992</v>
          </cell>
          <cell r="L41">
            <v>82.532999999999987</v>
          </cell>
          <cell r="M41">
            <v>81.245619000000005</v>
          </cell>
        </row>
        <row r="42">
          <cell r="B42">
            <v>23.49</v>
          </cell>
          <cell r="C42">
            <v>21.91</v>
          </cell>
          <cell r="D42">
            <v>22.130000000000003</v>
          </cell>
          <cell r="E42">
            <v>23.669999999999998</v>
          </cell>
          <cell r="F42">
            <v>21.419999999999998</v>
          </cell>
          <cell r="G42">
            <v>21.98</v>
          </cell>
          <cell r="H42">
            <v>21.11</v>
          </cell>
          <cell r="I42">
            <v>21.08</v>
          </cell>
          <cell r="J42">
            <v>23.409999999999997</v>
          </cell>
          <cell r="K42">
            <v>18.88</v>
          </cell>
          <cell r="L42">
            <v>21.29</v>
          </cell>
          <cell r="M42">
            <v>15.64</v>
          </cell>
        </row>
        <row r="55">
          <cell r="B55">
            <v>9727</v>
          </cell>
          <cell r="C55">
            <v>9727</v>
          </cell>
          <cell r="D55">
            <v>9711</v>
          </cell>
          <cell r="E55">
            <v>9880</v>
          </cell>
          <cell r="F55">
            <v>9954</v>
          </cell>
          <cell r="G55">
            <v>9954</v>
          </cell>
          <cell r="H55">
            <v>9916</v>
          </cell>
          <cell r="I55">
            <v>10129</v>
          </cell>
          <cell r="J55">
            <v>10127</v>
          </cell>
          <cell r="K55">
            <v>10131</v>
          </cell>
          <cell r="L55">
            <v>10081</v>
          </cell>
          <cell r="M55">
            <v>10240</v>
          </cell>
        </row>
        <row r="56">
          <cell r="B56">
            <v>397</v>
          </cell>
          <cell r="C56">
            <v>407</v>
          </cell>
          <cell r="D56">
            <v>407</v>
          </cell>
          <cell r="E56">
            <v>407</v>
          </cell>
          <cell r="F56">
            <v>407</v>
          </cell>
          <cell r="G56">
            <v>407</v>
          </cell>
          <cell r="H56">
            <v>407</v>
          </cell>
          <cell r="I56">
            <v>405</v>
          </cell>
          <cell r="J56">
            <v>405</v>
          </cell>
          <cell r="K56">
            <v>405</v>
          </cell>
          <cell r="L56">
            <v>405</v>
          </cell>
          <cell r="M56">
            <v>405</v>
          </cell>
        </row>
      </sheetData>
      <sheetData sheetId="1"/>
      <sheetData sheetId="2">
        <row r="65">
          <cell r="C65">
            <v>66962</v>
          </cell>
        </row>
      </sheetData>
      <sheetData sheetId="3">
        <row r="9">
          <cell r="B9">
            <v>134.01000000000002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ific Comm Credit"/>
    </sheetNames>
    <sheetDataSet>
      <sheetData sheetId="0">
        <row r="33">
          <cell r="M33">
            <v>0.83</v>
          </cell>
        </row>
        <row r="38">
          <cell r="N38">
            <v>1.35</v>
          </cell>
        </row>
        <row r="71">
          <cell r="M71">
            <v>0.5</v>
          </cell>
        </row>
        <row r="76">
          <cell r="N76">
            <v>0.64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cific Comm Credit"/>
      <sheetName val="Single Fam Comm Details"/>
      <sheetName val="Multi Fam Comm Details"/>
      <sheetName val="Yearly Totals 21"/>
      <sheetName val="Yearly Totals 22"/>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11">
          <cell r="N11">
            <v>14114.890000000001</v>
          </cell>
        </row>
        <row r="15">
          <cell r="B15">
            <v>-1.0219340000000017</v>
          </cell>
          <cell r="C15">
            <v>-27.709969000000001</v>
          </cell>
          <cell r="D15">
            <v>-40.545233999999986</v>
          </cell>
          <cell r="E15">
            <v>-41.55945000000002</v>
          </cell>
          <cell r="F15">
            <v>-29.144149999999996</v>
          </cell>
          <cell r="G15">
            <v>-25.152250000000006</v>
          </cell>
          <cell r="H15">
            <v>-28.644450000000013</v>
          </cell>
          <cell r="I15">
            <v>-35.214650000000013</v>
          </cell>
          <cell r="J15">
            <v>-49.875250000000001</v>
          </cell>
          <cell r="K15">
            <v>-65.193150000000003</v>
          </cell>
          <cell r="L15">
            <v>-115.70665000000002</v>
          </cell>
          <cell r="M15">
            <v>-144.03355000000002</v>
          </cell>
        </row>
        <row r="16">
          <cell r="B16">
            <v>-33</v>
          </cell>
          <cell r="C16">
            <v>-33</v>
          </cell>
          <cell r="D16">
            <v>-33</v>
          </cell>
          <cell r="E16">
            <v>-33</v>
          </cell>
          <cell r="F16">
            <v>-33</v>
          </cell>
          <cell r="G16">
            <v>-33</v>
          </cell>
          <cell r="H16">
            <v>-33</v>
          </cell>
          <cell r="I16">
            <v>-33</v>
          </cell>
          <cell r="J16">
            <v>-33</v>
          </cell>
          <cell r="K16">
            <v>-33</v>
          </cell>
          <cell r="L16">
            <v>-33</v>
          </cell>
          <cell r="M16">
            <v>-33</v>
          </cell>
        </row>
        <row r="21">
          <cell r="N21">
            <v>-659889.76361856016</v>
          </cell>
        </row>
        <row r="23">
          <cell r="B23">
            <v>61918</v>
          </cell>
          <cell r="C23">
            <v>62458</v>
          </cell>
          <cell r="D23">
            <v>61982</v>
          </cell>
          <cell r="E23">
            <v>62188</v>
          </cell>
          <cell r="F23">
            <v>62442</v>
          </cell>
          <cell r="G23">
            <v>62775</v>
          </cell>
          <cell r="H23">
            <v>62685</v>
          </cell>
          <cell r="I23">
            <v>63110</v>
          </cell>
          <cell r="J23">
            <v>62808</v>
          </cell>
          <cell r="K23">
            <v>63395</v>
          </cell>
          <cell r="L23">
            <v>63266</v>
          </cell>
          <cell r="M23">
            <v>63302</v>
          </cell>
          <cell r="N23">
            <v>752329</v>
          </cell>
        </row>
        <row r="39">
          <cell r="B39">
            <v>99.530274000000006</v>
          </cell>
          <cell r="C39">
            <v>109.01506200000001</v>
          </cell>
          <cell r="D39">
            <v>109.01506200000001</v>
          </cell>
          <cell r="E39">
            <v>94.807880000000011</v>
          </cell>
          <cell r="F39">
            <v>109.015062</v>
          </cell>
          <cell r="G39">
            <v>99.530274000000006</v>
          </cell>
          <cell r="H39">
            <v>99.663246000000015</v>
          </cell>
          <cell r="I39">
            <v>99.663246000000015</v>
          </cell>
          <cell r="J39">
            <v>95.13355300000002</v>
          </cell>
          <cell r="K39">
            <v>104.19293900000002</v>
          </cell>
          <cell r="L39">
            <v>99.663246000000015</v>
          </cell>
          <cell r="M39">
            <v>95.13355300000002</v>
          </cell>
        </row>
        <row r="40">
          <cell r="B40">
            <v>19.12</v>
          </cell>
          <cell r="C40">
            <v>19.05</v>
          </cell>
          <cell r="D40">
            <v>22.36</v>
          </cell>
          <cell r="E40">
            <v>18.190000000000001</v>
          </cell>
          <cell r="F40">
            <v>21.44</v>
          </cell>
          <cell r="G40">
            <v>18.650000000000002</v>
          </cell>
          <cell r="H40">
            <v>17.77</v>
          </cell>
          <cell r="I40">
            <v>18.579999999999998</v>
          </cell>
          <cell r="J40">
            <v>16.78</v>
          </cell>
          <cell r="K40">
            <v>18.420000000000002</v>
          </cell>
          <cell r="L40">
            <v>17.5</v>
          </cell>
          <cell r="M40">
            <v>16.989999999999998</v>
          </cell>
        </row>
        <row r="41">
          <cell r="N41">
            <v>739.72361400000011</v>
          </cell>
        </row>
        <row r="53">
          <cell r="B53">
            <v>12680.419277108433</v>
          </cell>
          <cell r="C53">
            <v>12537.999999999998</v>
          </cell>
          <cell r="D53">
            <v>12540.997590361445</v>
          </cell>
          <cell r="E53">
            <v>12604.440963855419</v>
          </cell>
          <cell r="F53">
            <v>13428.267469879516</v>
          </cell>
          <cell r="G53">
            <v>13808.404819277108</v>
          </cell>
          <cell r="H53">
            <v>13850.221686746989</v>
          </cell>
          <cell r="I53">
            <v>13853.708433734939</v>
          </cell>
          <cell r="J53">
            <v>13847.72771084337</v>
          </cell>
          <cell r="K53">
            <v>13892.662650602408</v>
          </cell>
          <cell r="L53">
            <v>14162.612048192768</v>
          </cell>
          <cell r="M53">
            <v>14085.043373493972</v>
          </cell>
          <cell r="N53">
            <v>161292.50602409634</v>
          </cell>
        </row>
      </sheetData>
      <sheetData sheetId="1">
        <row r="8">
          <cell r="C8">
            <v>1165.2499999999998</v>
          </cell>
          <cell r="D8">
            <v>1021.46</v>
          </cell>
          <cell r="E8">
            <v>1348.73</v>
          </cell>
          <cell r="F8">
            <v>939.58</v>
          </cell>
          <cell r="G8">
            <v>1075.6599999999999</v>
          </cell>
          <cell r="H8">
            <v>1078.31</v>
          </cell>
          <cell r="I8">
            <v>1076.76</v>
          </cell>
          <cell r="J8">
            <v>1020.99</v>
          </cell>
          <cell r="K8">
            <v>1018.4200000000001</v>
          </cell>
          <cell r="L8">
            <v>1026.73</v>
          </cell>
          <cell r="M8">
            <v>983.25000000000011</v>
          </cell>
          <cell r="N8">
            <v>918.85</v>
          </cell>
        </row>
        <row r="9">
          <cell r="C9">
            <v>116.18</v>
          </cell>
          <cell r="D9">
            <v>82.55</v>
          </cell>
          <cell r="E9">
            <v>161.41</v>
          </cell>
          <cell r="F9">
            <v>110.59</v>
          </cell>
          <cell r="G9">
            <v>140.21</v>
          </cell>
          <cell r="H9">
            <v>106.19</v>
          </cell>
          <cell r="I9">
            <v>119.85</v>
          </cell>
          <cell r="J9">
            <v>140.29</v>
          </cell>
          <cell r="K9">
            <v>110.31</v>
          </cell>
          <cell r="L9">
            <v>122.81</v>
          </cell>
          <cell r="M9">
            <v>114.34</v>
          </cell>
          <cell r="N9">
            <v>116.17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ific Comm Credit"/>
      <sheetName val="Single Fam Comm Details"/>
      <sheetName val="Multi Fam Comm Details"/>
      <sheetName val="Yearly Totals 20"/>
      <sheetName val="Yearly Totals 21"/>
      <sheetName val="2021 AH051"/>
      <sheetName val="May 2021 AH051"/>
      <sheetName val="Apr 2021 AH051"/>
      <sheetName val="Mar 2021 AH051"/>
      <sheetName val="Feb 2021 AH051"/>
      <sheetName val="Jan 2021 AH051"/>
      <sheetName val="Dec 2020 AH051"/>
      <sheetName val="Nov 2020 AH051"/>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1151.22</v>
          </cell>
          <cell r="C9">
            <v>1298.98</v>
          </cell>
          <cell r="D9">
            <v>1286.1399999999999</v>
          </cell>
          <cell r="E9">
            <v>1010.1600000000002</v>
          </cell>
          <cell r="F9">
            <v>1194.5000000000002</v>
          </cell>
          <cell r="G9">
            <v>1145.92</v>
          </cell>
          <cell r="H9">
            <v>1077.6500000000001</v>
          </cell>
          <cell r="I9">
            <v>1133.21</v>
          </cell>
          <cell r="J9">
            <v>1091.68</v>
          </cell>
          <cell r="K9">
            <v>1048.8799999999999</v>
          </cell>
          <cell r="L9">
            <v>1112.4800000000002</v>
          </cell>
          <cell r="M9">
            <v>1065.0400000000002</v>
          </cell>
        </row>
        <row r="10">
          <cell r="B10">
            <v>134.56</v>
          </cell>
          <cell r="C10">
            <v>156.06</v>
          </cell>
          <cell r="D10">
            <v>153.1</v>
          </cell>
          <cell r="E10">
            <v>128.26</v>
          </cell>
          <cell r="F10">
            <v>137.30000000000001</v>
          </cell>
          <cell r="G10">
            <v>138.57</v>
          </cell>
          <cell r="H10">
            <v>129.31</v>
          </cell>
          <cell r="I10">
            <v>128.06</v>
          </cell>
          <cell r="J10">
            <v>150.32</v>
          </cell>
          <cell r="K10">
            <v>132.82</v>
          </cell>
          <cell r="L10">
            <v>114.76</v>
          </cell>
          <cell r="M10">
            <v>117.73</v>
          </cell>
        </row>
        <row r="11">
          <cell r="N11">
            <v>15236.710000000001</v>
          </cell>
        </row>
        <row r="15">
          <cell r="B15">
            <v>-72.580631999999994</v>
          </cell>
          <cell r="C15">
            <v>-63.20414199999999</v>
          </cell>
          <cell r="D15">
            <v>-60.236732000000003</v>
          </cell>
          <cell r="E15">
            <v>-69.997132000000008</v>
          </cell>
          <cell r="F15">
            <v>-64.593232</v>
          </cell>
          <cell r="G15">
            <v>-47.949632000000015</v>
          </cell>
          <cell r="H15">
            <v>-41.422732000000011</v>
          </cell>
          <cell r="I15">
            <v>-19.477296000000003</v>
          </cell>
          <cell r="J15">
            <v>0.85818399999999884</v>
          </cell>
          <cell r="K15">
            <v>14.161643999999999</v>
          </cell>
          <cell r="L15">
            <v>19.965324000000006</v>
          </cell>
          <cell r="M15">
            <v>17.212044000000002</v>
          </cell>
        </row>
        <row r="16">
          <cell r="B16">
            <v>-33</v>
          </cell>
          <cell r="C16">
            <v>-33</v>
          </cell>
          <cell r="D16">
            <v>-33</v>
          </cell>
          <cell r="E16">
            <v>-33</v>
          </cell>
          <cell r="F16">
            <v>-33</v>
          </cell>
          <cell r="G16">
            <v>-33</v>
          </cell>
          <cell r="H16">
            <v>-33</v>
          </cell>
          <cell r="I16">
            <v>-33</v>
          </cell>
          <cell r="J16">
            <v>-33</v>
          </cell>
          <cell r="K16">
            <v>-33</v>
          </cell>
          <cell r="L16">
            <v>-33</v>
          </cell>
          <cell r="M16">
            <v>-33</v>
          </cell>
        </row>
        <row r="21">
          <cell r="N21">
            <v>-509807.28011408</v>
          </cell>
        </row>
        <row r="23">
          <cell r="B23">
            <v>61358</v>
          </cell>
          <cell r="C23">
            <v>61419</v>
          </cell>
          <cell r="D23">
            <v>61515</v>
          </cell>
          <cell r="E23">
            <v>61602</v>
          </cell>
          <cell r="F23">
            <v>61749</v>
          </cell>
          <cell r="G23">
            <v>61996</v>
          </cell>
          <cell r="H23">
            <v>61713</v>
          </cell>
          <cell r="I23">
            <v>62340</v>
          </cell>
          <cell r="J23">
            <v>62499</v>
          </cell>
          <cell r="K23">
            <v>62602</v>
          </cell>
          <cell r="L23">
            <v>62541</v>
          </cell>
          <cell r="M23">
            <v>62528</v>
          </cell>
          <cell r="N23">
            <v>743862</v>
          </cell>
        </row>
        <row r="39">
          <cell r="B39">
            <v>86.939999999999969</v>
          </cell>
          <cell r="C39">
            <v>95.220000000000027</v>
          </cell>
          <cell r="D39">
            <v>95.220000000000027</v>
          </cell>
          <cell r="E39">
            <v>82.8</v>
          </cell>
          <cell r="F39">
            <v>91.090000000000018</v>
          </cell>
          <cell r="G39">
            <v>91.090000000000018</v>
          </cell>
          <cell r="H39">
            <v>98.909999999999968</v>
          </cell>
          <cell r="I39">
            <v>103.60999999999997</v>
          </cell>
          <cell r="J39">
            <v>108.32000000000002</v>
          </cell>
          <cell r="K39">
            <v>98.91</v>
          </cell>
          <cell r="L39">
            <v>103.61240799999999</v>
          </cell>
          <cell r="M39">
            <v>103.61240799999999</v>
          </cell>
        </row>
        <row r="40">
          <cell r="B40">
            <v>14.32</v>
          </cell>
          <cell r="C40">
            <v>16.03</v>
          </cell>
          <cell r="D40">
            <v>15.9</v>
          </cell>
          <cell r="E40">
            <v>13.620000000000001</v>
          </cell>
          <cell r="F40">
            <v>14.82</v>
          </cell>
          <cell r="G40">
            <v>14.850000000000001</v>
          </cell>
          <cell r="H40">
            <v>22.05</v>
          </cell>
          <cell r="I40">
            <v>22.740000000000002</v>
          </cell>
          <cell r="J40">
            <v>24.44</v>
          </cell>
          <cell r="K40">
            <v>22.12</v>
          </cell>
          <cell r="L40">
            <v>22.160000000000004</v>
          </cell>
          <cell r="M40">
            <v>22.290000000000003</v>
          </cell>
        </row>
        <row r="41">
          <cell r="N41">
            <v>1384.674816</v>
          </cell>
        </row>
        <row r="51">
          <cell r="N51">
            <v>-42317.153919897857</v>
          </cell>
        </row>
        <row r="53">
          <cell r="B53">
            <v>12343.88834951456</v>
          </cell>
          <cell r="C53">
            <v>12388.099514563104</v>
          </cell>
          <cell r="D53">
            <v>12401.033980582522</v>
          </cell>
          <cell r="E53">
            <v>12364.512135922329</v>
          </cell>
          <cell r="F53">
            <v>12469.694174757284</v>
          </cell>
          <cell r="G53">
            <v>12488.031553398059</v>
          </cell>
          <cell r="H53">
            <v>12508.271844660194</v>
          </cell>
          <cell r="I53">
            <v>12507.407766990291</v>
          </cell>
          <cell r="J53">
            <v>12508.781553398056</v>
          </cell>
          <cell r="K53">
            <v>12504.266990291262</v>
          </cell>
          <cell r="L53">
            <v>12470.722891566262</v>
          </cell>
          <cell r="M53">
            <v>12471.49879518072</v>
          </cell>
          <cell r="N53">
            <v>149426.20955082466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ific Comm Credit"/>
      <sheetName val="Single Fam Comm Details"/>
      <sheetName val="Multi Fam Comm Details"/>
      <sheetName val="Thurston Co Report - 2019"/>
      <sheetName val="Yearly Totals 20"/>
      <sheetName val="Oct 2020 AH051"/>
      <sheetName val="Sep 2020 AH051"/>
      <sheetName val="Aug 2020 AH051"/>
      <sheetName val="July 2020 AH051"/>
      <sheetName val="June 2020 AH051"/>
      <sheetName val="May 2020 AH051"/>
      <sheetName val="Apr 2020 AH051"/>
      <sheetName val="Mar 2020 AH051"/>
      <sheetName val="Feb 2020 AH051"/>
      <sheetName val="Jan 2020 AH051"/>
      <sheetName val="Dec 2019 AH051"/>
      <sheetName val="Nov 2019 AH051"/>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990.0200000000001</v>
          </cell>
          <cell r="C9">
            <v>1076.76</v>
          </cell>
          <cell r="D9">
            <v>1258.1199999999999</v>
          </cell>
          <cell r="E9">
            <v>966.62000000000023</v>
          </cell>
          <cell r="F9">
            <v>1048.43</v>
          </cell>
          <cell r="G9">
            <v>1208.2400000000002</v>
          </cell>
          <cell r="H9">
            <v>1142.6999999999998</v>
          </cell>
          <cell r="I9">
            <v>1160.28</v>
          </cell>
          <cell r="J9">
            <v>1136.94</v>
          </cell>
          <cell r="K9">
            <v>1065.7699999999998</v>
          </cell>
          <cell r="L9">
            <v>1143.3000000000002</v>
          </cell>
          <cell r="M9">
            <v>1156.3499999999997</v>
          </cell>
        </row>
        <row r="10">
          <cell r="B10">
            <v>99.960000000000008</v>
          </cell>
          <cell r="C10">
            <v>169.2</v>
          </cell>
          <cell r="D10">
            <v>138.44999999999999</v>
          </cell>
          <cell r="E10">
            <v>112.05</v>
          </cell>
          <cell r="F10">
            <v>120.75</v>
          </cell>
          <cell r="G10">
            <v>191.52</v>
          </cell>
          <cell r="H10">
            <v>230</v>
          </cell>
          <cell r="I10">
            <v>172.82</v>
          </cell>
          <cell r="J10">
            <v>165.77</v>
          </cell>
          <cell r="K10">
            <v>153.66999999999999</v>
          </cell>
          <cell r="L10">
            <v>160.32</v>
          </cell>
          <cell r="M10">
            <v>134.51</v>
          </cell>
        </row>
        <row r="15">
          <cell r="B15">
            <v>-112.07739999999998</v>
          </cell>
          <cell r="C15">
            <v>-111.72239999999998</v>
          </cell>
          <cell r="D15">
            <v>-105.466292</v>
          </cell>
          <cell r="E15">
            <v>-103.51889199999999</v>
          </cell>
          <cell r="F15">
            <v>-102.62899200000001</v>
          </cell>
          <cell r="G15">
            <v>-103.82879199999999</v>
          </cell>
          <cell r="H15">
            <v>-87.989891999999998</v>
          </cell>
          <cell r="I15">
            <v>-99.692811999999989</v>
          </cell>
          <cell r="J15">
            <v>-101.05185199999997</v>
          </cell>
          <cell r="K15">
            <v>-94.481131999999988</v>
          </cell>
          <cell r="L15">
            <v>-87.155441999999994</v>
          </cell>
          <cell r="M15">
            <v>-83.977722</v>
          </cell>
        </row>
        <row r="16">
          <cell r="B16">
            <v>-30</v>
          </cell>
          <cell r="C16">
            <v>-30</v>
          </cell>
          <cell r="D16">
            <v>-33</v>
          </cell>
          <cell r="E16">
            <v>-33</v>
          </cell>
          <cell r="F16">
            <v>-33</v>
          </cell>
          <cell r="G16">
            <v>-33</v>
          </cell>
          <cell r="H16">
            <v>-33</v>
          </cell>
          <cell r="I16">
            <v>-33</v>
          </cell>
          <cell r="J16">
            <v>-33</v>
          </cell>
          <cell r="K16">
            <v>-33</v>
          </cell>
          <cell r="L16">
            <v>-33</v>
          </cell>
          <cell r="M16">
            <v>-33</v>
          </cell>
        </row>
        <row r="23">
          <cell r="B23">
            <v>59677</v>
          </cell>
          <cell r="C23">
            <v>59667</v>
          </cell>
          <cell r="D23">
            <v>59735</v>
          </cell>
          <cell r="E23">
            <v>59768</v>
          </cell>
          <cell r="F23">
            <v>60042</v>
          </cell>
          <cell r="G23">
            <v>60497</v>
          </cell>
          <cell r="H23">
            <v>60831</v>
          </cell>
          <cell r="I23">
            <v>60760</v>
          </cell>
          <cell r="J23">
            <v>61009</v>
          </cell>
          <cell r="K23">
            <v>61225</v>
          </cell>
          <cell r="L23">
            <v>61287</v>
          </cell>
          <cell r="M23">
            <v>61261</v>
          </cell>
          <cell r="N23">
            <v>725759</v>
          </cell>
        </row>
        <row r="39">
          <cell r="B39">
            <v>67.960000000000022</v>
          </cell>
          <cell r="C39">
            <v>71.209999999999994</v>
          </cell>
          <cell r="D39">
            <v>81.41</v>
          </cell>
          <cell r="E39">
            <v>70.8</v>
          </cell>
          <cell r="F39">
            <v>77.869999999999976</v>
          </cell>
          <cell r="G39">
            <v>77.87</v>
          </cell>
          <cell r="H39">
            <v>79.59</v>
          </cell>
          <cell r="I39">
            <v>83.389999999999986</v>
          </cell>
          <cell r="J39">
            <v>87.170000000000016</v>
          </cell>
          <cell r="K39">
            <v>79.59</v>
          </cell>
          <cell r="L39">
            <v>83.39</v>
          </cell>
          <cell r="M39">
            <v>83.39</v>
          </cell>
        </row>
        <row r="40">
          <cell r="B40">
            <v>12.860000000000001</v>
          </cell>
          <cell r="C40">
            <v>16.340000000000003</v>
          </cell>
          <cell r="D40">
            <v>15.14</v>
          </cell>
          <cell r="E40">
            <v>12.8</v>
          </cell>
          <cell r="F40">
            <v>13.950000000000001</v>
          </cell>
          <cell r="G40">
            <v>16.91</v>
          </cell>
          <cell r="H40">
            <v>17.920000000000002</v>
          </cell>
          <cell r="I40">
            <v>15.96</v>
          </cell>
          <cell r="J40">
            <v>6.84</v>
          </cell>
          <cell r="K40">
            <v>14.72</v>
          </cell>
          <cell r="L40">
            <v>15.38</v>
          </cell>
          <cell r="M40">
            <v>14.330000000000002</v>
          </cell>
        </row>
        <row r="53">
          <cell r="B53">
            <v>11551.298336798336</v>
          </cell>
          <cell r="C53">
            <v>11530.5</v>
          </cell>
          <cell r="D53">
            <v>11554.500000000002</v>
          </cell>
          <cell r="E53">
            <v>11585.067961165048</v>
          </cell>
          <cell r="F53">
            <v>11590</v>
          </cell>
          <cell r="G53">
            <v>11596.334951456311</v>
          </cell>
          <cell r="H53">
            <v>11623</v>
          </cell>
          <cell r="I53">
            <v>11617.002079002079</v>
          </cell>
          <cell r="J53">
            <v>11614.800970873786</v>
          </cell>
          <cell r="K53">
            <v>11637.128640776698</v>
          </cell>
          <cell r="L53">
            <v>11754.643203883494</v>
          </cell>
          <cell r="M53">
            <v>12262.029126213591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ific CPA Eff. 1.1.20"/>
      <sheetName val="Pacific CPA Eff. 7.1.19"/>
      <sheetName val="Pacific CPA Eff. 1.1.19"/>
      <sheetName val="Pacific CPA 7.1.18"/>
    </sheetNames>
    <sheetDataSet>
      <sheetData sheetId="0">
        <row r="34">
          <cell r="M34">
            <v>25264.011211475052</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ral CPA Eff. 1.1.20"/>
      <sheetName val="Rural CPA Eff. 7.1.19"/>
      <sheetName val="Rural CPA Eff. 7.1.18"/>
    </sheetNames>
    <sheetDataSet>
      <sheetData sheetId="0">
        <row r="11">
          <cell r="H11">
            <v>873.51</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Thurston Co Report - 2019"/>
      <sheetName val="Thurston Co Report - 2018"/>
      <sheetName val="Apr 2019 AH051"/>
      <sheetName val="Mar 2019 AH051"/>
      <sheetName val="Feb 2019 AH051"/>
      <sheetName val="Jan 2019 AH051"/>
      <sheetName val="Dec 2018 AH051"/>
      <sheetName val="Nov 2018 AH051"/>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998.53999999999985</v>
          </cell>
          <cell r="C9">
            <v>919.38</v>
          </cell>
          <cell r="D9">
            <v>1024.75</v>
          </cell>
          <cell r="E9">
            <v>698.68000000000006</v>
          </cell>
          <cell r="F9">
            <v>797.05</v>
          </cell>
          <cell r="G9">
            <v>843.68999999999994</v>
          </cell>
        </row>
        <row r="10">
          <cell r="B10">
            <v>145.38</v>
          </cell>
          <cell r="C10">
            <v>96.17</v>
          </cell>
          <cell r="D10">
            <v>145.78</v>
          </cell>
          <cell r="E10">
            <v>100.68</v>
          </cell>
          <cell r="F10">
            <v>124.57</v>
          </cell>
          <cell r="G10">
            <v>121.51</v>
          </cell>
        </row>
        <row r="15">
          <cell r="B15">
            <v>-75.002049999999997</v>
          </cell>
          <cell r="C15">
            <v>-79.117450000000005</v>
          </cell>
          <cell r="D15">
            <v>-87.291550000000001</v>
          </cell>
          <cell r="E15">
            <v>-98.354199999999977</v>
          </cell>
          <cell r="F15">
            <v>-100.63679999999999</v>
          </cell>
          <cell r="G15">
            <v>-106.56739999999999</v>
          </cell>
        </row>
        <row r="16">
          <cell r="B16">
            <v>-30</v>
          </cell>
          <cell r="C16">
            <v>-30</v>
          </cell>
          <cell r="D16">
            <v>-30</v>
          </cell>
          <cell r="E16">
            <v>-30</v>
          </cell>
          <cell r="F16">
            <v>-30</v>
          </cell>
          <cell r="G16">
            <v>-30</v>
          </cell>
        </row>
        <row r="23">
          <cell r="B23">
            <v>47053</v>
          </cell>
          <cell r="C23">
            <v>47021</v>
          </cell>
          <cell r="D23">
            <v>47071</v>
          </cell>
          <cell r="E23">
            <v>47096</v>
          </cell>
          <cell r="F23">
            <v>47319</v>
          </cell>
          <cell r="G23">
            <v>47644</v>
          </cell>
        </row>
        <row r="24">
          <cell r="B24">
            <v>3489</v>
          </cell>
          <cell r="C24">
            <v>3477</v>
          </cell>
          <cell r="D24">
            <v>3466</v>
          </cell>
          <cell r="E24">
            <v>3463</v>
          </cell>
          <cell r="F24">
            <v>3447</v>
          </cell>
          <cell r="G24">
            <v>3474</v>
          </cell>
        </row>
        <row r="41">
          <cell r="B41">
            <v>71.37</v>
          </cell>
          <cell r="C41">
            <v>68.140000000000015</v>
          </cell>
          <cell r="D41">
            <v>74.650000000000006</v>
          </cell>
          <cell r="E41">
            <v>64.899999999999977</v>
          </cell>
          <cell r="F41">
            <v>68.140000000000015</v>
          </cell>
          <cell r="G41">
            <v>71.37</v>
          </cell>
        </row>
        <row r="42">
          <cell r="B42">
            <v>15.86</v>
          </cell>
          <cell r="C42">
            <v>13.2</v>
          </cell>
          <cell r="D42">
            <v>16.510000000000002</v>
          </cell>
          <cell r="E42">
            <v>12.98</v>
          </cell>
          <cell r="F42">
            <v>14.47</v>
          </cell>
          <cell r="G42">
            <v>14.71</v>
          </cell>
        </row>
        <row r="55">
          <cell r="B55">
            <v>10039</v>
          </cell>
          <cell r="C55">
            <v>10039</v>
          </cell>
          <cell r="D55">
            <v>10217</v>
          </cell>
          <cell r="E55">
            <v>10200</v>
          </cell>
          <cell r="F55">
            <v>10290</v>
          </cell>
          <cell r="G55">
            <v>10364</v>
          </cell>
        </row>
        <row r="56">
          <cell r="B56">
            <v>392</v>
          </cell>
          <cell r="C56">
            <v>390</v>
          </cell>
          <cell r="D56">
            <v>390</v>
          </cell>
          <cell r="E56">
            <v>390</v>
          </cell>
          <cell r="F56">
            <v>390</v>
          </cell>
          <cell r="G56">
            <v>390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ific Comm Credit"/>
    </sheetNames>
    <sheetDataSet>
      <sheetData sheetId="0">
        <row r="17">
          <cell r="B17">
            <v>62.714999999999996</v>
          </cell>
        </row>
        <row r="38">
          <cell r="N38">
            <v>-1.1456429004883295</v>
          </cell>
        </row>
        <row r="76">
          <cell r="N76">
            <v>-0.45344397557530808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Thurston Co Report - 2018"/>
      <sheetName val="Pioneer Pricing"/>
      <sheetName val="MF Customer Counts"/>
      <sheetName val="Oct 2018 AH051"/>
      <sheetName val="Sep 2018 AH051"/>
      <sheetName val="Aug 2018 AH051"/>
      <sheetName val="July 2018 AH051"/>
      <sheetName val="June 2018 AH051"/>
      <sheetName val="May 2018 AH051"/>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971.3900000000001</v>
          </cell>
          <cell r="C9">
            <v>897.8900000000001</v>
          </cell>
          <cell r="D9">
            <v>897.69000000000017</v>
          </cell>
          <cell r="E9">
            <v>957.0200000000001</v>
          </cell>
          <cell r="F9">
            <v>831.45999999999992</v>
          </cell>
          <cell r="G9">
            <v>930.10000000000014</v>
          </cell>
        </row>
        <row r="10">
          <cell r="B10">
            <v>123.86</v>
          </cell>
          <cell r="C10">
            <v>119.36999999999999</v>
          </cell>
          <cell r="D10">
            <v>124.41999999999999</v>
          </cell>
          <cell r="E10">
            <v>127.82000000000001</v>
          </cell>
          <cell r="F10">
            <v>110.49</v>
          </cell>
          <cell r="G10">
            <v>113.05</v>
          </cell>
        </row>
        <row r="15">
          <cell r="B15">
            <v>-49.361342000000008</v>
          </cell>
          <cell r="C15">
            <v>-39.01424200000001</v>
          </cell>
          <cell r="D15">
            <v>-75.69984199999999</v>
          </cell>
          <cell r="E15">
            <v>-70.12384200000001</v>
          </cell>
          <cell r="F15">
            <v>-75.034980000000004</v>
          </cell>
          <cell r="G15">
            <v>-73.294049999999999</v>
          </cell>
        </row>
        <row r="16">
          <cell r="B16">
            <v>-30</v>
          </cell>
          <cell r="C16">
            <v>-30</v>
          </cell>
          <cell r="D16">
            <v>-30</v>
          </cell>
          <cell r="E16">
            <v>-30</v>
          </cell>
          <cell r="F16">
            <v>-30</v>
          </cell>
          <cell r="G16">
            <v>-30</v>
          </cell>
        </row>
        <row r="23">
          <cell r="B23">
            <v>46541</v>
          </cell>
          <cell r="C23">
            <v>46615</v>
          </cell>
          <cell r="D23">
            <v>46754</v>
          </cell>
          <cell r="E23">
            <v>46959</v>
          </cell>
          <cell r="F23">
            <v>47021</v>
          </cell>
          <cell r="G23">
            <v>46518</v>
          </cell>
        </row>
        <row r="24">
          <cell r="B24">
            <v>3643</v>
          </cell>
          <cell r="C24">
            <v>3645</v>
          </cell>
          <cell r="D24">
            <v>3665</v>
          </cell>
          <cell r="E24">
            <v>3563</v>
          </cell>
          <cell r="F24">
            <v>3530</v>
          </cell>
          <cell r="G24">
            <v>3490</v>
          </cell>
        </row>
        <row r="28">
          <cell r="B28">
            <v>1.35</v>
          </cell>
          <cell r="C28">
            <v>1.35</v>
          </cell>
          <cell r="D28">
            <v>-1.1499999999999999</v>
          </cell>
          <cell r="E28">
            <v>-1.1499999999999999</v>
          </cell>
          <cell r="F28">
            <v>-1.1499999999999999</v>
          </cell>
          <cell r="G28">
            <v>-1.1499999999999999</v>
          </cell>
        </row>
        <row r="35">
          <cell r="H35">
            <v>-1.83</v>
          </cell>
        </row>
        <row r="41">
          <cell r="B41">
            <v>81.350000000000037</v>
          </cell>
          <cell r="C41">
            <v>74.280000000000015</v>
          </cell>
          <cell r="D41">
            <v>77.819999999999979</v>
          </cell>
          <cell r="E41">
            <v>81.359999999999971</v>
          </cell>
          <cell r="F41">
            <v>70.749999999999972</v>
          </cell>
          <cell r="G41">
            <v>74.650000000000006</v>
          </cell>
        </row>
        <row r="42">
          <cell r="B42">
            <v>17.119999999999997</v>
          </cell>
          <cell r="C42">
            <v>15.91</v>
          </cell>
          <cell r="D42">
            <v>16.619999999999997</v>
          </cell>
          <cell r="E42">
            <v>17.260000000000002</v>
          </cell>
          <cell r="F42">
            <v>14.98</v>
          </cell>
          <cell r="G42">
            <v>14.870000000000001</v>
          </cell>
        </row>
        <row r="55">
          <cell r="B55">
            <v>10237</v>
          </cell>
          <cell r="C55">
            <v>10234</v>
          </cell>
          <cell r="D55">
            <v>10244</v>
          </cell>
          <cell r="E55">
            <v>10254</v>
          </cell>
          <cell r="F55">
            <v>10241</v>
          </cell>
          <cell r="G55">
            <v>10242</v>
          </cell>
        </row>
        <row r="56">
          <cell r="B56">
            <v>401</v>
          </cell>
          <cell r="C56">
            <v>401</v>
          </cell>
          <cell r="D56">
            <v>400</v>
          </cell>
          <cell r="E56">
            <v>390</v>
          </cell>
          <cell r="F56">
            <v>390</v>
          </cell>
          <cell r="G56">
            <v>390</v>
          </cell>
        </row>
        <row r="60">
          <cell r="B60">
            <v>0.64</v>
          </cell>
          <cell r="C60">
            <v>0.64</v>
          </cell>
          <cell r="D60">
            <v>-0.45</v>
          </cell>
          <cell r="E60">
            <v>-0.45</v>
          </cell>
          <cell r="F60">
            <v>-0.45</v>
          </cell>
          <cell r="G60">
            <v>-0.45</v>
          </cell>
        </row>
        <row r="67">
          <cell r="H67">
            <v>-0.82</v>
          </cell>
        </row>
      </sheetData>
      <sheetData sheetId="1"/>
      <sheetData sheetId="2"/>
      <sheetData sheetId="3">
        <row r="9">
          <cell r="B9">
            <v>105.1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8F27F-3BC0-45CC-92FB-D3BB17BADB71}">
  <sheetPr>
    <tabColor theme="7" tint="0.59999389629810485"/>
    <pageSetUpPr fitToPage="1"/>
  </sheetPr>
  <dimension ref="A1:AP78"/>
  <sheetViews>
    <sheetView showGridLines="0" tabSelected="1" view="pageBreakPreview" zoomScaleNormal="115" zoomScaleSheetLayoutView="100" workbookViewId="0">
      <pane xSplit="1" ySplit="7" topLeftCell="B8" activePane="bottomRight" state="frozen"/>
      <selection activeCell="B36" sqref="B36"/>
      <selection pane="topRight" activeCell="B36" sqref="B36"/>
      <selection pane="bottomLeft" activeCell="B36" sqref="B36"/>
      <selection pane="bottomRight" activeCell="A5" sqref="A5"/>
    </sheetView>
  </sheetViews>
  <sheetFormatPr defaultRowHeight="12.75" x14ac:dyDescent="0.2"/>
  <cols>
    <col min="1" max="1" width="34.5703125" style="22" customWidth="1"/>
    <col min="2" max="2" width="14" style="22" bestFit="1" customWidth="1"/>
    <col min="3" max="12" width="11.28515625" style="22" bestFit="1" customWidth="1"/>
    <col min="13" max="13" width="13" style="22" customWidth="1"/>
    <col min="14" max="14" width="12.5703125" style="22" bestFit="1" customWidth="1"/>
    <col min="15" max="15" width="11.28515625" style="22" bestFit="1" customWidth="1"/>
    <col min="16" max="16" width="10.28515625" style="22" bestFit="1" customWidth="1"/>
    <col min="17" max="17" width="13.5703125" style="22" customWidth="1"/>
    <col min="18" max="18" width="11.85546875" style="22" bestFit="1" customWidth="1"/>
    <col min="19" max="19" width="11.140625" style="22" customWidth="1"/>
    <col min="20" max="20" width="10.7109375" style="22" customWidth="1"/>
    <col min="21" max="21" width="10.85546875" style="22" customWidth="1"/>
    <col min="22" max="22" width="10.42578125" style="22" customWidth="1"/>
    <col min="23" max="23" width="10.85546875" style="22" customWidth="1"/>
    <col min="24" max="24" width="11.42578125" style="22" customWidth="1"/>
    <col min="25" max="25" width="11.85546875" style="22" customWidth="1"/>
    <col min="26" max="16384" width="9.140625" style="22"/>
  </cols>
  <sheetData>
    <row r="1" spans="1:38" x14ac:dyDescent="0.2">
      <c r="A1" s="6" t="s">
        <v>19</v>
      </c>
    </row>
    <row r="2" spans="1:38" x14ac:dyDescent="0.2">
      <c r="A2" s="6" t="s">
        <v>46</v>
      </c>
      <c r="N2" s="30"/>
    </row>
    <row r="3" spans="1:38" x14ac:dyDescent="0.2">
      <c r="A3" s="6" t="s">
        <v>1</v>
      </c>
      <c r="B3" s="11"/>
      <c r="C3" s="11"/>
      <c r="D3" s="11"/>
      <c r="E3" s="11"/>
      <c r="F3" s="11"/>
      <c r="G3" s="11"/>
      <c r="H3" s="11"/>
      <c r="I3" s="11"/>
      <c r="J3" s="11"/>
      <c r="K3" s="11"/>
      <c r="L3" s="11"/>
      <c r="M3" s="11"/>
      <c r="N3" s="12"/>
      <c r="O3" s="5"/>
    </row>
    <row r="4" spans="1:38" x14ac:dyDescent="0.2">
      <c r="A4" s="6" t="s">
        <v>60</v>
      </c>
      <c r="B4" s="11"/>
      <c r="C4" s="11"/>
      <c r="D4" s="11"/>
      <c r="E4" s="11"/>
      <c r="F4" s="11"/>
      <c r="G4" s="11"/>
      <c r="H4" s="11"/>
      <c r="I4" s="11"/>
      <c r="J4" s="11"/>
      <c r="K4" s="11"/>
      <c r="L4" s="11"/>
      <c r="M4" s="11"/>
      <c r="N4" s="12"/>
      <c r="O4" s="5"/>
    </row>
    <row r="5" spans="1:38" s="31" customFormat="1" x14ac:dyDescent="0.2">
      <c r="B5" s="1"/>
      <c r="C5" s="1"/>
      <c r="D5" s="1"/>
      <c r="E5" s="1"/>
      <c r="F5" s="1"/>
      <c r="G5" s="1"/>
      <c r="H5" s="1"/>
      <c r="I5" s="1"/>
      <c r="J5" s="1"/>
      <c r="K5" s="1"/>
      <c r="L5" s="1"/>
      <c r="M5" s="1"/>
      <c r="N5" s="1" t="s">
        <v>28</v>
      </c>
      <c r="P5" s="5"/>
    </row>
    <row r="6" spans="1:38" s="32" customFormat="1" x14ac:dyDescent="0.2">
      <c r="B6" s="2">
        <v>44866</v>
      </c>
      <c r="C6" s="2">
        <f>+B6+31</f>
        <v>44897</v>
      </c>
      <c r="D6" s="2">
        <f t="shared" ref="D6:M6" si="0">+C6+31</f>
        <v>44928</v>
      </c>
      <c r="E6" s="2">
        <f t="shared" si="0"/>
        <v>44959</v>
      </c>
      <c r="F6" s="2">
        <f t="shared" si="0"/>
        <v>44990</v>
      </c>
      <c r="G6" s="2">
        <f t="shared" si="0"/>
        <v>45021</v>
      </c>
      <c r="H6" s="2">
        <f t="shared" si="0"/>
        <v>45052</v>
      </c>
      <c r="I6" s="2">
        <f t="shared" si="0"/>
        <v>45083</v>
      </c>
      <c r="J6" s="2">
        <f t="shared" si="0"/>
        <v>45114</v>
      </c>
      <c r="K6" s="2">
        <f t="shared" si="0"/>
        <v>45145</v>
      </c>
      <c r="L6" s="2">
        <f t="shared" si="0"/>
        <v>45176</v>
      </c>
      <c r="M6" s="2">
        <f t="shared" si="0"/>
        <v>45207</v>
      </c>
      <c r="N6" s="2" t="s">
        <v>2</v>
      </c>
      <c r="O6" s="31"/>
      <c r="P6" s="43"/>
      <c r="Q6" s="33"/>
      <c r="R6" s="43"/>
      <c r="S6" s="43"/>
      <c r="T6" s="33"/>
      <c r="U6" s="33"/>
      <c r="V6" s="33"/>
      <c r="W6" s="33"/>
      <c r="X6" s="33"/>
      <c r="Y6" s="33"/>
      <c r="Z6" s="33"/>
      <c r="AA6" s="33"/>
      <c r="AB6" s="33"/>
      <c r="AC6" s="33"/>
      <c r="AD6" s="31"/>
      <c r="AE6" s="31"/>
      <c r="AF6" s="31"/>
      <c r="AG6" s="31"/>
      <c r="AH6" s="31"/>
      <c r="AI6" s="31"/>
      <c r="AJ6" s="31"/>
      <c r="AK6" s="31"/>
      <c r="AL6" s="31"/>
    </row>
    <row r="7" spans="1:38" s="31" customFormat="1" x14ac:dyDescent="0.2">
      <c r="B7" s="3"/>
      <c r="C7" s="3"/>
      <c r="D7" s="3"/>
      <c r="E7" s="3"/>
      <c r="F7" s="3"/>
      <c r="G7" s="3"/>
      <c r="H7" s="3"/>
      <c r="I7" s="3"/>
      <c r="J7" s="3"/>
      <c r="K7" s="23"/>
      <c r="L7" s="23"/>
      <c r="M7" s="23"/>
      <c r="N7" s="3"/>
      <c r="P7" s="43"/>
      <c r="Q7" s="33"/>
      <c r="R7" s="43"/>
      <c r="S7" s="43"/>
      <c r="T7" s="33"/>
      <c r="U7" s="33"/>
      <c r="V7" s="33"/>
      <c r="W7" s="33"/>
      <c r="X7" s="33"/>
      <c r="Y7" s="33"/>
      <c r="Z7" s="33"/>
      <c r="AA7" s="33"/>
      <c r="AB7" s="33"/>
      <c r="AC7" s="33"/>
    </row>
    <row r="8" spans="1:38" s="31" customFormat="1" x14ac:dyDescent="0.2">
      <c r="A8" s="24" t="s">
        <v>3</v>
      </c>
      <c r="B8" s="4"/>
      <c r="C8" s="4"/>
      <c r="D8" s="4"/>
      <c r="E8" s="4"/>
      <c r="F8" s="4"/>
      <c r="G8" s="4"/>
      <c r="H8" s="4"/>
      <c r="I8" s="4"/>
      <c r="J8" s="4"/>
      <c r="K8" s="4"/>
      <c r="L8" s="4"/>
      <c r="M8" s="4"/>
      <c r="N8" s="34"/>
      <c r="P8" s="5"/>
    </row>
    <row r="9" spans="1:38" s="31" customFormat="1" x14ac:dyDescent="0.2">
      <c r="B9" s="4"/>
      <c r="C9" s="4"/>
      <c r="D9" s="4"/>
      <c r="E9" s="4"/>
      <c r="F9" s="4"/>
      <c r="G9" s="4"/>
      <c r="H9" s="4"/>
      <c r="I9" s="4"/>
      <c r="J9" s="4"/>
      <c r="K9" s="4"/>
      <c r="L9" s="4"/>
      <c r="M9" s="4"/>
      <c r="N9" s="34"/>
      <c r="P9" s="5"/>
    </row>
    <row r="10" spans="1:38" s="31" customFormat="1" x14ac:dyDescent="0.2">
      <c r="A10" s="25" t="s">
        <v>57</v>
      </c>
      <c r="B10" s="4"/>
      <c r="C10" s="4"/>
      <c r="D10" s="4"/>
      <c r="E10" s="4"/>
      <c r="F10" s="4"/>
      <c r="G10" s="4"/>
      <c r="H10" s="4"/>
      <c r="I10" s="4"/>
      <c r="J10" s="4"/>
      <c r="K10" s="4"/>
      <c r="L10" s="4"/>
      <c r="M10" s="4"/>
      <c r="N10" s="4"/>
      <c r="O10" s="4"/>
      <c r="P10" s="5"/>
    </row>
    <row r="11" spans="1:38" x14ac:dyDescent="0.2">
      <c r="A11" s="22" t="s">
        <v>52</v>
      </c>
      <c r="B11" s="67">
        <f>+'[1]Pacific Comm Credit'!B10</f>
        <v>1025.1100000000001</v>
      </c>
      <c r="C11" s="67">
        <f>+'[1]Pacific Comm Credit'!C10</f>
        <v>1045.2499999999998</v>
      </c>
      <c r="D11" s="67">
        <f>+'[1]Pacific Comm Credit'!D10</f>
        <v>1138.2799999999997</v>
      </c>
      <c r="E11" s="67">
        <f>+'[1]Pacific Comm Credit'!E10</f>
        <v>849.78</v>
      </c>
      <c r="F11" s="67">
        <f>+'[1]Pacific Comm Credit'!F10</f>
        <v>1015.6099999999997</v>
      </c>
      <c r="G11" s="67">
        <f>+'[1]Pacific Comm Credit'!G10</f>
        <v>942.66</v>
      </c>
      <c r="H11" s="67">
        <f>+'[1]Pacific Comm Credit'!H10</f>
        <v>1050.1199999999999</v>
      </c>
      <c r="I11" s="67">
        <f>+'[1]Pacific Comm Credit'!I10</f>
        <v>979.68999999999994</v>
      </c>
      <c r="J11" s="67">
        <f>+'[1]Pacific Comm Credit'!J10</f>
        <v>939.88</v>
      </c>
      <c r="K11" s="67">
        <f>+'[1]Pacific Comm Credit'!K10</f>
        <v>978.87</v>
      </c>
      <c r="L11" s="67">
        <f>+'[1]Pacific Comm Credit'!L10</f>
        <v>943.01000000000022</v>
      </c>
      <c r="M11" s="67">
        <f>+'[1]Pacific Comm Credit'!M10</f>
        <v>985.51</v>
      </c>
      <c r="N11" s="8">
        <f>SUM(B11:M11)</f>
        <v>11893.769999999999</v>
      </c>
      <c r="P11" s="5"/>
      <c r="R11" s="44"/>
      <c r="S11" s="44"/>
      <c r="T11" s="44"/>
      <c r="U11" s="44"/>
      <c r="V11" s="44"/>
      <c r="W11" s="44"/>
      <c r="X11" s="44"/>
      <c r="Y11" s="44"/>
      <c r="Z11" s="44"/>
    </row>
    <row r="12" spans="1:38" x14ac:dyDescent="0.2">
      <c r="A12" s="22" t="s">
        <v>6</v>
      </c>
      <c r="B12" s="67">
        <f>+'[1]Pacific Comm Credit'!B11</f>
        <v>114.3</v>
      </c>
      <c r="C12" s="67">
        <f>+'[1]Pacific Comm Credit'!C11</f>
        <v>117.17</v>
      </c>
      <c r="D12" s="67">
        <f>+'[1]Pacific Comm Credit'!D11</f>
        <v>146.53</v>
      </c>
      <c r="E12" s="67">
        <f>+'[1]Pacific Comm Credit'!E11</f>
        <v>91.86</v>
      </c>
      <c r="F12" s="67">
        <f>+'[1]Pacific Comm Credit'!F11</f>
        <v>118.11</v>
      </c>
      <c r="G12" s="67">
        <f>+'[1]Pacific Comm Credit'!G11</f>
        <v>94.4</v>
      </c>
      <c r="H12" s="67">
        <f>+'[1]Pacific Comm Credit'!H11</f>
        <v>123.69</v>
      </c>
      <c r="I12" s="67">
        <f>+'[1]Pacific Comm Credit'!I11</f>
        <v>96.77</v>
      </c>
      <c r="J12" s="67">
        <f>+'[1]Pacific Comm Credit'!J11</f>
        <v>98.19</v>
      </c>
      <c r="K12" s="67">
        <f>+'[1]Pacific Comm Credit'!K11</f>
        <v>127.82</v>
      </c>
      <c r="L12" s="67">
        <f>+'[1]Pacific Comm Credit'!L11</f>
        <v>111.06</v>
      </c>
      <c r="M12" s="67">
        <f>+'[1]Pacific Comm Credit'!M11</f>
        <v>83.54</v>
      </c>
      <c r="N12" s="8">
        <f>SUM(B12:M12)</f>
        <v>1323.4399999999998</v>
      </c>
      <c r="P12" s="5"/>
      <c r="R12" s="44"/>
      <c r="S12" s="44"/>
      <c r="T12" s="44"/>
      <c r="U12" s="44"/>
      <c r="V12" s="44"/>
      <c r="W12" s="44"/>
      <c r="X12" s="44"/>
      <c r="Y12" s="44"/>
      <c r="Z12" s="44"/>
    </row>
    <row r="13" spans="1:38" x14ac:dyDescent="0.2">
      <c r="B13" s="16"/>
      <c r="C13" s="16"/>
      <c r="D13" s="16"/>
      <c r="E13" s="16"/>
      <c r="F13" s="16"/>
      <c r="G13" s="16"/>
      <c r="H13" s="16"/>
      <c r="I13" s="16"/>
      <c r="J13" s="16"/>
      <c r="K13" s="16"/>
      <c r="L13" s="16"/>
      <c r="M13" s="16"/>
      <c r="N13" s="8"/>
      <c r="P13" s="5"/>
    </row>
    <row r="14" spans="1:38" s="6" customFormat="1" x14ac:dyDescent="0.2">
      <c r="A14" s="6" t="s">
        <v>7</v>
      </c>
      <c r="B14" s="41">
        <f>SUM(B11:B12)</f>
        <v>1139.4100000000001</v>
      </c>
      <c r="C14" s="41">
        <f>SUM(C11:C12)</f>
        <v>1162.4199999999998</v>
      </c>
      <c r="D14" s="41">
        <f t="shared" ref="D14:M14" si="1">SUM(D11:D12)</f>
        <v>1284.8099999999997</v>
      </c>
      <c r="E14" s="41">
        <f t="shared" si="1"/>
        <v>941.64</v>
      </c>
      <c r="F14" s="41">
        <f t="shared" si="1"/>
        <v>1133.7199999999996</v>
      </c>
      <c r="G14" s="41">
        <f t="shared" si="1"/>
        <v>1037.06</v>
      </c>
      <c r="H14" s="41">
        <f t="shared" si="1"/>
        <v>1173.81</v>
      </c>
      <c r="I14" s="41">
        <f t="shared" si="1"/>
        <v>1076.46</v>
      </c>
      <c r="J14" s="41">
        <f t="shared" si="1"/>
        <v>1038.07</v>
      </c>
      <c r="K14" s="41">
        <f t="shared" si="1"/>
        <v>1106.69</v>
      </c>
      <c r="L14" s="41">
        <f t="shared" si="1"/>
        <v>1054.0700000000002</v>
      </c>
      <c r="M14" s="41">
        <f t="shared" si="1"/>
        <v>1069.05</v>
      </c>
      <c r="N14" s="41">
        <f>SUM(N11:N13)</f>
        <v>13217.21</v>
      </c>
      <c r="P14" s="45"/>
      <c r="R14" s="45"/>
      <c r="S14" s="45"/>
      <c r="T14" s="45"/>
      <c r="U14" s="45"/>
      <c r="V14" s="45"/>
      <c r="W14" s="45"/>
      <c r="X14" s="45"/>
      <c r="Y14" s="45"/>
      <c r="Z14" s="45"/>
    </row>
    <row r="15" spans="1:38" x14ac:dyDescent="0.2">
      <c r="P15" s="5"/>
    </row>
    <row r="16" spans="1:38" x14ac:dyDescent="0.2">
      <c r="A16" s="26" t="s">
        <v>20</v>
      </c>
      <c r="P16" s="5"/>
    </row>
    <row r="17" spans="1:42" x14ac:dyDescent="0.2">
      <c r="A17" s="22" t="s">
        <v>58</v>
      </c>
      <c r="B17" s="66">
        <f>+'[1]Pacific Comm Credit'!B16</f>
        <v>-117.39685</v>
      </c>
      <c r="C17" s="66">
        <f>+'[1]Pacific Comm Credit'!C16</f>
        <v>-131.00376</v>
      </c>
      <c r="D17" s="66">
        <f>+'[1]Pacific Comm Credit'!D16</f>
        <v>-130.912564</v>
      </c>
      <c r="E17" s="66">
        <f>+'[1]Pacific Comm Credit'!E16</f>
        <v>-114.59896399999998</v>
      </c>
      <c r="F17" s="66">
        <f>+'[1]Pacific Comm Credit'!F16</f>
        <v>-115.28181599999998</v>
      </c>
      <c r="G17" s="66">
        <f>+'[1]Pacific Comm Credit'!G16</f>
        <v>-111.802516</v>
      </c>
      <c r="H17" s="66">
        <f>+'[1]Pacific Comm Credit'!H16</f>
        <v>-106.307616</v>
      </c>
      <c r="I17" s="66">
        <f>+'[1]Pacific Comm Credit'!I16</f>
        <v>-109.36141599999999</v>
      </c>
      <c r="J17" s="66">
        <f>+'[1]Pacific Comm Credit'!J16</f>
        <v>-122.21801600000001</v>
      </c>
      <c r="K17" s="66">
        <f>+'[1]Pacific Comm Credit'!K16</f>
        <v>-124.96461600000001</v>
      </c>
      <c r="L17" s="66">
        <f>+'[1]Pacific Comm Credit'!L16</f>
        <v>-116.22791600000002</v>
      </c>
      <c r="M17" s="66">
        <f>+'[1]Pacific Comm Credit'!M16</f>
        <v>-105.892916</v>
      </c>
      <c r="N17" s="7"/>
      <c r="P17" s="5"/>
      <c r="R17" s="46"/>
      <c r="S17" s="46"/>
      <c r="T17" s="46"/>
      <c r="U17" s="46"/>
      <c r="V17" s="46"/>
      <c r="W17" s="46"/>
      <c r="X17" s="46"/>
      <c r="Y17" s="46"/>
      <c r="Z17" s="46"/>
    </row>
    <row r="18" spans="1:42" x14ac:dyDescent="0.2">
      <c r="A18" s="22" t="s">
        <v>50</v>
      </c>
      <c r="B18" s="66">
        <f>+'[1]Pacific Comm Credit'!B17</f>
        <v>-33</v>
      </c>
      <c r="C18" s="66">
        <f>+'[1]Pacific Comm Credit'!C17</f>
        <v>-33</v>
      </c>
      <c r="D18" s="66">
        <f>+'[1]Pacific Comm Credit'!D17</f>
        <v>-33</v>
      </c>
      <c r="E18" s="66">
        <f>+'[1]Pacific Comm Credit'!E17</f>
        <v>-33</v>
      </c>
      <c r="F18" s="66">
        <f>+'[1]Pacific Comm Credit'!F17</f>
        <v>-33</v>
      </c>
      <c r="G18" s="66">
        <f>+'[1]Pacific Comm Credit'!G17</f>
        <v>-33</v>
      </c>
      <c r="H18" s="66">
        <f>+'[1]Pacific Comm Credit'!H17</f>
        <v>-33</v>
      </c>
      <c r="I18" s="66">
        <f>+'[1]Pacific Comm Credit'!I17</f>
        <v>-33</v>
      </c>
      <c r="J18" s="66">
        <f>+'[1]Pacific Comm Credit'!J17</f>
        <v>-33</v>
      </c>
      <c r="K18" s="66">
        <f>+'[1]Pacific Comm Credit'!K17</f>
        <v>-33</v>
      </c>
      <c r="L18" s="66">
        <f>+'[1]Pacific Comm Credit'!L17</f>
        <v>-33</v>
      </c>
      <c r="M18" s="66">
        <f>+'[1]Pacific Comm Credit'!M17</f>
        <v>-33</v>
      </c>
      <c r="N18" s="8"/>
      <c r="P18" s="5"/>
      <c r="R18" s="5"/>
      <c r="S18" s="5"/>
      <c r="T18" s="5"/>
      <c r="U18" s="5"/>
      <c r="V18" s="5"/>
      <c r="W18" s="5"/>
      <c r="X18" s="5"/>
      <c r="Y18" s="5"/>
      <c r="Z18" s="5"/>
    </row>
    <row r="19" spans="1:42" x14ac:dyDescent="0.2">
      <c r="P19" s="5"/>
    </row>
    <row r="20" spans="1:42" x14ac:dyDescent="0.2">
      <c r="A20" s="26" t="s">
        <v>51</v>
      </c>
      <c r="P20" s="5"/>
    </row>
    <row r="21" spans="1:42" x14ac:dyDescent="0.2">
      <c r="A21" s="22" t="s">
        <v>52</v>
      </c>
      <c r="B21" s="36">
        <f t="shared" ref="B21:M21" si="2">+B11*B17</f>
        <v>-120344.68490350002</v>
      </c>
      <c r="C21" s="36">
        <f t="shared" si="2"/>
        <v>-136931.68013999998</v>
      </c>
      <c r="D21" s="36">
        <f t="shared" si="2"/>
        <v>-149015.15334991997</v>
      </c>
      <c r="E21" s="36">
        <f t="shared" si="2"/>
        <v>-97383.90762791998</v>
      </c>
      <c r="F21" s="36">
        <f t="shared" si="2"/>
        <v>-117081.36514775993</v>
      </c>
      <c r="G21" s="36">
        <f t="shared" si="2"/>
        <v>-105391.75973255999</v>
      </c>
      <c r="H21" s="36">
        <f t="shared" si="2"/>
        <v>-111635.75371391998</v>
      </c>
      <c r="I21" s="36">
        <f t="shared" si="2"/>
        <v>-107140.28564103998</v>
      </c>
      <c r="J21" s="36">
        <f t="shared" si="2"/>
        <v>-114870.26887808001</v>
      </c>
      <c r="K21" s="36">
        <f t="shared" si="2"/>
        <v>-122324.11366392001</v>
      </c>
      <c r="L21" s="36">
        <f t="shared" si="2"/>
        <v>-109604.08706716004</v>
      </c>
      <c r="M21" s="36">
        <f t="shared" si="2"/>
        <v>-104358.52764715999</v>
      </c>
      <c r="N21" s="9">
        <f>SUM(B21:M21)</f>
        <v>-1396081.5875129399</v>
      </c>
      <c r="P21" s="8"/>
      <c r="R21" s="8"/>
      <c r="S21" s="8"/>
      <c r="T21" s="8"/>
      <c r="U21" s="8"/>
      <c r="V21" s="8"/>
      <c r="W21" s="8"/>
      <c r="X21" s="8"/>
      <c r="Y21" s="8"/>
      <c r="Z21" s="8"/>
    </row>
    <row r="22" spans="1:42" x14ac:dyDescent="0.2">
      <c r="A22" s="22" t="s">
        <v>6</v>
      </c>
      <c r="B22" s="36">
        <f t="shared" ref="B22:M22" si="3">+B18*B12</f>
        <v>-3771.9</v>
      </c>
      <c r="C22" s="36">
        <f t="shared" si="3"/>
        <v>-3866.61</v>
      </c>
      <c r="D22" s="36">
        <f t="shared" si="3"/>
        <v>-4835.49</v>
      </c>
      <c r="E22" s="36">
        <f t="shared" si="3"/>
        <v>-3031.38</v>
      </c>
      <c r="F22" s="36">
        <f t="shared" si="3"/>
        <v>-3897.63</v>
      </c>
      <c r="G22" s="36">
        <f t="shared" si="3"/>
        <v>-3115.2000000000003</v>
      </c>
      <c r="H22" s="36">
        <f t="shared" si="3"/>
        <v>-4081.77</v>
      </c>
      <c r="I22" s="36">
        <f t="shared" si="3"/>
        <v>-3193.41</v>
      </c>
      <c r="J22" s="36">
        <f t="shared" si="3"/>
        <v>-3240.27</v>
      </c>
      <c r="K22" s="36">
        <f t="shared" si="3"/>
        <v>-4218.0599999999995</v>
      </c>
      <c r="L22" s="36">
        <f t="shared" si="3"/>
        <v>-3664.98</v>
      </c>
      <c r="M22" s="36">
        <f t="shared" si="3"/>
        <v>-2756.82</v>
      </c>
      <c r="N22" s="9">
        <f>SUM(B22:M22)</f>
        <v>-43673.520000000004</v>
      </c>
      <c r="P22" s="8"/>
      <c r="Q22" s="44"/>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6" t="s">
        <v>9</v>
      </c>
      <c r="B24" s="37">
        <f>SUM(B21:B22)</f>
        <v>-124116.58490350001</v>
      </c>
      <c r="C24" s="37">
        <f>SUM(C21:C22)</f>
        <v>-140798.29013999997</v>
      </c>
      <c r="D24" s="37">
        <f t="shared" ref="D24:M24" si="4">SUM(D21:D22)</f>
        <v>-153850.64334991996</v>
      </c>
      <c r="E24" s="37">
        <f t="shared" si="4"/>
        <v>-100415.28762791998</v>
      </c>
      <c r="F24" s="37">
        <f t="shared" si="4"/>
        <v>-120978.99514775994</v>
      </c>
      <c r="G24" s="37">
        <f t="shared" si="4"/>
        <v>-108506.95973255999</v>
      </c>
      <c r="H24" s="37">
        <f t="shared" si="4"/>
        <v>-115717.52371391999</v>
      </c>
      <c r="I24" s="37">
        <f t="shared" si="4"/>
        <v>-110333.69564103999</v>
      </c>
      <c r="J24" s="37">
        <f t="shared" si="4"/>
        <v>-118110.53887808001</v>
      </c>
      <c r="K24" s="37">
        <f t="shared" si="4"/>
        <v>-126542.17366392001</v>
      </c>
      <c r="L24" s="37">
        <f t="shared" si="4"/>
        <v>-113269.06706716004</v>
      </c>
      <c r="M24" s="37">
        <f t="shared" si="4"/>
        <v>-107115.34764716</v>
      </c>
      <c r="N24" s="40">
        <f>SUM(N21:N23)</f>
        <v>-1439755.10751294</v>
      </c>
      <c r="P24" s="45"/>
      <c r="R24" s="20"/>
      <c r="S24" s="20"/>
      <c r="T24" s="20"/>
      <c r="U24" s="20"/>
      <c r="V24" s="20"/>
      <c r="W24" s="20"/>
      <c r="X24" s="20"/>
      <c r="Y24" s="20"/>
      <c r="Z24" s="20"/>
      <c r="AA24" s="47"/>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43</v>
      </c>
      <c r="B27" s="67">
        <f>+'[1]Pacific Comm Credit'!B26</f>
        <v>63291</v>
      </c>
      <c r="C27" s="67">
        <f>+'[1]Pacific Comm Credit'!C26</f>
        <v>63184</v>
      </c>
      <c r="D27" s="67">
        <f>+'[1]Pacific Comm Credit'!D26</f>
        <v>63180</v>
      </c>
      <c r="E27" s="67">
        <f>+'[1]Pacific Comm Credit'!E26</f>
        <v>63315</v>
      </c>
      <c r="F27" s="67">
        <f>+'[1]Pacific Comm Credit'!F26</f>
        <v>63396</v>
      </c>
      <c r="G27" s="67">
        <f>+'[1]Pacific Comm Credit'!G26</f>
        <v>63653</v>
      </c>
      <c r="H27" s="67">
        <f>+'[1]Pacific Comm Credit'!H26</f>
        <v>63975</v>
      </c>
      <c r="I27" s="67">
        <f>+'[1]Pacific Comm Credit'!I26</f>
        <v>63998</v>
      </c>
      <c r="J27" s="67">
        <f>+'[1]Pacific Comm Credit'!J26</f>
        <v>63991</v>
      </c>
      <c r="K27" s="67">
        <f>+'[1]Pacific Comm Credit'!K26</f>
        <v>63612</v>
      </c>
      <c r="L27" s="67">
        <f>+'[1]Pacific Comm Credit'!L26</f>
        <v>63991</v>
      </c>
      <c r="M27" s="67">
        <f>+'[1]Pacific Comm Credit'!M26</f>
        <v>63882</v>
      </c>
      <c r="N27" s="19">
        <f>+SUM(B27:M27)</f>
        <v>763468</v>
      </c>
      <c r="P27" s="94"/>
      <c r="Q27" s="48"/>
      <c r="R27" s="48"/>
      <c r="S27" s="48"/>
      <c r="T27" s="48"/>
      <c r="U27" s="48"/>
      <c r="V27" s="48"/>
      <c r="W27" s="48"/>
      <c r="X27" s="48"/>
      <c r="Y27" s="48"/>
      <c r="Z27" s="48"/>
      <c r="AA27" s="48"/>
      <c r="AB27" s="48"/>
      <c r="AC27" s="48"/>
      <c r="AD27" s="48"/>
      <c r="AE27" s="48"/>
      <c r="AF27" s="48"/>
      <c r="AG27" s="48"/>
      <c r="AH27" s="48"/>
      <c r="AI27" s="48"/>
      <c r="AJ27" s="48"/>
      <c r="AK27" s="48"/>
      <c r="AL27" s="48"/>
      <c r="AM27" s="12"/>
      <c r="AN27" s="12"/>
      <c r="AO27" s="12"/>
      <c r="AP27" s="12"/>
    </row>
    <row r="28" spans="1:42" s="11" customFormat="1" x14ac:dyDescent="0.2">
      <c r="A28" s="10"/>
      <c r="N28" s="8"/>
      <c r="O28" s="8"/>
      <c r="P28" s="45"/>
      <c r="Q28" s="5"/>
      <c r="R28" s="48"/>
      <c r="S28" s="48"/>
      <c r="T28" s="48"/>
      <c r="U28" s="48"/>
      <c r="V28" s="48"/>
      <c r="W28" s="48"/>
      <c r="X28" s="48"/>
      <c r="Y28" s="48"/>
      <c r="Z28" s="48"/>
      <c r="AA28" s="5"/>
      <c r="AB28" s="5"/>
      <c r="AC28" s="5"/>
      <c r="AD28" s="5"/>
      <c r="AE28" s="5"/>
      <c r="AF28" s="5"/>
      <c r="AG28" s="5"/>
      <c r="AH28" s="5"/>
      <c r="AI28" s="5"/>
      <c r="AJ28" s="5"/>
      <c r="AK28" s="5"/>
      <c r="AL28" s="5"/>
    </row>
    <row r="29" spans="1:42" s="16" customFormat="1" x14ac:dyDescent="0.2">
      <c r="A29" s="10"/>
      <c r="N29" s="15"/>
      <c r="O29" s="8"/>
      <c r="P29" s="45"/>
      <c r="Q29" s="8"/>
      <c r="R29" s="8"/>
      <c r="S29" s="8"/>
      <c r="T29" s="8"/>
      <c r="U29" s="8"/>
      <c r="V29" s="8"/>
      <c r="W29" s="8"/>
      <c r="X29" s="8"/>
      <c r="Y29" s="8"/>
      <c r="Z29" s="8"/>
      <c r="AA29" s="8"/>
      <c r="AB29" s="8"/>
      <c r="AC29" s="8"/>
      <c r="AD29" s="8"/>
      <c r="AE29" s="8"/>
      <c r="AF29" s="8"/>
      <c r="AG29" s="8"/>
      <c r="AH29" s="8"/>
      <c r="AI29" s="8"/>
      <c r="AJ29" s="8"/>
      <c r="AK29" s="8"/>
      <c r="AL29" s="8"/>
    </row>
    <row r="30" spans="1:42" s="16" customFormat="1" x14ac:dyDescent="0.2">
      <c r="A30" s="10" t="s">
        <v>53</v>
      </c>
      <c r="B30" s="27">
        <f>+IFERROR(B24/B27,0)</f>
        <v>-1.961046355777283</v>
      </c>
      <c r="C30" s="27">
        <f t="shared" ref="C30:M30" si="5">+IFERROR(C24/C27,0)</f>
        <v>-2.2283851946695359</v>
      </c>
      <c r="D30" s="27">
        <f t="shared" si="5"/>
        <v>-2.4351162290269066</v>
      </c>
      <c r="E30" s="27">
        <f t="shared" si="5"/>
        <v>-1.5859636362302769</v>
      </c>
      <c r="F30" s="27">
        <f t="shared" si="5"/>
        <v>-1.908306441222789</v>
      </c>
      <c r="G30" s="27">
        <f t="shared" si="5"/>
        <v>-1.7046637194250074</v>
      </c>
      <c r="H30" s="27">
        <f t="shared" si="5"/>
        <v>-1.8087928677439624</v>
      </c>
      <c r="I30" s="27">
        <f t="shared" si="5"/>
        <v>-1.7240178699496858</v>
      </c>
      <c r="J30" s="27">
        <f t="shared" si="5"/>
        <v>-1.845736726697192</v>
      </c>
      <c r="K30" s="27">
        <f t="shared" si="5"/>
        <v>-1.9892814824863234</v>
      </c>
      <c r="L30" s="27">
        <f t="shared" si="5"/>
        <v>-1.7700780901558038</v>
      </c>
      <c r="M30" s="27">
        <f t="shared" si="5"/>
        <v>-1.6767688495532389</v>
      </c>
      <c r="N30" s="17"/>
      <c r="O30" s="8"/>
      <c r="P30" s="5"/>
      <c r="Q30" s="8"/>
      <c r="R30" s="5"/>
      <c r="S30" s="5"/>
      <c r="T30" s="5"/>
      <c r="U30" s="5"/>
      <c r="V30" s="5"/>
      <c r="W30" s="5"/>
      <c r="X30" s="5"/>
      <c r="Y30" s="5"/>
      <c r="Z30" s="5"/>
      <c r="AA30" s="50"/>
      <c r="AB30" s="8"/>
      <c r="AC30" s="8"/>
      <c r="AD30" s="8"/>
      <c r="AE30" s="8"/>
      <c r="AF30" s="8"/>
      <c r="AG30" s="8"/>
      <c r="AH30" s="8"/>
      <c r="AI30" s="8"/>
      <c r="AJ30" s="8"/>
      <c r="AK30" s="8"/>
      <c r="AL30" s="8"/>
    </row>
    <row r="31" spans="1:42" s="16" customFormat="1" x14ac:dyDescent="0.2">
      <c r="A31" s="10" t="s">
        <v>54</v>
      </c>
      <c r="B31" s="93">
        <f>'Pacific CPA 1.1.23'!$M31</f>
        <v>-0.69</v>
      </c>
      <c r="C31" s="93">
        <f>'Pacific CPA 1.1.23'!$M31</f>
        <v>-0.69</v>
      </c>
      <c r="D31" s="93">
        <f>-'Pacific CPA 1.1.23'!$N36</f>
        <v>-0.88</v>
      </c>
      <c r="E31" s="93">
        <f>-'Pacific CPA 1.1.23'!$N36</f>
        <v>-0.88</v>
      </c>
      <c r="F31" s="93">
        <f>-'Pacific CPA 1.1.23'!$N36</f>
        <v>-0.88</v>
      </c>
      <c r="G31" s="93">
        <f>-'Pacific CPA 1.1.23'!$N36</f>
        <v>-0.88</v>
      </c>
      <c r="H31" s="93">
        <f>-'Pacific CPA 1.1.23'!$N36</f>
        <v>-0.88</v>
      </c>
      <c r="I31" s="93">
        <f>-'Pacific CPA 1.1.23'!$N36</f>
        <v>-0.88</v>
      </c>
      <c r="J31" s="93">
        <f>-'Pacific CPA 1.1.23'!$N36</f>
        <v>-0.88</v>
      </c>
      <c r="K31" s="93">
        <f>-'Pacific CPA 1.1.23'!$N36</f>
        <v>-0.88</v>
      </c>
      <c r="L31" s="93">
        <f>-'Pacific CPA 1.1.23'!$N36</f>
        <v>-0.88</v>
      </c>
      <c r="M31" s="93">
        <f>-'Pacific CPA 1.1.23'!$N36</f>
        <v>-0.88</v>
      </c>
      <c r="N31" s="17"/>
      <c r="O31" s="8"/>
      <c r="P31" s="5"/>
      <c r="Q31" s="8"/>
      <c r="R31" s="5"/>
      <c r="S31" s="5"/>
      <c r="T31" s="5"/>
      <c r="U31" s="5"/>
      <c r="V31" s="5"/>
      <c r="W31" s="5"/>
      <c r="X31" s="5"/>
      <c r="Y31" s="5"/>
      <c r="Z31" s="5"/>
      <c r="AA31" s="8"/>
      <c r="AB31" s="8"/>
      <c r="AC31" s="8"/>
      <c r="AD31" s="8"/>
      <c r="AE31" s="8"/>
      <c r="AF31" s="8"/>
      <c r="AG31" s="8"/>
      <c r="AH31" s="8"/>
      <c r="AI31" s="8"/>
      <c r="AJ31" s="8"/>
      <c r="AK31" s="8"/>
      <c r="AL31" s="8"/>
    </row>
    <row r="32" spans="1:42" s="16" customFormat="1" x14ac:dyDescent="0.2">
      <c r="A32" s="10" t="s">
        <v>56</v>
      </c>
      <c r="B32" s="36">
        <f>+B27*B31</f>
        <v>-43670.789999999994</v>
      </c>
      <c r="C32" s="36">
        <f t="shared" ref="C32:M32" si="6">+C27*C31</f>
        <v>-43596.959999999999</v>
      </c>
      <c r="D32" s="36">
        <f t="shared" si="6"/>
        <v>-55598.400000000001</v>
      </c>
      <c r="E32" s="36">
        <f t="shared" si="6"/>
        <v>-55717.2</v>
      </c>
      <c r="F32" s="36">
        <f t="shared" si="6"/>
        <v>-55788.480000000003</v>
      </c>
      <c r="G32" s="36">
        <f t="shared" si="6"/>
        <v>-56014.64</v>
      </c>
      <c r="H32" s="36">
        <f t="shared" si="6"/>
        <v>-56298</v>
      </c>
      <c r="I32" s="36">
        <f t="shared" si="6"/>
        <v>-56318.239999999998</v>
      </c>
      <c r="J32" s="36">
        <f t="shared" si="6"/>
        <v>-56312.08</v>
      </c>
      <c r="K32" s="36">
        <f t="shared" si="6"/>
        <v>-55978.559999999998</v>
      </c>
      <c r="L32" s="36">
        <f t="shared" si="6"/>
        <v>-56312.08</v>
      </c>
      <c r="M32" s="36">
        <f t="shared" si="6"/>
        <v>-56216.160000000003</v>
      </c>
      <c r="N32" s="17"/>
      <c r="O32" s="8"/>
      <c r="P32" s="5"/>
      <c r="Q32" s="8"/>
      <c r="R32" s="5"/>
      <c r="S32" s="5"/>
      <c r="T32" s="5"/>
      <c r="U32" s="5"/>
      <c r="V32" s="5"/>
      <c r="W32" s="5"/>
      <c r="X32" s="5"/>
      <c r="Y32" s="5"/>
      <c r="Z32" s="5"/>
      <c r="AA32" s="8"/>
      <c r="AB32" s="8"/>
      <c r="AC32" s="8"/>
      <c r="AD32" s="8"/>
      <c r="AE32" s="8"/>
      <c r="AF32" s="8"/>
      <c r="AG32" s="8"/>
      <c r="AH32" s="8"/>
      <c r="AI32" s="8"/>
      <c r="AJ32" s="8"/>
      <c r="AK32" s="8"/>
      <c r="AL32" s="8"/>
    </row>
    <row r="33" spans="1:38" s="19" customFormat="1" ht="13.5" thickBot="1" x14ac:dyDescent="0.25">
      <c r="A33" s="13" t="s">
        <v>55</v>
      </c>
      <c r="B33" s="92">
        <f>+B32-B24</f>
        <v>80445.79490350002</v>
      </c>
      <c r="C33" s="92">
        <f t="shared" ref="C33:M33" si="7">+C32-C24</f>
        <v>97201.330139999976</v>
      </c>
      <c r="D33" s="92">
        <f t="shared" si="7"/>
        <v>98252.243349919969</v>
      </c>
      <c r="E33" s="92">
        <f t="shared" si="7"/>
        <v>44698.087627919987</v>
      </c>
      <c r="F33" s="92">
        <f t="shared" si="7"/>
        <v>65190.515147759936</v>
      </c>
      <c r="G33" s="92">
        <f t="shared" si="7"/>
        <v>52492.31973255999</v>
      </c>
      <c r="H33" s="92">
        <f t="shared" si="7"/>
        <v>59419.523713919989</v>
      </c>
      <c r="I33" s="92">
        <f t="shared" si="7"/>
        <v>54015.455641039989</v>
      </c>
      <c r="J33" s="92">
        <f t="shared" si="7"/>
        <v>61798.458878080011</v>
      </c>
      <c r="K33" s="92">
        <f t="shared" si="7"/>
        <v>70563.613663920012</v>
      </c>
      <c r="L33" s="92">
        <f t="shared" si="7"/>
        <v>56956.987067160037</v>
      </c>
      <c r="M33" s="92">
        <f t="shared" si="7"/>
        <v>50899.187647159997</v>
      </c>
      <c r="N33" s="92">
        <f>SUM(B33:M33)</f>
        <v>791933.51751293987</v>
      </c>
      <c r="O33" s="7"/>
      <c r="P33" s="95"/>
      <c r="Q33" s="7"/>
      <c r="R33" s="7"/>
      <c r="S33" s="7"/>
      <c r="T33" s="7"/>
      <c r="U33" s="7"/>
      <c r="V33" s="7"/>
      <c r="W33" s="7"/>
      <c r="X33" s="7"/>
      <c r="Y33" s="7"/>
      <c r="Z33" s="7"/>
      <c r="AA33" s="7"/>
      <c r="AB33" s="7"/>
      <c r="AC33" s="7"/>
      <c r="AD33" s="7"/>
      <c r="AE33" s="7"/>
      <c r="AF33" s="7"/>
      <c r="AG33" s="7"/>
      <c r="AH33" s="7"/>
      <c r="AI33" s="7"/>
      <c r="AJ33" s="7"/>
      <c r="AK33" s="7"/>
      <c r="AL33" s="7"/>
    </row>
    <row r="34" spans="1:38" s="16" customFormat="1" x14ac:dyDescent="0.2">
      <c r="A34" s="10"/>
      <c r="B34" s="11"/>
      <c r="C34" s="11"/>
      <c r="D34" s="11"/>
      <c r="E34" s="11"/>
      <c r="F34" s="11"/>
      <c r="G34" s="11"/>
      <c r="H34" s="11"/>
      <c r="I34" s="11"/>
      <c r="J34" s="11"/>
      <c r="K34" s="11"/>
      <c r="L34" s="11"/>
      <c r="M34" s="11"/>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1:38" x14ac:dyDescent="0.2">
      <c r="A35" s="16"/>
      <c r="B35" s="28"/>
      <c r="C35" s="28"/>
      <c r="D35" s="28"/>
      <c r="E35" s="28"/>
      <c r="F35" s="28"/>
      <c r="G35" s="28"/>
      <c r="H35" s="28"/>
      <c r="I35" s="28"/>
      <c r="J35" s="28"/>
      <c r="K35" s="28"/>
      <c r="L35" s="28"/>
      <c r="M35" s="21" t="s">
        <v>18</v>
      </c>
      <c r="N35" s="17">
        <f>ROUND(N33/N27,2)</f>
        <v>1.04</v>
      </c>
      <c r="Q35" s="8"/>
      <c r="R35" s="44"/>
      <c r="X35" s="51"/>
      <c r="Y35" s="51"/>
      <c r="Z35" s="51"/>
      <c r="AA35" s="52"/>
    </row>
    <row r="36" spans="1:38" x14ac:dyDescent="0.2">
      <c r="A36" s="16"/>
      <c r="B36" s="89"/>
      <c r="C36" s="89"/>
      <c r="D36" s="89"/>
      <c r="E36" s="89"/>
      <c r="F36" s="89"/>
      <c r="G36" s="89"/>
      <c r="H36" s="89"/>
      <c r="I36" s="89"/>
      <c r="J36" s="89"/>
      <c r="K36" s="89"/>
      <c r="L36" s="21"/>
      <c r="M36" s="21" t="s">
        <v>59</v>
      </c>
      <c r="N36" s="81">
        <f>-ROUND(N24/N27,2)</f>
        <v>1.89</v>
      </c>
      <c r="X36" s="51"/>
      <c r="Y36" s="51"/>
      <c r="Z36" s="51"/>
      <c r="AA36" s="44"/>
    </row>
    <row r="37" spans="1:38" x14ac:dyDescent="0.2">
      <c r="A37" s="16"/>
      <c r="J37" s="21"/>
      <c r="K37" s="21"/>
      <c r="L37" s="21"/>
      <c r="M37" s="42" t="s">
        <v>44</v>
      </c>
      <c r="N37" s="18">
        <f>SUM(N35:N36)</f>
        <v>2.9299999999999997</v>
      </c>
      <c r="X37" s="51"/>
      <c r="Y37" s="51"/>
      <c r="Z37" s="51"/>
      <c r="AA37" s="53"/>
    </row>
    <row r="38" spans="1:38" x14ac:dyDescent="0.2">
      <c r="A38" s="16"/>
      <c r="B38" s="84"/>
      <c r="C38" s="21"/>
      <c r="D38" s="21"/>
      <c r="E38" s="85"/>
      <c r="F38" s="21"/>
      <c r="G38" s="21"/>
      <c r="H38" s="21"/>
      <c r="I38" s="21"/>
      <c r="J38" s="21"/>
      <c r="K38" s="21"/>
      <c r="L38" s="21"/>
      <c r="M38" s="21"/>
      <c r="N38" s="18"/>
      <c r="X38" s="51"/>
      <c r="Y38" s="51"/>
      <c r="Z38" s="51"/>
      <c r="AA38" s="53"/>
    </row>
    <row r="39" spans="1:38" x14ac:dyDescent="0.2">
      <c r="A39" s="29"/>
      <c r="B39" s="39"/>
      <c r="C39" s="39"/>
      <c r="D39" s="39"/>
      <c r="E39" s="39"/>
      <c r="F39" s="39"/>
      <c r="G39" s="39"/>
      <c r="H39" s="39"/>
      <c r="I39" s="39"/>
      <c r="J39" s="21"/>
      <c r="K39" s="21"/>
      <c r="L39" s="21"/>
      <c r="M39" s="21" t="s">
        <v>45</v>
      </c>
      <c r="N39" s="88">
        <f>'Pacific CPA 1.1.23'!N37</f>
        <v>0.87</v>
      </c>
      <c r="Q39" s="8"/>
      <c r="R39" s="8"/>
      <c r="S39" s="55"/>
      <c r="X39" s="8"/>
      <c r="Y39" s="8"/>
      <c r="Z39" s="51"/>
    </row>
    <row r="40" spans="1:38" x14ac:dyDescent="0.2">
      <c r="A40" s="10"/>
      <c r="B40" s="21"/>
      <c r="C40" s="21"/>
      <c r="D40" s="21"/>
      <c r="E40" s="21"/>
      <c r="F40" s="21"/>
      <c r="G40" s="21"/>
      <c r="H40" s="21"/>
      <c r="I40" s="21"/>
      <c r="J40" s="21"/>
      <c r="K40" s="21"/>
      <c r="L40" s="21"/>
      <c r="M40" s="21" t="s">
        <v>15</v>
      </c>
      <c r="N40" s="17">
        <f>+N37-N39</f>
        <v>2.0599999999999996</v>
      </c>
      <c r="O40" s="56">
        <f>N40/N39</f>
        <v>2.3678160919540225</v>
      </c>
      <c r="X40" s="8"/>
      <c r="Y40" s="8"/>
      <c r="Z40" s="51"/>
    </row>
    <row r="41" spans="1:38" x14ac:dyDescent="0.2">
      <c r="A41" s="10"/>
      <c r="B41" s="21"/>
      <c r="C41" s="21"/>
      <c r="D41" s="21"/>
      <c r="E41" s="21"/>
      <c r="F41" s="21"/>
      <c r="G41" s="21"/>
      <c r="H41" s="21"/>
      <c r="I41" s="21"/>
      <c r="J41" s="21"/>
      <c r="K41" s="21"/>
      <c r="L41" s="21"/>
      <c r="M41" s="21" t="s">
        <v>36</v>
      </c>
      <c r="N41" s="9">
        <f>N40*M27*12</f>
        <v>1579163.0399999998</v>
      </c>
      <c r="P41" s="44"/>
      <c r="R41" s="44"/>
      <c r="S41" s="44"/>
      <c r="T41" s="44"/>
      <c r="U41" s="44"/>
      <c r="V41" s="44"/>
      <c r="W41" s="44"/>
      <c r="X41" s="44"/>
      <c r="Y41" s="44"/>
      <c r="Z41" s="44"/>
    </row>
    <row r="42" spans="1:38" x14ac:dyDescent="0.2">
      <c r="A42" s="10"/>
      <c r="B42" s="21"/>
      <c r="C42" s="21"/>
      <c r="D42" s="21"/>
      <c r="E42" s="21"/>
      <c r="F42" s="21"/>
      <c r="G42" s="21"/>
      <c r="H42" s="21"/>
      <c r="I42" s="21"/>
      <c r="J42" s="21"/>
      <c r="K42" s="21"/>
      <c r="L42" s="21"/>
      <c r="M42" s="21"/>
      <c r="N42" s="8"/>
      <c r="P42" s="44"/>
      <c r="R42" s="44"/>
      <c r="S42" s="44"/>
      <c r="T42" s="44"/>
      <c r="U42" s="44"/>
      <c r="V42" s="44"/>
      <c r="W42" s="44"/>
      <c r="X42" s="44"/>
      <c r="Y42" s="44"/>
      <c r="Z42" s="44"/>
    </row>
    <row r="43" spans="1:38" x14ac:dyDescent="0.2">
      <c r="A43" s="10"/>
      <c r="B43" s="11"/>
      <c r="C43" s="11"/>
      <c r="D43" s="11"/>
      <c r="E43" s="11"/>
      <c r="F43" s="11"/>
      <c r="G43" s="11"/>
      <c r="H43" s="11"/>
      <c r="I43" s="11"/>
      <c r="J43" s="11"/>
      <c r="K43" s="11"/>
      <c r="L43" s="11"/>
      <c r="M43" s="11"/>
      <c r="N43" s="8"/>
    </row>
    <row r="44" spans="1:38" x14ac:dyDescent="0.2">
      <c r="A44" s="29"/>
      <c r="B44" s="1"/>
      <c r="C44" s="1"/>
      <c r="D44" s="1"/>
      <c r="E44" s="1"/>
      <c r="F44" s="1"/>
      <c r="G44" s="1"/>
      <c r="H44" s="1"/>
      <c r="I44" s="1"/>
      <c r="J44" s="1"/>
      <c r="K44" s="1"/>
      <c r="L44" s="1"/>
      <c r="M44" s="1"/>
      <c r="N44" s="1" t="s">
        <v>28</v>
      </c>
      <c r="Y44" s="51"/>
      <c r="Z44" s="51"/>
      <c r="AA44" s="52"/>
    </row>
    <row r="45" spans="1:38" x14ac:dyDescent="0.2">
      <c r="A45" s="29" t="s">
        <v>16</v>
      </c>
      <c r="B45" s="2">
        <f>B6</f>
        <v>44866</v>
      </c>
      <c r="C45" s="2">
        <f>B45+31</f>
        <v>44897</v>
      </c>
      <c r="D45" s="2">
        <f t="shared" ref="D45:M45" si="8">C45+31</f>
        <v>44928</v>
      </c>
      <c r="E45" s="2">
        <f t="shared" si="8"/>
        <v>44959</v>
      </c>
      <c r="F45" s="2">
        <f t="shared" si="8"/>
        <v>44990</v>
      </c>
      <c r="G45" s="2">
        <f t="shared" si="8"/>
        <v>45021</v>
      </c>
      <c r="H45" s="2">
        <f t="shared" si="8"/>
        <v>45052</v>
      </c>
      <c r="I45" s="2">
        <f t="shared" si="8"/>
        <v>45083</v>
      </c>
      <c r="J45" s="2">
        <f t="shared" si="8"/>
        <v>45114</v>
      </c>
      <c r="K45" s="2">
        <f t="shared" si="8"/>
        <v>45145</v>
      </c>
      <c r="L45" s="2">
        <f t="shared" si="8"/>
        <v>45176</v>
      </c>
      <c r="M45" s="2">
        <f t="shared" si="8"/>
        <v>45207</v>
      </c>
      <c r="N45" s="2" t="s">
        <v>2</v>
      </c>
      <c r="Y45" s="51"/>
      <c r="Z45" s="51"/>
      <c r="AA45" s="44"/>
    </row>
    <row r="46" spans="1:38" x14ac:dyDescent="0.2">
      <c r="A46" s="25" t="s">
        <v>57</v>
      </c>
      <c r="B46" s="4"/>
      <c r="C46" s="4"/>
      <c r="D46" s="4"/>
      <c r="E46" s="4"/>
      <c r="F46" s="4"/>
      <c r="G46" s="4"/>
      <c r="H46" s="4"/>
      <c r="I46" s="4"/>
      <c r="J46" s="4"/>
      <c r="K46" s="4"/>
      <c r="L46" s="4"/>
      <c r="M46" s="4"/>
      <c r="N46" s="4"/>
      <c r="Y46" s="51"/>
      <c r="Z46" s="51"/>
      <c r="AA46" s="53"/>
    </row>
    <row r="47" spans="1:38" x14ac:dyDescent="0.2">
      <c r="A47" s="22" t="s">
        <v>52</v>
      </c>
      <c r="B47" s="65">
        <f>+'[1]Pacific Comm Credit'!B44</f>
        <v>104.28266799999999</v>
      </c>
      <c r="C47" s="65">
        <f>+'[1]Pacific Comm Credit'!C44</f>
        <v>104.29185199999998</v>
      </c>
      <c r="D47" s="65">
        <f>+'[1]Pacific Comm Credit'!D44</f>
        <v>99.533585999999985</v>
      </c>
      <c r="E47" s="65">
        <f>+'[1]Pacific Comm Credit'!E44</f>
        <v>94.805319999999995</v>
      </c>
      <c r="F47" s="65">
        <f>+'[1]Pacific Comm Credit'!F44</f>
        <v>109.02011799999998</v>
      </c>
      <c r="G47" s="65">
        <f>+'[1]Pacific Comm Credit'!G44</f>
        <v>99.533586000000014</v>
      </c>
      <c r="H47" s="65">
        <f>+'[1]Pacific Comm Credit'!H44</f>
        <v>99.665694000000016</v>
      </c>
      <c r="I47" s="65">
        <f>+'[1]Pacific Comm Credit'!I44</f>
        <v>99.665694000000016</v>
      </c>
      <c r="J47" s="65">
        <f>+'[1]Pacific Comm Credit'!J44</f>
        <v>95.128617000000006</v>
      </c>
      <c r="K47" s="65">
        <f>+'[1]Pacific Comm Credit'!K44</f>
        <v>104.20277100000003</v>
      </c>
      <c r="L47" s="65">
        <f>+'[1]Pacific Comm Credit'!L44</f>
        <v>99.665694000000016</v>
      </c>
      <c r="M47" s="65">
        <f>+'[1]Pacific Comm Credit'!M44</f>
        <v>95.128617000000006</v>
      </c>
      <c r="N47" s="5">
        <f>SUM(B47:M47)</f>
        <v>1204.924217</v>
      </c>
    </row>
    <row r="48" spans="1:38" x14ac:dyDescent="0.2">
      <c r="A48" s="22" t="s">
        <v>6</v>
      </c>
      <c r="B48" s="65">
        <f>+'[1]Pacific Comm Credit'!B45</f>
        <v>17.420000000000002</v>
      </c>
      <c r="C48" s="65">
        <f>+'[1]Pacific Comm Credit'!C45</f>
        <v>17.55</v>
      </c>
      <c r="D48" s="65">
        <f>+'[1]Pacific Comm Credit'!D45</f>
        <v>20.270000000000003</v>
      </c>
      <c r="E48" s="65">
        <f>+'[1]Pacific Comm Credit'!E45</f>
        <v>17.350000000000001</v>
      </c>
      <c r="F48" s="65">
        <f>+'[1]Pacific Comm Credit'!F45</f>
        <v>20.45</v>
      </c>
      <c r="G48" s="65">
        <f>+'[1]Pacific Comm Credit'!G45</f>
        <v>18.11</v>
      </c>
      <c r="H48" s="65">
        <f>+'[1]Pacific Comm Credit'!H45</f>
        <v>20.03</v>
      </c>
      <c r="I48" s="65">
        <f>+'[1]Pacific Comm Credit'!I45</f>
        <v>18.920000000000002</v>
      </c>
      <c r="J48" s="65">
        <f>+'[1]Pacific Comm Credit'!J45</f>
        <v>18.3</v>
      </c>
      <c r="K48" s="65">
        <f>+'[1]Pacific Comm Credit'!K45</f>
        <v>20.9</v>
      </c>
      <c r="L48" s="65">
        <f>+'[1]Pacific Comm Credit'!L45</f>
        <v>19.510000000000002</v>
      </c>
      <c r="M48" s="65">
        <f>+'[1]Pacific Comm Credit'!M45</f>
        <v>17.71</v>
      </c>
      <c r="N48" s="5">
        <f>SUM(B48:M48)</f>
        <v>226.52000000000004</v>
      </c>
    </row>
    <row r="49" spans="1:16" x14ac:dyDescent="0.2">
      <c r="B49" s="11"/>
      <c r="C49" s="11"/>
      <c r="D49" s="11"/>
      <c r="E49" s="11"/>
      <c r="F49" s="11"/>
      <c r="G49" s="11"/>
      <c r="H49" s="11"/>
      <c r="I49" s="11"/>
      <c r="J49" s="11"/>
      <c r="K49" s="11"/>
      <c r="L49" s="11"/>
      <c r="M49" s="11"/>
      <c r="N49" s="5"/>
    </row>
    <row r="50" spans="1:16" s="6" customFormat="1" x14ac:dyDescent="0.2">
      <c r="A50" s="6" t="s">
        <v>7</v>
      </c>
      <c r="B50" s="91">
        <f>SUM(B47:B49)</f>
        <v>121.70266799999999</v>
      </c>
      <c r="C50" s="91">
        <f>SUM(C47:C49)</f>
        <v>121.84185199999997</v>
      </c>
      <c r="D50" s="91">
        <f t="shared" ref="D50:K50" si="9">SUM(D47:D48)</f>
        <v>119.803586</v>
      </c>
      <c r="E50" s="91">
        <f t="shared" si="9"/>
        <v>112.15531999999999</v>
      </c>
      <c r="F50" s="91">
        <f t="shared" si="9"/>
        <v>129.47011799999999</v>
      </c>
      <c r="G50" s="91">
        <f t="shared" si="9"/>
        <v>117.64358600000001</v>
      </c>
      <c r="H50" s="91">
        <f t="shared" si="9"/>
        <v>119.69569400000002</v>
      </c>
      <c r="I50" s="91">
        <f t="shared" si="9"/>
        <v>118.58569400000002</v>
      </c>
      <c r="J50" s="91">
        <f t="shared" si="9"/>
        <v>113.428617</v>
      </c>
      <c r="K50" s="91">
        <f t="shared" si="9"/>
        <v>125.10277100000002</v>
      </c>
      <c r="L50" s="91">
        <f>SUM(L47:L48)</f>
        <v>119.17569400000002</v>
      </c>
      <c r="M50" s="91">
        <f>SUM(M47:M48)</f>
        <v>112.838617</v>
      </c>
      <c r="N50" s="35">
        <f>SUM(N47:N49)</f>
        <v>1431.444217</v>
      </c>
      <c r="P50" s="57">
        <f>+'[1]Pacific Comm Credit'!$N$47-N50</f>
        <v>0</v>
      </c>
    </row>
    <row r="52" spans="1:16" x14ac:dyDescent="0.2">
      <c r="A52" s="26" t="s">
        <v>20</v>
      </c>
    </row>
    <row r="53" spans="1:16" x14ac:dyDescent="0.2">
      <c r="A53" s="22" t="s">
        <v>58</v>
      </c>
      <c r="B53" s="86">
        <f>B17</f>
        <v>-117.39685</v>
      </c>
      <c r="C53" s="86">
        <f t="shared" ref="C53:M54" si="10">C17</f>
        <v>-131.00376</v>
      </c>
      <c r="D53" s="86">
        <f t="shared" si="10"/>
        <v>-130.912564</v>
      </c>
      <c r="E53" s="86">
        <f t="shared" si="10"/>
        <v>-114.59896399999998</v>
      </c>
      <c r="F53" s="86">
        <f t="shared" si="10"/>
        <v>-115.28181599999998</v>
      </c>
      <c r="G53" s="86">
        <f t="shared" si="10"/>
        <v>-111.802516</v>
      </c>
      <c r="H53" s="86">
        <f t="shared" si="10"/>
        <v>-106.307616</v>
      </c>
      <c r="I53" s="86">
        <f t="shared" si="10"/>
        <v>-109.36141599999999</v>
      </c>
      <c r="J53" s="86">
        <f t="shared" si="10"/>
        <v>-122.21801600000001</v>
      </c>
      <c r="K53" s="86">
        <f t="shared" si="10"/>
        <v>-124.96461600000001</v>
      </c>
      <c r="L53" s="86">
        <f t="shared" si="10"/>
        <v>-116.22791600000002</v>
      </c>
      <c r="M53" s="86">
        <f t="shared" si="10"/>
        <v>-105.892916</v>
      </c>
      <c r="N53" s="8"/>
    </row>
    <row r="54" spans="1:16" x14ac:dyDescent="0.2">
      <c r="A54" s="22" t="s">
        <v>50</v>
      </c>
      <c r="B54" s="86">
        <f>B18</f>
        <v>-33</v>
      </c>
      <c r="C54" s="86">
        <f t="shared" si="10"/>
        <v>-33</v>
      </c>
      <c r="D54" s="86">
        <f t="shared" si="10"/>
        <v>-33</v>
      </c>
      <c r="E54" s="86">
        <f t="shared" si="10"/>
        <v>-33</v>
      </c>
      <c r="F54" s="86">
        <f t="shared" si="10"/>
        <v>-33</v>
      </c>
      <c r="G54" s="86">
        <f t="shared" si="10"/>
        <v>-33</v>
      </c>
      <c r="H54" s="86">
        <f t="shared" si="10"/>
        <v>-33</v>
      </c>
      <c r="I54" s="86">
        <f t="shared" si="10"/>
        <v>-33</v>
      </c>
      <c r="J54" s="86">
        <f t="shared" si="10"/>
        <v>-33</v>
      </c>
      <c r="K54" s="86">
        <f t="shared" si="10"/>
        <v>-33</v>
      </c>
      <c r="L54" s="86">
        <f t="shared" si="10"/>
        <v>-33</v>
      </c>
      <c r="M54" s="86">
        <f t="shared" si="10"/>
        <v>-33</v>
      </c>
      <c r="N54" s="8"/>
    </row>
    <row r="56" spans="1:16" x14ac:dyDescent="0.2">
      <c r="A56" s="26" t="s">
        <v>51</v>
      </c>
    </row>
    <row r="57" spans="1:16" x14ac:dyDescent="0.2">
      <c r="A57" s="22" t="s">
        <v>52</v>
      </c>
      <c r="B57" s="36">
        <f>B47*B53</f>
        <v>-12242.456732795799</v>
      </c>
      <c r="C57" s="36">
        <f t="shared" ref="C57:M58" si="11">C47*C53</f>
        <v>-13662.624749363516</v>
      </c>
      <c r="D57" s="36">
        <f t="shared" si="11"/>
        <v>-13030.196947374503</v>
      </c>
      <c r="E57" s="36">
        <f t="shared" si="11"/>
        <v>-10864.591453688477</v>
      </c>
      <c r="F57" s="36">
        <f t="shared" si="11"/>
        <v>-12568.037183574284</v>
      </c>
      <c r="G57" s="36">
        <f t="shared" si="11"/>
        <v>-11128.105341302376</v>
      </c>
      <c r="H57" s="36">
        <f t="shared" si="11"/>
        <v>-10595.222326125506</v>
      </c>
      <c r="I57" s="36">
        <f t="shared" si="11"/>
        <v>-10899.581422462705</v>
      </c>
      <c r="J57" s="36">
        <f t="shared" si="11"/>
        <v>-11626.430834563873</v>
      </c>
      <c r="K57" s="36">
        <f t="shared" si="11"/>
        <v>-13021.65926415094</v>
      </c>
      <c r="L57" s="36">
        <f t="shared" si="11"/>
        <v>-11583.935910313709</v>
      </c>
      <c r="M57" s="36">
        <f t="shared" si="11"/>
        <v>-10073.446649177173</v>
      </c>
      <c r="N57" s="9">
        <f>SUM(B57:M57)</f>
        <v>-141296.28881489288</v>
      </c>
    </row>
    <row r="58" spans="1:16" x14ac:dyDescent="0.2">
      <c r="A58" s="22" t="s">
        <v>6</v>
      </c>
      <c r="B58" s="36">
        <f>B48*B54</f>
        <v>-574.86</v>
      </c>
      <c r="C58" s="36">
        <f t="shared" si="11"/>
        <v>-579.15</v>
      </c>
      <c r="D58" s="36">
        <f t="shared" si="11"/>
        <v>-668.91000000000008</v>
      </c>
      <c r="E58" s="36">
        <f t="shared" si="11"/>
        <v>-572.55000000000007</v>
      </c>
      <c r="F58" s="36">
        <f t="shared" si="11"/>
        <v>-674.85</v>
      </c>
      <c r="G58" s="36">
        <f t="shared" si="11"/>
        <v>-597.63</v>
      </c>
      <c r="H58" s="36">
        <f t="shared" si="11"/>
        <v>-660.99</v>
      </c>
      <c r="I58" s="36">
        <f t="shared" si="11"/>
        <v>-624.36</v>
      </c>
      <c r="J58" s="36">
        <f t="shared" si="11"/>
        <v>-603.9</v>
      </c>
      <c r="K58" s="36">
        <f t="shared" si="11"/>
        <v>-689.69999999999993</v>
      </c>
      <c r="L58" s="36">
        <f t="shared" si="11"/>
        <v>-643.83000000000004</v>
      </c>
      <c r="M58" s="36">
        <f t="shared" si="11"/>
        <v>-584.43000000000006</v>
      </c>
      <c r="N58" s="9">
        <f>SUM(B58:M58)</f>
        <v>-7475.16</v>
      </c>
    </row>
    <row r="59" spans="1:16" x14ac:dyDescent="0.2">
      <c r="B59" s="16"/>
      <c r="C59" s="16"/>
      <c r="D59" s="16"/>
      <c r="E59" s="16"/>
      <c r="F59" s="16"/>
      <c r="G59" s="16"/>
      <c r="H59" s="16"/>
      <c r="I59" s="16"/>
      <c r="J59" s="16"/>
      <c r="K59" s="16"/>
      <c r="L59" s="16"/>
      <c r="M59" s="16"/>
      <c r="N59" s="8"/>
    </row>
    <row r="60" spans="1:16" s="6" customFormat="1" x14ac:dyDescent="0.2">
      <c r="A60" s="6" t="s">
        <v>9</v>
      </c>
      <c r="B60" s="37">
        <f t="shared" ref="B60:I60" si="12">SUM(B57:B58)</f>
        <v>-12817.3167327958</v>
      </c>
      <c r="C60" s="37">
        <f t="shared" si="12"/>
        <v>-14241.774749363516</v>
      </c>
      <c r="D60" s="37">
        <f t="shared" si="12"/>
        <v>-13699.106947374503</v>
      </c>
      <c r="E60" s="37">
        <f t="shared" si="12"/>
        <v>-11437.141453688477</v>
      </c>
      <c r="F60" s="37">
        <f t="shared" si="12"/>
        <v>-13242.887183574285</v>
      </c>
      <c r="G60" s="37">
        <f t="shared" si="12"/>
        <v>-11725.735341302376</v>
      </c>
      <c r="H60" s="37">
        <f t="shared" si="12"/>
        <v>-11256.212326125506</v>
      </c>
      <c r="I60" s="37">
        <f t="shared" si="12"/>
        <v>-11523.941422462705</v>
      </c>
      <c r="J60" s="37">
        <f>SUM(J57:J58)</f>
        <v>-12230.330834563872</v>
      </c>
      <c r="K60" s="37">
        <f>SUM(K57:K58)</f>
        <v>-13711.35926415094</v>
      </c>
      <c r="L60" s="37">
        <f>SUM(L57:L58)</f>
        <v>-12227.765910313708</v>
      </c>
      <c r="M60" s="37">
        <f>SUM(M57:M58)</f>
        <v>-10657.876649177173</v>
      </c>
      <c r="N60" s="40">
        <f>SUM(N57:N58)</f>
        <v>-148771.44881489288</v>
      </c>
      <c r="O60" s="54"/>
      <c r="P60" s="45">
        <f>+'[1]Pacific Comm Credit'!$N$57-N60</f>
        <v>0</v>
      </c>
    </row>
    <row r="61" spans="1:16" x14ac:dyDescent="0.2">
      <c r="B61" s="16"/>
      <c r="C61" s="16"/>
      <c r="D61" s="16"/>
      <c r="E61" s="16"/>
      <c r="F61" s="16"/>
      <c r="G61" s="16"/>
      <c r="H61" s="16"/>
      <c r="I61" s="16"/>
      <c r="J61" s="16"/>
      <c r="K61" s="16"/>
      <c r="L61" s="16"/>
      <c r="M61" s="16"/>
      <c r="N61" s="8"/>
    </row>
    <row r="62" spans="1:16" x14ac:dyDescent="0.2">
      <c r="B62" s="16"/>
      <c r="C62" s="16"/>
      <c r="D62" s="16"/>
      <c r="E62" s="16"/>
      <c r="F62" s="16"/>
      <c r="G62" s="16"/>
      <c r="H62" s="16"/>
      <c r="I62" s="16"/>
      <c r="J62" s="16"/>
      <c r="K62" s="16"/>
      <c r="L62" s="16"/>
      <c r="M62" s="16"/>
      <c r="N62" s="8"/>
    </row>
    <row r="63" spans="1:16" x14ac:dyDescent="0.2">
      <c r="A63" s="10" t="s">
        <v>43</v>
      </c>
      <c r="B63" s="67">
        <f>+'[1]Pacific Comm Credit'!B60</f>
        <v>12993.665198237884</v>
      </c>
      <c r="C63" s="67">
        <f>+'[1]Pacific Comm Credit'!C60</f>
        <v>12994.500000000002</v>
      </c>
      <c r="D63" s="67">
        <f>+'[1]Pacific Comm Credit'!D60</f>
        <v>13019.629955947137</v>
      </c>
      <c r="E63" s="67">
        <f>+'[1]Pacific Comm Credit'!E60</f>
        <v>13369.775330396475</v>
      </c>
      <c r="F63" s="67">
        <f>+'[1]Pacific Comm Credit'!F60</f>
        <v>13470.061674008812</v>
      </c>
      <c r="G63" s="67">
        <f>+'[1]Pacific Comm Credit'!G60</f>
        <v>13633.662995594716</v>
      </c>
      <c r="H63" s="67">
        <f>+'[1]Pacific Comm Credit'!H60</f>
        <v>13779.47577092511</v>
      </c>
      <c r="I63" s="67">
        <f>+'[1]Pacific Comm Credit'!I60</f>
        <v>13956.594713656386</v>
      </c>
      <c r="J63" s="67">
        <f>+'[1]Pacific Comm Credit'!J60</f>
        <v>13959.295154185023</v>
      </c>
      <c r="K63" s="67">
        <f>+'[1]Pacific Comm Credit'!K60</f>
        <v>14007.317180616739</v>
      </c>
      <c r="L63" s="67">
        <f>+'[1]Pacific Comm Credit'!L60</f>
        <v>14528.544247787613</v>
      </c>
      <c r="M63" s="67">
        <f>+'[1]Pacific Comm Credit'!M60</f>
        <v>14443.7389380531</v>
      </c>
      <c r="N63" s="7">
        <f>SUM(B63:M63)</f>
        <v>164156.26115940901</v>
      </c>
      <c r="P63" s="94">
        <f>+'[1]Pacific Comm Credit'!$N$60-N63</f>
        <v>0</v>
      </c>
    </row>
    <row r="64" spans="1:16" x14ac:dyDescent="0.2">
      <c r="A64" s="10"/>
      <c r="B64" s="16"/>
      <c r="C64" s="16"/>
      <c r="D64" s="16"/>
      <c r="E64" s="16"/>
      <c r="F64" s="16"/>
      <c r="G64" s="16"/>
      <c r="H64" s="16"/>
      <c r="I64" s="16"/>
      <c r="J64" s="16"/>
      <c r="K64" s="16"/>
      <c r="L64" s="16"/>
      <c r="M64" s="16"/>
      <c r="N64" s="8"/>
    </row>
    <row r="65" spans="1:19" x14ac:dyDescent="0.2">
      <c r="A65" s="10"/>
      <c r="B65" s="16"/>
      <c r="C65" s="16"/>
      <c r="D65" s="16"/>
      <c r="E65" s="16"/>
      <c r="F65" s="16"/>
      <c r="G65" s="16"/>
      <c r="H65" s="16"/>
      <c r="I65" s="16"/>
      <c r="J65" s="16"/>
      <c r="K65" s="16"/>
      <c r="L65" s="16"/>
      <c r="M65" s="16"/>
      <c r="N65" s="15"/>
    </row>
    <row r="66" spans="1:19" x14ac:dyDescent="0.2">
      <c r="A66" s="10" t="s">
        <v>53</v>
      </c>
      <c r="B66" s="27">
        <f t="shared" ref="B66:M66" si="13">+IFERROR(B60/B63,0)</f>
        <v>-0.98642811995294444</v>
      </c>
      <c r="C66" s="27">
        <f t="shared" si="13"/>
        <v>-1.095984820452</v>
      </c>
      <c r="D66" s="27">
        <f t="shared" si="13"/>
        <v>-1.0521886561850395</v>
      </c>
      <c r="E66" s="27">
        <f t="shared" si="13"/>
        <v>-0.85544754276355617</v>
      </c>
      <c r="F66" s="27">
        <f t="shared" si="13"/>
        <v>-0.98313485892400387</v>
      </c>
      <c r="G66" s="27">
        <f t="shared" si="13"/>
        <v>-0.86005759017889571</v>
      </c>
      <c r="H66" s="27">
        <f t="shared" si="13"/>
        <v>-0.81688247893118504</v>
      </c>
      <c r="I66" s="27">
        <f t="shared" si="13"/>
        <v>-0.82569865063048975</v>
      </c>
      <c r="J66" s="27">
        <f t="shared" si="13"/>
        <v>-0.87614243408967507</v>
      </c>
      <c r="K66" s="27">
        <f t="shared" si="13"/>
        <v>-0.97887119191708283</v>
      </c>
      <c r="L66" s="27">
        <f t="shared" si="13"/>
        <v>-0.84163737961397855</v>
      </c>
      <c r="M66" s="27">
        <f t="shared" si="13"/>
        <v>-0.73788903931918948</v>
      </c>
      <c r="N66" s="5"/>
    </row>
    <row r="67" spans="1:19" x14ac:dyDescent="0.2">
      <c r="A67" s="10" t="s">
        <v>54</v>
      </c>
      <c r="B67" s="69">
        <f>+'Pacific CPA 1.1.23'!$M67</f>
        <v>-0.28000000000000003</v>
      </c>
      <c r="C67" s="69">
        <f>+'Pacific CPA 1.1.23'!$M67</f>
        <v>-0.28000000000000003</v>
      </c>
      <c r="D67" s="69">
        <f>-'Pacific CPA 1.1.23'!$N72</f>
        <v>-0.42</v>
      </c>
      <c r="E67" s="69">
        <f>-'Pacific CPA 1.1.23'!$N72</f>
        <v>-0.42</v>
      </c>
      <c r="F67" s="69">
        <f>-'Pacific CPA 1.1.23'!$N72</f>
        <v>-0.42</v>
      </c>
      <c r="G67" s="69">
        <f>-'Pacific CPA 1.1.23'!$N72</f>
        <v>-0.42</v>
      </c>
      <c r="H67" s="69">
        <f>-'Pacific CPA 1.1.23'!$N72</f>
        <v>-0.42</v>
      </c>
      <c r="I67" s="69">
        <f>-'Pacific CPA 1.1.23'!$N72</f>
        <v>-0.42</v>
      </c>
      <c r="J67" s="69">
        <f>-'Pacific CPA 1.1.23'!$N72</f>
        <v>-0.42</v>
      </c>
      <c r="K67" s="69">
        <f>-'Pacific CPA 1.1.23'!$N72</f>
        <v>-0.42</v>
      </c>
      <c r="L67" s="69">
        <f>-'Pacific CPA 1.1.23'!$N72</f>
        <v>-0.42</v>
      </c>
      <c r="M67" s="69">
        <f>-'Pacific CPA 1.1.23'!$N72</f>
        <v>-0.42</v>
      </c>
      <c r="N67" s="5"/>
    </row>
    <row r="68" spans="1:19" x14ac:dyDescent="0.2">
      <c r="A68" s="10" t="s">
        <v>56</v>
      </c>
      <c r="B68" s="36">
        <f>+B63*B67</f>
        <v>-3638.2262555066081</v>
      </c>
      <c r="C68" s="36">
        <f t="shared" ref="C68:M68" si="14">+C63*C67</f>
        <v>-3638.4600000000009</v>
      </c>
      <c r="D68" s="36">
        <f t="shared" si="14"/>
        <v>-5468.2445814977973</v>
      </c>
      <c r="E68" s="36">
        <f t="shared" si="14"/>
        <v>-5615.3056387665192</v>
      </c>
      <c r="F68" s="36">
        <f t="shared" si="14"/>
        <v>-5657.4259030837011</v>
      </c>
      <c r="G68" s="36">
        <f t="shared" si="14"/>
        <v>-5726.1384581497805</v>
      </c>
      <c r="H68" s="36">
        <f t="shared" si="14"/>
        <v>-5787.3798237885458</v>
      </c>
      <c r="I68" s="36">
        <f t="shared" si="14"/>
        <v>-5861.7697797356823</v>
      </c>
      <c r="J68" s="36">
        <f t="shared" si="14"/>
        <v>-5862.9039647577092</v>
      </c>
      <c r="K68" s="36">
        <f t="shared" si="14"/>
        <v>-5883.0732158590299</v>
      </c>
      <c r="L68" s="36">
        <f t="shared" si="14"/>
        <v>-6101.9885840707975</v>
      </c>
      <c r="M68" s="36">
        <f t="shared" si="14"/>
        <v>-6066.3703539823018</v>
      </c>
      <c r="N68" s="5"/>
    </row>
    <row r="69" spans="1:19" s="6" customFormat="1" ht="13.5" thickBot="1" x14ac:dyDescent="0.25">
      <c r="A69" s="13" t="s">
        <v>55</v>
      </c>
      <c r="B69" s="92">
        <f>+B68-B60</f>
        <v>9179.0904772891918</v>
      </c>
      <c r="C69" s="92">
        <f>+C68-C60</f>
        <v>10603.314749363515</v>
      </c>
      <c r="D69" s="92">
        <f t="shared" ref="D69:M69" si="15">+D68-D60</f>
        <v>8230.8623658767065</v>
      </c>
      <c r="E69" s="92">
        <f t="shared" si="15"/>
        <v>5821.8358149219575</v>
      </c>
      <c r="F69" s="92">
        <f t="shared" si="15"/>
        <v>7585.4612804905837</v>
      </c>
      <c r="G69" s="92">
        <f t="shared" si="15"/>
        <v>5999.5968831525952</v>
      </c>
      <c r="H69" s="92">
        <f t="shared" si="15"/>
        <v>5468.8325023369598</v>
      </c>
      <c r="I69" s="92">
        <f t="shared" si="15"/>
        <v>5662.171642727023</v>
      </c>
      <c r="J69" s="92">
        <f t="shared" si="15"/>
        <v>6367.4268698061633</v>
      </c>
      <c r="K69" s="92">
        <f t="shared" si="15"/>
        <v>7828.2860482919104</v>
      </c>
      <c r="L69" s="92">
        <f t="shared" si="15"/>
        <v>6125.7773262429109</v>
      </c>
      <c r="M69" s="92">
        <f t="shared" si="15"/>
        <v>4591.5062951948712</v>
      </c>
      <c r="N69" s="92">
        <f>SUM(B69:M69)</f>
        <v>83464.162255694391</v>
      </c>
      <c r="P69" s="95">
        <f>+N69/12*9</f>
        <v>62598.121691770793</v>
      </c>
    </row>
    <row r="70" spans="1:19" x14ac:dyDescent="0.2">
      <c r="A70" s="10"/>
      <c r="B70" s="11"/>
      <c r="C70" s="11"/>
      <c r="D70" s="11"/>
      <c r="E70" s="11"/>
      <c r="F70" s="11"/>
      <c r="G70" s="11"/>
      <c r="H70" s="11"/>
      <c r="I70" s="11"/>
      <c r="J70" s="11"/>
      <c r="K70" s="11"/>
      <c r="L70" s="11"/>
      <c r="M70" s="11"/>
      <c r="N70" s="8"/>
    </row>
    <row r="71" spans="1:19" x14ac:dyDescent="0.2">
      <c r="A71" s="16"/>
      <c r="B71" s="28"/>
      <c r="C71" s="28"/>
      <c r="D71" s="28"/>
      <c r="E71" s="28"/>
      <c r="F71" s="28"/>
      <c r="G71" s="28"/>
      <c r="H71" s="28"/>
      <c r="I71" s="28"/>
      <c r="J71" s="28"/>
      <c r="K71" s="28"/>
      <c r="L71" s="28"/>
      <c r="M71" s="21" t="s">
        <v>18</v>
      </c>
      <c r="N71" s="17">
        <f>ROUND(N69/N63,2)</f>
        <v>0.51</v>
      </c>
    </row>
    <row r="72" spans="1:19" x14ac:dyDescent="0.2">
      <c r="B72" s="21"/>
      <c r="C72" s="21"/>
      <c r="D72" s="21"/>
      <c r="E72" s="21"/>
      <c r="F72" s="21"/>
      <c r="G72" s="21"/>
      <c r="H72" s="21"/>
      <c r="I72" s="21"/>
      <c r="J72" s="21"/>
      <c r="K72" s="21"/>
      <c r="L72" s="21"/>
      <c r="M72" s="21" t="s">
        <v>59</v>
      </c>
      <c r="N72" s="81">
        <f>-ROUND(N60/N63,2)</f>
        <v>0.91</v>
      </c>
    </row>
    <row r="73" spans="1:19" x14ac:dyDescent="0.2">
      <c r="B73" s="84"/>
      <c r="C73" s="21"/>
      <c r="D73" s="21"/>
      <c r="E73" s="21"/>
      <c r="F73" s="21"/>
      <c r="G73" s="21"/>
      <c r="H73" s="21"/>
      <c r="I73" s="21"/>
      <c r="J73" s="21"/>
      <c r="K73" s="21"/>
      <c r="L73" s="21"/>
      <c r="M73" s="42" t="s">
        <v>44</v>
      </c>
      <c r="N73" s="18">
        <f>+N72+N71</f>
        <v>1.42</v>
      </c>
    </row>
    <row r="74" spans="1:19" x14ac:dyDescent="0.2">
      <c r="A74" s="16"/>
      <c r="B74" s="85"/>
      <c r="C74" s="21"/>
      <c r="D74" s="21"/>
      <c r="E74" s="85"/>
      <c r="F74" s="21"/>
      <c r="G74" s="21"/>
      <c r="H74" s="21"/>
      <c r="I74" s="21"/>
      <c r="J74" s="21"/>
      <c r="K74" s="21"/>
      <c r="L74" s="21"/>
      <c r="M74" s="21"/>
      <c r="N74" s="18"/>
    </row>
    <row r="75" spans="1:19" x14ac:dyDescent="0.2">
      <c r="A75" s="10"/>
      <c r="B75" s="21"/>
      <c r="C75" s="21"/>
      <c r="D75" s="21"/>
      <c r="E75" s="21"/>
      <c r="F75" s="21"/>
      <c r="G75" s="21"/>
      <c r="H75" s="21"/>
      <c r="I75" s="21"/>
      <c r="J75" s="21"/>
      <c r="K75" s="21"/>
      <c r="L75" s="21"/>
      <c r="M75" s="21" t="s">
        <v>45</v>
      </c>
      <c r="N75" s="88">
        <f>+'Pacific CPA 1.1.23'!N73</f>
        <v>0.49</v>
      </c>
      <c r="Q75" s="8"/>
      <c r="R75" s="8"/>
      <c r="S75" s="55"/>
    </row>
    <row r="76" spans="1:19" x14ac:dyDescent="0.2">
      <c r="A76" s="10"/>
      <c r="B76" s="21"/>
      <c r="C76" s="21"/>
      <c r="D76" s="21"/>
      <c r="E76" s="21"/>
      <c r="F76" s="21"/>
      <c r="G76" s="21"/>
      <c r="H76" s="21"/>
      <c r="I76" s="21"/>
      <c r="J76" s="21"/>
      <c r="K76" s="21"/>
      <c r="L76" s="21"/>
      <c r="M76" s="21" t="s">
        <v>15</v>
      </c>
      <c r="N76" s="17">
        <f>+N73-N75</f>
        <v>0.92999999999999994</v>
      </c>
      <c r="O76" s="56">
        <f>N76/N75</f>
        <v>1.8979591836734693</v>
      </c>
    </row>
    <row r="77" spans="1:19" x14ac:dyDescent="0.2">
      <c r="A77" s="10"/>
      <c r="B77" s="21"/>
      <c r="C77" s="21"/>
      <c r="D77" s="21"/>
      <c r="E77" s="21"/>
      <c r="F77" s="21"/>
      <c r="G77" s="21"/>
      <c r="H77" s="21"/>
      <c r="I77" s="21"/>
      <c r="J77" s="21"/>
      <c r="K77" s="21"/>
      <c r="L77" s="21"/>
      <c r="M77" s="21" t="s">
        <v>36</v>
      </c>
      <c r="N77" s="9">
        <f>N76*M63*12</f>
        <v>161192.12654867259</v>
      </c>
    </row>
    <row r="78" spans="1:19" x14ac:dyDescent="0.2">
      <c r="A78" s="10"/>
      <c r="B78" s="21"/>
      <c r="C78" s="21"/>
      <c r="D78" s="21"/>
      <c r="E78" s="21"/>
      <c r="F78" s="21"/>
      <c r="G78" s="21"/>
      <c r="H78" s="21"/>
      <c r="I78" s="21"/>
      <c r="J78" s="21"/>
      <c r="K78" s="21"/>
      <c r="L78" s="21"/>
      <c r="M78" s="21"/>
      <c r="O78" s="5"/>
    </row>
  </sheetData>
  <pageMargins left="0.7" right="0.7" top="0.75" bottom="0.75" header="0.3" footer="0.3"/>
  <pageSetup scale="61" fitToHeight="0" orientation="landscape" r:id="rId1"/>
  <rowBreaks count="1" manualBreakCount="1">
    <brk id="4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AP78"/>
  <sheetViews>
    <sheetView showGridLines="0" view="pageBreakPreview" zoomScaleNormal="115" zoomScaleSheetLayoutView="100" workbookViewId="0">
      <pane xSplit="1" ySplit="7" topLeftCell="B8" activePane="bottomRight" state="frozen"/>
      <selection activeCell="B36" sqref="B36"/>
      <selection pane="topRight" activeCell="B36" sqref="B36"/>
      <selection pane="bottomLeft" activeCell="B36" sqref="B36"/>
      <selection pane="bottomRight" activeCell="N37" sqref="N37"/>
    </sheetView>
  </sheetViews>
  <sheetFormatPr defaultRowHeight="12.75" x14ac:dyDescent="0.2"/>
  <cols>
    <col min="1" max="1" width="34.5703125" style="22" customWidth="1"/>
    <col min="2" max="2" width="14" style="22" bestFit="1" customWidth="1"/>
    <col min="3" max="12" width="11.28515625" style="22" bestFit="1" customWidth="1"/>
    <col min="13" max="13" width="13" style="22" customWidth="1"/>
    <col min="14" max="14" width="12.5703125" style="22" bestFit="1" customWidth="1"/>
    <col min="15" max="15" width="11.28515625" style="22" bestFit="1" customWidth="1"/>
    <col min="16" max="16" width="10.28515625" style="22" bestFit="1" customWidth="1"/>
    <col min="17" max="17" width="13.5703125" style="22" customWidth="1"/>
    <col min="18" max="18" width="11.85546875" style="22" bestFit="1" customWidth="1"/>
    <col min="19" max="19" width="11.140625" style="22" customWidth="1"/>
    <col min="20" max="20" width="10.7109375" style="22" customWidth="1"/>
    <col min="21" max="21" width="10.85546875" style="22" customWidth="1"/>
    <col min="22" max="22" width="10.42578125" style="22" customWidth="1"/>
    <col min="23" max="23" width="10.85546875" style="22" customWidth="1"/>
    <col min="24" max="24" width="11.42578125" style="22" customWidth="1"/>
    <col min="25" max="25" width="11.85546875" style="22" customWidth="1"/>
    <col min="26" max="16384" width="9.140625" style="22"/>
  </cols>
  <sheetData>
    <row r="1" spans="1:38" x14ac:dyDescent="0.2">
      <c r="A1" s="6" t="s">
        <v>19</v>
      </c>
    </row>
    <row r="2" spans="1:38" x14ac:dyDescent="0.2">
      <c r="A2" s="6" t="s">
        <v>46</v>
      </c>
      <c r="N2" s="30"/>
    </row>
    <row r="3" spans="1:38" x14ac:dyDescent="0.2">
      <c r="A3" s="6" t="s">
        <v>1</v>
      </c>
      <c r="B3" s="11"/>
      <c r="C3" s="11"/>
      <c r="D3" s="11"/>
      <c r="E3" s="11"/>
      <c r="F3" s="11"/>
      <c r="G3" s="11"/>
      <c r="H3" s="11"/>
      <c r="I3" s="11"/>
      <c r="J3" s="11"/>
      <c r="K3" s="11"/>
      <c r="L3" s="11"/>
      <c r="M3" s="11"/>
      <c r="N3" s="12"/>
      <c r="O3" s="5"/>
    </row>
    <row r="4" spans="1:38" x14ac:dyDescent="0.2">
      <c r="A4" s="6" t="s">
        <v>49</v>
      </c>
      <c r="B4" s="11"/>
      <c r="C4" s="11"/>
      <c r="D4" s="11"/>
      <c r="E4" s="11"/>
      <c r="F4" s="11"/>
      <c r="G4" s="11"/>
      <c r="H4" s="11"/>
      <c r="I4" s="11"/>
      <c r="J4" s="11"/>
      <c r="K4" s="11"/>
      <c r="L4" s="11"/>
      <c r="M4" s="11"/>
      <c r="N4" s="12"/>
      <c r="O4" s="5"/>
    </row>
    <row r="5" spans="1:38" s="31" customFormat="1" x14ac:dyDescent="0.2">
      <c r="B5" s="1"/>
      <c r="C5" s="1"/>
      <c r="D5" s="1"/>
      <c r="E5" s="1"/>
      <c r="F5" s="1"/>
      <c r="G5" s="1"/>
      <c r="H5" s="1"/>
      <c r="I5" s="1"/>
      <c r="J5" s="1"/>
      <c r="K5" s="1"/>
      <c r="L5" s="1"/>
      <c r="M5" s="1"/>
      <c r="N5" s="1" t="s">
        <v>28</v>
      </c>
      <c r="P5" s="5"/>
    </row>
    <row r="6" spans="1:38" s="32" customFormat="1" x14ac:dyDescent="0.2">
      <c r="B6" s="2">
        <v>44501</v>
      </c>
      <c r="C6" s="2">
        <f>+B6+31</f>
        <v>44532</v>
      </c>
      <c r="D6" s="2">
        <f t="shared" ref="D6:M6" si="0">+C6+31</f>
        <v>44563</v>
      </c>
      <c r="E6" s="2">
        <f t="shared" si="0"/>
        <v>44594</v>
      </c>
      <c r="F6" s="2">
        <f t="shared" si="0"/>
        <v>44625</v>
      </c>
      <c r="G6" s="2">
        <f t="shared" si="0"/>
        <v>44656</v>
      </c>
      <c r="H6" s="2">
        <f t="shared" si="0"/>
        <v>44687</v>
      </c>
      <c r="I6" s="2">
        <f t="shared" si="0"/>
        <v>44718</v>
      </c>
      <c r="J6" s="2">
        <f t="shared" si="0"/>
        <v>44749</v>
      </c>
      <c r="K6" s="2">
        <f t="shared" si="0"/>
        <v>44780</v>
      </c>
      <c r="L6" s="2">
        <f t="shared" si="0"/>
        <v>44811</v>
      </c>
      <c r="M6" s="2">
        <f t="shared" si="0"/>
        <v>44842</v>
      </c>
      <c r="N6" s="2" t="s">
        <v>2</v>
      </c>
      <c r="O6" s="31"/>
      <c r="P6" s="43"/>
      <c r="Q6" s="33"/>
      <c r="R6" s="43"/>
      <c r="S6" s="43"/>
      <c r="T6" s="33"/>
      <c r="U6" s="33"/>
      <c r="V6" s="33"/>
      <c r="W6" s="33"/>
      <c r="X6" s="33"/>
      <c r="Y6" s="33"/>
      <c r="Z6" s="33"/>
      <c r="AA6" s="33"/>
      <c r="AB6" s="33"/>
      <c r="AC6" s="33"/>
      <c r="AD6" s="31"/>
      <c r="AE6" s="31"/>
      <c r="AF6" s="31"/>
      <c r="AG6" s="31"/>
      <c r="AH6" s="31"/>
      <c r="AI6" s="31"/>
      <c r="AJ6" s="31"/>
      <c r="AK6" s="31"/>
      <c r="AL6" s="31"/>
    </row>
    <row r="7" spans="1:38" s="31" customFormat="1" x14ac:dyDescent="0.2">
      <c r="B7" s="3"/>
      <c r="C7" s="3"/>
      <c r="D7" s="3"/>
      <c r="E7" s="3"/>
      <c r="F7" s="3"/>
      <c r="G7" s="3"/>
      <c r="H7" s="3"/>
      <c r="I7" s="3"/>
      <c r="J7" s="3"/>
      <c r="K7" s="23"/>
      <c r="L7" s="23"/>
      <c r="M7" s="23"/>
      <c r="N7" s="3"/>
      <c r="P7" s="43"/>
      <c r="Q7" s="33"/>
      <c r="R7" s="43"/>
      <c r="S7" s="43"/>
      <c r="T7" s="33"/>
      <c r="U7" s="33"/>
      <c r="V7" s="33"/>
      <c r="W7" s="33"/>
      <c r="X7" s="33"/>
      <c r="Y7" s="33"/>
      <c r="Z7" s="33"/>
      <c r="AA7" s="33"/>
      <c r="AB7" s="33"/>
      <c r="AC7" s="33"/>
    </row>
    <row r="8" spans="1:38" s="31" customFormat="1" x14ac:dyDescent="0.2">
      <c r="A8" s="24" t="s">
        <v>3</v>
      </c>
      <c r="B8" s="4"/>
      <c r="C8" s="4"/>
      <c r="D8" s="4"/>
      <c r="E8" s="4"/>
      <c r="F8" s="4"/>
      <c r="G8" s="4"/>
      <c r="H8" s="4"/>
      <c r="I8" s="4"/>
      <c r="J8" s="4"/>
      <c r="K8" s="4"/>
      <c r="L8" s="4"/>
      <c r="M8" s="4"/>
      <c r="N8" s="34"/>
      <c r="P8" s="5"/>
    </row>
    <row r="9" spans="1:38" s="31" customFormat="1" x14ac:dyDescent="0.2">
      <c r="B9" s="4"/>
      <c r="C9" s="4"/>
      <c r="D9" s="4"/>
      <c r="E9" s="4"/>
      <c r="F9" s="4"/>
      <c r="G9" s="4"/>
      <c r="H9" s="4"/>
      <c r="I9" s="4"/>
      <c r="J9" s="4"/>
      <c r="K9" s="4"/>
      <c r="L9" s="4"/>
      <c r="M9" s="4"/>
      <c r="N9" s="34"/>
      <c r="P9" s="5"/>
    </row>
    <row r="10" spans="1:38" s="31" customFormat="1" x14ac:dyDescent="0.2">
      <c r="A10" s="25" t="s">
        <v>57</v>
      </c>
      <c r="B10" s="4"/>
      <c r="C10" s="4"/>
      <c r="D10" s="4"/>
      <c r="E10" s="4"/>
      <c r="F10" s="4"/>
      <c r="G10" s="4"/>
      <c r="H10" s="4"/>
      <c r="I10" s="4"/>
      <c r="J10" s="4"/>
      <c r="K10" s="4"/>
      <c r="L10" s="4"/>
      <c r="M10" s="4"/>
      <c r="N10" s="4"/>
      <c r="O10" s="4"/>
      <c r="P10" s="5"/>
    </row>
    <row r="11" spans="1:38" x14ac:dyDescent="0.2">
      <c r="A11" s="22" t="s">
        <v>52</v>
      </c>
      <c r="B11" s="67">
        <f>+'[2]Single Fam Comm Details'!C8</f>
        <v>1165.2499999999998</v>
      </c>
      <c r="C11" s="67">
        <f>+'[2]Single Fam Comm Details'!D8</f>
        <v>1021.46</v>
      </c>
      <c r="D11" s="67">
        <f>+'[2]Single Fam Comm Details'!E8</f>
        <v>1348.73</v>
      </c>
      <c r="E11" s="67">
        <f>+'[2]Single Fam Comm Details'!F8</f>
        <v>939.58</v>
      </c>
      <c r="F11" s="67">
        <f>+'[2]Single Fam Comm Details'!G8</f>
        <v>1075.6599999999999</v>
      </c>
      <c r="G11" s="67">
        <f>+'[2]Single Fam Comm Details'!H8</f>
        <v>1078.31</v>
      </c>
      <c r="H11" s="67">
        <f>+'[2]Single Fam Comm Details'!I8</f>
        <v>1076.76</v>
      </c>
      <c r="I11" s="67">
        <f>+'[2]Single Fam Comm Details'!J8</f>
        <v>1020.99</v>
      </c>
      <c r="J11" s="67">
        <f>+'[2]Single Fam Comm Details'!K8</f>
        <v>1018.4200000000001</v>
      </c>
      <c r="K11" s="67">
        <f>+'[2]Single Fam Comm Details'!L8</f>
        <v>1026.73</v>
      </c>
      <c r="L11" s="67">
        <f>+'[2]Single Fam Comm Details'!M8</f>
        <v>983.25000000000011</v>
      </c>
      <c r="M11" s="67">
        <f>+'[2]Single Fam Comm Details'!N8</f>
        <v>918.85</v>
      </c>
      <c r="N11" s="8">
        <f>SUM(B11:M11)</f>
        <v>12673.99</v>
      </c>
      <c r="P11" s="5"/>
      <c r="R11" s="44"/>
      <c r="S11" s="44"/>
      <c r="T11" s="44"/>
      <c r="U11" s="44"/>
      <c r="V11" s="44"/>
      <c r="W11" s="44"/>
      <c r="X11" s="44"/>
      <c r="Y11" s="44"/>
      <c r="Z11" s="44"/>
    </row>
    <row r="12" spans="1:38" x14ac:dyDescent="0.2">
      <c r="A12" s="22" t="s">
        <v>6</v>
      </c>
      <c r="B12" s="67">
        <f>+'[2]Single Fam Comm Details'!C9</f>
        <v>116.18</v>
      </c>
      <c r="C12" s="67">
        <f>+'[2]Single Fam Comm Details'!D9</f>
        <v>82.55</v>
      </c>
      <c r="D12" s="67">
        <f>+'[2]Single Fam Comm Details'!E9</f>
        <v>161.41</v>
      </c>
      <c r="E12" s="67">
        <f>+'[2]Single Fam Comm Details'!F9</f>
        <v>110.59</v>
      </c>
      <c r="F12" s="67">
        <f>+'[2]Single Fam Comm Details'!G9</f>
        <v>140.21</v>
      </c>
      <c r="G12" s="67">
        <f>+'[2]Single Fam Comm Details'!H9</f>
        <v>106.19</v>
      </c>
      <c r="H12" s="67">
        <f>+'[2]Single Fam Comm Details'!I9</f>
        <v>119.85</v>
      </c>
      <c r="I12" s="67">
        <f>+'[2]Single Fam Comm Details'!J9</f>
        <v>140.29</v>
      </c>
      <c r="J12" s="67">
        <f>+'[2]Single Fam Comm Details'!K9</f>
        <v>110.31</v>
      </c>
      <c r="K12" s="67">
        <f>+'[2]Single Fam Comm Details'!L9</f>
        <v>122.81</v>
      </c>
      <c r="L12" s="67">
        <f>+'[2]Single Fam Comm Details'!M9</f>
        <v>114.34</v>
      </c>
      <c r="M12" s="67">
        <f>+'[2]Single Fam Comm Details'!N9</f>
        <v>116.17</v>
      </c>
      <c r="N12" s="8">
        <f>SUM(B12:M12)</f>
        <v>1440.9</v>
      </c>
      <c r="P12" s="5"/>
      <c r="R12" s="44"/>
      <c r="S12" s="44"/>
      <c r="T12" s="44"/>
      <c r="U12" s="44"/>
      <c r="V12" s="44"/>
      <c r="W12" s="44"/>
      <c r="X12" s="44"/>
      <c r="Y12" s="44"/>
      <c r="Z12" s="44"/>
    </row>
    <row r="13" spans="1:38" x14ac:dyDescent="0.2">
      <c r="B13" s="16"/>
      <c r="C13" s="16"/>
      <c r="D13" s="16"/>
      <c r="E13" s="16"/>
      <c r="F13" s="16"/>
      <c r="G13" s="16"/>
      <c r="H13" s="16"/>
      <c r="I13" s="16"/>
      <c r="J13" s="16"/>
      <c r="K13" s="16"/>
      <c r="L13" s="16"/>
      <c r="M13" s="16"/>
      <c r="N13" s="8"/>
      <c r="P13" s="5"/>
    </row>
    <row r="14" spans="1:38" s="6" customFormat="1" x14ac:dyDescent="0.2">
      <c r="A14" s="6" t="s">
        <v>7</v>
      </c>
      <c r="B14" s="41">
        <f>SUM(B11:B12)</f>
        <v>1281.4299999999998</v>
      </c>
      <c r="C14" s="41">
        <f>SUM(C11:C12)</f>
        <v>1104.01</v>
      </c>
      <c r="D14" s="41">
        <f t="shared" ref="D14:M14" si="1">SUM(D11:D12)</f>
        <v>1510.14</v>
      </c>
      <c r="E14" s="41">
        <f t="shared" si="1"/>
        <v>1050.17</v>
      </c>
      <c r="F14" s="41">
        <f t="shared" si="1"/>
        <v>1215.8699999999999</v>
      </c>
      <c r="G14" s="41">
        <f t="shared" si="1"/>
        <v>1184.5</v>
      </c>
      <c r="H14" s="41">
        <f t="shared" si="1"/>
        <v>1196.6099999999999</v>
      </c>
      <c r="I14" s="41">
        <f t="shared" si="1"/>
        <v>1161.28</v>
      </c>
      <c r="J14" s="41">
        <f t="shared" si="1"/>
        <v>1128.73</v>
      </c>
      <c r="K14" s="41">
        <f t="shared" si="1"/>
        <v>1149.54</v>
      </c>
      <c r="L14" s="41">
        <f t="shared" si="1"/>
        <v>1097.5900000000001</v>
      </c>
      <c r="M14" s="41">
        <f t="shared" si="1"/>
        <v>1035.02</v>
      </c>
      <c r="N14" s="41">
        <f>SUM(N11:N13)</f>
        <v>14114.89</v>
      </c>
      <c r="P14" s="45">
        <f>+'[2]Pacific Comm Credit'!$N$11-N14</f>
        <v>0</v>
      </c>
      <c r="R14" s="45"/>
      <c r="S14" s="45"/>
      <c r="T14" s="45"/>
      <c r="U14" s="45"/>
      <c r="V14" s="45"/>
      <c r="W14" s="45"/>
      <c r="X14" s="45"/>
      <c r="Y14" s="45"/>
      <c r="Z14" s="45"/>
    </row>
    <row r="15" spans="1:38" x14ac:dyDescent="0.2">
      <c r="P15" s="5"/>
    </row>
    <row r="16" spans="1:38" x14ac:dyDescent="0.2">
      <c r="A16" s="26" t="s">
        <v>20</v>
      </c>
      <c r="P16" s="5"/>
    </row>
    <row r="17" spans="1:42" x14ac:dyDescent="0.2">
      <c r="A17" s="22" t="s">
        <v>58</v>
      </c>
      <c r="B17" s="66">
        <f>+'[2]Pacific Comm Credit'!B15</f>
        <v>-1.0219340000000017</v>
      </c>
      <c r="C17" s="66">
        <f>+'[2]Pacific Comm Credit'!C15</f>
        <v>-27.709969000000001</v>
      </c>
      <c r="D17" s="66">
        <f>+'[2]Pacific Comm Credit'!D15</f>
        <v>-40.545233999999986</v>
      </c>
      <c r="E17" s="66">
        <f>+'[2]Pacific Comm Credit'!E15</f>
        <v>-41.55945000000002</v>
      </c>
      <c r="F17" s="66">
        <f>+'[2]Pacific Comm Credit'!F15</f>
        <v>-29.144149999999996</v>
      </c>
      <c r="G17" s="66">
        <f>+'[2]Pacific Comm Credit'!G15</f>
        <v>-25.152250000000006</v>
      </c>
      <c r="H17" s="66">
        <f>+'[2]Pacific Comm Credit'!H15</f>
        <v>-28.644450000000013</v>
      </c>
      <c r="I17" s="66">
        <f>+'[2]Pacific Comm Credit'!I15</f>
        <v>-35.214650000000013</v>
      </c>
      <c r="J17" s="66">
        <f>+'[2]Pacific Comm Credit'!J15</f>
        <v>-49.875250000000001</v>
      </c>
      <c r="K17" s="66">
        <f>+'[2]Pacific Comm Credit'!K15</f>
        <v>-65.193150000000003</v>
      </c>
      <c r="L17" s="66">
        <f>+'[2]Pacific Comm Credit'!L15</f>
        <v>-115.70665000000002</v>
      </c>
      <c r="M17" s="66">
        <f>+'[2]Pacific Comm Credit'!M15</f>
        <v>-144.03355000000002</v>
      </c>
      <c r="N17" s="7"/>
      <c r="P17" s="5"/>
      <c r="R17" s="46"/>
      <c r="S17" s="46"/>
      <c r="T17" s="46"/>
      <c r="U17" s="46"/>
      <c r="V17" s="46"/>
      <c r="W17" s="46"/>
      <c r="X17" s="46"/>
      <c r="Y17" s="46"/>
      <c r="Z17" s="46"/>
    </row>
    <row r="18" spans="1:42" x14ac:dyDescent="0.2">
      <c r="A18" s="22" t="s">
        <v>50</v>
      </c>
      <c r="B18" s="66">
        <f>+'[2]Pacific Comm Credit'!B16</f>
        <v>-33</v>
      </c>
      <c r="C18" s="66">
        <f>+'[2]Pacific Comm Credit'!C16</f>
        <v>-33</v>
      </c>
      <c r="D18" s="66">
        <f>+'[2]Pacific Comm Credit'!D16</f>
        <v>-33</v>
      </c>
      <c r="E18" s="66">
        <f>+'[2]Pacific Comm Credit'!E16</f>
        <v>-33</v>
      </c>
      <c r="F18" s="66">
        <f>+'[2]Pacific Comm Credit'!F16</f>
        <v>-33</v>
      </c>
      <c r="G18" s="66">
        <f>+'[2]Pacific Comm Credit'!G16</f>
        <v>-33</v>
      </c>
      <c r="H18" s="66">
        <f>+'[2]Pacific Comm Credit'!H16</f>
        <v>-33</v>
      </c>
      <c r="I18" s="66">
        <f>+'[2]Pacific Comm Credit'!I16</f>
        <v>-33</v>
      </c>
      <c r="J18" s="66">
        <f>+'[2]Pacific Comm Credit'!J16</f>
        <v>-33</v>
      </c>
      <c r="K18" s="66">
        <f>+'[2]Pacific Comm Credit'!K16</f>
        <v>-33</v>
      </c>
      <c r="L18" s="66">
        <f>+'[2]Pacific Comm Credit'!L16</f>
        <v>-33</v>
      </c>
      <c r="M18" s="66">
        <f>+'[2]Pacific Comm Credit'!M16</f>
        <v>-33</v>
      </c>
      <c r="N18" s="8"/>
      <c r="P18" s="5"/>
      <c r="R18" s="5"/>
      <c r="S18" s="5"/>
      <c r="T18" s="5"/>
      <c r="U18" s="5"/>
      <c r="V18" s="5"/>
      <c r="W18" s="5"/>
      <c r="X18" s="5"/>
      <c r="Y18" s="5"/>
      <c r="Z18" s="5"/>
    </row>
    <row r="19" spans="1:42" x14ac:dyDescent="0.2">
      <c r="P19" s="5"/>
    </row>
    <row r="20" spans="1:42" x14ac:dyDescent="0.2">
      <c r="A20" s="26" t="s">
        <v>51</v>
      </c>
      <c r="P20" s="5"/>
    </row>
    <row r="21" spans="1:42" x14ac:dyDescent="0.2">
      <c r="A21" s="22" t="s">
        <v>52</v>
      </c>
      <c r="B21" s="36">
        <f t="shared" ref="B21:M21" si="2">+B11*B17</f>
        <v>-1190.8085935000017</v>
      </c>
      <c r="C21" s="36">
        <f t="shared" si="2"/>
        <v>-28304.624934740001</v>
      </c>
      <c r="D21" s="36">
        <f t="shared" si="2"/>
        <v>-54684.573452819983</v>
      </c>
      <c r="E21" s="36">
        <f t="shared" si="2"/>
        <v>-39048.428031000018</v>
      </c>
      <c r="F21" s="36">
        <f t="shared" si="2"/>
        <v>-31349.196388999993</v>
      </c>
      <c r="G21" s="36">
        <f t="shared" si="2"/>
        <v>-27121.922697500006</v>
      </c>
      <c r="H21" s="36">
        <f t="shared" si="2"/>
        <v>-30843.197982000012</v>
      </c>
      <c r="I21" s="36">
        <f t="shared" si="2"/>
        <v>-35953.805503500014</v>
      </c>
      <c r="J21" s="36">
        <f t="shared" si="2"/>
        <v>-50793.952105000004</v>
      </c>
      <c r="K21" s="36">
        <f t="shared" si="2"/>
        <v>-66935.762899499998</v>
      </c>
      <c r="L21" s="36">
        <f t="shared" si="2"/>
        <v>-113768.56361250003</v>
      </c>
      <c r="M21" s="36">
        <f t="shared" si="2"/>
        <v>-132345.22741750002</v>
      </c>
      <c r="N21" s="9">
        <f>SUM(B21:M21)</f>
        <v>-612340.06361856009</v>
      </c>
      <c r="P21" s="8"/>
      <c r="R21" s="8"/>
      <c r="S21" s="8"/>
      <c r="T21" s="8"/>
      <c r="U21" s="8"/>
      <c r="V21" s="8"/>
      <c r="W21" s="8"/>
      <c r="X21" s="8"/>
      <c r="Y21" s="8"/>
      <c r="Z21" s="8"/>
    </row>
    <row r="22" spans="1:42" x14ac:dyDescent="0.2">
      <c r="A22" s="22" t="s">
        <v>6</v>
      </c>
      <c r="B22" s="36">
        <f t="shared" ref="B22:M22" si="3">+B18*B12</f>
        <v>-3833.94</v>
      </c>
      <c r="C22" s="36">
        <f t="shared" si="3"/>
        <v>-2724.15</v>
      </c>
      <c r="D22" s="36">
        <f t="shared" si="3"/>
        <v>-5326.53</v>
      </c>
      <c r="E22" s="36">
        <f t="shared" si="3"/>
        <v>-3649.4700000000003</v>
      </c>
      <c r="F22" s="36">
        <f t="shared" si="3"/>
        <v>-4626.93</v>
      </c>
      <c r="G22" s="36">
        <f t="shared" si="3"/>
        <v>-3504.27</v>
      </c>
      <c r="H22" s="36">
        <f t="shared" si="3"/>
        <v>-3955.0499999999997</v>
      </c>
      <c r="I22" s="36">
        <f t="shared" si="3"/>
        <v>-4629.57</v>
      </c>
      <c r="J22" s="36">
        <f t="shared" si="3"/>
        <v>-3640.23</v>
      </c>
      <c r="K22" s="36">
        <f t="shared" si="3"/>
        <v>-4052.73</v>
      </c>
      <c r="L22" s="36">
        <f t="shared" si="3"/>
        <v>-3773.2200000000003</v>
      </c>
      <c r="M22" s="36">
        <f t="shared" si="3"/>
        <v>-3833.61</v>
      </c>
      <c r="N22" s="9">
        <f>SUM(B22:M22)</f>
        <v>-47549.700000000004</v>
      </c>
      <c r="P22" s="8"/>
      <c r="Q22" s="44"/>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6" t="s">
        <v>9</v>
      </c>
      <c r="B24" s="37">
        <f>SUM(B21:B22)</f>
        <v>-5024.7485935000022</v>
      </c>
      <c r="C24" s="37">
        <f>SUM(C21:C22)</f>
        <v>-31028.774934740002</v>
      </c>
      <c r="D24" s="37">
        <f t="shared" ref="D24:M24" si="4">SUM(D21:D22)</f>
        <v>-60011.103452819982</v>
      </c>
      <c r="E24" s="37">
        <f t="shared" si="4"/>
        <v>-42697.898031000019</v>
      </c>
      <c r="F24" s="37">
        <f t="shared" si="4"/>
        <v>-35976.126388999997</v>
      </c>
      <c r="G24" s="37">
        <f t="shared" si="4"/>
        <v>-30626.192697500006</v>
      </c>
      <c r="H24" s="37">
        <f t="shared" si="4"/>
        <v>-34798.247982000015</v>
      </c>
      <c r="I24" s="37">
        <f t="shared" si="4"/>
        <v>-40583.375503500014</v>
      </c>
      <c r="J24" s="37">
        <f t="shared" si="4"/>
        <v>-54434.182105000007</v>
      </c>
      <c r="K24" s="37">
        <f t="shared" si="4"/>
        <v>-70988.492899499994</v>
      </c>
      <c r="L24" s="37">
        <f t="shared" si="4"/>
        <v>-117541.78361250003</v>
      </c>
      <c r="M24" s="37">
        <f t="shared" si="4"/>
        <v>-136178.83741750001</v>
      </c>
      <c r="N24" s="40">
        <f>SUM(N21:N23)</f>
        <v>-659889.76361856004</v>
      </c>
      <c r="P24" s="45">
        <f>+'[2]Pacific Comm Credit'!$N$21-N24</f>
        <v>0</v>
      </c>
      <c r="R24" s="20"/>
      <c r="S24" s="20"/>
      <c r="T24" s="20"/>
      <c r="U24" s="20"/>
      <c r="V24" s="20"/>
      <c r="W24" s="20"/>
      <c r="X24" s="20"/>
      <c r="Y24" s="20"/>
      <c r="Z24" s="20"/>
      <c r="AA24" s="47"/>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43</v>
      </c>
      <c r="B27" s="67">
        <f>+'[2]Pacific Comm Credit'!B23</f>
        <v>61918</v>
      </c>
      <c r="C27" s="67">
        <f>+'[2]Pacific Comm Credit'!C23</f>
        <v>62458</v>
      </c>
      <c r="D27" s="67">
        <f>+'[2]Pacific Comm Credit'!D23</f>
        <v>61982</v>
      </c>
      <c r="E27" s="67">
        <f>+'[2]Pacific Comm Credit'!E23</f>
        <v>62188</v>
      </c>
      <c r="F27" s="67">
        <f>+'[2]Pacific Comm Credit'!F23</f>
        <v>62442</v>
      </c>
      <c r="G27" s="67">
        <f>+'[2]Pacific Comm Credit'!G23</f>
        <v>62775</v>
      </c>
      <c r="H27" s="67">
        <f>+'[2]Pacific Comm Credit'!H23</f>
        <v>62685</v>
      </c>
      <c r="I27" s="67">
        <f>+'[2]Pacific Comm Credit'!I23</f>
        <v>63110</v>
      </c>
      <c r="J27" s="67">
        <f>+'[2]Pacific Comm Credit'!J23</f>
        <v>62808</v>
      </c>
      <c r="K27" s="67">
        <f>+'[2]Pacific Comm Credit'!K23</f>
        <v>63395</v>
      </c>
      <c r="L27" s="67">
        <f>+'[2]Pacific Comm Credit'!L23</f>
        <v>63266</v>
      </c>
      <c r="M27" s="67">
        <f>+'[2]Pacific Comm Credit'!M23</f>
        <v>63302</v>
      </c>
      <c r="N27" s="19">
        <f>+SUM(B27:M27)</f>
        <v>752329</v>
      </c>
      <c r="P27" s="94">
        <f>+'[2]Pacific Comm Credit'!$N$23-N27</f>
        <v>0</v>
      </c>
      <c r="Q27" s="48"/>
      <c r="R27" s="48"/>
      <c r="S27" s="48"/>
      <c r="T27" s="48"/>
      <c r="U27" s="48"/>
      <c r="V27" s="48"/>
      <c r="W27" s="48"/>
      <c r="X27" s="48"/>
      <c r="Y27" s="48"/>
      <c r="Z27" s="48"/>
      <c r="AA27" s="48"/>
      <c r="AB27" s="48"/>
      <c r="AC27" s="48"/>
      <c r="AD27" s="48"/>
      <c r="AE27" s="48"/>
      <c r="AF27" s="48"/>
      <c r="AG27" s="48"/>
      <c r="AH27" s="48"/>
      <c r="AI27" s="48"/>
      <c r="AJ27" s="48"/>
      <c r="AK27" s="48"/>
      <c r="AL27" s="48"/>
      <c r="AM27" s="12"/>
      <c r="AN27" s="12"/>
      <c r="AO27" s="12"/>
      <c r="AP27" s="12"/>
    </row>
    <row r="28" spans="1:42" s="11" customFormat="1" x14ac:dyDescent="0.2">
      <c r="A28" s="10"/>
      <c r="N28" s="8"/>
      <c r="O28" s="8"/>
      <c r="P28" s="45"/>
      <c r="Q28" s="5"/>
      <c r="R28" s="48"/>
      <c r="S28" s="48"/>
      <c r="T28" s="48"/>
      <c r="U28" s="48"/>
      <c r="V28" s="48"/>
      <c r="W28" s="48"/>
      <c r="X28" s="48"/>
      <c r="Y28" s="48"/>
      <c r="Z28" s="48"/>
      <c r="AA28" s="5"/>
      <c r="AB28" s="5"/>
      <c r="AC28" s="5"/>
      <c r="AD28" s="5"/>
      <c r="AE28" s="5"/>
      <c r="AF28" s="5"/>
      <c r="AG28" s="5"/>
      <c r="AH28" s="5"/>
      <c r="AI28" s="5"/>
      <c r="AJ28" s="5"/>
      <c r="AK28" s="5"/>
      <c r="AL28" s="5"/>
    </row>
    <row r="29" spans="1:42" s="16" customFormat="1" x14ac:dyDescent="0.2">
      <c r="A29" s="10"/>
      <c r="N29" s="15"/>
      <c r="O29" s="8"/>
      <c r="P29" s="45"/>
      <c r="Q29" s="8"/>
      <c r="R29" s="8"/>
      <c r="S29" s="8"/>
      <c r="T29" s="8"/>
      <c r="U29" s="8"/>
      <c r="V29" s="8"/>
      <c r="W29" s="8"/>
      <c r="X29" s="8"/>
      <c r="Y29" s="8"/>
      <c r="Z29" s="8"/>
      <c r="AA29" s="8"/>
      <c r="AB29" s="8"/>
      <c r="AC29" s="8"/>
      <c r="AD29" s="8"/>
      <c r="AE29" s="8"/>
      <c r="AF29" s="8"/>
      <c r="AG29" s="8"/>
      <c r="AH29" s="8"/>
      <c r="AI29" s="8"/>
      <c r="AJ29" s="8"/>
      <c r="AK29" s="8"/>
      <c r="AL29" s="8"/>
    </row>
    <row r="30" spans="1:42" s="16" customFormat="1" x14ac:dyDescent="0.2">
      <c r="A30" s="10" t="s">
        <v>53</v>
      </c>
      <c r="B30" s="27">
        <f>+IFERROR(B24/B27,0)</f>
        <v>-8.1151661770406058E-2</v>
      </c>
      <c r="C30" s="27">
        <f t="shared" ref="C30:M30" si="5">+IFERROR(C24/C27,0)</f>
        <v>-0.49679424468827055</v>
      </c>
      <c r="D30" s="27">
        <f t="shared" si="5"/>
        <v>-0.96820211436901005</v>
      </c>
      <c r="E30" s="27">
        <f t="shared" si="5"/>
        <v>-0.68659384497009102</v>
      </c>
      <c r="F30" s="27">
        <f t="shared" si="5"/>
        <v>-0.57615269192210372</v>
      </c>
      <c r="G30" s="27">
        <f t="shared" si="5"/>
        <v>-0.48787244440461974</v>
      </c>
      <c r="H30" s="27">
        <f t="shared" si="5"/>
        <v>-0.55512878650394859</v>
      </c>
      <c r="I30" s="27">
        <f t="shared" si="5"/>
        <v>-0.64305776427666006</v>
      </c>
      <c r="J30" s="27">
        <f t="shared" si="5"/>
        <v>-0.86667593467392701</v>
      </c>
      <c r="K30" s="27">
        <f t="shared" si="5"/>
        <v>-1.1197806278018769</v>
      </c>
      <c r="L30" s="27">
        <f t="shared" si="5"/>
        <v>-1.8578981382180006</v>
      </c>
      <c r="M30" s="27">
        <f t="shared" si="5"/>
        <v>-2.1512564755852899</v>
      </c>
      <c r="N30" s="17"/>
      <c r="O30" s="8"/>
      <c r="P30" s="5"/>
      <c r="Q30" s="8"/>
      <c r="R30" s="5"/>
      <c r="S30" s="5"/>
      <c r="T30" s="5"/>
      <c r="U30" s="5"/>
      <c r="V30" s="5"/>
      <c r="W30" s="5"/>
      <c r="X30" s="5"/>
      <c r="Y30" s="5"/>
      <c r="Z30" s="5"/>
      <c r="AA30" s="50"/>
      <c r="AB30" s="8"/>
      <c r="AC30" s="8"/>
      <c r="AD30" s="8"/>
      <c r="AE30" s="8"/>
      <c r="AF30" s="8"/>
      <c r="AG30" s="8"/>
      <c r="AH30" s="8"/>
      <c r="AI30" s="8"/>
      <c r="AJ30" s="8"/>
      <c r="AK30" s="8"/>
      <c r="AL30" s="8"/>
    </row>
    <row r="31" spans="1:42" s="16" customFormat="1" x14ac:dyDescent="0.2">
      <c r="A31" s="10" t="s">
        <v>54</v>
      </c>
      <c r="B31" s="93">
        <f>+'Pacific CPA 1.1.22'!$M31</f>
        <v>-1.91</v>
      </c>
      <c r="C31" s="93">
        <f>+'Pacific CPA 1.1.22'!$M31</f>
        <v>-1.91</v>
      </c>
      <c r="D31" s="93">
        <f>+'Pacific CPA 1.1.22'!$N$36</f>
        <v>-0.69</v>
      </c>
      <c r="E31" s="93">
        <f>+'Pacific CPA 1.1.22'!$N$36</f>
        <v>-0.69</v>
      </c>
      <c r="F31" s="93">
        <f>+'Pacific CPA 1.1.22'!$N$36</f>
        <v>-0.69</v>
      </c>
      <c r="G31" s="93">
        <f>+'Pacific CPA 1.1.22'!$N$36</f>
        <v>-0.69</v>
      </c>
      <c r="H31" s="93">
        <f>+'Pacific CPA 1.1.22'!$N$36</f>
        <v>-0.69</v>
      </c>
      <c r="I31" s="93">
        <f>+'Pacific CPA 1.1.22'!$N$36</f>
        <v>-0.69</v>
      </c>
      <c r="J31" s="93">
        <f>+'Pacific CPA 1.1.22'!$N$36</f>
        <v>-0.69</v>
      </c>
      <c r="K31" s="93">
        <f>+'Pacific CPA 1.1.22'!$N$36</f>
        <v>-0.69</v>
      </c>
      <c r="L31" s="93">
        <f>+'Pacific CPA 1.1.22'!$N$36</f>
        <v>-0.69</v>
      </c>
      <c r="M31" s="93">
        <f>+'Pacific CPA 1.1.22'!$N$36</f>
        <v>-0.69</v>
      </c>
      <c r="N31" s="17"/>
      <c r="O31" s="8"/>
      <c r="P31" s="5"/>
      <c r="Q31" s="8"/>
      <c r="R31" s="5"/>
      <c r="S31" s="5"/>
      <c r="T31" s="5"/>
      <c r="U31" s="5"/>
      <c r="V31" s="5"/>
      <c r="W31" s="5"/>
      <c r="X31" s="5"/>
      <c r="Y31" s="5"/>
      <c r="Z31" s="5"/>
      <c r="AA31" s="8"/>
      <c r="AB31" s="8"/>
      <c r="AC31" s="8"/>
      <c r="AD31" s="8"/>
      <c r="AE31" s="8"/>
      <c r="AF31" s="8"/>
      <c r="AG31" s="8"/>
      <c r="AH31" s="8"/>
      <c r="AI31" s="8"/>
      <c r="AJ31" s="8"/>
      <c r="AK31" s="8"/>
      <c r="AL31" s="8"/>
    </row>
    <row r="32" spans="1:42" s="16" customFormat="1" x14ac:dyDescent="0.2">
      <c r="A32" s="10" t="s">
        <v>56</v>
      </c>
      <c r="B32" s="36">
        <f>+B27*B31</f>
        <v>-118263.37999999999</v>
      </c>
      <c r="C32" s="36">
        <f t="shared" ref="C32:M32" si="6">+C27*C31</f>
        <v>-119294.78</v>
      </c>
      <c r="D32" s="36">
        <f t="shared" si="6"/>
        <v>-42767.579999999994</v>
      </c>
      <c r="E32" s="36">
        <f t="shared" si="6"/>
        <v>-42909.719999999994</v>
      </c>
      <c r="F32" s="36">
        <f t="shared" si="6"/>
        <v>-43084.979999999996</v>
      </c>
      <c r="G32" s="36">
        <f t="shared" si="6"/>
        <v>-43314.75</v>
      </c>
      <c r="H32" s="36">
        <f t="shared" si="6"/>
        <v>-43252.649999999994</v>
      </c>
      <c r="I32" s="36">
        <f t="shared" si="6"/>
        <v>-43545.899999999994</v>
      </c>
      <c r="J32" s="36">
        <f t="shared" si="6"/>
        <v>-43337.52</v>
      </c>
      <c r="K32" s="36">
        <f t="shared" si="6"/>
        <v>-43742.549999999996</v>
      </c>
      <c r="L32" s="36">
        <f t="shared" si="6"/>
        <v>-43653.539999999994</v>
      </c>
      <c r="M32" s="36">
        <f t="shared" si="6"/>
        <v>-43678.38</v>
      </c>
      <c r="N32" s="17"/>
      <c r="O32" s="8"/>
      <c r="P32" s="5"/>
      <c r="Q32" s="8"/>
      <c r="R32" s="5"/>
      <c r="S32" s="5"/>
      <c r="T32" s="5"/>
      <c r="U32" s="5"/>
      <c r="V32" s="5"/>
      <c r="W32" s="5"/>
      <c r="X32" s="5"/>
      <c r="Y32" s="5"/>
      <c r="Z32" s="5"/>
      <c r="AA32" s="8"/>
      <c r="AB32" s="8"/>
      <c r="AC32" s="8"/>
      <c r="AD32" s="8"/>
      <c r="AE32" s="8"/>
      <c r="AF32" s="8"/>
      <c r="AG32" s="8"/>
      <c r="AH32" s="8"/>
      <c r="AI32" s="8"/>
      <c r="AJ32" s="8"/>
      <c r="AK32" s="8"/>
      <c r="AL32" s="8"/>
    </row>
    <row r="33" spans="1:38" s="19" customFormat="1" ht="13.5" thickBot="1" x14ac:dyDescent="0.25">
      <c r="A33" s="13" t="s">
        <v>55</v>
      </c>
      <c r="B33" s="92">
        <f>+B32-B24</f>
        <v>-113238.63140649999</v>
      </c>
      <c r="C33" s="92">
        <f t="shared" ref="C33:M33" si="7">+C32-C24</f>
        <v>-88266.005065259989</v>
      </c>
      <c r="D33" s="92">
        <f t="shared" si="7"/>
        <v>17243.523452819987</v>
      </c>
      <c r="E33" s="92">
        <f t="shared" si="7"/>
        <v>-211.82196899997507</v>
      </c>
      <c r="F33" s="92">
        <f t="shared" si="7"/>
        <v>-7108.8536109999986</v>
      </c>
      <c r="G33" s="92">
        <f t="shared" si="7"/>
        <v>-12688.557302499994</v>
      </c>
      <c r="H33" s="92">
        <f t="shared" si="7"/>
        <v>-8454.4020179999789</v>
      </c>
      <c r="I33" s="92">
        <f t="shared" si="7"/>
        <v>-2962.5244964999802</v>
      </c>
      <c r="J33" s="92">
        <f t="shared" si="7"/>
        <v>11096.66210500001</v>
      </c>
      <c r="K33" s="92">
        <f t="shared" si="7"/>
        <v>27245.942899499998</v>
      </c>
      <c r="L33" s="92">
        <f t="shared" si="7"/>
        <v>73888.243612500039</v>
      </c>
      <c r="M33" s="92">
        <f t="shared" si="7"/>
        <v>92500.457417500002</v>
      </c>
      <c r="N33" s="92">
        <f>SUM(B33:M33)</f>
        <v>-10955.966381439925</v>
      </c>
      <c r="O33" s="7"/>
      <c r="P33" s="95">
        <f>+N33/12*9</f>
        <v>-8216.9747860799434</v>
      </c>
      <c r="Q33" s="7"/>
      <c r="R33" s="7"/>
      <c r="S33" s="7"/>
      <c r="T33" s="7"/>
      <c r="U33" s="7"/>
      <c r="V33" s="7"/>
      <c r="W33" s="7"/>
      <c r="X33" s="7"/>
      <c r="Y33" s="7"/>
      <c r="Z33" s="7"/>
      <c r="AA33" s="7"/>
      <c r="AB33" s="7"/>
      <c r="AC33" s="7"/>
      <c r="AD33" s="7"/>
      <c r="AE33" s="7"/>
      <c r="AF33" s="7"/>
      <c r="AG33" s="7"/>
      <c r="AH33" s="7"/>
      <c r="AI33" s="7"/>
      <c r="AJ33" s="7"/>
      <c r="AK33" s="7"/>
      <c r="AL33" s="7"/>
    </row>
    <row r="34" spans="1:38" s="16" customFormat="1" x14ac:dyDescent="0.2">
      <c r="A34" s="10"/>
      <c r="B34" s="11"/>
      <c r="C34" s="11"/>
      <c r="D34" s="11"/>
      <c r="E34" s="11"/>
      <c r="F34" s="11"/>
      <c r="G34" s="11"/>
      <c r="H34" s="11"/>
      <c r="I34" s="11"/>
      <c r="J34" s="11"/>
      <c r="K34" s="11"/>
      <c r="L34" s="11"/>
      <c r="M34" s="11"/>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1:38" x14ac:dyDescent="0.2">
      <c r="A35" s="16"/>
      <c r="B35" s="28"/>
      <c r="C35" s="28"/>
      <c r="D35" s="28"/>
      <c r="E35" s="28"/>
      <c r="F35" s="28"/>
      <c r="G35" s="28"/>
      <c r="H35" s="28"/>
      <c r="I35" s="28"/>
      <c r="J35" s="28"/>
      <c r="K35" s="28"/>
      <c r="L35" s="28"/>
      <c r="M35" s="21" t="s">
        <v>18</v>
      </c>
      <c r="N35" s="17">
        <f>ROUND(N33/N27,2)</f>
        <v>-0.01</v>
      </c>
      <c r="Q35" s="8"/>
      <c r="R35" s="44"/>
      <c r="X35" s="51"/>
      <c r="Y35" s="51"/>
      <c r="Z35" s="51"/>
      <c r="AA35" s="52"/>
    </row>
    <row r="36" spans="1:38" x14ac:dyDescent="0.2">
      <c r="A36" s="16"/>
      <c r="B36" s="89"/>
      <c r="C36" s="89"/>
      <c r="D36" s="89"/>
      <c r="E36" s="89"/>
      <c r="F36" s="89"/>
      <c r="G36" s="89"/>
      <c r="H36" s="89"/>
      <c r="I36" s="89"/>
      <c r="J36" s="89"/>
      <c r="K36" s="89"/>
      <c r="L36" s="21"/>
      <c r="M36" s="21" t="s">
        <v>59</v>
      </c>
      <c r="N36" s="81">
        <f>-ROUND(N24/N27,2)</f>
        <v>0.88</v>
      </c>
      <c r="X36" s="51"/>
      <c r="Y36" s="51"/>
      <c r="Z36" s="51"/>
      <c r="AA36" s="44"/>
    </row>
    <row r="37" spans="1:38" x14ac:dyDescent="0.2">
      <c r="A37" s="16"/>
      <c r="J37" s="21"/>
      <c r="K37" s="21"/>
      <c r="L37" s="21"/>
      <c r="M37" s="42" t="s">
        <v>44</v>
      </c>
      <c r="N37" s="18">
        <f>SUM(N35:N36)</f>
        <v>0.87</v>
      </c>
      <c r="X37" s="51"/>
      <c r="Y37" s="51"/>
      <c r="Z37" s="51"/>
      <c r="AA37" s="53"/>
    </row>
    <row r="38" spans="1:38" x14ac:dyDescent="0.2">
      <c r="A38" s="16"/>
      <c r="B38" s="84"/>
      <c r="C38" s="21"/>
      <c r="D38" s="21"/>
      <c r="E38" s="85"/>
      <c r="F38" s="21"/>
      <c r="G38" s="21"/>
      <c r="H38" s="21"/>
      <c r="I38" s="21"/>
      <c r="J38" s="21"/>
      <c r="K38" s="21"/>
      <c r="L38" s="21"/>
      <c r="M38" s="21"/>
      <c r="N38" s="18"/>
      <c r="X38" s="51"/>
      <c r="Y38" s="51"/>
      <c r="Z38" s="51"/>
      <c r="AA38" s="53"/>
    </row>
    <row r="39" spans="1:38" x14ac:dyDescent="0.2">
      <c r="A39" s="29"/>
      <c r="B39" s="39"/>
      <c r="C39" s="39"/>
      <c r="D39" s="39"/>
      <c r="E39" s="39"/>
      <c r="F39" s="39"/>
      <c r="G39" s="39"/>
      <c r="H39" s="39"/>
      <c r="I39" s="39"/>
      <c r="J39" s="21"/>
      <c r="K39" s="21"/>
      <c r="L39" s="21"/>
      <c r="M39" s="21" t="s">
        <v>45</v>
      </c>
      <c r="N39" s="88">
        <f>+'Pacific CPA 1.1.22'!N37</f>
        <v>-0.52</v>
      </c>
      <c r="Q39" s="8"/>
      <c r="R39" s="8"/>
      <c r="S39" s="55"/>
      <c r="X39" s="8"/>
      <c r="Y39" s="8"/>
      <c r="Z39" s="51"/>
    </row>
    <row r="40" spans="1:38" x14ac:dyDescent="0.2">
      <c r="A40" s="10"/>
      <c r="B40" s="21"/>
      <c r="C40" s="21"/>
      <c r="D40" s="21"/>
      <c r="E40" s="21"/>
      <c r="F40" s="21"/>
      <c r="G40" s="21"/>
      <c r="H40" s="21"/>
      <c r="I40" s="21"/>
      <c r="J40" s="21"/>
      <c r="K40" s="21"/>
      <c r="L40" s="21"/>
      <c r="M40" s="21" t="s">
        <v>15</v>
      </c>
      <c r="N40" s="17">
        <f>+N37-N39</f>
        <v>1.3900000000000001</v>
      </c>
      <c r="O40" s="56">
        <f>N40/N39</f>
        <v>-2.6730769230769234</v>
      </c>
      <c r="X40" s="8"/>
      <c r="Y40" s="8"/>
      <c r="Z40" s="51"/>
    </row>
    <row r="41" spans="1:38" x14ac:dyDescent="0.2">
      <c r="A41" s="10"/>
      <c r="B41" s="21"/>
      <c r="C41" s="21"/>
      <c r="D41" s="21"/>
      <c r="E41" s="21"/>
      <c r="F41" s="21"/>
      <c r="G41" s="21"/>
      <c r="H41" s="21"/>
      <c r="I41" s="21"/>
      <c r="J41" s="21"/>
      <c r="K41" s="21"/>
      <c r="L41" s="21"/>
      <c r="M41" s="21" t="s">
        <v>36</v>
      </c>
      <c r="N41" s="9">
        <f>N40*M27*12</f>
        <v>1055877.3600000001</v>
      </c>
      <c r="P41" s="44"/>
      <c r="R41" s="44"/>
      <c r="S41" s="44"/>
      <c r="T41" s="44"/>
      <c r="U41" s="44"/>
      <c r="V41" s="44"/>
      <c r="W41" s="44"/>
      <c r="X41" s="44"/>
      <c r="Y41" s="44"/>
      <c r="Z41" s="44"/>
    </row>
    <row r="42" spans="1:38" x14ac:dyDescent="0.2">
      <c r="A42" s="10"/>
      <c r="B42" s="21"/>
      <c r="C42" s="21"/>
      <c r="D42" s="21"/>
      <c r="E42" s="21"/>
      <c r="F42" s="21"/>
      <c r="G42" s="21"/>
      <c r="H42" s="21"/>
      <c r="I42" s="21"/>
      <c r="J42" s="21"/>
      <c r="K42" s="21"/>
      <c r="L42" s="21"/>
      <c r="M42" s="21"/>
      <c r="N42" s="8"/>
      <c r="P42" s="44"/>
      <c r="R42" s="44"/>
      <c r="S42" s="44"/>
      <c r="T42" s="44"/>
      <c r="U42" s="44"/>
      <c r="V42" s="44"/>
      <c r="W42" s="44"/>
      <c r="X42" s="44"/>
      <c r="Y42" s="44"/>
      <c r="Z42" s="44"/>
    </row>
    <row r="43" spans="1:38" x14ac:dyDescent="0.2">
      <c r="A43" s="10"/>
      <c r="B43" s="11"/>
      <c r="C43" s="11"/>
      <c r="D43" s="11"/>
      <c r="E43" s="11"/>
      <c r="F43" s="11"/>
      <c r="G43" s="11"/>
      <c r="H43" s="11"/>
      <c r="I43" s="11"/>
      <c r="J43" s="11"/>
      <c r="K43" s="11"/>
      <c r="L43" s="11"/>
      <c r="M43" s="11"/>
      <c r="N43" s="8"/>
    </row>
    <row r="44" spans="1:38" x14ac:dyDescent="0.2">
      <c r="A44" s="29"/>
      <c r="B44" s="1"/>
      <c r="C44" s="1"/>
      <c r="D44" s="1"/>
      <c r="E44" s="1"/>
      <c r="F44" s="1"/>
      <c r="G44" s="1"/>
      <c r="H44" s="1"/>
      <c r="I44" s="1"/>
      <c r="J44" s="1"/>
      <c r="K44" s="1"/>
      <c r="L44" s="1"/>
      <c r="M44" s="1"/>
      <c r="N44" s="1" t="s">
        <v>28</v>
      </c>
      <c r="Y44" s="51"/>
      <c r="Z44" s="51"/>
      <c r="AA44" s="52"/>
    </row>
    <row r="45" spans="1:38" x14ac:dyDescent="0.2">
      <c r="A45" s="29" t="s">
        <v>16</v>
      </c>
      <c r="B45" s="2">
        <f>B6</f>
        <v>44501</v>
      </c>
      <c r="C45" s="2">
        <f>B45+31</f>
        <v>44532</v>
      </c>
      <c r="D45" s="2">
        <f t="shared" ref="D45:M45" si="8">C45+31</f>
        <v>44563</v>
      </c>
      <c r="E45" s="2">
        <f t="shared" si="8"/>
        <v>44594</v>
      </c>
      <c r="F45" s="2">
        <f t="shared" si="8"/>
        <v>44625</v>
      </c>
      <c r="G45" s="2">
        <f t="shared" si="8"/>
        <v>44656</v>
      </c>
      <c r="H45" s="2">
        <f t="shared" si="8"/>
        <v>44687</v>
      </c>
      <c r="I45" s="2">
        <f t="shared" si="8"/>
        <v>44718</v>
      </c>
      <c r="J45" s="2">
        <f t="shared" si="8"/>
        <v>44749</v>
      </c>
      <c r="K45" s="2">
        <f t="shared" si="8"/>
        <v>44780</v>
      </c>
      <c r="L45" s="2">
        <f t="shared" si="8"/>
        <v>44811</v>
      </c>
      <c r="M45" s="2">
        <f t="shared" si="8"/>
        <v>44842</v>
      </c>
      <c r="N45" s="2" t="s">
        <v>2</v>
      </c>
      <c r="Y45" s="51"/>
      <c r="Z45" s="51"/>
      <c r="AA45" s="44"/>
    </row>
    <row r="46" spans="1:38" x14ac:dyDescent="0.2">
      <c r="A46" s="25" t="s">
        <v>57</v>
      </c>
      <c r="B46" s="4"/>
      <c r="C46" s="4"/>
      <c r="D46" s="4"/>
      <c r="E46" s="4"/>
      <c r="F46" s="4"/>
      <c r="G46" s="4"/>
      <c r="H46" s="4"/>
      <c r="I46" s="4"/>
      <c r="J46" s="4"/>
      <c r="K46" s="4"/>
      <c r="L46" s="4"/>
      <c r="M46" s="4"/>
      <c r="N46" s="4"/>
      <c r="Y46" s="51"/>
      <c r="Z46" s="51"/>
      <c r="AA46" s="53"/>
    </row>
    <row r="47" spans="1:38" x14ac:dyDescent="0.2">
      <c r="A47" s="22" t="s">
        <v>52</v>
      </c>
      <c r="B47" s="65">
        <f>+'[2]Pacific Comm Credit'!B39</f>
        <v>99.530274000000006</v>
      </c>
      <c r="C47" s="65">
        <f>+'[2]Pacific Comm Credit'!C39</f>
        <v>109.01506200000001</v>
      </c>
      <c r="D47" s="65">
        <f>+'[2]Pacific Comm Credit'!D39</f>
        <v>109.01506200000001</v>
      </c>
      <c r="E47" s="65">
        <f>+'[2]Pacific Comm Credit'!E39</f>
        <v>94.807880000000011</v>
      </c>
      <c r="F47" s="65">
        <f>+'[2]Pacific Comm Credit'!F39</f>
        <v>109.015062</v>
      </c>
      <c r="G47" s="65">
        <f>+'[2]Pacific Comm Credit'!G39</f>
        <v>99.530274000000006</v>
      </c>
      <c r="H47" s="65">
        <f>+'[2]Pacific Comm Credit'!H39</f>
        <v>99.663246000000015</v>
      </c>
      <c r="I47" s="65">
        <f>+'[2]Pacific Comm Credit'!I39</f>
        <v>99.663246000000015</v>
      </c>
      <c r="J47" s="65">
        <f>+'[2]Pacific Comm Credit'!J39</f>
        <v>95.13355300000002</v>
      </c>
      <c r="K47" s="65">
        <f>+'[2]Pacific Comm Credit'!K39</f>
        <v>104.19293900000002</v>
      </c>
      <c r="L47" s="65">
        <f>+'[2]Pacific Comm Credit'!L39</f>
        <v>99.663246000000015</v>
      </c>
      <c r="M47" s="65">
        <f>+'[2]Pacific Comm Credit'!M39</f>
        <v>95.13355300000002</v>
      </c>
      <c r="N47" s="5">
        <f>SUM(B47:M47)</f>
        <v>1214.3633970000003</v>
      </c>
    </row>
    <row r="48" spans="1:38" x14ac:dyDescent="0.2">
      <c r="A48" s="22" t="s">
        <v>6</v>
      </c>
      <c r="B48" s="65">
        <f>+'[2]Pacific Comm Credit'!B40</f>
        <v>19.12</v>
      </c>
      <c r="C48" s="65">
        <f>+'[2]Pacific Comm Credit'!C40</f>
        <v>19.05</v>
      </c>
      <c r="D48" s="65">
        <f>+'[2]Pacific Comm Credit'!D40</f>
        <v>22.36</v>
      </c>
      <c r="E48" s="65">
        <f>+'[2]Pacific Comm Credit'!E40</f>
        <v>18.190000000000001</v>
      </c>
      <c r="F48" s="65">
        <f>+'[2]Pacific Comm Credit'!F40</f>
        <v>21.44</v>
      </c>
      <c r="G48" s="65">
        <f>+'[2]Pacific Comm Credit'!G40</f>
        <v>18.650000000000002</v>
      </c>
      <c r="H48" s="65">
        <f>+'[2]Pacific Comm Credit'!H40</f>
        <v>17.77</v>
      </c>
      <c r="I48" s="65">
        <f>+'[2]Pacific Comm Credit'!I40</f>
        <v>18.579999999999998</v>
      </c>
      <c r="J48" s="65">
        <f>+'[2]Pacific Comm Credit'!J40</f>
        <v>16.78</v>
      </c>
      <c r="K48" s="65">
        <f>+'[2]Pacific Comm Credit'!K40</f>
        <v>18.420000000000002</v>
      </c>
      <c r="L48" s="65">
        <f>+'[2]Pacific Comm Credit'!L40</f>
        <v>17.5</v>
      </c>
      <c r="M48" s="65">
        <f>+'[2]Pacific Comm Credit'!M40</f>
        <v>16.989999999999998</v>
      </c>
      <c r="N48" s="5">
        <f>SUM(B48:M48)</f>
        <v>224.85000000000002</v>
      </c>
    </row>
    <row r="49" spans="1:16" x14ac:dyDescent="0.2">
      <c r="B49" s="11"/>
      <c r="C49" s="11"/>
      <c r="D49" s="11"/>
      <c r="E49" s="11"/>
      <c r="F49" s="11"/>
      <c r="G49" s="11"/>
      <c r="H49" s="11"/>
      <c r="I49" s="11"/>
      <c r="J49" s="11"/>
      <c r="K49" s="11"/>
      <c r="L49" s="11"/>
      <c r="M49" s="11"/>
      <c r="N49" s="5"/>
    </row>
    <row r="50" spans="1:16" s="6" customFormat="1" x14ac:dyDescent="0.2">
      <c r="A50" s="6" t="s">
        <v>7</v>
      </c>
      <c r="B50" s="91">
        <f>SUM(B47:B49)</f>
        <v>118.65027400000001</v>
      </c>
      <c r="C50" s="91">
        <f>SUM(C47:C49)</f>
        <v>128.06506200000001</v>
      </c>
      <c r="D50" s="91">
        <f t="shared" ref="D50:K50" si="9">SUM(D47:D48)</f>
        <v>131.37506200000001</v>
      </c>
      <c r="E50" s="91">
        <f t="shared" si="9"/>
        <v>112.99788000000001</v>
      </c>
      <c r="F50" s="91">
        <f t="shared" si="9"/>
        <v>130.455062</v>
      </c>
      <c r="G50" s="91">
        <f t="shared" si="9"/>
        <v>118.18027400000001</v>
      </c>
      <c r="H50" s="91">
        <f t="shared" si="9"/>
        <v>117.43324600000001</v>
      </c>
      <c r="I50" s="91">
        <f t="shared" si="9"/>
        <v>118.24324600000001</v>
      </c>
      <c r="J50" s="91">
        <f t="shared" si="9"/>
        <v>111.91355300000002</v>
      </c>
      <c r="K50" s="91">
        <f t="shared" si="9"/>
        <v>122.61293900000003</v>
      </c>
      <c r="L50" s="91">
        <f>SUM(L47:L48)</f>
        <v>117.16324600000002</v>
      </c>
      <c r="M50" s="91">
        <f>SUM(M47:M48)</f>
        <v>112.12355300000002</v>
      </c>
      <c r="N50" s="35">
        <f>SUM(N47:N49)</f>
        <v>1439.2133970000004</v>
      </c>
      <c r="P50" s="57">
        <f>+'[2]Pacific Comm Credit'!$N$41-N50</f>
        <v>-699.48978300000033</v>
      </c>
    </row>
    <row r="52" spans="1:16" x14ac:dyDescent="0.2">
      <c r="A52" s="26" t="s">
        <v>20</v>
      </c>
    </row>
    <row r="53" spans="1:16" x14ac:dyDescent="0.2">
      <c r="A53" s="22" t="s">
        <v>58</v>
      </c>
      <c r="B53" s="86">
        <f>B17</f>
        <v>-1.0219340000000017</v>
      </c>
      <c r="C53" s="86">
        <f t="shared" ref="C53:M54" si="10">C17</f>
        <v>-27.709969000000001</v>
      </c>
      <c r="D53" s="86">
        <f t="shared" si="10"/>
        <v>-40.545233999999986</v>
      </c>
      <c r="E53" s="86">
        <f t="shared" si="10"/>
        <v>-41.55945000000002</v>
      </c>
      <c r="F53" s="86">
        <f t="shared" si="10"/>
        <v>-29.144149999999996</v>
      </c>
      <c r="G53" s="86">
        <f t="shared" si="10"/>
        <v>-25.152250000000006</v>
      </c>
      <c r="H53" s="86">
        <f t="shared" si="10"/>
        <v>-28.644450000000013</v>
      </c>
      <c r="I53" s="86">
        <f t="shared" si="10"/>
        <v>-35.214650000000013</v>
      </c>
      <c r="J53" s="86">
        <f t="shared" si="10"/>
        <v>-49.875250000000001</v>
      </c>
      <c r="K53" s="86">
        <f t="shared" si="10"/>
        <v>-65.193150000000003</v>
      </c>
      <c r="L53" s="86">
        <f t="shared" si="10"/>
        <v>-115.70665000000002</v>
      </c>
      <c r="M53" s="86">
        <f t="shared" si="10"/>
        <v>-144.03355000000002</v>
      </c>
      <c r="N53" s="8"/>
    </row>
    <row r="54" spans="1:16" x14ac:dyDescent="0.2">
      <c r="A54" s="22" t="s">
        <v>50</v>
      </c>
      <c r="B54" s="86">
        <f>B18</f>
        <v>-33</v>
      </c>
      <c r="C54" s="86">
        <f t="shared" si="10"/>
        <v>-33</v>
      </c>
      <c r="D54" s="86">
        <f t="shared" si="10"/>
        <v>-33</v>
      </c>
      <c r="E54" s="86">
        <f t="shared" si="10"/>
        <v>-33</v>
      </c>
      <c r="F54" s="86">
        <f t="shared" si="10"/>
        <v>-33</v>
      </c>
      <c r="G54" s="86">
        <f t="shared" si="10"/>
        <v>-33</v>
      </c>
      <c r="H54" s="86">
        <f t="shared" si="10"/>
        <v>-33</v>
      </c>
      <c r="I54" s="86">
        <f t="shared" si="10"/>
        <v>-33</v>
      </c>
      <c r="J54" s="86">
        <f t="shared" si="10"/>
        <v>-33</v>
      </c>
      <c r="K54" s="86">
        <f t="shared" si="10"/>
        <v>-33</v>
      </c>
      <c r="L54" s="86">
        <f t="shared" si="10"/>
        <v>-33</v>
      </c>
      <c r="M54" s="86">
        <f t="shared" si="10"/>
        <v>-33</v>
      </c>
      <c r="N54" s="8"/>
    </row>
    <row r="56" spans="1:16" x14ac:dyDescent="0.2">
      <c r="A56" s="26" t="s">
        <v>51</v>
      </c>
    </row>
    <row r="57" spans="1:16" x14ac:dyDescent="0.2">
      <c r="A57" s="22" t="s">
        <v>52</v>
      </c>
      <c r="B57" s="36">
        <f>B47*B53</f>
        <v>-101.71337102991617</v>
      </c>
      <c r="C57" s="36">
        <f t="shared" ref="C57:M58" si="11">C47*C53</f>
        <v>-3020.8039885530784</v>
      </c>
      <c r="D57" s="36">
        <f t="shared" si="11"/>
        <v>-4420.0411983145068</v>
      </c>
      <c r="E57" s="36">
        <f t="shared" si="11"/>
        <v>-3940.1633484660024</v>
      </c>
      <c r="F57" s="36">
        <f t="shared" si="11"/>
        <v>-3177.1513191872996</v>
      </c>
      <c r="G57" s="36">
        <f t="shared" si="11"/>
        <v>-2503.4103342165008</v>
      </c>
      <c r="H57" s="36">
        <f t="shared" si="11"/>
        <v>-2854.798866884702</v>
      </c>
      <c r="I57" s="36">
        <f t="shared" si="11"/>
        <v>-3509.6063257539017</v>
      </c>
      <c r="J57" s="36">
        <f t="shared" si="11"/>
        <v>-4744.8097392632508</v>
      </c>
      <c r="K57" s="36">
        <f t="shared" si="11"/>
        <v>-6792.6659011678521</v>
      </c>
      <c r="L57" s="36">
        <f t="shared" si="11"/>
        <v>-11531.700322785904</v>
      </c>
      <c r="M57" s="36">
        <f t="shared" si="11"/>
        <v>-13702.423362703155</v>
      </c>
      <c r="N57" s="9">
        <f>SUM(B57:M57)</f>
        <v>-60299.28807832607</v>
      </c>
    </row>
    <row r="58" spans="1:16" x14ac:dyDescent="0.2">
      <c r="A58" s="22" t="s">
        <v>6</v>
      </c>
      <c r="B58" s="36">
        <f>B48*B54</f>
        <v>-630.96</v>
      </c>
      <c r="C58" s="36">
        <f t="shared" si="11"/>
        <v>-628.65</v>
      </c>
      <c r="D58" s="36">
        <f t="shared" si="11"/>
        <v>-737.88</v>
      </c>
      <c r="E58" s="36">
        <f t="shared" si="11"/>
        <v>-600.2700000000001</v>
      </c>
      <c r="F58" s="36">
        <f t="shared" si="11"/>
        <v>-707.5200000000001</v>
      </c>
      <c r="G58" s="36">
        <f t="shared" si="11"/>
        <v>-615.45000000000005</v>
      </c>
      <c r="H58" s="36">
        <f t="shared" si="11"/>
        <v>-586.41</v>
      </c>
      <c r="I58" s="36">
        <f t="shared" si="11"/>
        <v>-613.14</v>
      </c>
      <c r="J58" s="36">
        <f t="shared" si="11"/>
        <v>-553.74</v>
      </c>
      <c r="K58" s="36">
        <f t="shared" si="11"/>
        <v>-607.86</v>
      </c>
      <c r="L58" s="36">
        <f t="shared" si="11"/>
        <v>-577.5</v>
      </c>
      <c r="M58" s="36">
        <f t="shared" si="11"/>
        <v>-560.66999999999996</v>
      </c>
      <c r="N58" s="9">
        <f>SUM(B58:M58)</f>
        <v>-7420.05</v>
      </c>
    </row>
    <row r="59" spans="1:16" x14ac:dyDescent="0.2">
      <c r="B59" s="16"/>
      <c r="C59" s="16"/>
      <c r="D59" s="16"/>
      <c r="E59" s="16"/>
      <c r="F59" s="16"/>
      <c r="G59" s="16"/>
      <c r="H59" s="16"/>
      <c r="I59" s="16"/>
      <c r="J59" s="16"/>
      <c r="K59" s="16"/>
      <c r="L59" s="16"/>
      <c r="M59" s="16"/>
      <c r="N59" s="8"/>
    </row>
    <row r="60" spans="1:16" s="6" customFormat="1" x14ac:dyDescent="0.2">
      <c r="A60" s="6" t="s">
        <v>9</v>
      </c>
      <c r="B60" s="37">
        <f t="shared" ref="B60:I60" si="12">SUM(B57:B58)</f>
        <v>-732.67337102991621</v>
      </c>
      <c r="C60" s="37">
        <f t="shared" si="12"/>
        <v>-3649.4539885530785</v>
      </c>
      <c r="D60" s="37">
        <f t="shared" si="12"/>
        <v>-5157.9211983145069</v>
      </c>
      <c r="E60" s="37">
        <f t="shared" si="12"/>
        <v>-4540.4333484660028</v>
      </c>
      <c r="F60" s="37">
        <f t="shared" si="12"/>
        <v>-3884.6713191872996</v>
      </c>
      <c r="G60" s="37">
        <f t="shared" si="12"/>
        <v>-3118.8603342165006</v>
      </c>
      <c r="H60" s="37">
        <f t="shared" si="12"/>
        <v>-3441.2088668847018</v>
      </c>
      <c r="I60" s="37">
        <f t="shared" si="12"/>
        <v>-4122.7463257539021</v>
      </c>
      <c r="J60" s="37">
        <f>SUM(J57:J58)</f>
        <v>-5298.5497392632506</v>
      </c>
      <c r="K60" s="37">
        <f>SUM(K57:K58)</f>
        <v>-7400.5259011678518</v>
      </c>
      <c r="L60" s="37">
        <f>SUM(L57:L58)</f>
        <v>-12109.200322785904</v>
      </c>
      <c r="M60" s="37">
        <f>SUM(M57:M58)</f>
        <v>-14263.093362703155</v>
      </c>
      <c r="N60" s="40">
        <f>SUM(N57:N58)</f>
        <v>-67719.338078326065</v>
      </c>
      <c r="O60" s="54"/>
      <c r="P60" s="45">
        <f>+'[3]Pacific Comm Credit'!$N$51-N60</f>
        <v>25402.184158428208</v>
      </c>
    </row>
    <row r="61" spans="1:16" x14ac:dyDescent="0.2">
      <c r="B61" s="16"/>
      <c r="C61" s="16"/>
      <c r="D61" s="16"/>
      <c r="E61" s="16"/>
      <c r="F61" s="16"/>
      <c r="G61" s="16"/>
      <c r="H61" s="16"/>
      <c r="I61" s="16"/>
      <c r="J61" s="16"/>
      <c r="K61" s="16"/>
      <c r="L61" s="16"/>
      <c r="M61" s="16"/>
      <c r="N61" s="8"/>
    </row>
    <row r="62" spans="1:16" x14ac:dyDescent="0.2">
      <c r="B62" s="16"/>
      <c r="C62" s="16"/>
      <c r="D62" s="16"/>
      <c r="E62" s="16"/>
      <c r="F62" s="16"/>
      <c r="G62" s="16"/>
      <c r="H62" s="16"/>
      <c r="I62" s="16"/>
      <c r="J62" s="16"/>
      <c r="K62" s="16"/>
      <c r="L62" s="16"/>
      <c r="M62" s="16"/>
      <c r="N62" s="8"/>
    </row>
    <row r="63" spans="1:16" x14ac:dyDescent="0.2">
      <c r="A63" s="10" t="s">
        <v>43</v>
      </c>
      <c r="B63" s="16">
        <f>+'[2]Pacific Comm Credit'!B53</f>
        <v>12680.419277108433</v>
      </c>
      <c r="C63" s="16">
        <f>+'[2]Pacific Comm Credit'!C53</f>
        <v>12537.999999999998</v>
      </c>
      <c r="D63" s="16">
        <f>+'[2]Pacific Comm Credit'!D53</f>
        <v>12540.997590361445</v>
      </c>
      <c r="E63" s="16">
        <f>+'[2]Pacific Comm Credit'!E53</f>
        <v>12604.440963855419</v>
      </c>
      <c r="F63" s="16">
        <f>+'[2]Pacific Comm Credit'!F53</f>
        <v>13428.267469879516</v>
      </c>
      <c r="G63" s="16">
        <f>+'[2]Pacific Comm Credit'!G53</f>
        <v>13808.404819277108</v>
      </c>
      <c r="H63" s="16">
        <f>+'[2]Pacific Comm Credit'!H53</f>
        <v>13850.221686746989</v>
      </c>
      <c r="I63" s="16">
        <f>+'[2]Pacific Comm Credit'!I53</f>
        <v>13853.708433734939</v>
      </c>
      <c r="J63" s="16">
        <f>+'[2]Pacific Comm Credit'!J53</f>
        <v>13847.72771084337</v>
      </c>
      <c r="K63" s="16">
        <f>+'[2]Pacific Comm Credit'!K53</f>
        <v>13892.662650602408</v>
      </c>
      <c r="L63" s="16">
        <f>+'[2]Pacific Comm Credit'!L53</f>
        <v>14162.612048192768</v>
      </c>
      <c r="M63" s="16">
        <f>+'[2]Pacific Comm Credit'!M53</f>
        <v>14085.043373493972</v>
      </c>
      <c r="N63" s="7">
        <f>SUM(B63:M63)</f>
        <v>161292.50602409634</v>
      </c>
      <c r="P63" s="94">
        <f>+'[2]Pacific Comm Credit'!$N$53-N63</f>
        <v>0</v>
      </c>
    </row>
    <row r="64" spans="1:16" x14ac:dyDescent="0.2">
      <c r="A64" s="10"/>
      <c r="B64" s="16"/>
      <c r="C64" s="16"/>
      <c r="D64" s="16"/>
      <c r="E64" s="16"/>
      <c r="F64" s="16"/>
      <c r="G64" s="16"/>
      <c r="H64" s="16"/>
      <c r="I64" s="16"/>
      <c r="J64" s="16"/>
      <c r="K64" s="16"/>
      <c r="L64" s="16"/>
      <c r="M64" s="16"/>
      <c r="N64" s="8"/>
    </row>
    <row r="65" spans="1:19" x14ac:dyDescent="0.2">
      <c r="A65" s="10"/>
      <c r="B65" s="16"/>
      <c r="C65" s="16"/>
      <c r="D65" s="16"/>
      <c r="E65" s="16"/>
      <c r="F65" s="16"/>
      <c r="G65" s="16"/>
      <c r="H65" s="16"/>
      <c r="I65" s="16"/>
      <c r="J65" s="16"/>
      <c r="K65" s="16"/>
      <c r="L65" s="16"/>
      <c r="M65" s="16"/>
      <c r="N65" s="15"/>
    </row>
    <row r="66" spans="1:19" x14ac:dyDescent="0.2">
      <c r="A66" s="10" t="s">
        <v>53</v>
      </c>
      <c r="B66" s="27">
        <f t="shared" ref="B66:M66" si="13">+IFERROR(B60/B63,0)</f>
        <v>-5.7779901044170419E-2</v>
      </c>
      <c r="C66" s="27">
        <f t="shared" si="13"/>
        <v>-0.29107146184025195</v>
      </c>
      <c r="D66" s="27">
        <f t="shared" si="13"/>
        <v>-0.41128476113245549</v>
      </c>
      <c r="E66" s="27">
        <f t="shared" si="13"/>
        <v>-0.36022488910743289</v>
      </c>
      <c r="F66" s="27">
        <f t="shared" si="13"/>
        <v>-0.28929058256404794</v>
      </c>
      <c r="G66" s="27">
        <f t="shared" si="13"/>
        <v>-0.2258668090221719</v>
      </c>
      <c r="H66" s="27">
        <f t="shared" si="13"/>
        <v>-0.24845875717480598</v>
      </c>
      <c r="I66" s="27">
        <f t="shared" si="13"/>
        <v>-0.29759153265523258</v>
      </c>
      <c r="J66" s="27">
        <f t="shared" si="13"/>
        <v>-0.38262954398751331</v>
      </c>
      <c r="K66" s="27">
        <f t="shared" si="13"/>
        <v>-0.53269312638545596</v>
      </c>
      <c r="L66" s="27">
        <f t="shared" si="13"/>
        <v>-0.85501179313395859</v>
      </c>
      <c r="M66" s="27">
        <f t="shared" si="13"/>
        <v>-1.0126410678680797</v>
      </c>
      <c r="N66" s="5"/>
    </row>
    <row r="67" spans="1:19" x14ac:dyDescent="0.2">
      <c r="A67" s="10" t="s">
        <v>54</v>
      </c>
      <c r="B67" s="69">
        <f>+'Pacific CPA 1.1.22'!$M$67</f>
        <v>-0.71</v>
      </c>
      <c r="C67" s="69">
        <f>+'Pacific CPA 1.1.22'!$M$67</f>
        <v>-0.71</v>
      </c>
      <c r="D67" s="69">
        <f>+'Pacific CPA 1.1.22'!$N$72</f>
        <v>-0.28000000000000003</v>
      </c>
      <c r="E67" s="69">
        <f>+'Pacific CPA 1.1.22'!$N$72</f>
        <v>-0.28000000000000003</v>
      </c>
      <c r="F67" s="69">
        <f>+'Pacific CPA 1.1.22'!$N$72</f>
        <v>-0.28000000000000003</v>
      </c>
      <c r="G67" s="69">
        <f>+'Pacific CPA 1.1.22'!$N$72</f>
        <v>-0.28000000000000003</v>
      </c>
      <c r="H67" s="69">
        <f>+'Pacific CPA 1.1.22'!$N$72</f>
        <v>-0.28000000000000003</v>
      </c>
      <c r="I67" s="69">
        <f>+'Pacific CPA 1.1.22'!$N$72</f>
        <v>-0.28000000000000003</v>
      </c>
      <c r="J67" s="69">
        <f>+'Pacific CPA 1.1.22'!$N$72</f>
        <v>-0.28000000000000003</v>
      </c>
      <c r="K67" s="69">
        <f>+'Pacific CPA 1.1.22'!$N$72</f>
        <v>-0.28000000000000003</v>
      </c>
      <c r="L67" s="69">
        <f>+'Pacific CPA 1.1.22'!$N$72</f>
        <v>-0.28000000000000003</v>
      </c>
      <c r="M67" s="69">
        <f>+'Pacific CPA 1.1.22'!$N$72</f>
        <v>-0.28000000000000003</v>
      </c>
      <c r="N67" s="5"/>
    </row>
    <row r="68" spans="1:19" x14ac:dyDescent="0.2">
      <c r="A68" s="10" t="s">
        <v>56</v>
      </c>
      <c r="B68" s="36">
        <f>+B63*B67</f>
        <v>-9003.0976867469872</v>
      </c>
      <c r="C68" s="36">
        <f t="shared" ref="C68:M68" si="14">+C63*C67</f>
        <v>-8901.9799999999977</v>
      </c>
      <c r="D68" s="36">
        <f t="shared" si="14"/>
        <v>-3511.4793253012049</v>
      </c>
      <c r="E68" s="36">
        <f t="shared" si="14"/>
        <v>-3529.2434698795178</v>
      </c>
      <c r="F68" s="36">
        <f t="shared" si="14"/>
        <v>-3759.9148915662649</v>
      </c>
      <c r="G68" s="36">
        <f t="shared" si="14"/>
        <v>-3866.3533493975906</v>
      </c>
      <c r="H68" s="36">
        <f t="shared" si="14"/>
        <v>-3878.0620722891572</v>
      </c>
      <c r="I68" s="36">
        <f t="shared" si="14"/>
        <v>-3879.0383614457833</v>
      </c>
      <c r="J68" s="36">
        <f t="shared" si="14"/>
        <v>-3877.3637590361441</v>
      </c>
      <c r="K68" s="36">
        <f t="shared" si="14"/>
        <v>-3889.9455421686744</v>
      </c>
      <c r="L68" s="36">
        <f t="shared" si="14"/>
        <v>-3965.5313734939755</v>
      </c>
      <c r="M68" s="36">
        <f t="shared" si="14"/>
        <v>-3943.8121445783127</v>
      </c>
      <c r="N68" s="5"/>
    </row>
    <row r="69" spans="1:19" s="6" customFormat="1" ht="13.5" thickBot="1" x14ac:dyDescent="0.25">
      <c r="A69" s="13" t="s">
        <v>55</v>
      </c>
      <c r="B69" s="92">
        <f>+B68-B60</f>
        <v>-8270.4243157170713</v>
      </c>
      <c r="C69" s="92">
        <f>+C68-C60</f>
        <v>-5252.5260114469193</v>
      </c>
      <c r="D69" s="92">
        <f t="shared" ref="D69:M69" si="15">+D68-D60</f>
        <v>1646.441873013302</v>
      </c>
      <c r="E69" s="92">
        <f t="shared" si="15"/>
        <v>1011.1898785864851</v>
      </c>
      <c r="F69" s="92">
        <f t="shared" si="15"/>
        <v>124.75642762103462</v>
      </c>
      <c r="G69" s="92">
        <f t="shared" si="15"/>
        <v>-747.49301518108996</v>
      </c>
      <c r="H69" s="92">
        <f t="shared" si="15"/>
        <v>-436.85320540445537</v>
      </c>
      <c r="I69" s="92">
        <f t="shared" si="15"/>
        <v>243.70796430811879</v>
      </c>
      <c r="J69" s="92">
        <f t="shared" si="15"/>
        <v>1421.1859802271065</v>
      </c>
      <c r="K69" s="92">
        <f t="shared" si="15"/>
        <v>3510.5803589991774</v>
      </c>
      <c r="L69" s="92">
        <f t="shared" si="15"/>
        <v>8143.6689492919286</v>
      </c>
      <c r="M69" s="92">
        <f t="shared" si="15"/>
        <v>10319.281218124843</v>
      </c>
      <c r="N69" s="92">
        <f>SUM(B69:M69)</f>
        <v>11713.51610242246</v>
      </c>
      <c r="P69" s="95">
        <f>+N69/12*9</f>
        <v>8785.1370768168454</v>
      </c>
    </row>
    <row r="70" spans="1:19" x14ac:dyDescent="0.2">
      <c r="A70" s="10"/>
      <c r="B70" s="11"/>
      <c r="C70" s="11"/>
      <c r="D70" s="11"/>
      <c r="E70" s="11"/>
      <c r="F70" s="11"/>
      <c r="G70" s="11"/>
      <c r="H70" s="11"/>
      <c r="I70" s="11"/>
      <c r="J70" s="11"/>
      <c r="K70" s="11"/>
      <c r="L70" s="11"/>
      <c r="M70" s="11"/>
      <c r="N70" s="8"/>
    </row>
    <row r="71" spans="1:19" x14ac:dyDescent="0.2">
      <c r="A71" s="16"/>
      <c r="B71" s="28"/>
      <c r="C71" s="28"/>
      <c r="D71" s="28"/>
      <c r="E71" s="28"/>
      <c r="F71" s="28"/>
      <c r="G71" s="28"/>
      <c r="H71" s="28"/>
      <c r="I71" s="28"/>
      <c r="J71" s="28"/>
      <c r="K71" s="28"/>
      <c r="L71" s="28"/>
      <c r="M71" s="21" t="s">
        <v>18</v>
      </c>
      <c r="N71" s="17">
        <f>ROUND(N69/N63,2)</f>
        <v>7.0000000000000007E-2</v>
      </c>
    </row>
    <row r="72" spans="1:19" x14ac:dyDescent="0.2">
      <c r="B72" s="21"/>
      <c r="C72" s="21"/>
      <c r="D72" s="21"/>
      <c r="E72" s="21"/>
      <c r="F72" s="21"/>
      <c r="G72" s="21"/>
      <c r="H72" s="21"/>
      <c r="I72" s="21"/>
      <c r="J72" s="21"/>
      <c r="K72" s="21"/>
      <c r="L72" s="21"/>
      <c r="M72" s="21" t="s">
        <v>59</v>
      </c>
      <c r="N72" s="81">
        <f>-ROUND(N60/N63,2)</f>
        <v>0.42</v>
      </c>
    </row>
    <row r="73" spans="1:19" x14ac:dyDescent="0.2">
      <c r="B73" s="84"/>
      <c r="C73" s="21"/>
      <c r="D73" s="21"/>
      <c r="E73" s="21"/>
      <c r="F73" s="21"/>
      <c r="G73" s="21"/>
      <c r="H73" s="21"/>
      <c r="I73" s="21"/>
      <c r="J73" s="21"/>
      <c r="K73" s="21"/>
      <c r="L73" s="21"/>
      <c r="M73" s="42" t="s">
        <v>44</v>
      </c>
      <c r="N73" s="18">
        <f>+N72+N71</f>
        <v>0.49</v>
      </c>
    </row>
    <row r="74" spans="1:19" x14ac:dyDescent="0.2">
      <c r="A74" s="16"/>
      <c r="B74" s="85"/>
      <c r="C74" s="21"/>
      <c r="D74" s="21"/>
      <c r="E74" s="85"/>
      <c r="F74" s="21"/>
      <c r="G74" s="21"/>
      <c r="H74" s="21"/>
      <c r="I74" s="21"/>
      <c r="J74" s="21"/>
      <c r="K74" s="21"/>
      <c r="L74" s="21"/>
      <c r="M74" s="21"/>
      <c r="N74" s="18"/>
    </row>
    <row r="75" spans="1:19" x14ac:dyDescent="0.2">
      <c r="A75" s="10"/>
      <c r="B75" s="21"/>
      <c r="C75" s="21"/>
      <c r="D75" s="21"/>
      <c r="E75" s="21"/>
      <c r="F75" s="21"/>
      <c r="G75" s="21"/>
      <c r="H75" s="21"/>
      <c r="I75" s="21"/>
      <c r="J75" s="21"/>
      <c r="K75" s="21"/>
      <c r="L75" s="21"/>
      <c r="M75" s="21" t="s">
        <v>45</v>
      </c>
      <c r="N75" s="88">
        <f>+'Pacific CPA 1.1.22'!N73</f>
        <v>-0.13999999999999996</v>
      </c>
      <c r="Q75" s="8"/>
      <c r="R75" s="8"/>
      <c r="S75" s="55"/>
    </row>
    <row r="76" spans="1:19" x14ac:dyDescent="0.2">
      <c r="A76" s="10"/>
      <c r="B76" s="21"/>
      <c r="C76" s="21"/>
      <c r="D76" s="21"/>
      <c r="E76" s="21"/>
      <c r="F76" s="21"/>
      <c r="G76" s="21"/>
      <c r="H76" s="21"/>
      <c r="I76" s="21"/>
      <c r="J76" s="21"/>
      <c r="K76" s="21"/>
      <c r="L76" s="21"/>
      <c r="M76" s="21" t="s">
        <v>15</v>
      </c>
      <c r="N76" s="17">
        <f>+N73-N75</f>
        <v>0.62999999999999989</v>
      </c>
      <c r="O76" s="56">
        <f>N76/N75</f>
        <v>-4.5000000000000009</v>
      </c>
    </row>
    <row r="77" spans="1:19" x14ac:dyDescent="0.2">
      <c r="A77" s="10"/>
      <c r="B77" s="21"/>
      <c r="C77" s="21"/>
      <c r="D77" s="21"/>
      <c r="E77" s="21"/>
      <c r="F77" s="21"/>
      <c r="G77" s="21"/>
      <c r="H77" s="21"/>
      <c r="I77" s="21"/>
      <c r="J77" s="21"/>
      <c r="K77" s="21"/>
      <c r="L77" s="21"/>
      <c r="M77" s="21" t="s">
        <v>36</v>
      </c>
      <c r="N77" s="9">
        <f>N76*M63*12</f>
        <v>106482.92790361441</v>
      </c>
    </row>
    <row r="78" spans="1:19" x14ac:dyDescent="0.2">
      <c r="A78" s="10"/>
      <c r="B78" s="21"/>
      <c r="C78" s="21"/>
      <c r="D78" s="21"/>
      <c r="E78" s="21"/>
      <c r="F78" s="21"/>
      <c r="G78" s="21"/>
      <c r="H78" s="21"/>
      <c r="I78" s="21"/>
      <c r="J78" s="21"/>
      <c r="K78" s="21"/>
      <c r="L78" s="21"/>
      <c r="M78" s="21"/>
      <c r="O78" s="5"/>
    </row>
  </sheetData>
  <pageMargins left="0.7" right="0.7" top="0.75" bottom="0.75" header="0.3" footer="0.3"/>
  <pageSetup scale="61" fitToHeight="0" orientation="landscape" r:id="rId1"/>
  <rowBreaks count="1" manualBreakCount="1">
    <brk id="4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78"/>
  <sheetViews>
    <sheetView showGridLines="0" view="pageBreakPreview" zoomScaleNormal="100" zoomScaleSheetLayoutView="100" workbookViewId="0">
      <pane xSplit="1" ySplit="7" topLeftCell="B49" activePane="bottomRight" state="frozen"/>
      <selection activeCell="B36" sqref="B36"/>
      <selection pane="topRight" activeCell="B36" sqref="B36"/>
      <selection pane="bottomLeft" activeCell="B36" sqref="B36"/>
      <selection pane="bottomRight" activeCell="N73" sqref="N73"/>
    </sheetView>
  </sheetViews>
  <sheetFormatPr defaultRowHeight="12.75" x14ac:dyDescent="0.2"/>
  <cols>
    <col min="1" max="1" width="23.7109375" style="22" customWidth="1"/>
    <col min="2" max="9" width="9.28515625" style="22" bestFit="1" customWidth="1"/>
    <col min="10" max="12" width="9.7109375" style="22" bestFit="1" customWidth="1"/>
    <col min="13" max="13" width="13" style="22" customWidth="1"/>
    <col min="14" max="14" width="12.28515625" style="22" bestFit="1" customWidth="1"/>
    <col min="15" max="15" width="11.28515625" style="22" bestFit="1" customWidth="1"/>
    <col min="16" max="16" width="10.28515625" style="22" bestFit="1" customWidth="1"/>
    <col min="17" max="17" width="13.5703125" style="22" customWidth="1"/>
    <col min="18" max="18" width="11.85546875" style="22" bestFit="1" customWidth="1"/>
    <col min="19" max="19" width="11.140625" style="22" customWidth="1"/>
    <col min="20" max="20" width="10.7109375" style="22" customWidth="1"/>
    <col min="21" max="21" width="10.85546875" style="22" customWidth="1"/>
    <col min="22" max="22" width="10.42578125" style="22" customWidth="1"/>
    <col min="23" max="23" width="10.85546875" style="22" customWidth="1"/>
    <col min="24" max="24" width="11.42578125" style="22" customWidth="1"/>
    <col min="25" max="25" width="11.85546875" style="22" customWidth="1"/>
    <col min="26" max="16384" width="9.140625" style="22"/>
  </cols>
  <sheetData>
    <row r="1" spans="1:38" x14ac:dyDescent="0.2">
      <c r="A1" s="6" t="s">
        <v>19</v>
      </c>
    </row>
    <row r="2" spans="1:38" x14ac:dyDescent="0.2">
      <c r="A2" s="6" t="s">
        <v>46</v>
      </c>
      <c r="N2" s="30"/>
    </row>
    <row r="3" spans="1:38" x14ac:dyDescent="0.2">
      <c r="A3" s="6" t="s">
        <v>1</v>
      </c>
      <c r="B3" s="11"/>
      <c r="C3" s="11"/>
      <c r="D3" s="11"/>
      <c r="E3" s="11"/>
      <c r="F3" s="11"/>
      <c r="G3" s="11"/>
      <c r="H3" s="11"/>
      <c r="I3" s="11"/>
      <c r="J3" s="11"/>
      <c r="K3" s="11"/>
      <c r="L3" s="11"/>
      <c r="M3" s="11"/>
      <c r="N3" s="12"/>
      <c r="O3" s="5"/>
    </row>
    <row r="4" spans="1:38" x14ac:dyDescent="0.2">
      <c r="A4" s="6" t="s">
        <v>47</v>
      </c>
      <c r="B4" s="11"/>
      <c r="C4" s="11"/>
      <c r="D4" s="11"/>
      <c r="E4" s="11"/>
      <c r="F4" s="11"/>
      <c r="G4" s="11"/>
      <c r="H4" s="11"/>
      <c r="I4" s="11"/>
      <c r="J4" s="11"/>
      <c r="K4" s="11"/>
      <c r="L4" s="11"/>
      <c r="M4" s="11"/>
      <c r="N4" s="12"/>
      <c r="O4" s="5"/>
    </row>
    <row r="5" spans="1:38" s="31" customFormat="1" x14ac:dyDescent="0.2">
      <c r="B5" s="1"/>
      <c r="C5" s="1"/>
      <c r="D5" s="1"/>
      <c r="E5" s="1"/>
      <c r="F5" s="1"/>
      <c r="G5" s="1"/>
      <c r="H5" s="1"/>
      <c r="I5" s="1"/>
      <c r="J5" s="1"/>
      <c r="K5" s="1"/>
      <c r="L5" s="1"/>
      <c r="M5" s="1"/>
      <c r="N5" s="1" t="s">
        <v>28</v>
      </c>
      <c r="P5" s="5"/>
    </row>
    <row r="6" spans="1:38" s="32" customFormat="1" x14ac:dyDescent="0.2">
      <c r="B6" s="2">
        <v>44136</v>
      </c>
      <c r="C6" s="2">
        <f>+B6+31</f>
        <v>44167</v>
      </c>
      <c r="D6" s="2">
        <f t="shared" ref="D6:M6" si="0">+C6+31</f>
        <v>44198</v>
      </c>
      <c r="E6" s="2">
        <f t="shared" si="0"/>
        <v>44229</v>
      </c>
      <c r="F6" s="2">
        <f t="shared" si="0"/>
        <v>44260</v>
      </c>
      <c r="G6" s="2">
        <f t="shared" si="0"/>
        <v>44291</v>
      </c>
      <c r="H6" s="2">
        <f t="shared" si="0"/>
        <v>44322</v>
      </c>
      <c r="I6" s="2">
        <f t="shared" si="0"/>
        <v>44353</v>
      </c>
      <c r="J6" s="2">
        <f t="shared" si="0"/>
        <v>44384</v>
      </c>
      <c r="K6" s="2">
        <f t="shared" si="0"/>
        <v>44415</v>
      </c>
      <c r="L6" s="2">
        <f t="shared" si="0"/>
        <v>44446</v>
      </c>
      <c r="M6" s="2">
        <f t="shared" si="0"/>
        <v>44477</v>
      </c>
      <c r="N6" s="2" t="s">
        <v>2</v>
      </c>
      <c r="O6" s="31"/>
      <c r="P6" s="43"/>
      <c r="Q6" s="33"/>
      <c r="R6" s="43"/>
      <c r="S6" s="43"/>
      <c r="T6" s="33"/>
      <c r="U6" s="33"/>
      <c r="V6" s="33"/>
      <c r="W6" s="33"/>
      <c r="X6" s="33"/>
      <c r="Y6" s="33"/>
      <c r="Z6" s="33"/>
      <c r="AA6" s="33"/>
      <c r="AB6" s="33"/>
      <c r="AC6" s="33"/>
      <c r="AD6" s="31"/>
      <c r="AE6" s="31"/>
      <c r="AF6" s="31"/>
      <c r="AG6" s="31"/>
      <c r="AH6" s="31"/>
      <c r="AI6" s="31"/>
      <c r="AJ6" s="31"/>
      <c r="AK6" s="31"/>
      <c r="AL6" s="31"/>
    </row>
    <row r="7" spans="1:38" s="31" customFormat="1" x14ac:dyDescent="0.2">
      <c r="B7" s="3"/>
      <c r="C7" s="3"/>
      <c r="D7" s="3"/>
      <c r="E7" s="3"/>
      <c r="F7" s="3"/>
      <c r="G7" s="3"/>
      <c r="H7" s="3"/>
      <c r="I7" s="3"/>
      <c r="J7" s="3"/>
      <c r="K7" s="23"/>
      <c r="L7" s="23"/>
      <c r="M7" s="23"/>
      <c r="N7" s="3"/>
      <c r="P7" s="43"/>
      <c r="Q7" s="33"/>
      <c r="R7" s="43"/>
      <c r="S7" s="43"/>
      <c r="T7" s="33"/>
      <c r="U7" s="33"/>
      <c r="V7" s="33"/>
      <c r="W7" s="33"/>
      <c r="X7" s="33"/>
      <c r="Y7" s="33"/>
      <c r="Z7" s="33"/>
      <c r="AA7" s="33"/>
      <c r="AB7" s="33"/>
      <c r="AC7" s="33"/>
    </row>
    <row r="8" spans="1:38" s="31" customFormat="1" x14ac:dyDescent="0.2">
      <c r="A8" s="24" t="s">
        <v>3</v>
      </c>
      <c r="B8" s="4"/>
      <c r="C8" s="4"/>
      <c r="D8" s="4"/>
      <c r="E8" s="4"/>
      <c r="F8" s="4"/>
      <c r="G8" s="4"/>
      <c r="H8" s="4"/>
      <c r="I8" s="4"/>
      <c r="J8" s="4"/>
      <c r="K8" s="4"/>
      <c r="L8" s="4"/>
      <c r="M8" s="4"/>
      <c r="N8" s="34"/>
      <c r="P8" s="5"/>
    </row>
    <row r="9" spans="1:38" s="31" customFormat="1" x14ac:dyDescent="0.2">
      <c r="B9" s="4"/>
      <c r="C9" s="4"/>
      <c r="D9" s="4"/>
      <c r="E9" s="4"/>
      <c r="F9" s="4"/>
      <c r="G9" s="4"/>
      <c r="H9" s="4"/>
      <c r="I9" s="4"/>
      <c r="J9" s="4"/>
      <c r="K9" s="4"/>
      <c r="L9" s="4"/>
      <c r="M9" s="4"/>
      <c r="N9" s="34"/>
      <c r="P9" s="5"/>
    </row>
    <row r="10" spans="1:38" s="31" customFormat="1" x14ac:dyDescent="0.2">
      <c r="A10" s="25" t="s">
        <v>4</v>
      </c>
      <c r="B10" s="4"/>
      <c r="C10" s="4"/>
      <c r="D10" s="4"/>
      <c r="E10" s="4"/>
      <c r="F10" s="4"/>
      <c r="G10" s="4"/>
      <c r="H10" s="4"/>
      <c r="I10" s="4"/>
      <c r="J10" s="4"/>
      <c r="K10" s="4"/>
      <c r="L10" s="4"/>
      <c r="M10" s="4"/>
      <c r="N10" s="4"/>
      <c r="O10" s="4"/>
      <c r="P10" s="5"/>
    </row>
    <row r="11" spans="1:38" x14ac:dyDescent="0.2">
      <c r="A11" s="22" t="s">
        <v>5</v>
      </c>
      <c r="B11" s="11">
        <f>+'[3]Pacific Comm Credit'!B9</f>
        <v>1151.22</v>
      </c>
      <c r="C11" s="11">
        <f>+'[3]Pacific Comm Credit'!C9</f>
        <v>1298.98</v>
      </c>
      <c r="D11" s="11">
        <f>+'[3]Pacific Comm Credit'!D9</f>
        <v>1286.1399999999999</v>
      </c>
      <c r="E11" s="11">
        <f>+'[3]Pacific Comm Credit'!E9</f>
        <v>1010.1600000000002</v>
      </c>
      <c r="F11" s="11">
        <f>+'[3]Pacific Comm Credit'!F9</f>
        <v>1194.5000000000002</v>
      </c>
      <c r="G11" s="11">
        <f>+'[3]Pacific Comm Credit'!G9</f>
        <v>1145.92</v>
      </c>
      <c r="H11" s="11">
        <f>+'[3]Pacific Comm Credit'!H9</f>
        <v>1077.6500000000001</v>
      </c>
      <c r="I11" s="11">
        <f>+'[3]Pacific Comm Credit'!I9</f>
        <v>1133.21</v>
      </c>
      <c r="J11" s="11">
        <f>+'[3]Pacific Comm Credit'!J9</f>
        <v>1091.68</v>
      </c>
      <c r="K11" s="11">
        <f>+'[3]Pacific Comm Credit'!K9</f>
        <v>1048.8799999999999</v>
      </c>
      <c r="L11" s="11">
        <f>+'[3]Pacific Comm Credit'!L9</f>
        <v>1112.4800000000002</v>
      </c>
      <c r="M11" s="11">
        <f>+'[3]Pacific Comm Credit'!M9</f>
        <v>1065.0400000000002</v>
      </c>
      <c r="N11" s="5">
        <f>SUM(B11:M11)</f>
        <v>13615.859999999999</v>
      </c>
      <c r="P11" s="5"/>
      <c r="R11" s="44"/>
      <c r="S11" s="44"/>
      <c r="T11" s="44"/>
      <c r="U11" s="44"/>
      <c r="V11" s="44"/>
      <c r="W11" s="44"/>
      <c r="X11" s="44"/>
      <c r="Y11" s="44"/>
      <c r="Z11" s="44"/>
    </row>
    <row r="12" spans="1:38" x14ac:dyDescent="0.2">
      <c r="A12" s="22" t="s">
        <v>6</v>
      </c>
      <c r="B12" s="11">
        <f>+'[3]Pacific Comm Credit'!B10</f>
        <v>134.56</v>
      </c>
      <c r="C12" s="11">
        <f>+'[3]Pacific Comm Credit'!C10</f>
        <v>156.06</v>
      </c>
      <c r="D12" s="11">
        <f>+'[3]Pacific Comm Credit'!D10</f>
        <v>153.1</v>
      </c>
      <c r="E12" s="11">
        <f>+'[3]Pacific Comm Credit'!E10</f>
        <v>128.26</v>
      </c>
      <c r="F12" s="11">
        <f>+'[3]Pacific Comm Credit'!F10</f>
        <v>137.30000000000001</v>
      </c>
      <c r="G12" s="11">
        <f>+'[3]Pacific Comm Credit'!G10</f>
        <v>138.57</v>
      </c>
      <c r="H12" s="11">
        <f>+'[3]Pacific Comm Credit'!H10</f>
        <v>129.31</v>
      </c>
      <c r="I12" s="11">
        <f>+'[3]Pacific Comm Credit'!I10</f>
        <v>128.06</v>
      </c>
      <c r="J12" s="11">
        <f>+'[3]Pacific Comm Credit'!J10</f>
        <v>150.32</v>
      </c>
      <c r="K12" s="11">
        <f>+'[3]Pacific Comm Credit'!K10</f>
        <v>132.82</v>
      </c>
      <c r="L12" s="11">
        <f>+'[3]Pacific Comm Credit'!L10</f>
        <v>114.76</v>
      </c>
      <c r="M12" s="11">
        <f>+'[3]Pacific Comm Credit'!M10</f>
        <v>117.73</v>
      </c>
      <c r="N12" s="5">
        <f>SUM(B12:M12)</f>
        <v>1620.8499999999997</v>
      </c>
      <c r="P12" s="5"/>
      <c r="R12" s="44"/>
      <c r="S12" s="44"/>
      <c r="T12" s="44"/>
      <c r="U12" s="44"/>
      <c r="V12" s="44"/>
      <c r="W12" s="44"/>
      <c r="X12" s="44"/>
      <c r="Y12" s="44"/>
      <c r="Z12" s="44"/>
    </row>
    <row r="13" spans="1:38" x14ac:dyDescent="0.2">
      <c r="B13" s="11"/>
      <c r="C13" s="11"/>
      <c r="D13" s="11"/>
      <c r="E13" s="11"/>
      <c r="F13" s="11"/>
      <c r="G13" s="11"/>
      <c r="H13" s="11"/>
      <c r="I13" s="11"/>
      <c r="J13" s="11"/>
      <c r="K13" s="11"/>
      <c r="L13" s="11"/>
      <c r="M13" s="11"/>
      <c r="N13" s="5"/>
      <c r="P13" s="5"/>
    </row>
    <row r="14" spans="1:38" s="6" customFormat="1" x14ac:dyDescent="0.2">
      <c r="A14" s="6" t="s">
        <v>7</v>
      </c>
      <c r="B14" s="35">
        <f>SUM(B11:B12)</f>
        <v>1285.78</v>
      </c>
      <c r="C14" s="35">
        <f>SUM(C11:C12)</f>
        <v>1455.04</v>
      </c>
      <c r="D14" s="35">
        <f t="shared" ref="D14:M14" si="1">SUM(D11:D12)</f>
        <v>1439.2399999999998</v>
      </c>
      <c r="E14" s="35">
        <f t="shared" si="1"/>
        <v>1138.42</v>
      </c>
      <c r="F14" s="35">
        <f t="shared" si="1"/>
        <v>1331.8000000000002</v>
      </c>
      <c r="G14" s="35">
        <f t="shared" si="1"/>
        <v>1284.49</v>
      </c>
      <c r="H14" s="35">
        <f t="shared" si="1"/>
        <v>1206.96</v>
      </c>
      <c r="I14" s="35">
        <f t="shared" si="1"/>
        <v>1261.27</v>
      </c>
      <c r="J14" s="35">
        <f t="shared" si="1"/>
        <v>1242</v>
      </c>
      <c r="K14" s="35">
        <f t="shared" si="1"/>
        <v>1181.6999999999998</v>
      </c>
      <c r="L14" s="35">
        <f t="shared" si="1"/>
        <v>1227.2400000000002</v>
      </c>
      <c r="M14" s="35">
        <f t="shared" si="1"/>
        <v>1182.7700000000002</v>
      </c>
      <c r="N14" s="35">
        <f>SUM(N11:N13)</f>
        <v>15236.71</v>
      </c>
      <c r="P14" s="45">
        <f>+'[3]Pacific Comm Credit'!$N$11-N14</f>
        <v>0</v>
      </c>
      <c r="R14" s="45"/>
      <c r="S14" s="45"/>
      <c r="T14" s="45"/>
      <c r="U14" s="45"/>
      <c r="V14" s="45"/>
      <c r="W14" s="45"/>
      <c r="X14" s="45"/>
      <c r="Y14" s="45"/>
      <c r="Z14" s="45"/>
    </row>
    <row r="15" spans="1:38" x14ac:dyDescent="0.2">
      <c r="P15" s="5"/>
    </row>
    <row r="16" spans="1:38" x14ac:dyDescent="0.2">
      <c r="A16" s="26" t="s">
        <v>20</v>
      </c>
      <c r="P16" s="5"/>
    </row>
    <row r="17" spans="1:42" x14ac:dyDescent="0.2">
      <c r="A17" s="22" t="s">
        <v>5</v>
      </c>
      <c r="B17" s="86">
        <f>+'[3]Pacific Comm Credit'!B15</f>
        <v>-72.580631999999994</v>
      </c>
      <c r="C17" s="86">
        <f>+'[3]Pacific Comm Credit'!C15</f>
        <v>-63.20414199999999</v>
      </c>
      <c r="D17" s="86">
        <f>+'[3]Pacific Comm Credit'!D15</f>
        <v>-60.236732000000003</v>
      </c>
      <c r="E17" s="86">
        <f>+'[3]Pacific Comm Credit'!E15</f>
        <v>-69.997132000000008</v>
      </c>
      <c r="F17" s="86">
        <f>+'[3]Pacific Comm Credit'!F15</f>
        <v>-64.593232</v>
      </c>
      <c r="G17" s="86">
        <f>+'[3]Pacific Comm Credit'!G15</f>
        <v>-47.949632000000015</v>
      </c>
      <c r="H17" s="86">
        <f>+'[3]Pacific Comm Credit'!H15</f>
        <v>-41.422732000000011</v>
      </c>
      <c r="I17" s="86">
        <f>+'[3]Pacific Comm Credit'!I15</f>
        <v>-19.477296000000003</v>
      </c>
      <c r="J17" s="86">
        <f>+'[3]Pacific Comm Credit'!J15</f>
        <v>0.85818399999999884</v>
      </c>
      <c r="K17" s="86">
        <f>+'[3]Pacific Comm Credit'!K15</f>
        <v>14.161643999999999</v>
      </c>
      <c r="L17" s="86">
        <f>+'[3]Pacific Comm Credit'!L15</f>
        <v>19.965324000000006</v>
      </c>
      <c r="M17" s="86">
        <f>+'[3]Pacific Comm Credit'!M15</f>
        <v>17.212044000000002</v>
      </c>
      <c r="N17" s="7"/>
      <c r="P17" s="5"/>
      <c r="R17" s="46"/>
      <c r="S17" s="46"/>
      <c r="T17" s="46"/>
      <c r="U17" s="46"/>
      <c r="V17" s="46"/>
      <c r="W17" s="46"/>
      <c r="X17" s="46"/>
      <c r="Y17" s="46"/>
      <c r="Z17" s="46"/>
    </row>
    <row r="18" spans="1:42" x14ac:dyDescent="0.2">
      <c r="A18" s="22" t="s">
        <v>6</v>
      </c>
      <c r="B18" s="86">
        <f>+'[3]Pacific Comm Credit'!B16</f>
        <v>-33</v>
      </c>
      <c r="C18" s="86">
        <f>+'[3]Pacific Comm Credit'!C16</f>
        <v>-33</v>
      </c>
      <c r="D18" s="86">
        <f>+'[3]Pacific Comm Credit'!D16</f>
        <v>-33</v>
      </c>
      <c r="E18" s="86">
        <f>+'[3]Pacific Comm Credit'!E16</f>
        <v>-33</v>
      </c>
      <c r="F18" s="86">
        <f>+'[3]Pacific Comm Credit'!F16</f>
        <v>-33</v>
      </c>
      <c r="G18" s="86">
        <f>+'[3]Pacific Comm Credit'!G16</f>
        <v>-33</v>
      </c>
      <c r="H18" s="86">
        <f>+'[3]Pacific Comm Credit'!H16</f>
        <v>-33</v>
      </c>
      <c r="I18" s="86">
        <f>+'[3]Pacific Comm Credit'!I16</f>
        <v>-33</v>
      </c>
      <c r="J18" s="86">
        <f>+'[3]Pacific Comm Credit'!J16</f>
        <v>-33</v>
      </c>
      <c r="K18" s="86">
        <f>+'[3]Pacific Comm Credit'!K16</f>
        <v>-33</v>
      </c>
      <c r="L18" s="86">
        <f>+'[3]Pacific Comm Credit'!L16</f>
        <v>-33</v>
      </c>
      <c r="M18" s="86">
        <f>+'[3]Pacific Comm Credit'!M16</f>
        <v>-33</v>
      </c>
      <c r="N18" s="8"/>
      <c r="P18" s="5"/>
      <c r="R18" s="5"/>
      <c r="S18" s="5"/>
      <c r="T18" s="5"/>
      <c r="U18" s="5"/>
      <c r="V18" s="5"/>
      <c r="W18" s="5"/>
      <c r="X18" s="5"/>
      <c r="Y18" s="5"/>
      <c r="Z18" s="5"/>
    </row>
    <row r="19" spans="1:42" x14ac:dyDescent="0.2">
      <c r="P19" s="5"/>
    </row>
    <row r="20" spans="1:42" x14ac:dyDescent="0.2">
      <c r="A20" s="26" t="s">
        <v>8</v>
      </c>
      <c r="P20" s="5"/>
    </row>
    <row r="21" spans="1:42" x14ac:dyDescent="0.2">
      <c r="A21" s="22" t="s">
        <v>5</v>
      </c>
      <c r="B21" s="36">
        <f t="shared" ref="B21:M21" si="2">+B11*B17</f>
        <v>-83556.27517103999</v>
      </c>
      <c r="C21" s="36">
        <f t="shared" si="2"/>
        <v>-82100.916375159984</v>
      </c>
      <c r="D21" s="36">
        <f t="shared" si="2"/>
        <v>-77472.870494479997</v>
      </c>
      <c r="E21" s="36">
        <f t="shared" si="2"/>
        <v>-70708.302861120028</v>
      </c>
      <c r="F21" s="36">
        <f t="shared" si="2"/>
        <v>-77156.615624000013</v>
      </c>
      <c r="G21" s="36">
        <f t="shared" si="2"/>
        <v>-54946.442301440024</v>
      </c>
      <c r="H21" s="36">
        <f t="shared" si="2"/>
        <v>-44639.207139800012</v>
      </c>
      <c r="I21" s="36">
        <f t="shared" si="2"/>
        <v>-22071.866600160003</v>
      </c>
      <c r="J21" s="36">
        <f t="shared" si="2"/>
        <v>936.86230911999883</v>
      </c>
      <c r="K21" s="36">
        <f t="shared" si="2"/>
        <v>14853.865158719997</v>
      </c>
      <c r="L21" s="36">
        <f t="shared" si="2"/>
        <v>22211.023643520013</v>
      </c>
      <c r="M21" s="36">
        <f t="shared" si="2"/>
        <v>18331.515341760005</v>
      </c>
      <c r="N21" s="9">
        <f>SUM(B21:M21)</f>
        <v>-456319.23011408007</v>
      </c>
      <c r="P21" s="8"/>
      <c r="R21" s="8"/>
      <c r="S21" s="8"/>
      <c r="T21" s="8"/>
      <c r="U21" s="8"/>
      <c r="V21" s="8"/>
      <c r="W21" s="8"/>
      <c r="X21" s="8"/>
      <c r="Y21" s="8"/>
      <c r="Z21" s="8"/>
    </row>
    <row r="22" spans="1:42" x14ac:dyDescent="0.2">
      <c r="A22" s="22" t="s">
        <v>6</v>
      </c>
      <c r="B22" s="36">
        <f t="shared" ref="B22:M22" si="3">+B18*B12</f>
        <v>-4440.4800000000005</v>
      </c>
      <c r="C22" s="36">
        <f t="shared" si="3"/>
        <v>-5149.9800000000005</v>
      </c>
      <c r="D22" s="36">
        <f t="shared" si="3"/>
        <v>-5052.3</v>
      </c>
      <c r="E22" s="36">
        <f t="shared" si="3"/>
        <v>-4232.58</v>
      </c>
      <c r="F22" s="36">
        <f t="shared" si="3"/>
        <v>-4530.9000000000005</v>
      </c>
      <c r="G22" s="36">
        <f t="shared" si="3"/>
        <v>-4572.8099999999995</v>
      </c>
      <c r="H22" s="36">
        <f t="shared" si="3"/>
        <v>-4267.2300000000005</v>
      </c>
      <c r="I22" s="36">
        <f t="shared" si="3"/>
        <v>-4225.9800000000005</v>
      </c>
      <c r="J22" s="36">
        <f t="shared" si="3"/>
        <v>-4960.5599999999995</v>
      </c>
      <c r="K22" s="36">
        <f t="shared" si="3"/>
        <v>-4383.0599999999995</v>
      </c>
      <c r="L22" s="36">
        <f t="shared" si="3"/>
        <v>-3787.0800000000004</v>
      </c>
      <c r="M22" s="36">
        <f t="shared" si="3"/>
        <v>-3885.09</v>
      </c>
      <c r="N22" s="9">
        <f>SUM(B22:M22)</f>
        <v>-53488.05</v>
      </c>
      <c r="P22" s="8"/>
      <c r="Q22" s="44"/>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6" t="s">
        <v>9</v>
      </c>
      <c r="B24" s="37">
        <f>SUM(B21:B22)</f>
        <v>-87996.755171039986</v>
      </c>
      <c r="C24" s="37">
        <f>SUM(C21:C22)</f>
        <v>-87250.89637515998</v>
      </c>
      <c r="D24" s="37">
        <f t="shared" ref="D24:M24" si="4">SUM(D21:D22)</f>
        <v>-82525.17049448</v>
      </c>
      <c r="E24" s="37">
        <f t="shared" si="4"/>
        <v>-74940.88286112003</v>
      </c>
      <c r="F24" s="37">
        <f t="shared" si="4"/>
        <v>-81687.515624000007</v>
      </c>
      <c r="G24" s="37">
        <f t="shared" si="4"/>
        <v>-59519.252301440021</v>
      </c>
      <c r="H24" s="37">
        <f t="shared" si="4"/>
        <v>-48906.437139800015</v>
      </c>
      <c r="I24" s="37">
        <f t="shared" si="4"/>
        <v>-26297.846600160003</v>
      </c>
      <c r="J24" s="37">
        <f t="shared" si="4"/>
        <v>-4023.6976908800007</v>
      </c>
      <c r="K24" s="37">
        <f t="shared" si="4"/>
        <v>10470.805158719997</v>
      </c>
      <c r="L24" s="37">
        <f t="shared" si="4"/>
        <v>18423.943643520011</v>
      </c>
      <c r="M24" s="37">
        <f t="shared" si="4"/>
        <v>14446.425341760005</v>
      </c>
      <c r="N24" s="40">
        <f>SUM(N21:N23)</f>
        <v>-509807.28011408006</v>
      </c>
      <c r="P24" s="45">
        <f>+'[3]Pacific Comm Credit'!$N$21-N24</f>
        <v>0</v>
      </c>
      <c r="R24" s="20"/>
      <c r="S24" s="20"/>
      <c r="T24" s="20"/>
      <c r="U24" s="20"/>
      <c r="V24" s="20"/>
      <c r="W24" s="20"/>
      <c r="X24" s="20"/>
      <c r="Y24" s="20"/>
      <c r="Z24" s="20"/>
      <c r="AA24" s="47"/>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43</v>
      </c>
      <c r="B27" s="16">
        <f>+'[3]Pacific Comm Credit'!B23</f>
        <v>61358</v>
      </c>
      <c r="C27" s="16">
        <f>+'[3]Pacific Comm Credit'!C23</f>
        <v>61419</v>
      </c>
      <c r="D27" s="16">
        <f>+'[3]Pacific Comm Credit'!D23</f>
        <v>61515</v>
      </c>
      <c r="E27" s="16">
        <f>+'[3]Pacific Comm Credit'!E23</f>
        <v>61602</v>
      </c>
      <c r="F27" s="16">
        <f>+'[3]Pacific Comm Credit'!F23</f>
        <v>61749</v>
      </c>
      <c r="G27" s="16">
        <f>+'[3]Pacific Comm Credit'!G23</f>
        <v>61996</v>
      </c>
      <c r="H27" s="16">
        <f>+'[3]Pacific Comm Credit'!H23</f>
        <v>61713</v>
      </c>
      <c r="I27" s="16">
        <f>+'[3]Pacific Comm Credit'!I23</f>
        <v>62340</v>
      </c>
      <c r="J27" s="16">
        <f>+'[3]Pacific Comm Credit'!J23</f>
        <v>62499</v>
      </c>
      <c r="K27" s="16">
        <f>+'[3]Pacific Comm Credit'!K23</f>
        <v>62602</v>
      </c>
      <c r="L27" s="16">
        <f>+'[3]Pacific Comm Credit'!L23</f>
        <v>62541</v>
      </c>
      <c r="M27" s="16">
        <f>+'[3]Pacific Comm Credit'!M23</f>
        <v>62528</v>
      </c>
      <c r="N27" s="19">
        <f>+SUM(B27:M27)</f>
        <v>743862</v>
      </c>
      <c r="P27" s="87">
        <f>+'[3]Pacific Comm Credit'!$N$23-N27</f>
        <v>0</v>
      </c>
      <c r="Q27" s="48"/>
      <c r="R27" s="48"/>
      <c r="S27" s="48"/>
      <c r="T27" s="48"/>
      <c r="U27" s="48"/>
      <c r="V27" s="48"/>
      <c r="W27" s="48"/>
      <c r="X27" s="48"/>
      <c r="Y27" s="48"/>
      <c r="Z27" s="48"/>
      <c r="AA27" s="48"/>
      <c r="AB27" s="48"/>
      <c r="AC27" s="48"/>
      <c r="AD27" s="48"/>
      <c r="AE27" s="48"/>
      <c r="AF27" s="48"/>
      <c r="AG27" s="48"/>
      <c r="AH27" s="48"/>
      <c r="AI27" s="48"/>
      <c r="AJ27" s="48"/>
      <c r="AK27" s="48"/>
      <c r="AL27" s="48"/>
      <c r="AM27" s="12"/>
      <c r="AN27" s="12"/>
      <c r="AO27" s="12"/>
      <c r="AP27" s="12"/>
    </row>
    <row r="28" spans="1:42" s="11" customFormat="1" x14ac:dyDescent="0.2">
      <c r="A28" s="10"/>
      <c r="N28" s="8"/>
      <c r="O28" s="8"/>
      <c r="P28" s="45"/>
      <c r="Q28" s="5"/>
      <c r="R28" s="48"/>
      <c r="S28" s="48"/>
      <c r="T28" s="48"/>
      <c r="U28" s="48"/>
      <c r="V28" s="48"/>
      <c r="W28" s="48"/>
      <c r="X28" s="48"/>
      <c r="Y28" s="48"/>
      <c r="Z28" s="48"/>
      <c r="AA28" s="5"/>
      <c r="AB28" s="5"/>
      <c r="AC28" s="5"/>
      <c r="AD28" s="5"/>
      <c r="AE28" s="5"/>
      <c r="AF28" s="5"/>
      <c r="AG28" s="5"/>
      <c r="AH28" s="5"/>
      <c r="AI28" s="5"/>
      <c r="AJ28" s="5"/>
      <c r="AK28" s="5"/>
      <c r="AL28" s="5"/>
    </row>
    <row r="29" spans="1:42" s="16" customFormat="1" x14ac:dyDescent="0.2">
      <c r="A29" s="10"/>
      <c r="N29" s="15"/>
      <c r="O29" s="8"/>
      <c r="P29" s="45"/>
      <c r="Q29" s="8"/>
      <c r="R29" s="8"/>
      <c r="S29" s="8"/>
      <c r="T29" s="8"/>
      <c r="U29" s="8"/>
      <c r="V29" s="8"/>
      <c r="W29" s="8"/>
      <c r="X29" s="8"/>
      <c r="Y29" s="8"/>
      <c r="Z29" s="8"/>
      <c r="AA29" s="8"/>
      <c r="AB29" s="8"/>
      <c r="AC29" s="8"/>
      <c r="AD29" s="8"/>
      <c r="AE29" s="8"/>
      <c r="AF29" s="8"/>
      <c r="AG29" s="8"/>
      <c r="AH29" s="8"/>
      <c r="AI29" s="8"/>
      <c r="AJ29" s="8"/>
      <c r="AK29" s="8"/>
      <c r="AL29" s="8"/>
    </row>
    <row r="30" spans="1:42" s="16" customFormat="1" x14ac:dyDescent="0.2">
      <c r="A30" s="10" t="s">
        <v>13</v>
      </c>
      <c r="B30" s="27">
        <f>+IFERROR(B24/B27,0)</f>
        <v>-1.4341529249819092</v>
      </c>
      <c r="C30" s="27">
        <f t="shared" ref="C30:M30" si="5">+IFERROR(C24/C27,0)</f>
        <v>-1.420584776293329</v>
      </c>
      <c r="D30" s="27">
        <f t="shared" si="5"/>
        <v>-1.3415454847513615</v>
      </c>
      <c r="E30" s="27">
        <f t="shared" si="5"/>
        <v>-1.2165332758858483</v>
      </c>
      <c r="F30" s="27">
        <f t="shared" si="5"/>
        <v>-1.3228961703671316</v>
      </c>
      <c r="G30" s="27">
        <f t="shared" si="5"/>
        <v>-0.9600498790476808</v>
      </c>
      <c r="H30" s="27">
        <f t="shared" si="5"/>
        <v>-0.79248192665726858</v>
      </c>
      <c r="I30" s="27">
        <f t="shared" si="5"/>
        <v>-0.42184547000577483</v>
      </c>
      <c r="J30" s="27">
        <f t="shared" si="5"/>
        <v>-6.4380193137170208E-2</v>
      </c>
      <c r="K30" s="27">
        <f t="shared" si="5"/>
        <v>0.16725991435928561</v>
      </c>
      <c r="L30" s="27">
        <f t="shared" si="5"/>
        <v>0.29458984735645433</v>
      </c>
      <c r="M30" s="27">
        <f t="shared" si="5"/>
        <v>0.23103929986182198</v>
      </c>
      <c r="N30" s="17"/>
      <c r="O30" s="8"/>
      <c r="P30" s="5"/>
      <c r="Q30" s="8"/>
      <c r="R30" s="5"/>
      <c r="S30" s="5"/>
      <c r="T30" s="5"/>
      <c r="U30" s="5"/>
      <c r="V30" s="5"/>
      <c r="W30" s="5"/>
      <c r="X30" s="5"/>
      <c r="Y30" s="5"/>
      <c r="Z30" s="5"/>
      <c r="AA30" s="50"/>
      <c r="AB30" s="8"/>
      <c r="AC30" s="8"/>
      <c r="AD30" s="8"/>
      <c r="AE30" s="8"/>
      <c r="AF30" s="8"/>
      <c r="AG30" s="8"/>
      <c r="AH30" s="8"/>
      <c r="AI30" s="8"/>
      <c r="AJ30" s="8"/>
      <c r="AK30" s="8"/>
      <c r="AL30" s="8"/>
    </row>
    <row r="31" spans="1:42" s="16" customFormat="1" x14ac:dyDescent="0.2">
      <c r="A31" s="10" t="s">
        <v>14</v>
      </c>
      <c r="B31" s="27">
        <f>+'Pacific CPA 1.1.21'!$M$31</f>
        <v>-1.8069771477324221</v>
      </c>
      <c r="C31" s="27">
        <f>+'Pacific CPA 1.1.21'!$M$31</f>
        <v>-1.8069771477324221</v>
      </c>
      <c r="D31" s="27">
        <f>+'Pacific CPA 1.1.21'!$N$36</f>
        <v>-1.91</v>
      </c>
      <c r="E31" s="27">
        <f>+'Pacific CPA 1.1.21'!$N$36</f>
        <v>-1.91</v>
      </c>
      <c r="F31" s="27">
        <f>+'Pacific CPA 1.1.21'!$N$36</f>
        <v>-1.91</v>
      </c>
      <c r="G31" s="27">
        <f>+'Pacific CPA 1.1.21'!$N$36</f>
        <v>-1.91</v>
      </c>
      <c r="H31" s="27">
        <f>+'Pacific CPA 1.1.21'!$N$36</f>
        <v>-1.91</v>
      </c>
      <c r="I31" s="27">
        <f>+'Pacific CPA 1.1.21'!$N$36</f>
        <v>-1.91</v>
      </c>
      <c r="J31" s="27">
        <f>+'Pacific CPA 1.1.21'!$N$36</f>
        <v>-1.91</v>
      </c>
      <c r="K31" s="27">
        <f>+'Pacific CPA 1.1.21'!$N$36</f>
        <v>-1.91</v>
      </c>
      <c r="L31" s="27">
        <f>+'Pacific CPA 1.1.21'!$N$36</f>
        <v>-1.91</v>
      </c>
      <c r="M31" s="27">
        <f>+'Pacific CPA 1.1.21'!$N$36</f>
        <v>-1.91</v>
      </c>
      <c r="N31" s="17"/>
      <c r="O31" s="8"/>
      <c r="P31" s="5"/>
      <c r="Q31" s="8"/>
      <c r="R31" s="5"/>
      <c r="S31" s="5"/>
      <c r="T31" s="5"/>
      <c r="U31" s="5"/>
      <c r="V31" s="5"/>
      <c r="W31" s="5"/>
      <c r="X31" s="5"/>
      <c r="Y31" s="5"/>
      <c r="Z31" s="5"/>
      <c r="AA31" s="8"/>
      <c r="AB31" s="8"/>
      <c r="AC31" s="8"/>
      <c r="AD31" s="8"/>
      <c r="AE31" s="8"/>
      <c r="AF31" s="8"/>
      <c r="AG31" s="8"/>
      <c r="AH31" s="8"/>
      <c r="AI31" s="8"/>
      <c r="AJ31" s="8"/>
      <c r="AK31" s="8"/>
      <c r="AL31" s="8"/>
    </row>
    <row r="32" spans="1:42" s="16" customFormat="1" x14ac:dyDescent="0.2">
      <c r="A32" s="10"/>
      <c r="B32" s="27"/>
      <c r="C32" s="27"/>
      <c r="D32" s="27"/>
      <c r="E32" s="27"/>
      <c r="F32" s="27"/>
      <c r="G32" s="27"/>
      <c r="H32" s="27"/>
      <c r="I32" s="27"/>
      <c r="J32" s="27"/>
      <c r="K32" s="27"/>
      <c r="L32" s="27"/>
      <c r="M32" s="27"/>
      <c r="N32" s="17"/>
      <c r="O32" s="8"/>
      <c r="P32" s="5"/>
      <c r="Q32" s="8"/>
      <c r="R32" s="5"/>
      <c r="S32" s="5"/>
      <c r="T32" s="5"/>
      <c r="U32" s="5"/>
      <c r="V32" s="5"/>
      <c r="W32" s="5"/>
      <c r="X32" s="5"/>
      <c r="Y32" s="5"/>
      <c r="Z32" s="5"/>
      <c r="AA32" s="8"/>
      <c r="AB32" s="8"/>
      <c r="AC32" s="8"/>
      <c r="AD32" s="8"/>
      <c r="AE32" s="8"/>
      <c r="AF32" s="8"/>
      <c r="AG32" s="8"/>
      <c r="AH32" s="8"/>
      <c r="AI32" s="8"/>
      <c r="AJ32" s="8"/>
      <c r="AK32" s="8"/>
      <c r="AL32" s="8"/>
    </row>
    <row r="33" spans="1:38" s="19" customFormat="1" ht="13.5" thickBot="1" x14ac:dyDescent="0.25">
      <c r="A33" s="13" t="s">
        <v>17</v>
      </c>
      <c r="B33" s="92">
        <f t="shared" ref="B33:M33" si="6">+(B30-B31)*B27</f>
        <v>22875.748659525976</v>
      </c>
      <c r="C33" s="92">
        <f t="shared" si="6"/>
        <v>23731.833061417659</v>
      </c>
      <c r="D33" s="92">
        <f t="shared" si="6"/>
        <v>34968.479505519994</v>
      </c>
      <c r="E33" s="92">
        <f t="shared" si="6"/>
        <v>42718.93713887997</v>
      </c>
      <c r="F33" s="92">
        <f t="shared" si="6"/>
        <v>36253.07437599999</v>
      </c>
      <c r="G33" s="92">
        <f t="shared" si="6"/>
        <v>58893.107698559979</v>
      </c>
      <c r="H33" s="92">
        <f t="shared" si="6"/>
        <v>68965.39286019998</v>
      </c>
      <c r="I33" s="92">
        <f t="shared" si="6"/>
        <v>92771.553399839991</v>
      </c>
      <c r="J33" s="92">
        <f t="shared" si="6"/>
        <v>115349.39230912</v>
      </c>
      <c r="K33" s="92">
        <f t="shared" si="6"/>
        <v>130040.62515871998</v>
      </c>
      <c r="L33" s="92">
        <f t="shared" si="6"/>
        <v>137877.25364352</v>
      </c>
      <c r="M33" s="92">
        <f t="shared" si="6"/>
        <v>133874.90534175999</v>
      </c>
      <c r="N33" s="92">
        <f>SUM(B33:M33)</f>
        <v>898320.30315306364</v>
      </c>
      <c r="O33" s="7"/>
      <c r="P33" s="7"/>
      <c r="Q33" s="7"/>
      <c r="R33" s="7"/>
      <c r="S33" s="7"/>
      <c r="T33" s="7"/>
      <c r="U33" s="7"/>
      <c r="V33" s="7"/>
      <c r="W33" s="7"/>
      <c r="X33" s="7"/>
      <c r="Y33" s="7"/>
      <c r="Z33" s="7"/>
      <c r="AA33" s="7"/>
      <c r="AB33" s="7"/>
      <c r="AC33" s="7"/>
      <c r="AD33" s="7"/>
      <c r="AE33" s="7"/>
      <c r="AF33" s="7"/>
      <c r="AG33" s="7"/>
      <c r="AH33" s="7"/>
      <c r="AI33" s="7"/>
      <c r="AJ33" s="7"/>
      <c r="AK33" s="7"/>
      <c r="AL33" s="7"/>
    </row>
    <row r="34" spans="1:38" s="16" customFormat="1" x14ac:dyDescent="0.2">
      <c r="A34" s="10"/>
      <c r="B34" s="11"/>
      <c r="C34" s="11"/>
      <c r="D34" s="11"/>
      <c r="E34" s="11"/>
      <c r="F34" s="11"/>
      <c r="G34" s="11"/>
      <c r="H34" s="11"/>
      <c r="I34" s="11"/>
      <c r="J34" s="11"/>
      <c r="K34" s="11"/>
      <c r="L34" s="11"/>
      <c r="M34" s="11"/>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1:38" x14ac:dyDescent="0.2">
      <c r="A35" s="16"/>
      <c r="B35" s="28"/>
      <c r="C35" s="28"/>
      <c r="D35" s="28"/>
      <c r="E35" s="28"/>
      <c r="F35" s="28"/>
      <c r="G35" s="28"/>
      <c r="H35" s="28"/>
      <c r="I35" s="28"/>
      <c r="J35" s="28"/>
      <c r="K35" s="28"/>
      <c r="L35" s="28"/>
      <c r="M35" s="21" t="s">
        <v>18</v>
      </c>
      <c r="N35" s="17">
        <f>ROUND(N33/N27,2)</f>
        <v>1.21</v>
      </c>
      <c r="Q35" s="8"/>
      <c r="R35" s="44"/>
      <c r="X35" s="51"/>
      <c r="Y35" s="51"/>
      <c r="Z35" s="51"/>
      <c r="AA35" s="52"/>
    </row>
    <row r="36" spans="1:38" x14ac:dyDescent="0.2">
      <c r="A36" s="16"/>
      <c r="B36" s="89"/>
      <c r="C36" s="89"/>
      <c r="D36" s="89"/>
      <c r="E36" s="89"/>
      <c r="F36" s="89"/>
      <c r="G36" s="89"/>
      <c r="H36" s="89"/>
      <c r="I36" s="89"/>
      <c r="J36" s="89"/>
      <c r="K36" s="89"/>
      <c r="L36" s="21"/>
      <c r="M36" s="21" t="s">
        <v>48</v>
      </c>
      <c r="N36" s="81">
        <f>ROUND(N24/N27,2)</f>
        <v>-0.69</v>
      </c>
      <c r="X36" s="51"/>
      <c r="Y36" s="51"/>
      <c r="Z36" s="51"/>
      <c r="AA36" s="44"/>
    </row>
    <row r="37" spans="1:38" x14ac:dyDescent="0.2">
      <c r="A37" s="16"/>
      <c r="J37" s="21"/>
      <c r="K37" s="21"/>
      <c r="L37" s="21"/>
      <c r="M37" s="42" t="s">
        <v>44</v>
      </c>
      <c r="N37" s="18">
        <f>-N35-N36</f>
        <v>-0.52</v>
      </c>
      <c r="X37" s="51"/>
      <c r="Y37" s="51"/>
      <c r="Z37" s="51"/>
      <c r="AA37" s="53"/>
    </row>
    <row r="38" spans="1:38" x14ac:dyDescent="0.2">
      <c r="A38" s="16"/>
      <c r="B38" s="84"/>
      <c r="C38" s="21"/>
      <c r="D38" s="21"/>
      <c r="E38" s="85"/>
      <c r="F38" s="21"/>
      <c r="G38" s="21"/>
      <c r="H38" s="21"/>
      <c r="I38" s="21"/>
      <c r="J38" s="21"/>
      <c r="K38" s="21"/>
      <c r="L38" s="21"/>
      <c r="M38" s="21"/>
      <c r="N38" s="18"/>
      <c r="X38" s="51"/>
      <c r="Y38" s="51"/>
      <c r="Z38" s="51"/>
      <c r="AA38" s="53"/>
    </row>
    <row r="39" spans="1:38" x14ac:dyDescent="0.2">
      <c r="A39" s="29"/>
      <c r="B39" s="39"/>
      <c r="C39" s="39"/>
      <c r="D39" s="39"/>
      <c r="E39" s="39"/>
      <c r="F39" s="39"/>
      <c r="G39" s="39"/>
      <c r="H39" s="39"/>
      <c r="I39" s="39"/>
      <c r="J39" s="21"/>
      <c r="K39" s="21"/>
      <c r="L39" s="21"/>
      <c r="M39" s="21" t="s">
        <v>45</v>
      </c>
      <c r="N39" s="88">
        <f>+'Pacific CPA 1.1.21'!N37</f>
        <v>2.04</v>
      </c>
      <c r="Q39" s="8"/>
      <c r="R39" s="8"/>
      <c r="S39" s="55"/>
      <c r="X39" s="8"/>
      <c r="Y39" s="8"/>
      <c r="Z39" s="51"/>
    </row>
    <row r="40" spans="1:38" x14ac:dyDescent="0.2">
      <c r="A40" s="10"/>
      <c r="B40" s="21"/>
      <c r="C40" s="21"/>
      <c r="D40" s="21"/>
      <c r="E40" s="21"/>
      <c r="F40" s="21"/>
      <c r="G40" s="21"/>
      <c r="H40" s="21"/>
      <c r="I40" s="21"/>
      <c r="J40" s="21"/>
      <c r="K40" s="21"/>
      <c r="L40" s="21"/>
      <c r="M40" s="21" t="s">
        <v>15</v>
      </c>
      <c r="N40" s="17">
        <f>+N37-N39</f>
        <v>-2.56</v>
      </c>
      <c r="O40" s="56">
        <f>N40/N39</f>
        <v>-1.2549019607843137</v>
      </c>
      <c r="X40" s="8"/>
      <c r="Y40" s="8"/>
      <c r="Z40" s="51"/>
    </row>
    <row r="41" spans="1:38" x14ac:dyDescent="0.2">
      <c r="A41" s="10"/>
      <c r="B41" s="21"/>
      <c r="C41" s="21"/>
      <c r="D41" s="21"/>
      <c r="E41" s="21"/>
      <c r="F41" s="21"/>
      <c r="G41" s="21"/>
      <c r="H41" s="21"/>
      <c r="I41" s="21"/>
      <c r="J41" s="21"/>
      <c r="K41" s="21"/>
      <c r="L41" s="21"/>
      <c r="M41" s="21" t="s">
        <v>36</v>
      </c>
      <c r="N41" s="9">
        <f>N40*M27*12</f>
        <v>-1920860.1599999999</v>
      </c>
      <c r="P41" s="44"/>
      <c r="R41" s="44"/>
      <c r="S41" s="44"/>
      <c r="T41" s="44"/>
      <c r="U41" s="44"/>
      <c r="V41" s="44"/>
      <c r="W41" s="44"/>
      <c r="X41" s="44"/>
      <c r="Y41" s="44"/>
      <c r="Z41" s="44"/>
    </row>
    <row r="42" spans="1:38" x14ac:dyDescent="0.2">
      <c r="A42" s="10"/>
      <c r="B42" s="21"/>
      <c r="C42" s="21"/>
      <c r="D42" s="21"/>
      <c r="E42" s="21"/>
      <c r="F42" s="21"/>
      <c r="G42" s="21"/>
      <c r="H42" s="21"/>
      <c r="I42" s="21"/>
      <c r="J42" s="21"/>
      <c r="K42" s="21"/>
      <c r="L42" s="21"/>
      <c r="M42" s="21"/>
      <c r="N42" s="8"/>
      <c r="P42" s="44"/>
      <c r="R42" s="44"/>
      <c r="S42" s="44"/>
      <c r="T42" s="44"/>
      <c r="U42" s="44"/>
      <c r="V42" s="44"/>
      <c r="W42" s="44"/>
      <c r="X42" s="44"/>
      <c r="Y42" s="44"/>
      <c r="Z42" s="44"/>
    </row>
    <row r="43" spans="1:38" x14ac:dyDescent="0.2">
      <c r="A43" s="10"/>
      <c r="B43" s="11"/>
      <c r="C43" s="11"/>
      <c r="D43" s="11"/>
      <c r="E43" s="11"/>
      <c r="F43" s="11"/>
      <c r="G43" s="11"/>
      <c r="H43" s="11"/>
      <c r="I43" s="11"/>
      <c r="J43" s="11"/>
      <c r="K43" s="11"/>
      <c r="L43" s="11"/>
      <c r="M43" s="11"/>
      <c r="N43" s="8"/>
    </row>
    <row r="44" spans="1:38" x14ac:dyDescent="0.2">
      <c r="A44" s="29"/>
      <c r="B44" s="1"/>
      <c r="C44" s="1"/>
      <c r="D44" s="1"/>
      <c r="E44" s="1"/>
      <c r="F44" s="1"/>
      <c r="G44" s="1"/>
      <c r="H44" s="1"/>
      <c r="I44" s="1"/>
      <c r="J44" s="1"/>
      <c r="K44" s="1"/>
      <c r="L44" s="1"/>
      <c r="M44" s="1"/>
      <c r="N44" s="1" t="s">
        <v>28</v>
      </c>
      <c r="Y44" s="51"/>
      <c r="Z44" s="51"/>
      <c r="AA44" s="52"/>
    </row>
    <row r="45" spans="1:38" x14ac:dyDescent="0.2">
      <c r="A45" s="29" t="s">
        <v>16</v>
      </c>
      <c r="B45" s="2">
        <f>B6</f>
        <v>44136</v>
      </c>
      <c r="C45" s="2">
        <f>B45+31</f>
        <v>44167</v>
      </c>
      <c r="D45" s="2">
        <f t="shared" ref="D45:M45" si="7">C45+31</f>
        <v>44198</v>
      </c>
      <c r="E45" s="2">
        <f t="shared" si="7"/>
        <v>44229</v>
      </c>
      <c r="F45" s="2">
        <f t="shared" si="7"/>
        <v>44260</v>
      </c>
      <c r="G45" s="2">
        <f t="shared" si="7"/>
        <v>44291</v>
      </c>
      <c r="H45" s="2">
        <f t="shared" si="7"/>
        <v>44322</v>
      </c>
      <c r="I45" s="2">
        <f t="shared" si="7"/>
        <v>44353</v>
      </c>
      <c r="J45" s="2">
        <f t="shared" si="7"/>
        <v>44384</v>
      </c>
      <c r="K45" s="2">
        <f t="shared" si="7"/>
        <v>44415</v>
      </c>
      <c r="L45" s="2">
        <f t="shared" si="7"/>
        <v>44446</v>
      </c>
      <c r="M45" s="2">
        <f t="shared" si="7"/>
        <v>44477</v>
      </c>
      <c r="N45" s="2" t="s">
        <v>2</v>
      </c>
      <c r="Y45" s="51"/>
      <c r="Z45" s="51"/>
      <c r="AA45" s="44"/>
    </row>
    <row r="46" spans="1:38" x14ac:dyDescent="0.2">
      <c r="A46" s="25" t="s">
        <v>4</v>
      </c>
      <c r="B46" s="4"/>
      <c r="C46" s="4"/>
      <c r="D46" s="4"/>
      <c r="E46" s="4"/>
      <c r="F46" s="4"/>
      <c r="G46" s="4"/>
      <c r="H46" s="4"/>
      <c r="I46" s="4"/>
      <c r="J46" s="4"/>
      <c r="K46" s="4"/>
      <c r="L46" s="4"/>
      <c r="M46" s="4"/>
      <c r="N46" s="4"/>
      <c r="Y46" s="51"/>
      <c r="Z46" s="51"/>
      <c r="AA46" s="53"/>
    </row>
    <row r="47" spans="1:38" x14ac:dyDescent="0.2">
      <c r="A47" s="22" t="s">
        <v>5</v>
      </c>
      <c r="B47" s="11">
        <f>+'[3]Pacific Comm Credit'!B39</f>
        <v>86.939999999999969</v>
      </c>
      <c r="C47" s="11">
        <f>+'[3]Pacific Comm Credit'!C39</f>
        <v>95.220000000000027</v>
      </c>
      <c r="D47" s="11">
        <f>+'[3]Pacific Comm Credit'!D39</f>
        <v>95.220000000000027</v>
      </c>
      <c r="E47" s="11">
        <f>+'[3]Pacific Comm Credit'!E39</f>
        <v>82.8</v>
      </c>
      <c r="F47" s="11">
        <f>+'[3]Pacific Comm Credit'!F39</f>
        <v>91.090000000000018</v>
      </c>
      <c r="G47" s="11">
        <f>+'[3]Pacific Comm Credit'!G39</f>
        <v>91.090000000000018</v>
      </c>
      <c r="H47" s="11">
        <f>+'[3]Pacific Comm Credit'!H39</f>
        <v>98.909999999999968</v>
      </c>
      <c r="I47" s="11">
        <f>+'[3]Pacific Comm Credit'!I39</f>
        <v>103.60999999999997</v>
      </c>
      <c r="J47" s="11">
        <f>+'[3]Pacific Comm Credit'!J39</f>
        <v>108.32000000000002</v>
      </c>
      <c r="K47" s="11">
        <f>+'[3]Pacific Comm Credit'!K39</f>
        <v>98.91</v>
      </c>
      <c r="L47" s="11">
        <f>+'[3]Pacific Comm Credit'!L39</f>
        <v>103.61240799999999</v>
      </c>
      <c r="M47" s="11">
        <f>+'[3]Pacific Comm Credit'!M39</f>
        <v>103.61240799999999</v>
      </c>
      <c r="N47" s="5">
        <f>SUM(B47:M47)</f>
        <v>1159.334816</v>
      </c>
    </row>
    <row r="48" spans="1:38" x14ac:dyDescent="0.2">
      <c r="A48" s="22" t="s">
        <v>6</v>
      </c>
      <c r="B48" s="11">
        <f>+'[3]Pacific Comm Credit'!B40</f>
        <v>14.32</v>
      </c>
      <c r="C48" s="11">
        <f>+'[3]Pacific Comm Credit'!C40</f>
        <v>16.03</v>
      </c>
      <c r="D48" s="11">
        <f>+'[3]Pacific Comm Credit'!D40</f>
        <v>15.9</v>
      </c>
      <c r="E48" s="11">
        <f>+'[3]Pacific Comm Credit'!E40</f>
        <v>13.620000000000001</v>
      </c>
      <c r="F48" s="11">
        <f>+'[3]Pacific Comm Credit'!F40</f>
        <v>14.82</v>
      </c>
      <c r="G48" s="11">
        <f>+'[3]Pacific Comm Credit'!G40</f>
        <v>14.850000000000001</v>
      </c>
      <c r="H48" s="11">
        <f>+'[3]Pacific Comm Credit'!H40</f>
        <v>22.05</v>
      </c>
      <c r="I48" s="11">
        <f>+'[3]Pacific Comm Credit'!I40</f>
        <v>22.740000000000002</v>
      </c>
      <c r="J48" s="11">
        <f>+'[3]Pacific Comm Credit'!J40</f>
        <v>24.44</v>
      </c>
      <c r="K48" s="11">
        <f>+'[3]Pacific Comm Credit'!K40</f>
        <v>22.12</v>
      </c>
      <c r="L48" s="11">
        <f>+'[3]Pacific Comm Credit'!L40</f>
        <v>22.160000000000004</v>
      </c>
      <c r="M48" s="11">
        <f>+'[3]Pacific Comm Credit'!M40</f>
        <v>22.290000000000003</v>
      </c>
      <c r="N48" s="5">
        <f>SUM(B48:M48)</f>
        <v>225.33999999999997</v>
      </c>
    </row>
    <row r="49" spans="1:16" x14ac:dyDescent="0.2">
      <c r="B49" s="11"/>
      <c r="C49" s="11"/>
      <c r="D49" s="11"/>
      <c r="E49" s="11"/>
      <c r="F49" s="11"/>
      <c r="G49" s="11"/>
      <c r="H49" s="11"/>
      <c r="I49" s="11"/>
      <c r="J49" s="11"/>
      <c r="K49" s="11"/>
      <c r="L49" s="11"/>
      <c r="M49" s="11"/>
      <c r="N49" s="5"/>
    </row>
    <row r="50" spans="1:16" s="6" customFormat="1" x14ac:dyDescent="0.2">
      <c r="A50" s="6" t="s">
        <v>2</v>
      </c>
      <c r="B50" s="91">
        <f>SUM(B47:B49)</f>
        <v>101.25999999999996</v>
      </c>
      <c r="C50" s="91">
        <f>SUM(C47:C49)</f>
        <v>111.25000000000003</v>
      </c>
      <c r="D50" s="91">
        <f t="shared" ref="D50:K50" si="8">SUM(D47:D48)</f>
        <v>111.12000000000003</v>
      </c>
      <c r="E50" s="91">
        <f t="shared" si="8"/>
        <v>96.42</v>
      </c>
      <c r="F50" s="91">
        <f t="shared" si="8"/>
        <v>105.91000000000003</v>
      </c>
      <c r="G50" s="91">
        <f t="shared" si="8"/>
        <v>105.94000000000003</v>
      </c>
      <c r="H50" s="91">
        <f t="shared" si="8"/>
        <v>120.95999999999997</v>
      </c>
      <c r="I50" s="91">
        <f t="shared" si="8"/>
        <v>126.34999999999997</v>
      </c>
      <c r="J50" s="91">
        <f t="shared" si="8"/>
        <v>132.76000000000002</v>
      </c>
      <c r="K50" s="91">
        <f t="shared" si="8"/>
        <v>121.03</v>
      </c>
      <c r="L50" s="91">
        <f>SUM(L47:L48)</f>
        <v>125.77240799999998</v>
      </c>
      <c r="M50" s="91">
        <f>SUM(M47:M48)</f>
        <v>125.90240799999999</v>
      </c>
      <c r="N50" s="35">
        <f>SUM(N47:N49)</f>
        <v>1384.674816</v>
      </c>
      <c r="P50" s="57">
        <f>+'[3]Pacific Comm Credit'!$N$41-N50</f>
        <v>0</v>
      </c>
    </row>
    <row r="52" spans="1:16" x14ac:dyDescent="0.2">
      <c r="A52" s="26" t="s">
        <v>20</v>
      </c>
    </row>
    <row r="53" spans="1:16" x14ac:dyDescent="0.2">
      <c r="A53" s="22" t="s">
        <v>5</v>
      </c>
      <c r="B53" s="86">
        <f>B17</f>
        <v>-72.580631999999994</v>
      </c>
      <c r="C53" s="86">
        <f t="shared" ref="C53:M53" si="9">C17</f>
        <v>-63.20414199999999</v>
      </c>
      <c r="D53" s="86">
        <f t="shared" si="9"/>
        <v>-60.236732000000003</v>
      </c>
      <c r="E53" s="86">
        <f t="shared" si="9"/>
        <v>-69.997132000000008</v>
      </c>
      <c r="F53" s="86">
        <f t="shared" si="9"/>
        <v>-64.593232</v>
      </c>
      <c r="G53" s="86">
        <f t="shared" si="9"/>
        <v>-47.949632000000015</v>
      </c>
      <c r="H53" s="86">
        <f t="shared" si="9"/>
        <v>-41.422732000000011</v>
      </c>
      <c r="I53" s="86">
        <f t="shared" si="9"/>
        <v>-19.477296000000003</v>
      </c>
      <c r="J53" s="86">
        <f t="shared" si="9"/>
        <v>0.85818399999999884</v>
      </c>
      <c r="K53" s="86">
        <f t="shared" si="9"/>
        <v>14.161643999999999</v>
      </c>
      <c r="L53" s="86">
        <f t="shared" si="9"/>
        <v>19.965324000000006</v>
      </c>
      <c r="M53" s="86">
        <f t="shared" si="9"/>
        <v>17.212044000000002</v>
      </c>
      <c r="N53" s="8"/>
    </row>
    <row r="54" spans="1:16" x14ac:dyDescent="0.2">
      <c r="A54" s="22" t="s">
        <v>6</v>
      </c>
      <c r="B54" s="86">
        <f>B18</f>
        <v>-33</v>
      </c>
      <c r="C54" s="86">
        <f t="shared" ref="C54:M54" si="10">C18</f>
        <v>-33</v>
      </c>
      <c r="D54" s="86">
        <f t="shared" si="10"/>
        <v>-33</v>
      </c>
      <c r="E54" s="86">
        <f t="shared" si="10"/>
        <v>-33</v>
      </c>
      <c r="F54" s="86">
        <f t="shared" si="10"/>
        <v>-33</v>
      </c>
      <c r="G54" s="86">
        <f t="shared" si="10"/>
        <v>-33</v>
      </c>
      <c r="H54" s="86">
        <f t="shared" si="10"/>
        <v>-33</v>
      </c>
      <c r="I54" s="86">
        <f t="shared" si="10"/>
        <v>-33</v>
      </c>
      <c r="J54" s="86">
        <f t="shared" si="10"/>
        <v>-33</v>
      </c>
      <c r="K54" s="86">
        <f t="shared" si="10"/>
        <v>-33</v>
      </c>
      <c r="L54" s="86">
        <f t="shared" si="10"/>
        <v>-33</v>
      </c>
      <c r="M54" s="86">
        <f t="shared" si="10"/>
        <v>-33</v>
      </c>
      <c r="N54" s="8"/>
    </row>
    <row r="56" spans="1:16" x14ac:dyDescent="0.2">
      <c r="A56" s="26" t="s">
        <v>8</v>
      </c>
    </row>
    <row r="57" spans="1:16" x14ac:dyDescent="0.2">
      <c r="A57" s="22" t="s">
        <v>5</v>
      </c>
      <c r="B57" s="36">
        <f>B47*B53</f>
        <v>-6310.1601460799975</v>
      </c>
      <c r="C57" s="36">
        <f t="shared" ref="C57:M57" si="11">C47*C53</f>
        <v>-6018.2984012400011</v>
      </c>
      <c r="D57" s="36">
        <f t="shared" si="11"/>
        <v>-5735.7416210400024</v>
      </c>
      <c r="E57" s="36">
        <f t="shared" si="11"/>
        <v>-5795.7625296000006</v>
      </c>
      <c r="F57" s="36">
        <f t="shared" si="11"/>
        <v>-5883.797502880001</v>
      </c>
      <c r="G57" s="36">
        <f t="shared" si="11"/>
        <v>-4367.7319788800023</v>
      </c>
      <c r="H57" s="36">
        <f t="shared" si="11"/>
        <v>-4097.12242212</v>
      </c>
      <c r="I57" s="36">
        <f t="shared" si="11"/>
        <v>-2018.0426385599997</v>
      </c>
      <c r="J57" s="36">
        <f t="shared" si="11"/>
        <v>92.958490879999886</v>
      </c>
      <c r="K57" s="36">
        <f t="shared" si="11"/>
        <v>1400.7282080399998</v>
      </c>
      <c r="L57" s="36">
        <f t="shared" si="11"/>
        <v>2068.6552961401926</v>
      </c>
      <c r="M57" s="36">
        <f t="shared" si="11"/>
        <v>1783.381325441952</v>
      </c>
      <c r="N57" s="9">
        <f>SUM(B57:M57)</f>
        <v>-34880.933919897871</v>
      </c>
    </row>
    <row r="58" spans="1:16" x14ac:dyDescent="0.2">
      <c r="A58" s="22" t="s">
        <v>6</v>
      </c>
      <c r="B58" s="36">
        <f>B48*B54</f>
        <v>-472.56</v>
      </c>
      <c r="C58" s="36">
        <f t="shared" ref="C58:M58" si="12">C48*C54</f>
        <v>-528.99</v>
      </c>
      <c r="D58" s="36">
        <f t="shared" si="12"/>
        <v>-524.70000000000005</v>
      </c>
      <c r="E58" s="36">
        <f t="shared" si="12"/>
        <v>-449.46000000000004</v>
      </c>
      <c r="F58" s="36">
        <f t="shared" si="12"/>
        <v>-489.06</v>
      </c>
      <c r="G58" s="36">
        <f t="shared" si="12"/>
        <v>-490.05000000000007</v>
      </c>
      <c r="H58" s="36">
        <f t="shared" si="12"/>
        <v>-727.65</v>
      </c>
      <c r="I58" s="36">
        <f t="shared" si="12"/>
        <v>-750.42000000000007</v>
      </c>
      <c r="J58" s="36">
        <f t="shared" si="12"/>
        <v>-806.5200000000001</v>
      </c>
      <c r="K58" s="36">
        <f t="shared" si="12"/>
        <v>-729.96</v>
      </c>
      <c r="L58" s="36">
        <f t="shared" si="12"/>
        <v>-731.28000000000009</v>
      </c>
      <c r="M58" s="36">
        <f t="shared" si="12"/>
        <v>-735.57</v>
      </c>
      <c r="N58" s="9">
        <f>SUM(B58:M58)</f>
        <v>-7436.22</v>
      </c>
    </row>
    <row r="59" spans="1:16" x14ac:dyDescent="0.2">
      <c r="B59" s="16"/>
      <c r="C59" s="16"/>
      <c r="D59" s="16"/>
      <c r="E59" s="16"/>
      <c r="F59" s="16"/>
      <c r="G59" s="16"/>
      <c r="H59" s="16"/>
      <c r="I59" s="16"/>
      <c r="J59" s="16"/>
      <c r="K59" s="16"/>
      <c r="L59" s="16"/>
      <c r="M59" s="16"/>
      <c r="N59" s="8"/>
    </row>
    <row r="60" spans="1:16" s="6" customFormat="1" x14ac:dyDescent="0.2">
      <c r="A60" s="6" t="s">
        <v>9</v>
      </c>
      <c r="B60" s="37">
        <f t="shared" ref="B60:I60" si="13">SUM(B57:B58)</f>
        <v>-6782.7201460799979</v>
      </c>
      <c r="C60" s="37">
        <f t="shared" si="13"/>
        <v>-6547.2884012400009</v>
      </c>
      <c r="D60" s="37">
        <f t="shared" si="13"/>
        <v>-6260.4416210400022</v>
      </c>
      <c r="E60" s="37">
        <f t="shared" si="13"/>
        <v>-6245.2225296000006</v>
      </c>
      <c r="F60" s="37">
        <f t="shared" si="13"/>
        <v>-6372.8575028800014</v>
      </c>
      <c r="G60" s="37">
        <f t="shared" si="13"/>
        <v>-4857.7819788800025</v>
      </c>
      <c r="H60" s="37">
        <f t="shared" si="13"/>
        <v>-4824.7724221199996</v>
      </c>
      <c r="I60" s="37">
        <f t="shared" si="13"/>
        <v>-2768.4626385599995</v>
      </c>
      <c r="J60" s="37">
        <f>SUM(J57:J58)</f>
        <v>-713.56150912000021</v>
      </c>
      <c r="K60" s="37">
        <f>SUM(K57:K58)</f>
        <v>670.76820803999976</v>
      </c>
      <c r="L60" s="37">
        <f>SUM(L57:L58)</f>
        <v>1337.3752961401924</v>
      </c>
      <c r="M60" s="37">
        <f>SUM(M57:M58)</f>
        <v>1047.8113254419518</v>
      </c>
      <c r="N60" s="40">
        <f>SUM(N57:N58)</f>
        <v>-42317.153919897872</v>
      </c>
      <c r="O60" s="54"/>
      <c r="P60" s="45">
        <f>+'[3]Pacific Comm Credit'!$N$51-N60</f>
        <v>0</v>
      </c>
    </row>
    <row r="61" spans="1:16" x14ac:dyDescent="0.2">
      <c r="B61" s="16"/>
      <c r="C61" s="16"/>
      <c r="D61" s="16"/>
      <c r="E61" s="16"/>
      <c r="F61" s="16"/>
      <c r="G61" s="16"/>
      <c r="H61" s="16"/>
      <c r="I61" s="16"/>
      <c r="J61" s="16"/>
      <c r="K61" s="16"/>
      <c r="L61" s="16"/>
      <c r="M61" s="16"/>
      <c r="N61" s="8"/>
    </row>
    <row r="62" spans="1:16" x14ac:dyDescent="0.2">
      <c r="B62" s="16"/>
      <c r="C62" s="16"/>
      <c r="D62" s="16"/>
      <c r="E62" s="16"/>
      <c r="F62" s="16"/>
      <c r="G62" s="16"/>
      <c r="H62" s="16"/>
      <c r="I62" s="16"/>
      <c r="J62" s="16"/>
      <c r="K62" s="16"/>
      <c r="L62" s="16"/>
      <c r="M62" s="16"/>
      <c r="N62" s="8"/>
    </row>
    <row r="63" spans="1:16" x14ac:dyDescent="0.2">
      <c r="A63" s="10" t="s">
        <v>43</v>
      </c>
      <c r="B63" s="16">
        <f>+'[3]Pacific Comm Credit'!B53</f>
        <v>12343.88834951456</v>
      </c>
      <c r="C63" s="16">
        <f>+'[3]Pacific Comm Credit'!C53</f>
        <v>12388.099514563104</v>
      </c>
      <c r="D63" s="16">
        <f>+'[3]Pacific Comm Credit'!D53</f>
        <v>12401.033980582522</v>
      </c>
      <c r="E63" s="16">
        <f>+'[3]Pacific Comm Credit'!E53</f>
        <v>12364.512135922329</v>
      </c>
      <c r="F63" s="16">
        <f>+'[3]Pacific Comm Credit'!F53</f>
        <v>12469.694174757284</v>
      </c>
      <c r="G63" s="16">
        <f>+'[3]Pacific Comm Credit'!G53</f>
        <v>12488.031553398059</v>
      </c>
      <c r="H63" s="16">
        <f>+'[3]Pacific Comm Credit'!H53</f>
        <v>12508.271844660194</v>
      </c>
      <c r="I63" s="16">
        <f>+'[3]Pacific Comm Credit'!I53</f>
        <v>12507.407766990291</v>
      </c>
      <c r="J63" s="16">
        <f>+'[3]Pacific Comm Credit'!J53</f>
        <v>12508.781553398056</v>
      </c>
      <c r="K63" s="16">
        <f>+'[3]Pacific Comm Credit'!K53</f>
        <v>12504.266990291262</v>
      </c>
      <c r="L63" s="16">
        <f>+'[3]Pacific Comm Credit'!L53</f>
        <v>12470.722891566262</v>
      </c>
      <c r="M63" s="16">
        <f>+'[3]Pacific Comm Credit'!M53</f>
        <v>12471.49879518072</v>
      </c>
      <c r="N63" s="7">
        <f>SUM(B63:M63)</f>
        <v>149426.20955082466</v>
      </c>
      <c r="P63" s="87">
        <f>+'[3]Pacific Comm Credit'!$N$53-N63</f>
        <v>0</v>
      </c>
    </row>
    <row r="64" spans="1:16" x14ac:dyDescent="0.2">
      <c r="A64" s="10"/>
      <c r="B64" s="16"/>
      <c r="C64" s="16"/>
      <c r="D64" s="16"/>
      <c r="E64" s="16"/>
      <c r="F64" s="16"/>
      <c r="G64" s="16"/>
      <c r="H64" s="16"/>
      <c r="I64" s="16"/>
      <c r="J64" s="16"/>
      <c r="K64" s="16"/>
      <c r="L64" s="16"/>
      <c r="M64" s="16"/>
      <c r="N64" s="8"/>
    </row>
    <row r="65" spans="1:19" x14ac:dyDescent="0.2">
      <c r="A65" s="10"/>
      <c r="B65" s="16"/>
      <c r="C65" s="16"/>
      <c r="D65" s="16"/>
      <c r="E65" s="16"/>
      <c r="F65" s="16"/>
      <c r="G65" s="16"/>
      <c r="H65" s="16"/>
      <c r="I65" s="16"/>
      <c r="J65" s="16"/>
      <c r="K65" s="16"/>
      <c r="L65" s="16"/>
      <c r="M65" s="16"/>
      <c r="N65" s="15"/>
    </row>
    <row r="66" spans="1:19" x14ac:dyDescent="0.2">
      <c r="A66" s="10" t="s">
        <v>13</v>
      </c>
      <c r="B66" s="27">
        <f t="shared" ref="B66:M66" si="14">+IFERROR(B60/B63,0)</f>
        <v>-0.54948003044330329</v>
      </c>
      <c r="C66" s="27">
        <f t="shared" si="14"/>
        <v>-0.52851435311309791</v>
      </c>
      <c r="D66" s="27">
        <f t="shared" si="14"/>
        <v>-0.50483222857405041</v>
      </c>
      <c r="E66" s="27">
        <f t="shared" si="14"/>
        <v>-0.50509251484786866</v>
      </c>
      <c r="F66" s="27">
        <f t="shared" si="14"/>
        <v>-0.51106766642126134</v>
      </c>
      <c r="G66" s="27">
        <f t="shared" si="14"/>
        <v>-0.38899501159237337</v>
      </c>
      <c r="H66" s="27">
        <f t="shared" si="14"/>
        <v>-0.38572654016787333</v>
      </c>
      <c r="I66" s="27">
        <f t="shared" si="14"/>
        <v>-0.22134583681412875</v>
      </c>
      <c r="J66" s="27">
        <f t="shared" si="14"/>
        <v>-5.7044845341164239E-2</v>
      </c>
      <c r="K66" s="27">
        <f t="shared" si="14"/>
        <v>5.3643145060866586E-2</v>
      </c>
      <c r="L66" s="27">
        <f t="shared" si="14"/>
        <v>0.10724120067206662</v>
      </c>
      <c r="M66" s="27">
        <f t="shared" si="14"/>
        <v>8.4016471688779751E-2</v>
      </c>
      <c r="N66" s="5"/>
    </row>
    <row r="67" spans="1:19" x14ac:dyDescent="0.2">
      <c r="A67" s="10" t="s">
        <v>14</v>
      </c>
      <c r="B67" s="27">
        <f>+'Pacific CPA 1.1.21'!$M$67</f>
        <v>-0.69697730765535149</v>
      </c>
      <c r="C67" s="27">
        <f>+'Pacific CPA 1.1.21'!$M$67</f>
        <v>-0.69697730765535149</v>
      </c>
      <c r="D67" s="27">
        <f>+'Pacific CPA 1.1.21'!$N$72</f>
        <v>-0.71</v>
      </c>
      <c r="E67" s="27">
        <f>+'Pacific CPA 1.1.21'!$N$72</f>
        <v>-0.71</v>
      </c>
      <c r="F67" s="27">
        <f>+'Pacific CPA 1.1.21'!$N$72</f>
        <v>-0.71</v>
      </c>
      <c r="G67" s="27">
        <f>+'Pacific CPA 1.1.21'!$N$72</f>
        <v>-0.71</v>
      </c>
      <c r="H67" s="27">
        <f>+'Pacific CPA 1.1.21'!$N$72</f>
        <v>-0.71</v>
      </c>
      <c r="I67" s="27">
        <f>+'Pacific CPA 1.1.21'!$N$72</f>
        <v>-0.71</v>
      </c>
      <c r="J67" s="27">
        <f>+'Pacific CPA 1.1.21'!$N$72</f>
        <v>-0.71</v>
      </c>
      <c r="K67" s="27">
        <f>+'Pacific CPA 1.1.21'!$N$72</f>
        <v>-0.71</v>
      </c>
      <c r="L67" s="27">
        <f>+'Pacific CPA 1.1.21'!$N$72</f>
        <v>-0.71</v>
      </c>
      <c r="M67" s="27">
        <f>+'Pacific CPA 1.1.21'!$N$72</f>
        <v>-0.71</v>
      </c>
      <c r="N67" s="5"/>
    </row>
    <row r="68" spans="1:19" x14ac:dyDescent="0.2">
      <c r="A68" s="10"/>
      <c r="B68" s="27"/>
      <c r="C68" s="27"/>
      <c r="D68" s="27"/>
      <c r="E68" s="27"/>
      <c r="F68" s="27"/>
      <c r="G68" s="27"/>
      <c r="H68" s="27"/>
      <c r="I68" s="27"/>
      <c r="J68" s="27"/>
      <c r="K68" s="27"/>
      <c r="L68" s="27"/>
      <c r="M68" s="27"/>
      <c r="N68" s="5"/>
    </row>
    <row r="69" spans="1:19" s="6" customFormat="1" ht="13.5" thickBot="1" x14ac:dyDescent="0.25">
      <c r="A69" s="13" t="s">
        <v>17</v>
      </c>
      <c r="B69" s="92">
        <f t="shared" ref="B69:M69" si="15">+(B66-B67)*B63</f>
        <v>1820.6899217629211</v>
      </c>
      <c r="C69" s="92">
        <f t="shared" si="15"/>
        <v>2086.9358453867576</v>
      </c>
      <c r="D69" s="92">
        <f t="shared" si="15"/>
        <v>2544.2925051735883</v>
      </c>
      <c r="E69" s="92">
        <f t="shared" si="15"/>
        <v>2533.5810869048519</v>
      </c>
      <c r="F69" s="92">
        <f t="shared" si="15"/>
        <v>2480.6253611976699</v>
      </c>
      <c r="G69" s="92">
        <f t="shared" si="15"/>
        <v>4008.7204240326191</v>
      </c>
      <c r="H69" s="92">
        <f t="shared" si="15"/>
        <v>4056.1005875887377</v>
      </c>
      <c r="I69" s="92">
        <f t="shared" si="15"/>
        <v>6111.7968760031063</v>
      </c>
      <c r="J69" s="92">
        <f t="shared" si="15"/>
        <v>8167.6733937926183</v>
      </c>
      <c r="K69" s="92">
        <f t="shared" si="15"/>
        <v>9548.7977711467956</v>
      </c>
      <c r="L69" s="92">
        <f t="shared" si="15"/>
        <v>10191.588549152239</v>
      </c>
      <c r="M69" s="92">
        <f t="shared" si="15"/>
        <v>9902.5754700202633</v>
      </c>
      <c r="N69" s="92">
        <f>SUM(B69:M69)</f>
        <v>63453.377792162166</v>
      </c>
      <c r="P69" s="90"/>
    </row>
    <row r="70" spans="1:19" x14ac:dyDescent="0.2">
      <c r="A70" s="10"/>
      <c r="B70" s="11"/>
      <c r="C70" s="11"/>
      <c r="D70" s="11"/>
      <c r="E70" s="11"/>
      <c r="F70" s="11"/>
      <c r="G70" s="11"/>
      <c r="H70" s="11"/>
      <c r="I70" s="11"/>
      <c r="J70" s="11"/>
      <c r="K70" s="11"/>
      <c r="L70" s="11"/>
      <c r="M70" s="11"/>
      <c r="N70" s="8"/>
    </row>
    <row r="71" spans="1:19" x14ac:dyDescent="0.2">
      <c r="A71" s="16"/>
      <c r="B71" s="28"/>
      <c r="C71" s="28"/>
      <c r="D71" s="28"/>
      <c r="E71" s="28"/>
      <c r="F71" s="28"/>
      <c r="G71" s="28"/>
      <c r="H71" s="28"/>
      <c r="I71" s="28"/>
      <c r="J71" s="28"/>
      <c r="K71" s="28"/>
      <c r="L71" s="28"/>
      <c r="M71" s="21" t="s">
        <v>18</v>
      </c>
      <c r="N71" s="17">
        <f>ROUND(N69/N63,2)</f>
        <v>0.42</v>
      </c>
    </row>
    <row r="72" spans="1:19" x14ac:dyDescent="0.2">
      <c r="B72" s="21"/>
      <c r="C72" s="21"/>
      <c r="D72" s="21"/>
      <c r="E72" s="21"/>
      <c r="F72" s="21"/>
      <c r="G72" s="21"/>
      <c r="H72" s="21"/>
      <c r="I72" s="21"/>
      <c r="J72" s="21"/>
      <c r="K72" s="21"/>
      <c r="L72" s="21"/>
      <c r="M72" s="21" t="s">
        <v>48</v>
      </c>
      <c r="N72" s="81">
        <f>ROUND(N60/N63,2)</f>
        <v>-0.28000000000000003</v>
      </c>
    </row>
    <row r="73" spans="1:19" x14ac:dyDescent="0.2">
      <c r="B73" s="84"/>
      <c r="C73" s="21"/>
      <c r="D73" s="21"/>
      <c r="E73" s="21"/>
      <c r="F73" s="21"/>
      <c r="G73" s="21"/>
      <c r="H73" s="21"/>
      <c r="I73" s="21"/>
      <c r="J73" s="21"/>
      <c r="K73" s="21"/>
      <c r="L73" s="21"/>
      <c r="M73" s="42" t="s">
        <v>44</v>
      </c>
      <c r="N73" s="18">
        <f>-N71-N72</f>
        <v>-0.13999999999999996</v>
      </c>
    </row>
    <row r="74" spans="1:19" x14ac:dyDescent="0.2">
      <c r="A74" s="16"/>
      <c r="B74" s="85"/>
      <c r="C74" s="21"/>
      <c r="D74" s="21"/>
      <c r="E74" s="85"/>
      <c r="F74" s="21"/>
      <c r="G74" s="21"/>
      <c r="H74" s="21"/>
      <c r="I74" s="21"/>
      <c r="J74" s="21"/>
      <c r="K74" s="21"/>
      <c r="L74" s="21"/>
      <c r="M74" s="21"/>
      <c r="N74" s="18"/>
    </row>
    <row r="75" spans="1:19" x14ac:dyDescent="0.2">
      <c r="A75" s="10"/>
      <c r="B75" s="21"/>
      <c r="C75" s="21"/>
      <c r="D75" s="21"/>
      <c r="E75" s="21"/>
      <c r="F75" s="21"/>
      <c r="G75" s="21"/>
      <c r="H75" s="21"/>
      <c r="I75" s="21"/>
      <c r="J75" s="21"/>
      <c r="K75" s="21"/>
      <c r="L75" s="21"/>
      <c r="M75" s="21" t="s">
        <v>45</v>
      </c>
      <c r="N75" s="88">
        <f>+'Pacific CPA 1.1.21'!N73</f>
        <v>0.73</v>
      </c>
      <c r="Q75" s="8"/>
      <c r="R75" s="8"/>
      <c r="S75" s="55"/>
    </row>
    <row r="76" spans="1:19" x14ac:dyDescent="0.2">
      <c r="A76" s="10"/>
      <c r="B76" s="21"/>
      <c r="C76" s="21"/>
      <c r="D76" s="21"/>
      <c r="E76" s="21"/>
      <c r="F76" s="21"/>
      <c r="G76" s="21"/>
      <c r="H76" s="21"/>
      <c r="I76" s="21"/>
      <c r="J76" s="21"/>
      <c r="K76" s="21"/>
      <c r="L76" s="21"/>
      <c r="M76" s="21" t="s">
        <v>15</v>
      </c>
      <c r="N76" s="17">
        <f>+N73-N75</f>
        <v>-0.86999999999999988</v>
      </c>
      <c r="O76" s="56">
        <f>N76/N75</f>
        <v>-1.1917808219178081</v>
      </c>
    </row>
    <row r="77" spans="1:19" x14ac:dyDescent="0.2">
      <c r="A77" s="10"/>
      <c r="B77" s="21"/>
      <c r="C77" s="21"/>
      <c r="D77" s="21"/>
      <c r="E77" s="21"/>
      <c r="F77" s="21"/>
      <c r="G77" s="21"/>
      <c r="H77" s="21"/>
      <c r="I77" s="21"/>
      <c r="J77" s="21"/>
      <c r="K77" s="21"/>
      <c r="L77" s="21"/>
      <c r="M77" s="21" t="s">
        <v>36</v>
      </c>
      <c r="N77" s="9">
        <f>N76*M63*12</f>
        <v>-130202.44742168669</v>
      </c>
    </row>
    <row r="78" spans="1:19" x14ac:dyDescent="0.2">
      <c r="A78" s="10"/>
      <c r="B78" s="21"/>
      <c r="C78" s="21"/>
      <c r="D78" s="21"/>
      <c r="E78" s="21"/>
      <c r="F78" s="21"/>
      <c r="G78" s="21"/>
      <c r="H78" s="21"/>
      <c r="I78" s="21"/>
      <c r="J78" s="21"/>
      <c r="K78" s="21"/>
      <c r="L78" s="21"/>
      <c r="M78" s="21"/>
      <c r="O78" s="5"/>
    </row>
  </sheetData>
  <pageMargins left="0.7" right="0.7" top="0.75" bottom="0.75" header="0.3" footer="0.3"/>
  <pageSetup scale="74" fitToHeight="0" orientation="landscape" r:id="rId1"/>
  <rowBreaks count="1" manualBreakCount="1">
    <brk id="4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78"/>
  <sheetViews>
    <sheetView showGridLines="0" view="pageBreakPreview" zoomScaleNormal="100" zoomScaleSheetLayoutView="100" workbookViewId="0">
      <pane xSplit="1" ySplit="7" topLeftCell="B50" activePane="bottomRight" state="frozen"/>
      <selection activeCell="B36" sqref="B36"/>
      <selection pane="topRight" activeCell="B36" sqref="B36"/>
      <selection pane="bottomLeft" activeCell="B36" sqref="B36"/>
      <selection pane="bottomRight" activeCell="A5" sqref="A5"/>
    </sheetView>
  </sheetViews>
  <sheetFormatPr defaultRowHeight="12.75" x14ac:dyDescent="0.2"/>
  <cols>
    <col min="1" max="1" width="23.7109375" style="22" customWidth="1"/>
    <col min="2" max="2" width="12.85546875" style="22" bestFit="1" customWidth="1"/>
    <col min="3" max="4" width="11.85546875" style="22" bestFit="1" customWidth="1"/>
    <col min="5" max="5" width="10.28515625" style="22" bestFit="1" customWidth="1"/>
    <col min="6" max="6" width="10.85546875" style="22" bestFit="1" customWidth="1"/>
    <col min="7" max="7" width="11.85546875" style="22" bestFit="1" customWidth="1"/>
    <col min="8" max="8" width="10.28515625" style="22" bestFit="1" customWidth="1"/>
    <col min="9" max="10" width="11.85546875" style="22" bestFit="1" customWidth="1"/>
    <col min="11" max="11" width="10.28515625" style="22" bestFit="1" customWidth="1"/>
    <col min="12" max="12" width="11.7109375" style="22" customWidth="1"/>
    <col min="13" max="13" width="13.85546875" style="22" customWidth="1"/>
    <col min="14" max="14" width="11.85546875" style="22" bestFit="1" customWidth="1"/>
    <col min="15" max="15" width="11.28515625" style="22" bestFit="1" customWidth="1"/>
    <col min="16" max="16" width="9.5703125" style="22" bestFit="1" customWidth="1"/>
    <col min="17" max="17" width="13.5703125" style="22" customWidth="1"/>
    <col min="18" max="18" width="11" style="22" customWidth="1"/>
    <col min="19" max="19" width="11.140625" style="22" customWidth="1"/>
    <col min="20" max="20" width="10.7109375" style="22" customWidth="1"/>
    <col min="21" max="21" width="10.85546875" style="22" customWidth="1"/>
    <col min="22" max="22" width="10.42578125" style="22" customWidth="1"/>
    <col min="23" max="23" width="10.85546875" style="22" customWidth="1"/>
    <col min="24" max="24" width="11.42578125" style="22" customWidth="1"/>
    <col min="25" max="25" width="11.85546875" style="22" customWidth="1"/>
    <col min="26" max="16384" width="9.140625" style="22"/>
  </cols>
  <sheetData>
    <row r="1" spans="1:38" x14ac:dyDescent="0.2">
      <c r="A1" s="6" t="s">
        <v>19</v>
      </c>
    </row>
    <row r="2" spans="1:38" x14ac:dyDescent="0.2">
      <c r="A2" s="6" t="s">
        <v>46</v>
      </c>
      <c r="N2" s="30"/>
    </row>
    <row r="3" spans="1:38" x14ac:dyDescent="0.2">
      <c r="A3" s="6" t="s">
        <v>1</v>
      </c>
      <c r="B3" s="11"/>
      <c r="C3" s="11"/>
      <c r="D3" s="11"/>
      <c r="E3" s="11"/>
      <c r="F3" s="11"/>
      <c r="G3" s="11"/>
      <c r="H3" s="11"/>
      <c r="I3" s="11"/>
      <c r="J3" s="11"/>
      <c r="K3" s="11"/>
      <c r="L3" s="11"/>
      <c r="M3" s="11"/>
      <c r="N3" s="12"/>
      <c r="O3" s="5"/>
    </row>
    <row r="4" spans="1:38" x14ac:dyDescent="0.2">
      <c r="A4" s="6" t="s">
        <v>42</v>
      </c>
      <c r="B4" s="11"/>
      <c r="C4" s="11"/>
      <c r="D4" s="11"/>
      <c r="E4" s="11"/>
      <c r="F4" s="11"/>
      <c r="G4" s="11"/>
      <c r="H4" s="11"/>
      <c r="I4" s="11"/>
      <c r="J4" s="11"/>
      <c r="K4" s="11"/>
      <c r="L4" s="11"/>
      <c r="M4" s="11"/>
      <c r="N4" s="12"/>
      <c r="O4" s="5"/>
    </row>
    <row r="5" spans="1:38" s="31" customFormat="1" x14ac:dyDescent="0.2">
      <c r="B5" s="1"/>
      <c r="C5" s="1"/>
      <c r="D5" s="1"/>
      <c r="E5" s="1"/>
      <c r="F5" s="1"/>
      <c r="G5" s="1"/>
      <c r="H5" s="1"/>
      <c r="I5" s="1"/>
      <c r="J5" s="1"/>
      <c r="K5" s="1"/>
      <c r="L5" s="1"/>
      <c r="M5" s="1"/>
      <c r="N5" s="1" t="s">
        <v>28</v>
      </c>
      <c r="P5" s="5"/>
    </row>
    <row r="6" spans="1:38" s="32" customFormat="1" x14ac:dyDescent="0.2">
      <c r="B6" s="2">
        <v>43770</v>
      </c>
      <c r="C6" s="2">
        <f>+B6+31</f>
        <v>43801</v>
      </c>
      <c r="D6" s="2">
        <f t="shared" ref="D6:M6" si="0">+C6+31</f>
        <v>43832</v>
      </c>
      <c r="E6" s="2">
        <f t="shared" si="0"/>
        <v>43863</v>
      </c>
      <c r="F6" s="2">
        <f t="shared" si="0"/>
        <v>43894</v>
      </c>
      <c r="G6" s="2">
        <f t="shared" si="0"/>
        <v>43925</v>
      </c>
      <c r="H6" s="2">
        <f t="shared" si="0"/>
        <v>43956</v>
      </c>
      <c r="I6" s="2">
        <f t="shared" si="0"/>
        <v>43987</v>
      </c>
      <c r="J6" s="2">
        <f t="shared" si="0"/>
        <v>44018</v>
      </c>
      <c r="K6" s="2">
        <f t="shared" si="0"/>
        <v>44049</v>
      </c>
      <c r="L6" s="2">
        <f t="shared" si="0"/>
        <v>44080</v>
      </c>
      <c r="M6" s="2">
        <f t="shared" si="0"/>
        <v>44111</v>
      </c>
      <c r="N6" s="2" t="s">
        <v>2</v>
      </c>
      <c r="O6" s="31"/>
      <c r="P6" s="43"/>
      <c r="Q6" s="33"/>
      <c r="R6" s="43"/>
      <c r="S6" s="43"/>
      <c r="T6" s="33"/>
      <c r="U6" s="33"/>
      <c r="V6" s="33"/>
      <c r="W6" s="33"/>
      <c r="X6" s="33"/>
      <c r="Y6" s="33"/>
      <c r="Z6" s="33"/>
      <c r="AA6" s="33"/>
      <c r="AB6" s="33"/>
      <c r="AC6" s="33"/>
      <c r="AD6" s="31"/>
      <c r="AE6" s="31"/>
      <c r="AF6" s="31"/>
      <c r="AG6" s="31"/>
      <c r="AH6" s="31"/>
      <c r="AI6" s="31"/>
      <c r="AJ6" s="31"/>
      <c r="AK6" s="31"/>
      <c r="AL6" s="31"/>
    </row>
    <row r="7" spans="1:38" s="31" customFormat="1" x14ac:dyDescent="0.2">
      <c r="B7" s="3"/>
      <c r="C7" s="3"/>
      <c r="D7" s="3"/>
      <c r="E7" s="3"/>
      <c r="F7" s="3"/>
      <c r="G7" s="3"/>
      <c r="H7" s="3"/>
      <c r="I7" s="3"/>
      <c r="J7" s="3"/>
      <c r="K7" s="23"/>
      <c r="L7" s="23"/>
      <c r="M7" s="23"/>
      <c r="N7" s="3"/>
      <c r="P7" s="43"/>
      <c r="Q7" s="33"/>
      <c r="R7" s="43"/>
      <c r="S7" s="43"/>
      <c r="T7" s="33"/>
      <c r="U7" s="33"/>
      <c r="V7" s="33"/>
      <c r="W7" s="33"/>
      <c r="X7" s="33"/>
      <c r="Y7" s="33"/>
      <c r="Z7" s="33"/>
      <c r="AA7" s="33"/>
      <c r="AB7" s="33"/>
      <c r="AC7" s="33"/>
    </row>
    <row r="8" spans="1:38" s="31" customFormat="1" x14ac:dyDescent="0.2">
      <c r="A8" s="24" t="s">
        <v>3</v>
      </c>
      <c r="B8" s="4"/>
      <c r="C8" s="4"/>
      <c r="D8" s="4"/>
      <c r="E8" s="4"/>
      <c r="F8" s="4"/>
      <c r="G8" s="4"/>
      <c r="H8" s="4"/>
      <c r="I8" s="4"/>
      <c r="J8" s="4"/>
      <c r="K8" s="4"/>
      <c r="L8" s="4"/>
      <c r="M8" s="4"/>
      <c r="N8" s="34"/>
      <c r="P8" s="5"/>
    </row>
    <row r="9" spans="1:38" s="31" customFormat="1" x14ac:dyDescent="0.2">
      <c r="B9" s="4"/>
      <c r="C9" s="4"/>
      <c r="D9" s="4"/>
      <c r="E9" s="4"/>
      <c r="F9" s="4"/>
      <c r="G9" s="4"/>
      <c r="H9" s="4"/>
      <c r="I9" s="4"/>
      <c r="J9" s="4"/>
      <c r="K9" s="4"/>
      <c r="L9" s="4"/>
      <c r="M9" s="4"/>
      <c r="N9" s="34"/>
      <c r="P9" s="5"/>
    </row>
    <row r="10" spans="1:38" s="31" customFormat="1" x14ac:dyDescent="0.2">
      <c r="A10" s="25" t="s">
        <v>4</v>
      </c>
      <c r="B10" s="4"/>
      <c r="C10" s="4"/>
      <c r="D10" s="4"/>
      <c r="E10" s="4"/>
      <c r="F10" s="4"/>
      <c r="G10" s="4"/>
      <c r="H10" s="4"/>
      <c r="I10" s="4"/>
      <c r="J10" s="4"/>
      <c r="K10" s="4"/>
      <c r="L10" s="4"/>
      <c r="M10" s="4"/>
      <c r="N10" s="4"/>
      <c r="O10" s="4"/>
      <c r="P10" s="5"/>
    </row>
    <row r="11" spans="1:38" x14ac:dyDescent="0.2">
      <c r="A11" s="22" t="s">
        <v>5</v>
      </c>
      <c r="B11" s="11">
        <f>+'[4]Pacific Comm Credit'!B9</f>
        <v>990.0200000000001</v>
      </c>
      <c r="C11" s="11">
        <f>+'[4]Pacific Comm Credit'!C9</f>
        <v>1076.76</v>
      </c>
      <c r="D11" s="11">
        <f>+'[4]Pacific Comm Credit'!D9</f>
        <v>1258.1199999999999</v>
      </c>
      <c r="E11" s="11">
        <f>+'[4]Pacific Comm Credit'!E9</f>
        <v>966.62000000000023</v>
      </c>
      <c r="F11" s="11">
        <f>+'[4]Pacific Comm Credit'!F9</f>
        <v>1048.43</v>
      </c>
      <c r="G11" s="11">
        <f>+'[4]Pacific Comm Credit'!G9</f>
        <v>1208.2400000000002</v>
      </c>
      <c r="H11" s="11">
        <f>+'[4]Pacific Comm Credit'!H9</f>
        <v>1142.6999999999998</v>
      </c>
      <c r="I11" s="11">
        <f>+'[4]Pacific Comm Credit'!I9</f>
        <v>1160.28</v>
      </c>
      <c r="J11" s="11">
        <f>+'[4]Pacific Comm Credit'!J9</f>
        <v>1136.94</v>
      </c>
      <c r="K11" s="11">
        <f>+'[4]Pacific Comm Credit'!K9</f>
        <v>1065.7699999999998</v>
      </c>
      <c r="L11" s="11">
        <f>+'[4]Pacific Comm Credit'!L9</f>
        <v>1143.3000000000002</v>
      </c>
      <c r="M11" s="11">
        <f>+'[4]Pacific Comm Credit'!M9</f>
        <v>1156.3499999999997</v>
      </c>
      <c r="N11" s="5">
        <f>SUM(B11:M11)</f>
        <v>13353.53</v>
      </c>
      <c r="P11" s="5"/>
      <c r="R11" s="44"/>
      <c r="S11" s="44"/>
      <c r="T11" s="44"/>
      <c r="U11" s="44"/>
      <c r="V11" s="44"/>
      <c r="W11" s="44"/>
      <c r="X11" s="44"/>
      <c r="Y11" s="44"/>
      <c r="Z11" s="44"/>
    </row>
    <row r="12" spans="1:38" x14ac:dyDescent="0.2">
      <c r="A12" s="22" t="s">
        <v>6</v>
      </c>
      <c r="B12" s="11">
        <f>+'[4]Pacific Comm Credit'!B10</f>
        <v>99.960000000000008</v>
      </c>
      <c r="C12" s="11">
        <f>+'[4]Pacific Comm Credit'!C10</f>
        <v>169.2</v>
      </c>
      <c r="D12" s="11">
        <f>+'[4]Pacific Comm Credit'!D10</f>
        <v>138.44999999999999</v>
      </c>
      <c r="E12" s="11">
        <f>+'[4]Pacific Comm Credit'!E10</f>
        <v>112.05</v>
      </c>
      <c r="F12" s="11">
        <f>+'[4]Pacific Comm Credit'!F10</f>
        <v>120.75</v>
      </c>
      <c r="G12" s="11">
        <f>+'[4]Pacific Comm Credit'!G10</f>
        <v>191.52</v>
      </c>
      <c r="H12" s="11">
        <f>+'[4]Pacific Comm Credit'!H10</f>
        <v>230</v>
      </c>
      <c r="I12" s="11">
        <f>+'[4]Pacific Comm Credit'!I10</f>
        <v>172.82</v>
      </c>
      <c r="J12" s="11">
        <f>+'[4]Pacific Comm Credit'!J10</f>
        <v>165.77</v>
      </c>
      <c r="K12" s="11">
        <f>+'[4]Pacific Comm Credit'!K10</f>
        <v>153.66999999999999</v>
      </c>
      <c r="L12" s="11">
        <f>+'[4]Pacific Comm Credit'!L10</f>
        <v>160.32</v>
      </c>
      <c r="M12" s="11">
        <f>+'[4]Pacific Comm Credit'!M10</f>
        <v>134.51</v>
      </c>
      <c r="N12" s="5">
        <f>SUM(B12:M12)</f>
        <v>1849.0199999999998</v>
      </c>
      <c r="P12" s="5"/>
      <c r="R12" s="44"/>
      <c r="S12" s="44"/>
      <c r="T12" s="44"/>
      <c r="U12" s="44"/>
      <c r="V12" s="44"/>
      <c r="W12" s="44"/>
      <c r="X12" s="44"/>
      <c r="Y12" s="44"/>
      <c r="Z12" s="44"/>
    </row>
    <row r="13" spans="1:38" x14ac:dyDescent="0.2">
      <c r="B13" s="11"/>
      <c r="C13" s="11"/>
      <c r="D13" s="11"/>
      <c r="E13" s="11"/>
      <c r="F13" s="11"/>
      <c r="G13" s="11"/>
      <c r="H13" s="11"/>
      <c r="I13" s="11"/>
      <c r="J13" s="11"/>
      <c r="K13" s="11"/>
      <c r="L13" s="11"/>
      <c r="M13" s="11"/>
      <c r="N13" s="5"/>
      <c r="P13" s="5"/>
    </row>
    <row r="14" spans="1:38" s="6" customFormat="1" x14ac:dyDescent="0.2">
      <c r="A14" s="6" t="s">
        <v>7</v>
      </c>
      <c r="B14" s="35">
        <f>SUM(B11:B12)</f>
        <v>1089.98</v>
      </c>
      <c r="C14" s="35">
        <f>SUM(C11:C12)</f>
        <v>1245.96</v>
      </c>
      <c r="D14" s="35">
        <f t="shared" ref="D14:M14" si="1">SUM(D11:D12)</f>
        <v>1396.57</v>
      </c>
      <c r="E14" s="35">
        <f t="shared" si="1"/>
        <v>1078.6700000000003</v>
      </c>
      <c r="F14" s="35">
        <f t="shared" si="1"/>
        <v>1169.18</v>
      </c>
      <c r="G14" s="35">
        <f t="shared" si="1"/>
        <v>1399.7600000000002</v>
      </c>
      <c r="H14" s="35">
        <f t="shared" si="1"/>
        <v>1372.6999999999998</v>
      </c>
      <c r="I14" s="35">
        <f t="shared" si="1"/>
        <v>1333.1</v>
      </c>
      <c r="J14" s="35">
        <f t="shared" si="1"/>
        <v>1302.71</v>
      </c>
      <c r="K14" s="35">
        <f t="shared" si="1"/>
        <v>1219.4399999999998</v>
      </c>
      <c r="L14" s="35">
        <f t="shared" si="1"/>
        <v>1303.6200000000001</v>
      </c>
      <c r="M14" s="35">
        <f t="shared" si="1"/>
        <v>1290.8599999999997</v>
      </c>
      <c r="N14" s="35">
        <f>SUM(N11:N13)</f>
        <v>15202.550000000001</v>
      </c>
      <c r="P14" s="45"/>
      <c r="R14" s="45"/>
      <c r="S14" s="45"/>
      <c r="T14" s="45"/>
      <c r="U14" s="45"/>
      <c r="V14" s="45"/>
      <c r="W14" s="45"/>
      <c r="X14" s="45"/>
      <c r="Y14" s="45"/>
      <c r="Z14" s="45"/>
    </row>
    <row r="15" spans="1:38" x14ac:dyDescent="0.2">
      <c r="P15" s="5"/>
    </row>
    <row r="16" spans="1:38" x14ac:dyDescent="0.2">
      <c r="A16" s="26" t="s">
        <v>20</v>
      </c>
      <c r="P16" s="5"/>
    </row>
    <row r="17" spans="1:42" x14ac:dyDescent="0.2">
      <c r="A17" s="22" t="s">
        <v>5</v>
      </c>
      <c r="B17" s="86">
        <f>+'[4]Pacific Comm Credit'!B15</f>
        <v>-112.07739999999998</v>
      </c>
      <c r="C17" s="86">
        <f>+'[4]Pacific Comm Credit'!C15</f>
        <v>-111.72239999999998</v>
      </c>
      <c r="D17" s="86">
        <f>+'[4]Pacific Comm Credit'!D15</f>
        <v>-105.466292</v>
      </c>
      <c r="E17" s="86">
        <f>+'[4]Pacific Comm Credit'!E15</f>
        <v>-103.51889199999999</v>
      </c>
      <c r="F17" s="86">
        <f>+'[4]Pacific Comm Credit'!F15</f>
        <v>-102.62899200000001</v>
      </c>
      <c r="G17" s="86">
        <f>+'[4]Pacific Comm Credit'!G15</f>
        <v>-103.82879199999999</v>
      </c>
      <c r="H17" s="86">
        <f>+'[4]Pacific Comm Credit'!H15</f>
        <v>-87.989891999999998</v>
      </c>
      <c r="I17" s="86">
        <f>+'[4]Pacific Comm Credit'!I15</f>
        <v>-99.692811999999989</v>
      </c>
      <c r="J17" s="86">
        <f>+'[4]Pacific Comm Credit'!J15</f>
        <v>-101.05185199999997</v>
      </c>
      <c r="K17" s="86">
        <f>+'[4]Pacific Comm Credit'!K15</f>
        <v>-94.481131999999988</v>
      </c>
      <c r="L17" s="86">
        <f>+'[4]Pacific Comm Credit'!L15</f>
        <v>-87.155441999999994</v>
      </c>
      <c r="M17" s="86">
        <f>+'[4]Pacific Comm Credit'!M15</f>
        <v>-83.977722</v>
      </c>
      <c r="N17" s="7"/>
      <c r="P17" s="5"/>
      <c r="R17" s="46"/>
      <c r="S17" s="46"/>
      <c r="T17" s="46"/>
      <c r="U17" s="46"/>
      <c r="V17" s="46"/>
      <c r="W17" s="46"/>
      <c r="X17" s="46"/>
      <c r="Y17" s="46"/>
      <c r="Z17" s="46"/>
    </row>
    <row r="18" spans="1:42" x14ac:dyDescent="0.2">
      <c r="A18" s="22" t="s">
        <v>6</v>
      </c>
      <c r="B18" s="86">
        <f>+'[4]Pacific Comm Credit'!B16</f>
        <v>-30</v>
      </c>
      <c r="C18" s="86">
        <f>+'[4]Pacific Comm Credit'!C16</f>
        <v>-30</v>
      </c>
      <c r="D18" s="86">
        <f>+'[4]Pacific Comm Credit'!D16</f>
        <v>-33</v>
      </c>
      <c r="E18" s="86">
        <f>+'[4]Pacific Comm Credit'!E16</f>
        <v>-33</v>
      </c>
      <c r="F18" s="86">
        <f>+'[4]Pacific Comm Credit'!F16</f>
        <v>-33</v>
      </c>
      <c r="G18" s="86">
        <f>+'[4]Pacific Comm Credit'!G16</f>
        <v>-33</v>
      </c>
      <c r="H18" s="86">
        <f>+'[4]Pacific Comm Credit'!H16</f>
        <v>-33</v>
      </c>
      <c r="I18" s="86">
        <f>+'[4]Pacific Comm Credit'!I16</f>
        <v>-33</v>
      </c>
      <c r="J18" s="86">
        <f>+'[4]Pacific Comm Credit'!J16</f>
        <v>-33</v>
      </c>
      <c r="K18" s="86">
        <f>+'[4]Pacific Comm Credit'!K16</f>
        <v>-33</v>
      </c>
      <c r="L18" s="86">
        <f>+'[4]Pacific Comm Credit'!L16</f>
        <v>-33</v>
      </c>
      <c r="M18" s="86">
        <f>+'[4]Pacific Comm Credit'!M16</f>
        <v>-33</v>
      </c>
      <c r="N18" s="8"/>
      <c r="P18" s="5"/>
      <c r="R18" s="5"/>
      <c r="S18" s="5"/>
      <c r="T18" s="5"/>
      <c r="U18" s="5"/>
      <c r="V18" s="5"/>
      <c r="W18" s="5"/>
      <c r="X18" s="5"/>
      <c r="Y18" s="5"/>
      <c r="Z18" s="5"/>
    </row>
    <row r="19" spans="1:42" x14ac:dyDescent="0.2">
      <c r="P19" s="5"/>
    </row>
    <row r="20" spans="1:42" x14ac:dyDescent="0.2">
      <c r="A20" s="26" t="s">
        <v>8</v>
      </c>
      <c r="P20" s="5"/>
    </row>
    <row r="21" spans="1:42" x14ac:dyDescent="0.2">
      <c r="A21" s="22" t="s">
        <v>5</v>
      </c>
      <c r="B21" s="36">
        <f t="shared" ref="B21:M21" si="2">+B11*B17</f>
        <v>-110958.86754799999</v>
      </c>
      <c r="C21" s="36">
        <f t="shared" si="2"/>
        <v>-120298.21142399998</v>
      </c>
      <c r="D21" s="36">
        <f t="shared" si="2"/>
        <v>-132689.25129103998</v>
      </c>
      <c r="E21" s="36">
        <f t="shared" si="2"/>
        <v>-100063.43138504002</v>
      </c>
      <c r="F21" s="36">
        <f t="shared" si="2"/>
        <v>-107599.31408256001</v>
      </c>
      <c r="G21" s="36">
        <f t="shared" si="2"/>
        <v>-125450.09964608001</v>
      </c>
      <c r="H21" s="36">
        <f t="shared" si="2"/>
        <v>-100546.04958839998</v>
      </c>
      <c r="I21" s="36">
        <f t="shared" si="2"/>
        <v>-115671.57590735999</v>
      </c>
      <c r="J21" s="11">
        <f t="shared" si="2"/>
        <v>-114889.89261287996</v>
      </c>
      <c r="K21" s="36">
        <f t="shared" si="2"/>
        <v>-100695.15605163996</v>
      </c>
      <c r="L21" s="36">
        <f t="shared" si="2"/>
        <v>-99644.816838600003</v>
      </c>
      <c r="M21" s="36">
        <f t="shared" si="2"/>
        <v>-97107.638834699974</v>
      </c>
      <c r="N21" s="9">
        <f>SUM(B21:M21)</f>
        <v>-1325614.3052102998</v>
      </c>
      <c r="P21" s="8"/>
      <c r="R21" s="8"/>
      <c r="S21" s="8"/>
      <c r="T21" s="8"/>
      <c r="U21" s="8"/>
      <c r="V21" s="8"/>
      <c r="W21" s="8"/>
      <c r="X21" s="8"/>
      <c r="Y21" s="8"/>
      <c r="Z21" s="8"/>
    </row>
    <row r="22" spans="1:42" x14ac:dyDescent="0.2">
      <c r="A22" s="22" t="s">
        <v>6</v>
      </c>
      <c r="B22" s="36">
        <f t="shared" ref="B22:K22" si="3">+B18*B12</f>
        <v>-2998.8</v>
      </c>
      <c r="C22" s="36">
        <f t="shared" si="3"/>
        <v>-5076</v>
      </c>
      <c r="D22" s="36">
        <f t="shared" si="3"/>
        <v>-4568.8499999999995</v>
      </c>
      <c r="E22" s="36">
        <f t="shared" si="3"/>
        <v>-3697.65</v>
      </c>
      <c r="F22" s="36">
        <f t="shared" si="3"/>
        <v>-3984.75</v>
      </c>
      <c r="G22" s="36">
        <f t="shared" si="3"/>
        <v>-6320.1600000000008</v>
      </c>
      <c r="H22" s="36">
        <f t="shared" si="3"/>
        <v>-7590</v>
      </c>
      <c r="I22" s="36">
        <f t="shared" si="3"/>
        <v>-5703.0599999999995</v>
      </c>
      <c r="J22" s="36">
        <f t="shared" si="3"/>
        <v>-5470.4100000000008</v>
      </c>
      <c r="K22" s="36">
        <f t="shared" si="3"/>
        <v>-5071.1099999999997</v>
      </c>
      <c r="L22" s="36">
        <f>+L18*L12</f>
        <v>-5290.5599999999995</v>
      </c>
      <c r="M22" s="36">
        <f>+M18*M12</f>
        <v>-4438.83</v>
      </c>
      <c r="N22" s="9">
        <f>SUM(B22:M22)</f>
        <v>-60210.18</v>
      </c>
      <c r="P22" s="8"/>
      <c r="Q22" s="44"/>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6" t="s">
        <v>9</v>
      </c>
      <c r="B24" s="37">
        <f>SUM(B21:B22)</f>
        <v>-113957.667548</v>
      </c>
      <c r="C24" s="37">
        <f>SUM(C21:C22)</f>
        <v>-125374.21142399998</v>
      </c>
      <c r="D24" s="37">
        <f t="shared" ref="D24:M24" si="4">SUM(D21:D22)</f>
        <v>-137258.10129103999</v>
      </c>
      <c r="E24" s="37">
        <f t="shared" si="4"/>
        <v>-103761.08138504002</v>
      </c>
      <c r="F24" s="37">
        <f t="shared" si="4"/>
        <v>-111584.06408256001</v>
      </c>
      <c r="G24" s="37">
        <f t="shared" si="4"/>
        <v>-131770.25964608</v>
      </c>
      <c r="H24" s="37">
        <f t="shared" si="4"/>
        <v>-108136.04958839998</v>
      </c>
      <c r="I24" s="37">
        <f t="shared" si="4"/>
        <v>-121374.63590735999</v>
      </c>
      <c r="J24" s="37">
        <f t="shared" si="4"/>
        <v>-120360.30261287997</v>
      </c>
      <c r="K24" s="37">
        <f t="shared" si="4"/>
        <v>-105766.26605163996</v>
      </c>
      <c r="L24" s="37">
        <f t="shared" si="4"/>
        <v>-104935.3768386</v>
      </c>
      <c r="M24" s="37">
        <f t="shared" si="4"/>
        <v>-101546.46883469998</v>
      </c>
      <c r="N24" s="40">
        <f>SUM(N21:N23)</f>
        <v>-1385824.4852102997</v>
      </c>
      <c r="P24" s="20"/>
      <c r="R24" s="20"/>
      <c r="S24" s="20"/>
      <c r="T24" s="20"/>
      <c r="U24" s="20"/>
      <c r="V24" s="20"/>
      <c r="W24" s="20"/>
      <c r="X24" s="20"/>
      <c r="Y24" s="20"/>
      <c r="Z24" s="20"/>
      <c r="AA24" s="47"/>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43</v>
      </c>
      <c r="B27" s="16">
        <f>+'[4]Pacific Comm Credit'!B23</f>
        <v>59677</v>
      </c>
      <c r="C27" s="16">
        <f>+'[4]Pacific Comm Credit'!C23</f>
        <v>59667</v>
      </c>
      <c r="D27" s="16">
        <f>+'[4]Pacific Comm Credit'!D23</f>
        <v>59735</v>
      </c>
      <c r="E27" s="16">
        <f>+'[4]Pacific Comm Credit'!E23</f>
        <v>59768</v>
      </c>
      <c r="F27" s="16">
        <f>+'[4]Pacific Comm Credit'!F23</f>
        <v>60042</v>
      </c>
      <c r="G27" s="16">
        <f>+'[4]Pacific Comm Credit'!G23</f>
        <v>60497</v>
      </c>
      <c r="H27" s="16">
        <f>+'[4]Pacific Comm Credit'!H23</f>
        <v>60831</v>
      </c>
      <c r="I27" s="16">
        <f>+'[4]Pacific Comm Credit'!I23</f>
        <v>60760</v>
      </c>
      <c r="J27" s="16">
        <f>+'[4]Pacific Comm Credit'!J23</f>
        <v>61009</v>
      </c>
      <c r="K27" s="16">
        <f>+'[4]Pacific Comm Credit'!K23</f>
        <v>61225</v>
      </c>
      <c r="L27" s="16">
        <f>+'[4]Pacific Comm Credit'!L23</f>
        <v>61287</v>
      </c>
      <c r="M27" s="16">
        <f>+'[4]Pacific Comm Credit'!M23</f>
        <v>61261</v>
      </c>
      <c r="N27" s="19">
        <f>+'[4]Pacific Comm Credit'!N23</f>
        <v>725759</v>
      </c>
      <c r="P27" s="87"/>
      <c r="Q27" s="48"/>
      <c r="R27" s="48"/>
      <c r="S27" s="48"/>
      <c r="T27" s="48"/>
      <c r="U27" s="48"/>
      <c r="V27" s="48"/>
      <c r="W27" s="48"/>
      <c r="X27" s="48"/>
      <c r="Y27" s="48"/>
      <c r="Z27" s="48"/>
      <c r="AA27" s="48"/>
      <c r="AB27" s="48"/>
      <c r="AC27" s="48"/>
      <c r="AD27" s="48"/>
      <c r="AE27" s="48"/>
      <c r="AF27" s="48"/>
      <c r="AG27" s="48"/>
      <c r="AH27" s="48"/>
      <c r="AI27" s="48"/>
      <c r="AJ27" s="48"/>
      <c r="AK27" s="48"/>
      <c r="AL27" s="48"/>
      <c r="AM27" s="12"/>
      <c r="AN27" s="12"/>
      <c r="AO27" s="12"/>
      <c r="AP27" s="12"/>
    </row>
    <row r="28" spans="1:42" s="11" customFormat="1" x14ac:dyDescent="0.2">
      <c r="A28" s="10"/>
      <c r="N28" s="8"/>
      <c r="O28" s="8"/>
      <c r="P28" s="45"/>
      <c r="Q28" s="5"/>
      <c r="R28" s="48"/>
      <c r="S28" s="48"/>
      <c r="T28" s="48"/>
      <c r="U28" s="48"/>
      <c r="V28" s="48"/>
      <c r="W28" s="48"/>
      <c r="X28" s="48"/>
      <c r="Y28" s="48"/>
      <c r="Z28" s="48"/>
      <c r="AA28" s="5"/>
      <c r="AB28" s="5"/>
      <c r="AC28" s="5"/>
      <c r="AD28" s="5"/>
      <c r="AE28" s="5"/>
      <c r="AF28" s="5"/>
      <c r="AG28" s="5"/>
      <c r="AH28" s="5"/>
      <c r="AI28" s="5"/>
      <c r="AJ28" s="5"/>
      <c r="AK28" s="5"/>
      <c r="AL28" s="5"/>
    </row>
    <row r="29" spans="1:42" s="16" customFormat="1" x14ac:dyDescent="0.2">
      <c r="A29" s="10"/>
      <c r="N29" s="15"/>
      <c r="O29" s="8"/>
      <c r="P29" s="45"/>
      <c r="Q29" s="8"/>
      <c r="R29" s="8"/>
      <c r="S29" s="8"/>
      <c r="T29" s="8"/>
      <c r="U29" s="8"/>
      <c r="V29" s="8"/>
      <c r="W29" s="8"/>
      <c r="X29" s="8"/>
      <c r="Y29" s="8"/>
      <c r="Z29" s="8"/>
      <c r="AA29" s="8"/>
      <c r="AB29" s="8"/>
      <c r="AC29" s="8"/>
      <c r="AD29" s="8"/>
      <c r="AE29" s="8"/>
      <c r="AF29" s="8"/>
      <c r="AG29" s="8"/>
      <c r="AH29" s="8"/>
      <c r="AI29" s="8"/>
      <c r="AJ29" s="8"/>
      <c r="AK29" s="8"/>
      <c r="AL29" s="8"/>
    </row>
    <row r="30" spans="1:42" s="16" customFormat="1" x14ac:dyDescent="0.2">
      <c r="A30" s="10" t="s">
        <v>13</v>
      </c>
      <c r="B30" s="27">
        <f>+IFERROR(B24/B27,0)</f>
        <v>-1.9095743342996463</v>
      </c>
      <c r="C30" s="27">
        <f t="shared" ref="C30:M30" si="5">+IFERROR(C24/C27,0)</f>
        <v>-2.1012320281562671</v>
      </c>
      <c r="D30" s="27">
        <f t="shared" si="5"/>
        <v>-2.2977835655987273</v>
      </c>
      <c r="E30" s="27">
        <f t="shared" si="5"/>
        <v>-1.7360641377499668</v>
      </c>
      <c r="F30" s="27">
        <f t="shared" si="5"/>
        <v>-1.8584334979274511</v>
      </c>
      <c r="G30" s="27">
        <f t="shared" si="5"/>
        <v>-2.1781288269844787</v>
      </c>
      <c r="H30" s="27">
        <f t="shared" si="5"/>
        <v>-1.7776470810672187</v>
      </c>
      <c r="I30" s="27">
        <f t="shared" si="5"/>
        <v>-1.9976075692455562</v>
      </c>
      <c r="J30" s="27">
        <f t="shared" si="5"/>
        <v>-1.9728286418869343</v>
      </c>
      <c r="K30" s="27">
        <f t="shared" si="5"/>
        <v>-1.7275012829994276</v>
      </c>
      <c r="L30" s="27">
        <f t="shared" si="5"/>
        <v>-1.7121963359048411</v>
      </c>
      <c r="M30" s="27">
        <f t="shared" si="5"/>
        <v>-1.6576038398769197</v>
      </c>
      <c r="N30" s="17"/>
      <c r="O30" s="8"/>
      <c r="P30" s="5"/>
      <c r="Q30" s="8"/>
      <c r="R30" s="5"/>
      <c r="S30" s="5"/>
      <c r="T30" s="5"/>
      <c r="U30" s="5"/>
      <c r="V30" s="5"/>
      <c r="W30" s="5"/>
      <c r="X30" s="5"/>
      <c r="Y30" s="5"/>
      <c r="Z30" s="5"/>
      <c r="AA30" s="50"/>
      <c r="AB30" s="8"/>
      <c r="AC30" s="8"/>
      <c r="AD30" s="8"/>
      <c r="AE30" s="8"/>
      <c r="AF30" s="8"/>
      <c r="AG30" s="8"/>
      <c r="AH30" s="8"/>
      <c r="AI30" s="8"/>
      <c r="AJ30" s="8"/>
      <c r="AK30" s="8"/>
      <c r="AL30" s="8"/>
    </row>
    <row r="31" spans="1:42" s="16" customFormat="1" x14ac:dyDescent="0.2">
      <c r="A31" s="10" t="s">
        <v>14</v>
      </c>
      <c r="B31" s="69">
        <f>+'Pacific CPA Eff. 1.1.20'!$G$33</f>
        <v>-1.6378750991793303</v>
      </c>
      <c r="C31" s="69">
        <f>+'Pacific CPA Eff. 1.1.20'!$G$33</f>
        <v>-1.6378750991793303</v>
      </c>
      <c r="D31" s="69">
        <f>+'Pacific CPA Eff. 1.1.20'!$H$38</f>
        <v>-1.8069771477324221</v>
      </c>
      <c r="E31" s="69">
        <f>+'Pacific CPA Eff. 1.1.20'!$H$38</f>
        <v>-1.8069771477324221</v>
      </c>
      <c r="F31" s="69">
        <f>+'Pacific CPA Eff. 1.1.20'!$H$38</f>
        <v>-1.8069771477324221</v>
      </c>
      <c r="G31" s="69">
        <f>+'Pacific CPA Eff. 1.1.20'!$H$38</f>
        <v>-1.8069771477324221</v>
      </c>
      <c r="H31" s="69">
        <f>+'Pacific CPA Eff. 1.1.20'!$H$38</f>
        <v>-1.8069771477324221</v>
      </c>
      <c r="I31" s="69">
        <f>+'Pacific CPA Eff. 1.1.20'!$H$38</f>
        <v>-1.8069771477324221</v>
      </c>
      <c r="J31" s="69">
        <f>+'Pacific CPA Eff. 1.1.20'!$H$38</f>
        <v>-1.8069771477324221</v>
      </c>
      <c r="K31" s="69">
        <f>+'Pacific CPA Eff. 1.1.20'!$H$38</f>
        <v>-1.8069771477324221</v>
      </c>
      <c r="L31" s="69">
        <f>+'Pacific CPA Eff. 1.1.20'!$H$38</f>
        <v>-1.8069771477324221</v>
      </c>
      <c r="M31" s="69">
        <f>+'Pacific CPA Eff. 1.1.20'!$H$38</f>
        <v>-1.8069771477324221</v>
      </c>
      <c r="N31" s="17"/>
      <c r="O31" s="8"/>
      <c r="P31" s="5"/>
      <c r="Q31" s="8"/>
      <c r="R31" s="5"/>
      <c r="S31" s="5"/>
      <c r="T31" s="5"/>
      <c r="U31" s="5"/>
      <c r="V31" s="5"/>
      <c r="W31" s="5"/>
      <c r="X31" s="5"/>
      <c r="Y31" s="5"/>
      <c r="Z31" s="5"/>
      <c r="AA31" s="8"/>
      <c r="AB31" s="8"/>
      <c r="AC31" s="8"/>
      <c r="AD31" s="8"/>
      <c r="AE31" s="8"/>
      <c r="AF31" s="8"/>
      <c r="AG31" s="8"/>
      <c r="AH31" s="8"/>
      <c r="AI31" s="8"/>
      <c r="AJ31" s="8"/>
      <c r="AK31" s="8"/>
      <c r="AL31" s="8"/>
    </row>
    <row r="32" spans="1:42" s="16" customFormat="1" x14ac:dyDescent="0.2">
      <c r="A32" s="10"/>
      <c r="B32" s="27"/>
      <c r="C32" s="27"/>
      <c r="D32" s="27"/>
      <c r="E32" s="27"/>
      <c r="F32" s="27"/>
      <c r="G32" s="27"/>
      <c r="H32" s="27"/>
      <c r="I32" s="27"/>
      <c r="J32" s="27"/>
      <c r="K32" s="27"/>
      <c r="L32" s="27"/>
      <c r="M32" s="27"/>
      <c r="N32" s="17"/>
      <c r="O32" s="8"/>
      <c r="P32" s="5"/>
      <c r="Q32" s="8"/>
      <c r="R32" s="5"/>
      <c r="S32" s="5"/>
      <c r="T32" s="5"/>
      <c r="U32" s="5"/>
      <c r="V32" s="5"/>
      <c r="W32" s="5"/>
      <c r="X32" s="5"/>
      <c r="Y32" s="5"/>
      <c r="Z32" s="5"/>
      <c r="AA32" s="8"/>
      <c r="AB32" s="8"/>
      <c r="AC32" s="8"/>
      <c r="AD32" s="8"/>
      <c r="AE32" s="8"/>
      <c r="AF32" s="8"/>
      <c r="AG32" s="8"/>
      <c r="AH32" s="8"/>
      <c r="AI32" s="8"/>
      <c r="AJ32" s="8"/>
      <c r="AK32" s="8"/>
      <c r="AL32" s="8"/>
    </row>
    <row r="33" spans="1:38" s="19" customFormat="1" x14ac:dyDescent="0.2">
      <c r="A33" s="13" t="s">
        <v>17</v>
      </c>
      <c r="B33" s="83">
        <f t="shared" ref="B33:M33" si="6">+(B30-B31)*B27</f>
        <v>-16214.195254275099</v>
      </c>
      <c r="C33" s="83">
        <f t="shared" si="6"/>
        <v>-27647.117881266888</v>
      </c>
      <c r="D33" s="83">
        <f t="shared" si="6"/>
        <v>-29318.321371243739</v>
      </c>
      <c r="E33" s="83">
        <f t="shared" si="6"/>
        <v>4238.3287806313892</v>
      </c>
      <c r="F33" s="83">
        <f t="shared" si="6"/>
        <v>-3089.5421784099267</v>
      </c>
      <c r="G33" s="83">
        <f t="shared" si="6"/>
        <v>-22453.56313971167</v>
      </c>
      <c r="H33" s="83">
        <f t="shared" si="6"/>
        <v>1784.1772853109901</v>
      </c>
      <c r="I33" s="83">
        <f t="shared" si="6"/>
        <v>-11582.704411138024</v>
      </c>
      <c r="J33" s="83">
        <f t="shared" si="6"/>
        <v>-10118.433806872634</v>
      </c>
      <c r="K33" s="83">
        <f t="shared" si="6"/>
        <v>4865.9098182775888</v>
      </c>
      <c r="L33" s="83">
        <f t="shared" si="6"/>
        <v>5808.8316144769578</v>
      </c>
      <c r="M33" s="83">
        <f t="shared" si="6"/>
        <v>9150.7582125359331</v>
      </c>
      <c r="N33" s="18">
        <f>SUM(B33:M33)</f>
        <v>-94575.872331685125</v>
      </c>
      <c r="O33" s="7"/>
      <c r="P33" s="7"/>
      <c r="Q33" s="7"/>
      <c r="R33" s="7">
        <f>-SUM(B33:L33)</f>
        <v>103726.63054422106</v>
      </c>
      <c r="S33" s="7"/>
      <c r="T33" s="7"/>
      <c r="U33" s="7"/>
      <c r="V33" s="7"/>
      <c r="W33" s="7"/>
      <c r="X33" s="7"/>
      <c r="Y33" s="7"/>
      <c r="Z33" s="7"/>
      <c r="AA33" s="7"/>
      <c r="AB33" s="7"/>
      <c r="AC33" s="7"/>
      <c r="AD33" s="7"/>
      <c r="AE33" s="7"/>
      <c r="AF33" s="7"/>
      <c r="AG33" s="7"/>
      <c r="AH33" s="7"/>
      <c r="AI33" s="7"/>
      <c r="AJ33" s="7"/>
      <c r="AK33" s="7"/>
      <c r="AL33" s="7"/>
    </row>
    <row r="34" spans="1:38" s="16" customFormat="1" x14ac:dyDescent="0.2">
      <c r="A34" s="10"/>
      <c r="B34" s="11"/>
      <c r="C34" s="11"/>
      <c r="D34" s="11"/>
      <c r="E34" s="11"/>
      <c r="F34" s="11"/>
      <c r="G34" s="11"/>
      <c r="H34" s="11"/>
      <c r="I34" s="11"/>
      <c r="J34" s="11"/>
      <c r="K34" s="11"/>
      <c r="L34" s="11"/>
      <c r="M34" s="11"/>
      <c r="N34" s="8"/>
      <c r="O34" s="8"/>
      <c r="P34" s="8"/>
      <c r="Q34" s="8"/>
      <c r="R34" s="8">
        <f>-SUM(B69:L69)</f>
        <v>3935.9563833884531</v>
      </c>
      <c r="S34" s="8"/>
      <c r="T34" s="8"/>
      <c r="U34" s="8"/>
      <c r="V34" s="8"/>
      <c r="W34" s="8"/>
      <c r="X34" s="8"/>
      <c r="Y34" s="8"/>
      <c r="Z34" s="8"/>
      <c r="AA34" s="8"/>
      <c r="AB34" s="8"/>
      <c r="AC34" s="8"/>
      <c r="AD34" s="8"/>
      <c r="AE34" s="8"/>
      <c r="AF34" s="8"/>
      <c r="AG34" s="8"/>
      <c r="AH34" s="8"/>
      <c r="AI34" s="8"/>
      <c r="AJ34" s="8"/>
      <c r="AK34" s="8"/>
      <c r="AL34" s="8"/>
    </row>
    <row r="35" spans="1:38" x14ac:dyDescent="0.2">
      <c r="A35" s="16"/>
      <c r="B35" s="28"/>
      <c r="C35" s="28"/>
      <c r="D35" s="28"/>
      <c r="E35" s="28"/>
      <c r="F35" s="28"/>
      <c r="G35" s="28"/>
      <c r="H35" s="28"/>
      <c r="I35" s="28"/>
      <c r="J35" s="28"/>
      <c r="K35" s="28"/>
      <c r="L35" s="28"/>
      <c r="M35" s="21" t="s">
        <v>18</v>
      </c>
      <c r="N35" s="17">
        <f>ROUND(N33/N27,2)</f>
        <v>-0.13</v>
      </c>
      <c r="Q35" s="8"/>
      <c r="R35" s="44">
        <f>R33+R34+'[5]Pacific CPA Eff. 1.1.20'!$M$34</f>
        <v>132926.59813908458</v>
      </c>
      <c r="X35" s="51"/>
      <c r="Y35" s="51"/>
      <c r="Z35" s="51"/>
      <c r="AA35" s="52"/>
    </row>
    <row r="36" spans="1:38" x14ac:dyDescent="0.2">
      <c r="A36" s="16"/>
      <c r="B36" s="89"/>
      <c r="C36" s="89"/>
      <c r="D36" s="89"/>
      <c r="E36" s="89"/>
      <c r="F36" s="89"/>
      <c r="G36" s="89"/>
      <c r="H36" s="89"/>
      <c r="I36" s="89"/>
      <c r="J36" s="89"/>
      <c r="K36" s="89"/>
      <c r="L36" s="21"/>
      <c r="M36" s="21" t="s">
        <v>41</v>
      </c>
      <c r="N36" s="81">
        <f>ROUND(N24/N27,2)</f>
        <v>-1.91</v>
      </c>
      <c r="X36" s="51"/>
      <c r="Y36" s="51"/>
      <c r="Z36" s="51"/>
      <c r="AA36" s="44"/>
    </row>
    <row r="37" spans="1:38" x14ac:dyDescent="0.2">
      <c r="A37" s="16"/>
      <c r="J37" s="21"/>
      <c r="K37" s="21"/>
      <c r="L37" s="21"/>
      <c r="M37" s="42" t="s">
        <v>44</v>
      </c>
      <c r="N37" s="18">
        <f>-N35-N36</f>
        <v>2.04</v>
      </c>
      <c r="X37" s="51"/>
      <c r="Y37" s="51"/>
      <c r="Z37" s="51"/>
      <c r="AA37" s="53"/>
    </row>
    <row r="38" spans="1:38" x14ac:dyDescent="0.2">
      <c r="A38" s="16"/>
      <c r="B38" s="84"/>
      <c r="C38" s="21"/>
      <c r="D38" s="21"/>
      <c r="E38" s="85"/>
      <c r="F38" s="21"/>
      <c r="G38" s="21"/>
      <c r="H38" s="21"/>
      <c r="I38" s="21"/>
      <c r="J38" s="21"/>
      <c r="K38" s="21"/>
      <c r="L38" s="21"/>
      <c r="M38" s="21"/>
      <c r="N38" s="18"/>
      <c r="X38" s="51"/>
      <c r="Y38" s="51"/>
      <c r="Z38" s="51"/>
      <c r="AA38" s="53"/>
    </row>
    <row r="39" spans="1:38" x14ac:dyDescent="0.2">
      <c r="A39" s="29"/>
      <c r="B39" s="39"/>
      <c r="C39" s="39"/>
      <c r="D39" s="39"/>
      <c r="E39" s="39"/>
      <c r="F39" s="39"/>
      <c r="G39" s="39"/>
      <c r="H39" s="39"/>
      <c r="I39" s="39"/>
      <c r="J39" s="21"/>
      <c r="K39" s="21"/>
      <c r="L39" s="21"/>
      <c r="M39" s="21" t="s">
        <v>45</v>
      </c>
      <c r="N39" s="88">
        <v>1.95</v>
      </c>
      <c r="Q39" s="8"/>
      <c r="R39" s="8"/>
      <c r="S39" s="55"/>
      <c r="X39" s="8"/>
      <c r="Y39" s="8"/>
      <c r="Z39" s="51"/>
    </row>
    <row r="40" spans="1:38" x14ac:dyDescent="0.2">
      <c r="A40" s="10"/>
      <c r="B40" s="21"/>
      <c r="C40" s="21"/>
      <c r="D40" s="21"/>
      <c r="E40" s="21"/>
      <c r="F40" s="21"/>
      <c r="G40" s="21"/>
      <c r="H40" s="21"/>
      <c r="I40" s="21"/>
      <c r="J40" s="21"/>
      <c r="K40" s="21"/>
      <c r="L40" s="21"/>
      <c r="M40" s="21" t="s">
        <v>15</v>
      </c>
      <c r="N40" s="17">
        <f>+N37-N39</f>
        <v>9.000000000000008E-2</v>
      </c>
      <c r="O40" s="56">
        <f>N40/N39</f>
        <v>4.6153846153846198E-2</v>
      </c>
      <c r="X40" s="8"/>
      <c r="Y40" s="8"/>
      <c r="Z40" s="51"/>
    </row>
    <row r="41" spans="1:38" x14ac:dyDescent="0.2">
      <c r="A41" s="10"/>
      <c r="B41" s="21"/>
      <c r="C41" s="21"/>
      <c r="D41" s="21"/>
      <c r="E41" s="21"/>
      <c r="F41" s="21"/>
      <c r="G41" s="21"/>
      <c r="H41" s="21"/>
      <c r="I41" s="21"/>
      <c r="J41" s="21"/>
      <c r="K41" s="21"/>
      <c r="L41" s="21"/>
      <c r="M41" s="21" t="s">
        <v>36</v>
      </c>
      <c r="N41" s="9">
        <f>N40*M27*12</f>
        <v>66161.880000000063</v>
      </c>
      <c r="P41" s="44"/>
      <c r="R41" s="44"/>
      <c r="S41" s="44"/>
      <c r="T41" s="44"/>
      <c r="U41" s="44"/>
      <c r="V41" s="44"/>
      <c r="W41" s="44"/>
      <c r="X41" s="44"/>
      <c r="Y41" s="44"/>
      <c r="Z41" s="44"/>
    </row>
    <row r="42" spans="1:38" x14ac:dyDescent="0.2">
      <c r="A42" s="10"/>
      <c r="B42" s="21"/>
      <c r="C42" s="21"/>
      <c r="D42" s="21"/>
      <c r="E42" s="21"/>
      <c r="F42" s="21"/>
      <c r="G42" s="21"/>
      <c r="H42" s="21"/>
      <c r="I42" s="21"/>
      <c r="J42" s="21"/>
      <c r="K42" s="21"/>
      <c r="L42" s="21"/>
      <c r="M42" s="21"/>
      <c r="N42" s="8"/>
      <c r="P42" s="44"/>
      <c r="R42" s="44"/>
      <c r="S42" s="44"/>
      <c r="T42" s="44"/>
      <c r="U42" s="44"/>
      <c r="V42" s="44"/>
      <c r="W42" s="44"/>
      <c r="X42" s="44"/>
      <c r="Y42" s="44"/>
      <c r="Z42" s="44"/>
    </row>
    <row r="43" spans="1:38" x14ac:dyDescent="0.2">
      <c r="A43" s="10"/>
      <c r="B43" s="11"/>
      <c r="C43" s="11"/>
      <c r="D43" s="11"/>
      <c r="E43" s="11"/>
      <c r="F43" s="11"/>
      <c r="G43" s="11"/>
      <c r="H43" s="11"/>
      <c r="I43" s="11"/>
      <c r="J43" s="11"/>
      <c r="K43" s="11"/>
      <c r="L43" s="11"/>
      <c r="M43" s="11"/>
      <c r="N43" s="8"/>
    </row>
    <row r="44" spans="1:38" x14ac:dyDescent="0.2">
      <c r="A44" s="29"/>
      <c r="B44" s="1"/>
      <c r="C44" s="1"/>
      <c r="D44" s="1"/>
      <c r="E44" s="1"/>
      <c r="F44" s="1"/>
      <c r="G44" s="1"/>
      <c r="H44" s="1"/>
      <c r="I44" s="1"/>
      <c r="J44" s="1"/>
      <c r="K44" s="1"/>
      <c r="L44" s="1"/>
      <c r="M44" s="1"/>
      <c r="N44" s="1" t="s">
        <v>28</v>
      </c>
      <c r="Y44" s="51"/>
      <c r="Z44" s="51"/>
      <c r="AA44" s="52"/>
    </row>
    <row r="45" spans="1:38" x14ac:dyDescent="0.2">
      <c r="A45" s="29" t="s">
        <v>16</v>
      </c>
      <c r="B45" s="2">
        <f>B6</f>
        <v>43770</v>
      </c>
      <c r="C45" s="2">
        <f>B45+31</f>
        <v>43801</v>
      </c>
      <c r="D45" s="2">
        <f t="shared" ref="D45:M45" si="7">C45+31</f>
        <v>43832</v>
      </c>
      <c r="E45" s="2">
        <f t="shared" si="7"/>
        <v>43863</v>
      </c>
      <c r="F45" s="2">
        <f t="shared" si="7"/>
        <v>43894</v>
      </c>
      <c r="G45" s="2">
        <f t="shared" si="7"/>
        <v>43925</v>
      </c>
      <c r="H45" s="2">
        <f t="shared" si="7"/>
        <v>43956</v>
      </c>
      <c r="I45" s="2">
        <f t="shared" si="7"/>
        <v>43987</v>
      </c>
      <c r="J45" s="2">
        <f t="shared" si="7"/>
        <v>44018</v>
      </c>
      <c r="K45" s="2">
        <f t="shared" si="7"/>
        <v>44049</v>
      </c>
      <c r="L45" s="2">
        <f t="shared" si="7"/>
        <v>44080</v>
      </c>
      <c r="M45" s="2">
        <f t="shared" si="7"/>
        <v>44111</v>
      </c>
      <c r="N45" s="2" t="s">
        <v>2</v>
      </c>
      <c r="Y45" s="51"/>
      <c r="Z45" s="51"/>
      <c r="AA45" s="44"/>
    </row>
    <row r="46" spans="1:38" x14ac:dyDescent="0.2">
      <c r="A46" s="25" t="s">
        <v>4</v>
      </c>
      <c r="B46" s="4"/>
      <c r="C46" s="4"/>
      <c r="D46" s="4"/>
      <c r="E46" s="4"/>
      <c r="F46" s="4"/>
      <c r="G46" s="4"/>
      <c r="H46" s="4"/>
      <c r="I46" s="4"/>
      <c r="J46" s="4"/>
      <c r="K46" s="4"/>
      <c r="L46" s="4"/>
      <c r="M46" s="4"/>
      <c r="N46" s="4"/>
      <c r="Y46" s="51"/>
      <c r="Z46" s="51"/>
      <c r="AA46" s="53"/>
    </row>
    <row r="47" spans="1:38" x14ac:dyDescent="0.2">
      <c r="A47" s="22" t="s">
        <v>5</v>
      </c>
      <c r="B47" s="11">
        <f>+'[4]Pacific Comm Credit'!B39</f>
        <v>67.960000000000022</v>
      </c>
      <c r="C47" s="11">
        <f>+'[4]Pacific Comm Credit'!C39</f>
        <v>71.209999999999994</v>
      </c>
      <c r="D47" s="11">
        <f>+'[4]Pacific Comm Credit'!D39</f>
        <v>81.41</v>
      </c>
      <c r="E47" s="11">
        <f>+'[4]Pacific Comm Credit'!E39</f>
        <v>70.8</v>
      </c>
      <c r="F47" s="11">
        <f>+'[4]Pacific Comm Credit'!F39</f>
        <v>77.869999999999976</v>
      </c>
      <c r="G47" s="11">
        <f>+'[4]Pacific Comm Credit'!G39</f>
        <v>77.87</v>
      </c>
      <c r="H47" s="11">
        <f>+'[4]Pacific Comm Credit'!H39</f>
        <v>79.59</v>
      </c>
      <c r="I47" s="11">
        <f>+'[4]Pacific Comm Credit'!I39</f>
        <v>83.389999999999986</v>
      </c>
      <c r="J47" s="11">
        <f>+'[4]Pacific Comm Credit'!J39</f>
        <v>87.170000000000016</v>
      </c>
      <c r="K47" s="11">
        <f>+'[4]Pacific Comm Credit'!K39</f>
        <v>79.59</v>
      </c>
      <c r="L47" s="11">
        <f>+'[4]Pacific Comm Credit'!L39</f>
        <v>83.39</v>
      </c>
      <c r="M47" s="11">
        <f>+'[4]Pacific Comm Credit'!M39</f>
        <v>83.39</v>
      </c>
      <c r="N47" s="5">
        <f>SUM(B47:M47)</f>
        <v>943.64</v>
      </c>
    </row>
    <row r="48" spans="1:38" x14ac:dyDescent="0.2">
      <c r="A48" s="22" t="s">
        <v>6</v>
      </c>
      <c r="B48" s="11">
        <f>+'[4]Pacific Comm Credit'!B40</f>
        <v>12.860000000000001</v>
      </c>
      <c r="C48" s="11">
        <f>+'[4]Pacific Comm Credit'!C40</f>
        <v>16.340000000000003</v>
      </c>
      <c r="D48" s="11">
        <f>+'[4]Pacific Comm Credit'!D40</f>
        <v>15.14</v>
      </c>
      <c r="E48" s="11">
        <f>+'[4]Pacific Comm Credit'!E40</f>
        <v>12.8</v>
      </c>
      <c r="F48" s="11">
        <f>+'[4]Pacific Comm Credit'!F40</f>
        <v>13.950000000000001</v>
      </c>
      <c r="G48" s="11">
        <f>+'[4]Pacific Comm Credit'!G40</f>
        <v>16.91</v>
      </c>
      <c r="H48" s="11">
        <f>+'[4]Pacific Comm Credit'!H40</f>
        <v>17.920000000000002</v>
      </c>
      <c r="I48" s="11">
        <f>+'[4]Pacific Comm Credit'!I40</f>
        <v>15.96</v>
      </c>
      <c r="J48" s="11">
        <f>+'[4]Pacific Comm Credit'!J40</f>
        <v>6.84</v>
      </c>
      <c r="K48" s="11">
        <f>+'[4]Pacific Comm Credit'!K40</f>
        <v>14.72</v>
      </c>
      <c r="L48" s="11">
        <f>+'[4]Pacific Comm Credit'!L40</f>
        <v>15.38</v>
      </c>
      <c r="M48" s="11">
        <f>+'[4]Pacific Comm Credit'!M40</f>
        <v>14.330000000000002</v>
      </c>
      <c r="N48" s="5">
        <f>SUM(B48:M48)</f>
        <v>173.15</v>
      </c>
    </row>
    <row r="49" spans="1:16" x14ac:dyDescent="0.2">
      <c r="B49" s="11"/>
      <c r="C49" s="11"/>
      <c r="D49" s="11"/>
      <c r="E49" s="11"/>
      <c r="F49" s="11"/>
      <c r="G49" s="11"/>
      <c r="H49" s="11"/>
      <c r="I49" s="11"/>
      <c r="J49" s="11"/>
      <c r="K49" s="11"/>
      <c r="L49" s="11"/>
      <c r="M49" s="11"/>
      <c r="N49" s="5"/>
    </row>
    <row r="50" spans="1:16" s="6" customFormat="1" x14ac:dyDescent="0.2">
      <c r="A50" s="6" t="s">
        <v>2</v>
      </c>
      <c r="B50" s="35">
        <f>SUM(B47:B49)</f>
        <v>80.820000000000022</v>
      </c>
      <c r="C50" s="35">
        <f>SUM(C47:C49)</f>
        <v>87.55</v>
      </c>
      <c r="D50" s="35">
        <f t="shared" ref="D50:K50" si="8">SUM(D47:D48)</f>
        <v>96.55</v>
      </c>
      <c r="E50" s="35">
        <f t="shared" si="8"/>
        <v>83.6</v>
      </c>
      <c r="F50" s="35">
        <f t="shared" si="8"/>
        <v>91.819999999999979</v>
      </c>
      <c r="G50" s="35">
        <f t="shared" si="8"/>
        <v>94.78</v>
      </c>
      <c r="H50" s="35">
        <f t="shared" si="8"/>
        <v>97.51</v>
      </c>
      <c r="I50" s="35">
        <f t="shared" si="8"/>
        <v>99.35</v>
      </c>
      <c r="J50" s="35">
        <f t="shared" si="8"/>
        <v>94.010000000000019</v>
      </c>
      <c r="K50" s="35">
        <f t="shared" si="8"/>
        <v>94.31</v>
      </c>
      <c r="L50" s="35">
        <f>SUM(L47:L48)</f>
        <v>98.77</v>
      </c>
      <c r="M50" s="35">
        <f>SUM(M47:M48)</f>
        <v>97.72</v>
      </c>
      <c r="N50" s="35">
        <f>SUM(N47:N49)</f>
        <v>1116.79</v>
      </c>
    </row>
    <row r="52" spans="1:16" x14ac:dyDescent="0.2">
      <c r="A52" s="26" t="s">
        <v>20</v>
      </c>
    </row>
    <row r="53" spans="1:16" x14ac:dyDescent="0.2">
      <c r="A53" s="22" t="s">
        <v>5</v>
      </c>
      <c r="B53" s="27">
        <f>B17</f>
        <v>-112.07739999999998</v>
      </c>
      <c r="C53" s="27">
        <f t="shared" ref="C53:M53" si="9">C17</f>
        <v>-111.72239999999998</v>
      </c>
      <c r="D53" s="27">
        <f t="shared" si="9"/>
        <v>-105.466292</v>
      </c>
      <c r="E53" s="27">
        <f t="shared" si="9"/>
        <v>-103.51889199999999</v>
      </c>
      <c r="F53" s="27">
        <f t="shared" si="9"/>
        <v>-102.62899200000001</v>
      </c>
      <c r="G53" s="27">
        <f t="shared" si="9"/>
        <v>-103.82879199999999</v>
      </c>
      <c r="H53" s="27">
        <f t="shared" si="9"/>
        <v>-87.989891999999998</v>
      </c>
      <c r="I53" s="27">
        <f t="shared" si="9"/>
        <v>-99.692811999999989</v>
      </c>
      <c r="J53" s="27">
        <f t="shared" si="9"/>
        <v>-101.05185199999997</v>
      </c>
      <c r="K53" s="27">
        <f t="shared" si="9"/>
        <v>-94.481131999999988</v>
      </c>
      <c r="L53" s="27">
        <f t="shared" si="9"/>
        <v>-87.155441999999994</v>
      </c>
      <c r="M53" s="27">
        <f t="shared" si="9"/>
        <v>-83.977722</v>
      </c>
      <c r="N53" s="8"/>
    </row>
    <row r="54" spans="1:16" x14ac:dyDescent="0.2">
      <c r="A54" s="22" t="s">
        <v>6</v>
      </c>
      <c r="B54" s="27">
        <f>B18</f>
        <v>-30</v>
      </c>
      <c r="C54" s="27">
        <f t="shared" ref="C54:M54" si="10">C18</f>
        <v>-30</v>
      </c>
      <c r="D54" s="27">
        <f t="shared" si="10"/>
        <v>-33</v>
      </c>
      <c r="E54" s="27">
        <f t="shared" si="10"/>
        <v>-33</v>
      </c>
      <c r="F54" s="27">
        <f t="shared" si="10"/>
        <v>-33</v>
      </c>
      <c r="G54" s="27">
        <f t="shared" si="10"/>
        <v>-33</v>
      </c>
      <c r="H54" s="27">
        <f t="shared" si="10"/>
        <v>-33</v>
      </c>
      <c r="I54" s="27">
        <f t="shared" si="10"/>
        <v>-33</v>
      </c>
      <c r="J54" s="27">
        <f t="shared" si="10"/>
        <v>-33</v>
      </c>
      <c r="K54" s="27">
        <f t="shared" si="10"/>
        <v>-33</v>
      </c>
      <c r="L54" s="27">
        <f t="shared" si="10"/>
        <v>-33</v>
      </c>
      <c r="M54" s="27">
        <f t="shared" si="10"/>
        <v>-33</v>
      </c>
      <c r="N54" s="8"/>
    </row>
    <row r="56" spans="1:16" x14ac:dyDescent="0.2">
      <c r="A56" s="26" t="s">
        <v>8</v>
      </c>
    </row>
    <row r="57" spans="1:16" x14ac:dyDescent="0.2">
      <c r="A57" s="22" t="s">
        <v>5</v>
      </c>
      <c r="B57" s="36">
        <f>B47*B53</f>
        <v>-7616.7801040000013</v>
      </c>
      <c r="C57" s="36">
        <f>C47*C53</f>
        <v>-7955.7521039999974</v>
      </c>
      <c r="D57" s="36">
        <f t="shared" ref="D57:M57" si="11">+D47*D53</f>
        <v>-8586.0108317199993</v>
      </c>
      <c r="E57" s="36">
        <f t="shared" si="11"/>
        <v>-7329.1375535999996</v>
      </c>
      <c r="F57" s="36">
        <f t="shared" si="11"/>
        <v>-7991.7196070399987</v>
      </c>
      <c r="G57" s="36">
        <f t="shared" si="11"/>
        <v>-8085.14803304</v>
      </c>
      <c r="H57" s="36">
        <f t="shared" si="11"/>
        <v>-7003.1155042800001</v>
      </c>
      <c r="I57" s="36">
        <f t="shared" si="11"/>
        <v>-8313.3835926799984</v>
      </c>
      <c r="J57" s="36">
        <f t="shared" si="11"/>
        <v>-8808.6899388399997</v>
      </c>
      <c r="K57" s="36">
        <f t="shared" si="11"/>
        <v>-7519.7532958799993</v>
      </c>
      <c r="L57" s="36">
        <f t="shared" si="11"/>
        <v>-7267.8923083799991</v>
      </c>
      <c r="M57" s="36">
        <f t="shared" si="11"/>
        <v>-7002.9022375800005</v>
      </c>
      <c r="N57" s="9">
        <f>SUM(B57:M57)</f>
        <v>-93480.285111039993</v>
      </c>
    </row>
    <row r="58" spans="1:16" x14ac:dyDescent="0.2">
      <c r="A58" s="22" t="s">
        <v>6</v>
      </c>
      <c r="B58" s="36">
        <f>B48*B54</f>
        <v>-385.8</v>
      </c>
      <c r="C58" s="36">
        <f>C48*C54</f>
        <v>-490.2000000000001</v>
      </c>
      <c r="D58" s="36">
        <f>+D54*D48</f>
        <v>-499.62</v>
      </c>
      <c r="E58" s="36">
        <f t="shared" ref="E58:M58" si="12">+E54*E48</f>
        <v>-422.40000000000003</v>
      </c>
      <c r="F58" s="36">
        <f t="shared" si="12"/>
        <v>-460.35</v>
      </c>
      <c r="G58" s="36">
        <f t="shared" si="12"/>
        <v>-558.03</v>
      </c>
      <c r="H58" s="36">
        <f t="shared" si="12"/>
        <v>-591.36</v>
      </c>
      <c r="I58" s="36">
        <f t="shared" si="12"/>
        <v>-526.68000000000006</v>
      </c>
      <c r="J58" s="36">
        <f t="shared" si="12"/>
        <v>-225.72</v>
      </c>
      <c r="K58" s="36">
        <f t="shared" si="12"/>
        <v>-485.76000000000005</v>
      </c>
      <c r="L58" s="36">
        <f t="shared" si="12"/>
        <v>-507.54</v>
      </c>
      <c r="M58" s="36">
        <f t="shared" si="12"/>
        <v>-472.89000000000004</v>
      </c>
      <c r="N58" s="9">
        <f>SUM(B58:M58)</f>
        <v>-5626.3500000000013</v>
      </c>
    </row>
    <row r="59" spans="1:16" x14ac:dyDescent="0.2">
      <c r="B59" s="16"/>
      <c r="C59" s="16"/>
      <c r="D59" s="16"/>
      <c r="E59" s="16"/>
      <c r="F59" s="16"/>
      <c r="G59" s="16"/>
      <c r="H59" s="16"/>
      <c r="I59" s="16"/>
      <c r="J59" s="16"/>
      <c r="K59" s="16"/>
      <c r="L59" s="16"/>
      <c r="M59" s="16"/>
      <c r="N59" s="8"/>
    </row>
    <row r="60" spans="1:16" s="6" customFormat="1" x14ac:dyDescent="0.2">
      <c r="A60" s="6" t="s">
        <v>9</v>
      </c>
      <c r="B60" s="37">
        <f t="shared" ref="B60:I60" si="13">SUM(B57:B58)</f>
        <v>-8002.5801040000015</v>
      </c>
      <c r="C60" s="37">
        <f t="shared" si="13"/>
        <v>-8445.9521039999981</v>
      </c>
      <c r="D60" s="37">
        <f t="shared" si="13"/>
        <v>-9085.6308317200001</v>
      </c>
      <c r="E60" s="37">
        <f t="shared" si="13"/>
        <v>-7751.5375535999992</v>
      </c>
      <c r="F60" s="37">
        <f t="shared" si="13"/>
        <v>-8452.069607039999</v>
      </c>
      <c r="G60" s="37">
        <f t="shared" si="13"/>
        <v>-8643.1780330399997</v>
      </c>
      <c r="H60" s="37">
        <f t="shared" si="13"/>
        <v>-7594.4755042799998</v>
      </c>
      <c r="I60" s="37">
        <f t="shared" si="13"/>
        <v>-8840.0635926799987</v>
      </c>
      <c r="J60" s="37">
        <f>SUM(J57:J58)</f>
        <v>-9034.4099388399991</v>
      </c>
      <c r="K60" s="37">
        <f>SUM(K57:K58)</f>
        <v>-8005.5132958799995</v>
      </c>
      <c r="L60" s="37">
        <f>SUM(L57:L58)</f>
        <v>-7775.4323083799991</v>
      </c>
      <c r="M60" s="37">
        <f>SUM(M57:M58)</f>
        <v>-7475.7922375800008</v>
      </c>
      <c r="N60" s="40">
        <f>SUM(N57:N58)</f>
        <v>-99106.635111039999</v>
      </c>
      <c r="O60" s="54"/>
    </row>
    <row r="61" spans="1:16" x14ac:dyDescent="0.2">
      <c r="B61" s="16"/>
      <c r="C61" s="16"/>
      <c r="D61" s="16"/>
      <c r="E61" s="16"/>
      <c r="F61" s="16"/>
      <c r="G61" s="16"/>
      <c r="H61" s="16"/>
      <c r="I61" s="16"/>
      <c r="J61" s="16"/>
      <c r="K61" s="16"/>
      <c r="L61" s="16"/>
      <c r="M61" s="16"/>
      <c r="N61" s="8"/>
    </row>
    <row r="62" spans="1:16" x14ac:dyDescent="0.2">
      <c r="B62" s="16"/>
      <c r="C62" s="16"/>
      <c r="D62" s="16"/>
      <c r="E62" s="16"/>
      <c r="F62" s="16"/>
      <c r="G62" s="16"/>
      <c r="H62" s="16"/>
      <c r="I62" s="16"/>
      <c r="J62" s="16"/>
      <c r="K62" s="16"/>
      <c r="L62" s="16"/>
      <c r="M62" s="16"/>
      <c r="N62" s="8"/>
    </row>
    <row r="63" spans="1:16" x14ac:dyDescent="0.2">
      <c r="A63" s="10" t="s">
        <v>43</v>
      </c>
      <c r="B63" s="16">
        <f>+'[4]Pacific Comm Credit'!B53</f>
        <v>11551.298336798336</v>
      </c>
      <c r="C63" s="16">
        <f>+'[4]Pacific Comm Credit'!C53</f>
        <v>11530.5</v>
      </c>
      <c r="D63" s="16">
        <f>+'[4]Pacific Comm Credit'!D53</f>
        <v>11554.500000000002</v>
      </c>
      <c r="E63" s="16">
        <f>+'[4]Pacific Comm Credit'!E53</f>
        <v>11585.067961165048</v>
      </c>
      <c r="F63" s="16">
        <f>+'[4]Pacific Comm Credit'!F53</f>
        <v>11590</v>
      </c>
      <c r="G63" s="16">
        <f>+'[4]Pacific Comm Credit'!G53</f>
        <v>11596.334951456311</v>
      </c>
      <c r="H63" s="16">
        <f>+'[4]Pacific Comm Credit'!H53</f>
        <v>11623</v>
      </c>
      <c r="I63" s="16">
        <f>+'[4]Pacific Comm Credit'!I53</f>
        <v>11617.002079002079</v>
      </c>
      <c r="J63" s="16">
        <f>+'[4]Pacific Comm Credit'!J53</f>
        <v>11614.800970873786</v>
      </c>
      <c r="K63" s="16">
        <f>+'[4]Pacific Comm Credit'!K53</f>
        <v>11637.128640776698</v>
      </c>
      <c r="L63" s="16">
        <f>+'[4]Pacific Comm Credit'!L53</f>
        <v>11754.643203883494</v>
      </c>
      <c r="M63" s="16">
        <f>+'[4]Pacific Comm Credit'!M53</f>
        <v>12262.029126213591</v>
      </c>
      <c r="N63" s="7">
        <f>SUM(B63:M63)</f>
        <v>139916.30527016934</v>
      </c>
      <c r="P63" s="87"/>
    </row>
    <row r="64" spans="1:16" x14ac:dyDescent="0.2">
      <c r="A64" s="10"/>
      <c r="B64" s="16"/>
      <c r="C64" s="16"/>
      <c r="D64" s="16"/>
      <c r="E64" s="16"/>
      <c r="F64" s="16"/>
      <c r="G64" s="16"/>
      <c r="H64" s="16"/>
      <c r="I64" s="16"/>
      <c r="J64" s="16"/>
      <c r="K64" s="16"/>
      <c r="L64" s="16"/>
      <c r="M64" s="16"/>
      <c r="N64" s="8"/>
    </row>
    <row r="65" spans="1:19" x14ac:dyDescent="0.2">
      <c r="A65" s="10"/>
      <c r="B65" s="16"/>
      <c r="C65" s="16"/>
      <c r="D65" s="16"/>
      <c r="E65" s="16"/>
      <c r="F65" s="16"/>
      <c r="G65" s="16"/>
      <c r="H65" s="16"/>
      <c r="I65" s="16"/>
      <c r="J65" s="16"/>
      <c r="K65" s="16"/>
      <c r="L65" s="16"/>
      <c r="M65" s="16"/>
      <c r="N65" s="15"/>
    </row>
    <row r="66" spans="1:19" x14ac:dyDescent="0.2">
      <c r="A66" s="10" t="s">
        <v>13</v>
      </c>
      <c r="B66" s="27">
        <f t="shared" ref="B66:M66" si="14">+IFERROR(B60/B63,0)</f>
        <v>-0.69278620209354491</v>
      </c>
      <c r="C66" s="27">
        <f t="shared" si="14"/>
        <v>-0.73248793235332366</v>
      </c>
      <c r="D66" s="27">
        <f t="shared" si="14"/>
        <v>-0.7863283423531956</v>
      </c>
      <c r="E66" s="27">
        <f t="shared" si="14"/>
        <v>-0.6690972879558722</v>
      </c>
      <c r="F66" s="27">
        <f t="shared" si="14"/>
        <v>-0.72925535867471947</v>
      </c>
      <c r="G66" s="27">
        <f t="shared" si="14"/>
        <v>-0.74533704564600878</v>
      </c>
      <c r="H66" s="27">
        <f t="shared" si="14"/>
        <v>-0.65340062843327884</v>
      </c>
      <c r="I66" s="27">
        <f t="shared" si="14"/>
        <v>-0.76095911256300441</v>
      </c>
      <c r="J66" s="27">
        <f t="shared" si="14"/>
        <v>-0.77783596649614706</v>
      </c>
      <c r="K66" s="27">
        <f t="shared" si="14"/>
        <v>-0.68792857267458085</v>
      </c>
      <c r="L66" s="27">
        <f t="shared" si="14"/>
        <v>-0.66147752624351497</v>
      </c>
      <c r="M66" s="27">
        <f t="shared" si="14"/>
        <v>-0.60967007667583817</v>
      </c>
      <c r="N66" s="5"/>
    </row>
    <row r="67" spans="1:19" x14ac:dyDescent="0.2">
      <c r="A67" s="10" t="s">
        <v>14</v>
      </c>
      <c r="B67" s="69">
        <f>+'Pacific CPA Eff. 1.1.20'!$G$71</f>
        <v>-0.6416416189538674</v>
      </c>
      <c r="C67" s="69">
        <f>+'Pacific CPA Eff. 1.1.20'!$G$71</f>
        <v>-0.6416416189538674</v>
      </c>
      <c r="D67" s="69">
        <f>+'Pacific CPA Eff. 1.1.20'!$H$76</f>
        <v>-0.69697730765535149</v>
      </c>
      <c r="E67" s="69">
        <f>+'Pacific CPA Eff. 1.1.20'!$H$76</f>
        <v>-0.69697730765535149</v>
      </c>
      <c r="F67" s="69">
        <f>+'Pacific CPA Eff. 1.1.20'!$H$76</f>
        <v>-0.69697730765535149</v>
      </c>
      <c r="G67" s="69">
        <f>+'Pacific CPA Eff. 1.1.20'!$H$76</f>
        <v>-0.69697730765535149</v>
      </c>
      <c r="H67" s="69">
        <f>+'Pacific CPA Eff. 1.1.20'!$H$76</f>
        <v>-0.69697730765535149</v>
      </c>
      <c r="I67" s="69">
        <f>+'Pacific CPA Eff. 1.1.20'!$H$76</f>
        <v>-0.69697730765535149</v>
      </c>
      <c r="J67" s="69">
        <f>+'Pacific CPA Eff. 1.1.20'!$H$76</f>
        <v>-0.69697730765535149</v>
      </c>
      <c r="K67" s="69">
        <f>+'Pacific CPA Eff. 1.1.20'!$H$76</f>
        <v>-0.69697730765535149</v>
      </c>
      <c r="L67" s="69">
        <f>+'Pacific CPA Eff. 1.1.20'!$H$76</f>
        <v>-0.69697730765535149</v>
      </c>
      <c r="M67" s="69">
        <f>+'Pacific CPA Eff. 1.1.20'!$H$76</f>
        <v>-0.69697730765535149</v>
      </c>
      <c r="N67" s="5"/>
    </row>
    <row r="68" spans="1:19" x14ac:dyDescent="0.2">
      <c r="A68" s="10"/>
      <c r="B68" s="27"/>
      <c r="C68" s="27"/>
      <c r="D68" s="27"/>
      <c r="E68" s="27"/>
      <c r="F68" s="27"/>
      <c r="G68" s="27"/>
      <c r="H68" s="27"/>
      <c r="I68" s="27"/>
      <c r="J68" s="27"/>
      <c r="K68" s="27"/>
      <c r="L68" s="27"/>
      <c r="M68" s="27"/>
      <c r="N68" s="5"/>
    </row>
    <row r="69" spans="1:19" s="6" customFormat="1" x14ac:dyDescent="0.2">
      <c r="A69" s="13" t="s">
        <v>17</v>
      </c>
      <c r="B69" s="83">
        <f t="shared" ref="B69:M69" si="15">+(B66-B67)*B63</f>
        <v>-590.78633815760111</v>
      </c>
      <c r="C69" s="83">
        <f t="shared" si="15"/>
        <v>-1047.5034166524304</v>
      </c>
      <c r="D69" s="83">
        <f t="shared" si="15"/>
        <v>-1032.40653041624</v>
      </c>
      <c r="E69" s="83">
        <f t="shared" si="15"/>
        <v>322.99192297708788</v>
      </c>
      <c r="F69" s="83">
        <f t="shared" si="15"/>
        <v>-374.10261131447493</v>
      </c>
      <c r="G69" s="83">
        <f t="shared" si="15"/>
        <v>-560.79571990432873</v>
      </c>
      <c r="H69" s="83">
        <f t="shared" si="15"/>
        <v>506.49174259815038</v>
      </c>
      <c r="I69" s="83">
        <f t="shared" si="15"/>
        <v>-743.27676063050944</v>
      </c>
      <c r="J69" s="83">
        <f t="shared" si="15"/>
        <v>-939.15722920762471</v>
      </c>
      <c r="K69" s="83">
        <f t="shared" si="15"/>
        <v>105.30129300752394</v>
      </c>
      <c r="L69" s="83">
        <f t="shared" si="15"/>
        <v>417.28726431199368</v>
      </c>
      <c r="M69" s="83">
        <f t="shared" si="15"/>
        <v>1070.5638091998499</v>
      </c>
      <c r="N69" s="18">
        <f>SUM(B69:M69)</f>
        <v>-2865.3925741886032</v>
      </c>
    </row>
    <row r="70" spans="1:19" x14ac:dyDescent="0.2">
      <c r="A70" s="10"/>
      <c r="B70" s="11"/>
      <c r="C70" s="11"/>
      <c r="D70" s="11"/>
      <c r="E70" s="11"/>
      <c r="F70" s="11"/>
      <c r="G70" s="11"/>
      <c r="H70" s="11"/>
      <c r="I70" s="11"/>
      <c r="J70" s="11"/>
      <c r="K70" s="11"/>
      <c r="L70" s="11"/>
      <c r="M70" s="11"/>
      <c r="N70" s="8"/>
    </row>
    <row r="71" spans="1:19" x14ac:dyDescent="0.2">
      <c r="A71" s="16"/>
      <c r="B71" s="28"/>
      <c r="C71" s="28"/>
      <c r="D71" s="28"/>
      <c r="E71" s="28"/>
      <c r="F71" s="28"/>
      <c r="G71" s="28"/>
      <c r="H71" s="28"/>
      <c r="I71" s="28"/>
      <c r="J71" s="28"/>
      <c r="K71" s="28"/>
      <c r="L71" s="28"/>
      <c r="M71" s="21" t="s">
        <v>18</v>
      </c>
      <c r="N71" s="17">
        <f>ROUND(N69/N63,2)</f>
        <v>-0.02</v>
      </c>
    </row>
    <row r="72" spans="1:19" x14ac:dyDescent="0.2">
      <c r="B72" s="21"/>
      <c r="C72" s="21"/>
      <c r="D72" s="21"/>
      <c r="E72" s="21"/>
      <c r="F72" s="21"/>
      <c r="G72" s="21"/>
      <c r="H72" s="21"/>
      <c r="I72" s="21"/>
      <c r="J72" s="21"/>
      <c r="K72" s="21"/>
      <c r="L72" s="21"/>
      <c r="M72" s="21" t="s">
        <v>41</v>
      </c>
      <c r="N72" s="81">
        <f>ROUND(N60/N63,2)</f>
        <v>-0.71</v>
      </c>
    </row>
    <row r="73" spans="1:19" x14ac:dyDescent="0.2">
      <c r="B73" s="84"/>
      <c r="C73" s="21"/>
      <c r="D73" s="21"/>
      <c r="E73" s="21"/>
      <c r="F73" s="21"/>
      <c r="G73" s="21"/>
      <c r="H73" s="21"/>
      <c r="I73" s="21"/>
      <c r="J73" s="21"/>
      <c r="K73" s="21"/>
      <c r="L73" s="21"/>
      <c r="M73" s="42" t="s">
        <v>44</v>
      </c>
      <c r="N73" s="18">
        <f>-N71-N72</f>
        <v>0.73</v>
      </c>
    </row>
    <row r="74" spans="1:19" x14ac:dyDescent="0.2">
      <c r="A74" s="16"/>
      <c r="B74" s="85"/>
      <c r="C74" s="21"/>
      <c r="D74" s="21"/>
      <c r="E74" s="85"/>
      <c r="F74" s="21"/>
      <c r="G74" s="21"/>
      <c r="H74" s="21"/>
      <c r="I74" s="21"/>
      <c r="J74" s="21"/>
      <c r="K74" s="21"/>
      <c r="L74" s="21"/>
      <c r="M74" s="21"/>
      <c r="N74" s="18"/>
    </row>
    <row r="75" spans="1:19" x14ac:dyDescent="0.2">
      <c r="A75" s="10"/>
      <c r="B75" s="21"/>
      <c r="C75" s="21"/>
      <c r="D75" s="21"/>
      <c r="E75" s="21"/>
      <c r="F75" s="21"/>
      <c r="G75" s="21"/>
      <c r="H75" s="21"/>
      <c r="I75" s="21"/>
      <c r="J75" s="21"/>
      <c r="K75" s="21"/>
      <c r="L75" s="21"/>
      <c r="M75" s="21" t="s">
        <v>45</v>
      </c>
      <c r="N75" s="88">
        <v>0.77</v>
      </c>
      <c r="Q75" s="8"/>
      <c r="R75" s="8"/>
      <c r="S75" s="55"/>
    </row>
    <row r="76" spans="1:19" x14ac:dyDescent="0.2">
      <c r="A76" s="10"/>
      <c r="B76" s="21"/>
      <c r="C76" s="21"/>
      <c r="D76" s="21"/>
      <c r="E76" s="21"/>
      <c r="F76" s="21"/>
      <c r="G76" s="21"/>
      <c r="H76" s="21"/>
      <c r="I76" s="21"/>
      <c r="J76" s="21"/>
      <c r="K76" s="21"/>
      <c r="L76" s="21"/>
      <c r="M76" s="21" t="s">
        <v>15</v>
      </c>
      <c r="N76" s="17">
        <f>+N73-N75</f>
        <v>-4.0000000000000036E-2</v>
      </c>
      <c r="O76" s="56">
        <f>N76/N75</f>
        <v>-5.1948051948051993E-2</v>
      </c>
    </row>
    <row r="77" spans="1:19" x14ac:dyDescent="0.2">
      <c r="A77" s="10"/>
      <c r="B77" s="21"/>
      <c r="C77" s="21"/>
      <c r="D77" s="21"/>
      <c r="E77" s="21"/>
      <c r="F77" s="21"/>
      <c r="G77" s="21"/>
      <c r="H77" s="21"/>
      <c r="I77" s="21"/>
      <c r="J77" s="21"/>
      <c r="K77" s="21"/>
      <c r="L77" s="21"/>
      <c r="M77" s="21" t="s">
        <v>36</v>
      </c>
      <c r="N77" s="9">
        <f>N76*M63*12</f>
        <v>-5885.7739805825295</v>
      </c>
    </row>
    <row r="78" spans="1:19" x14ac:dyDescent="0.2">
      <c r="A78" s="10"/>
      <c r="B78" s="21"/>
      <c r="C78" s="21"/>
      <c r="D78" s="21"/>
      <c r="E78" s="21"/>
      <c r="F78" s="21"/>
      <c r="G78" s="21"/>
      <c r="H78" s="21"/>
      <c r="I78" s="21"/>
      <c r="J78" s="21"/>
      <c r="K78" s="21"/>
      <c r="L78" s="21"/>
      <c r="M78" s="21"/>
      <c r="O78" s="5"/>
    </row>
  </sheetData>
  <pageMargins left="0.7" right="0.7" top="0.75" bottom="0.75" header="0.3" footer="0.3"/>
  <pageSetup scale="65" fitToHeight="0" orientation="landscape" r:id="rId1"/>
  <rowBreaks count="1" manualBreakCount="1">
    <brk id="43" max="1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82"/>
  <sheetViews>
    <sheetView showGridLines="0" view="pageBreakPreview" zoomScale="80" zoomScaleNormal="85" zoomScaleSheetLayoutView="80" workbookViewId="0">
      <pane xSplit="1" ySplit="7" topLeftCell="B8" activePane="bottomRight" state="frozen"/>
      <selection activeCell="B36" sqref="B36"/>
      <selection pane="topRight" activeCell="B36" sqref="B36"/>
      <selection pane="bottomLeft" activeCell="B36" sqref="B36"/>
      <selection pane="bottomRight" activeCell="A5" sqref="A5"/>
    </sheetView>
  </sheetViews>
  <sheetFormatPr defaultRowHeight="12.75" x14ac:dyDescent="0.2"/>
  <cols>
    <col min="1" max="1" width="32.5703125" style="22"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22" bestFit="1" customWidth="1"/>
    <col min="10" max="10" width="9.5703125" style="22" bestFit="1" customWidth="1"/>
    <col min="11" max="11" width="13.5703125" style="22" customWidth="1"/>
    <col min="12" max="12" width="11" style="22" customWidth="1"/>
    <col min="13" max="13" width="11.140625" style="22" customWidth="1"/>
    <col min="14" max="14" width="10.7109375" style="22" customWidth="1"/>
    <col min="15" max="15" width="10.85546875" style="22" customWidth="1"/>
    <col min="16" max="16" width="10.42578125" style="22" customWidth="1"/>
    <col min="17" max="17" width="10.85546875" style="22" customWidth="1"/>
    <col min="18" max="18" width="11.42578125" style="22" customWidth="1"/>
    <col min="19" max="19" width="11.85546875" style="22" customWidth="1"/>
    <col min="20" max="16384" width="9.140625" style="22"/>
  </cols>
  <sheetData>
    <row r="1" spans="1:32" x14ac:dyDescent="0.2">
      <c r="A1" s="6" t="s">
        <v>19</v>
      </c>
    </row>
    <row r="2" spans="1:32" x14ac:dyDescent="0.2">
      <c r="A2" s="6" t="s">
        <v>0</v>
      </c>
      <c r="H2" s="30"/>
    </row>
    <row r="3" spans="1:32" x14ac:dyDescent="0.2">
      <c r="A3" s="6" t="s">
        <v>1</v>
      </c>
      <c r="B3" s="11"/>
      <c r="C3" s="11"/>
      <c r="D3" s="11"/>
      <c r="E3" s="11"/>
      <c r="F3" s="11"/>
      <c r="G3" s="11"/>
      <c r="H3" s="12"/>
      <c r="I3" s="5"/>
    </row>
    <row r="4" spans="1:32" x14ac:dyDescent="0.2">
      <c r="A4" s="6" t="s">
        <v>39</v>
      </c>
      <c r="B4" s="11"/>
      <c r="C4" s="11"/>
      <c r="D4" s="11"/>
      <c r="E4" s="11"/>
      <c r="F4" s="11"/>
      <c r="G4" s="11"/>
      <c r="H4" s="12"/>
      <c r="I4" s="5"/>
      <c r="J4" s="6"/>
    </row>
    <row r="5" spans="1:32" s="31" customFormat="1" x14ac:dyDescent="0.2">
      <c r="B5" s="1"/>
      <c r="C5" s="1"/>
      <c r="D5" s="1"/>
      <c r="E5" s="1"/>
      <c r="F5" s="1"/>
      <c r="G5" s="1"/>
      <c r="H5" s="1" t="s">
        <v>23</v>
      </c>
      <c r="J5" s="5"/>
    </row>
    <row r="6" spans="1:32" s="32" customFormat="1" x14ac:dyDescent="0.2">
      <c r="B6" s="2">
        <v>43586</v>
      </c>
      <c r="C6" s="2">
        <f>+B6+31</f>
        <v>43617</v>
      </c>
      <c r="D6" s="2">
        <f>+C6+31</f>
        <v>43648</v>
      </c>
      <c r="E6" s="2">
        <f>+D6+31</f>
        <v>43679</v>
      </c>
      <c r="F6" s="2">
        <f>+E6+31</f>
        <v>43710</v>
      </c>
      <c r="G6" s="2">
        <f>+F6+31</f>
        <v>43741</v>
      </c>
      <c r="H6" s="2" t="s">
        <v>2</v>
      </c>
      <c r="I6" s="31"/>
      <c r="J6" s="43"/>
      <c r="K6" s="33"/>
      <c r="L6" s="43"/>
      <c r="M6" s="43"/>
      <c r="N6" s="33"/>
      <c r="O6" s="33"/>
      <c r="P6" s="33"/>
      <c r="Q6" s="33"/>
      <c r="R6" s="33"/>
      <c r="S6" s="33"/>
      <c r="T6" s="33"/>
      <c r="U6" s="33"/>
      <c r="V6" s="33"/>
      <c r="W6" s="33"/>
      <c r="X6" s="31"/>
      <c r="Y6" s="31"/>
      <c r="Z6" s="31"/>
      <c r="AA6" s="31"/>
      <c r="AB6" s="31"/>
      <c r="AC6" s="31"/>
      <c r="AD6" s="31"/>
      <c r="AE6" s="31"/>
      <c r="AF6" s="31"/>
    </row>
    <row r="7" spans="1:32" s="31" customFormat="1" x14ac:dyDescent="0.2">
      <c r="B7" s="3"/>
      <c r="C7" s="3"/>
      <c r="D7" s="3"/>
      <c r="E7" s="23"/>
      <c r="F7" s="23"/>
      <c r="G7" s="23"/>
      <c r="H7" s="3"/>
      <c r="J7" s="43"/>
      <c r="K7" s="33"/>
      <c r="L7" s="43"/>
      <c r="M7" s="43"/>
      <c r="N7" s="33"/>
      <c r="O7" s="33"/>
      <c r="P7" s="33"/>
      <c r="Q7" s="33"/>
      <c r="R7" s="33"/>
      <c r="S7" s="33"/>
      <c r="T7" s="33"/>
      <c r="U7" s="33"/>
      <c r="V7" s="33"/>
      <c r="W7" s="33"/>
    </row>
    <row r="8" spans="1:32" s="31" customFormat="1" x14ac:dyDescent="0.2">
      <c r="A8" s="24" t="s">
        <v>3</v>
      </c>
      <c r="B8" s="4"/>
      <c r="C8" s="4"/>
      <c r="D8" s="4"/>
      <c r="E8" s="4"/>
      <c r="F8" s="4"/>
      <c r="G8" s="4"/>
      <c r="H8" s="34"/>
      <c r="J8" s="5"/>
    </row>
    <row r="9" spans="1:32" s="31" customFormat="1" x14ac:dyDescent="0.2">
      <c r="B9" s="4"/>
      <c r="C9" s="4"/>
      <c r="D9" s="4"/>
      <c r="E9" s="4"/>
      <c r="F9" s="4"/>
      <c r="G9" s="4"/>
      <c r="H9" s="34"/>
      <c r="J9" s="5"/>
    </row>
    <row r="10" spans="1:32" s="31" customFormat="1" x14ac:dyDescent="0.2">
      <c r="A10" s="25" t="s">
        <v>4</v>
      </c>
      <c r="B10" s="4"/>
      <c r="C10" s="4"/>
      <c r="D10" s="4"/>
      <c r="E10" s="4"/>
      <c r="F10" s="4"/>
      <c r="G10" s="4"/>
      <c r="H10" s="4"/>
      <c r="I10" s="4"/>
      <c r="J10" s="5"/>
    </row>
    <row r="11" spans="1:32" x14ac:dyDescent="0.2">
      <c r="A11" s="22" t="s">
        <v>5</v>
      </c>
      <c r="B11" s="65">
        <v>913.59000000000015</v>
      </c>
      <c r="C11" s="65">
        <v>771.7800000000002</v>
      </c>
      <c r="D11" s="65">
        <v>882.74000000000024</v>
      </c>
      <c r="E11" s="65">
        <v>792.76999999999987</v>
      </c>
      <c r="F11" s="65">
        <v>783.15</v>
      </c>
      <c r="G11" s="65">
        <v>825.7</v>
      </c>
      <c r="H11" s="5">
        <f>SUM(B11:G11)</f>
        <v>4969.7300000000005</v>
      </c>
      <c r="J11" s="5"/>
      <c r="L11" s="44"/>
      <c r="M11" s="44"/>
      <c r="N11" s="44"/>
      <c r="O11" s="44"/>
      <c r="P11" s="44"/>
      <c r="Q11" s="44"/>
      <c r="R11" s="44"/>
      <c r="S11" s="44"/>
      <c r="T11" s="44"/>
    </row>
    <row r="12" spans="1:32" x14ac:dyDescent="0.2">
      <c r="A12" s="22" t="s">
        <v>6</v>
      </c>
      <c r="B12" s="65">
        <v>108.77</v>
      </c>
      <c r="C12" s="65">
        <v>114.91</v>
      </c>
      <c r="D12" s="65">
        <v>136.28</v>
      </c>
      <c r="E12" s="65">
        <v>103.36</v>
      </c>
      <c r="F12" s="65">
        <v>103.75999999999999</v>
      </c>
      <c r="G12" s="65">
        <v>97.45</v>
      </c>
      <c r="H12" s="5">
        <f>SUM(B12:G12)</f>
        <v>664.53000000000009</v>
      </c>
      <c r="J12" s="5"/>
      <c r="L12" s="44"/>
      <c r="M12" s="44"/>
      <c r="N12" s="44"/>
      <c r="O12" s="44"/>
      <c r="P12" s="44"/>
      <c r="Q12" s="44"/>
      <c r="R12" s="44"/>
      <c r="S12" s="44"/>
      <c r="T12" s="44"/>
    </row>
    <row r="13" spans="1:32" ht="6" customHeight="1" x14ac:dyDescent="0.2">
      <c r="B13" s="11"/>
      <c r="C13" s="11"/>
      <c r="D13" s="11"/>
      <c r="E13" s="11"/>
      <c r="F13" s="11"/>
      <c r="G13" s="11"/>
      <c r="H13" s="5"/>
      <c r="J13" s="5"/>
    </row>
    <row r="14" spans="1:32" s="6" customFormat="1" x14ac:dyDescent="0.2">
      <c r="A14" s="6" t="s">
        <v>7</v>
      </c>
      <c r="B14" s="35">
        <f t="shared" ref="B14:G14" si="0">SUM(B11:B12)</f>
        <v>1022.3600000000001</v>
      </c>
      <c r="C14" s="35">
        <f t="shared" si="0"/>
        <v>886.69000000000017</v>
      </c>
      <c r="D14" s="35">
        <f t="shared" si="0"/>
        <v>1019.0200000000002</v>
      </c>
      <c r="E14" s="35">
        <f t="shared" si="0"/>
        <v>896.12999999999988</v>
      </c>
      <c r="F14" s="35">
        <f t="shared" si="0"/>
        <v>886.91</v>
      </c>
      <c r="G14" s="35">
        <f t="shared" si="0"/>
        <v>923.15000000000009</v>
      </c>
      <c r="H14" s="35">
        <f>SUM(H11:H13)</f>
        <v>5634.26</v>
      </c>
      <c r="J14" s="45"/>
      <c r="K14" s="57">
        <f>H14+'[6]Rural CPA Eff. 1.1.20'!$H$11</f>
        <v>6507.77</v>
      </c>
      <c r="L14" s="45"/>
      <c r="M14" s="45"/>
      <c r="N14" s="45"/>
      <c r="O14" s="45"/>
      <c r="P14" s="45"/>
      <c r="Q14" s="45"/>
      <c r="R14" s="45"/>
      <c r="S14" s="45"/>
      <c r="T14" s="45"/>
    </row>
    <row r="15" spans="1:32" x14ac:dyDescent="0.2">
      <c r="J15" s="5"/>
    </row>
    <row r="16" spans="1:32" x14ac:dyDescent="0.2">
      <c r="A16" s="26" t="s">
        <v>20</v>
      </c>
      <c r="J16" s="5"/>
    </row>
    <row r="17" spans="1:36" x14ac:dyDescent="0.2">
      <c r="A17" s="22" t="s">
        <v>5</v>
      </c>
      <c r="B17" s="66">
        <v>-108.96529999999998</v>
      </c>
      <c r="C17" s="66">
        <v>-107.6056</v>
      </c>
      <c r="D17" s="66">
        <v>-105.66560000000001</v>
      </c>
      <c r="E17" s="66">
        <v>-105.90090000000001</v>
      </c>
      <c r="F17" s="66">
        <v>-109.95339999999999</v>
      </c>
      <c r="G17" s="66">
        <v>-111.9259</v>
      </c>
      <c r="H17" s="7"/>
      <c r="J17" s="5"/>
      <c r="L17" s="46"/>
      <c r="M17" s="46"/>
      <c r="N17" s="46"/>
      <c r="O17" s="46"/>
      <c r="P17" s="46"/>
      <c r="Q17" s="46"/>
      <c r="R17" s="46"/>
      <c r="S17" s="46"/>
      <c r="T17" s="46"/>
    </row>
    <row r="18" spans="1:36" x14ac:dyDescent="0.2">
      <c r="A18" s="22" t="s">
        <v>6</v>
      </c>
      <c r="B18" s="66">
        <v>-30</v>
      </c>
      <c r="C18" s="66">
        <v>-30</v>
      </c>
      <c r="D18" s="66">
        <v>-30</v>
      </c>
      <c r="E18" s="66">
        <v>-30</v>
      </c>
      <c r="F18" s="66">
        <v>-30</v>
      </c>
      <c r="G18" s="66">
        <v>-30</v>
      </c>
      <c r="H18" s="8"/>
      <c r="J18" s="5"/>
      <c r="L18" s="5"/>
      <c r="M18" s="5"/>
      <c r="N18" s="5"/>
      <c r="O18" s="5"/>
      <c r="P18" s="5"/>
      <c r="Q18" s="5"/>
      <c r="R18" s="5"/>
      <c r="S18" s="5"/>
      <c r="T18" s="5"/>
    </row>
    <row r="19" spans="1:36" x14ac:dyDescent="0.2">
      <c r="J19" s="5"/>
    </row>
    <row r="20" spans="1:36" x14ac:dyDescent="0.2">
      <c r="A20" s="26" t="s">
        <v>8</v>
      </c>
      <c r="J20" s="5"/>
    </row>
    <row r="21" spans="1:36" x14ac:dyDescent="0.2">
      <c r="A21" s="22" t="s">
        <v>5</v>
      </c>
      <c r="B21" s="36">
        <f>+B11*B17</f>
        <v>-99549.608426999999</v>
      </c>
      <c r="C21" s="36">
        <f t="shared" ref="C21:G21" si="1">+C11*C17</f>
        <v>-83047.849968000024</v>
      </c>
      <c r="D21" s="16">
        <f t="shared" si="1"/>
        <v>-93275.251744000037</v>
      </c>
      <c r="E21" s="36">
        <f t="shared" si="1"/>
        <v>-83955.056492999996</v>
      </c>
      <c r="F21" s="36">
        <f t="shared" si="1"/>
        <v>-86110.005209999988</v>
      </c>
      <c r="G21" s="36">
        <f t="shared" si="1"/>
        <v>-92417.215630000006</v>
      </c>
      <c r="H21" s="9">
        <f>SUM(B21:G21)</f>
        <v>-538354.98747200007</v>
      </c>
      <c r="J21" s="8"/>
      <c r="L21" s="8"/>
      <c r="M21" s="8"/>
      <c r="N21" s="8"/>
      <c r="O21" s="8"/>
      <c r="P21" s="8"/>
      <c r="Q21" s="8"/>
      <c r="R21" s="8"/>
      <c r="S21" s="8"/>
      <c r="T21" s="8"/>
    </row>
    <row r="22" spans="1:36" x14ac:dyDescent="0.2">
      <c r="A22" s="22" t="s">
        <v>6</v>
      </c>
      <c r="B22" s="36">
        <f t="shared" ref="B22:E22" si="2">+B18*B12</f>
        <v>-3263.1</v>
      </c>
      <c r="C22" s="36">
        <f t="shared" si="2"/>
        <v>-3447.2999999999997</v>
      </c>
      <c r="D22" s="58">
        <f t="shared" si="2"/>
        <v>-4088.4</v>
      </c>
      <c r="E22" s="36">
        <f t="shared" si="2"/>
        <v>-3100.8</v>
      </c>
      <c r="F22" s="36">
        <f>+F18*F12</f>
        <v>-3112.7999999999997</v>
      </c>
      <c r="G22" s="36">
        <f>+G18*G12</f>
        <v>-2923.5</v>
      </c>
      <c r="H22" s="9">
        <f>SUM(B22:G22)</f>
        <v>-19935.899999999998</v>
      </c>
      <c r="J22" s="8"/>
      <c r="K22" s="44"/>
      <c r="L22" s="8"/>
      <c r="M22" s="8"/>
      <c r="N22" s="8"/>
      <c r="O22" s="8"/>
      <c r="P22" s="8"/>
      <c r="Q22" s="8"/>
      <c r="R22" s="8"/>
      <c r="S22" s="8"/>
      <c r="T22" s="8"/>
    </row>
    <row r="23" spans="1:36" x14ac:dyDescent="0.2">
      <c r="B23" s="16"/>
      <c r="C23" s="16"/>
      <c r="D23" s="16"/>
      <c r="E23" s="16"/>
      <c r="F23" s="16"/>
      <c r="G23" s="16"/>
      <c r="H23" s="8"/>
      <c r="J23" s="5"/>
    </row>
    <row r="24" spans="1:36" s="6" customFormat="1" x14ac:dyDescent="0.2">
      <c r="A24" s="6" t="s">
        <v>9</v>
      </c>
      <c r="B24" s="37">
        <f t="shared" ref="B24:G24" si="3">SUM(B21:B22)</f>
        <v>-102812.70842700001</v>
      </c>
      <c r="C24" s="37">
        <f t="shared" si="3"/>
        <v>-86495.149968000027</v>
      </c>
      <c r="D24" s="37">
        <f t="shared" si="3"/>
        <v>-97363.651744000032</v>
      </c>
      <c r="E24" s="37">
        <f t="shared" si="3"/>
        <v>-87055.856492999999</v>
      </c>
      <c r="F24" s="37">
        <f t="shared" si="3"/>
        <v>-89222.805209999991</v>
      </c>
      <c r="G24" s="37">
        <f t="shared" si="3"/>
        <v>-95340.715630000006</v>
      </c>
      <c r="H24" s="40">
        <f>SUM(H21:H23)</f>
        <v>-558290.88747200009</v>
      </c>
      <c r="J24" s="20"/>
      <c r="L24" s="20"/>
      <c r="M24" s="20"/>
      <c r="N24" s="20"/>
      <c r="O24" s="20"/>
      <c r="P24" s="20"/>
      <c r="Q24" s="20"/>
      <c r="R24" s="20"/>
      <c r="S24" s="20"/>
      <c r="T24" s="20"/>
      <c r="U24" s="47"/>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67">
        <v>47870</v>
      </c>
      <c r="C27" s="67">
        <v>47940</v>
      </c>
      <c r="D27" s="67">
        <v>48155</v>
      </c>
      <c r="E27" s="67">
        <v>48422</v>
      </c>
      <c r="F27" s="67">
        <v>48558</v>
      </c>
      <c r="G27" s="67">
        <v>48586</v>
      </c>
      <c r="H27" s="8">
        <f>SUM(B27:G27)</f>
        <v>289531</v>
      </c>
      <c r="I27" s="5"/>
      <c r="J27" s="45"/>
      <c r="K27" s="48"/>
      <c r="L27" s="48"/>
      <c r="M27" s="48"/>
      <c r="N27" s="48"/>
      <c r="O27" s="48"/>
      <c r="P27" s="48"/>
      <c r="Q27" s="48"/>
      <c r="R27" s="48"/>
      <c r="S27" s="48"/>
      <c r="T27" s="48"/>
      <c r="U27" s="48"/>
      <c r="V27" s="48"/>
      <c r="W27" s="48"/>
      <c r="X27" s="48"/>
      <c r="Y27" s="48"/>
      <c r="Z27" s="48"/>
      <c r="AA27" s="48"/>
      <c r="AB27" s="48"/>
      <c r="AC27" s="48"/>
      <c r="AD27" s="48"/>
      <c r="AE27" s="48"/>
      <c r="AF27" s="48"/>
      <c r="AG27" s="12"/>
      <c r="AH27" s="12"/>
      <c r="AI27" s="12"/>
      <c r="AJ27" s="12"/>
    </row>
    <row r="28" spans="1:36" s="11" customFormat="1" x14ac:dyDescent="0.2">
      <c r="A28" s="10" t="s">
        <v>11</v>
      </c>
      <c r="B28" s="67">
        <v>3459</v>
      </c>
      <c r="C28" s="67">
        <v>3372</v>
      </c>
      <c r="D28" s="67">
        <v>3292</v>
      </c>
      <c r="E28" s="67">
        <v>3189</v>
      </c>
      <c r="F28" s="67">
        <v>3108</v>
      </c>
      <c r="G28" s="67">
        <v>3013</v>
      </c>
      <c r="H28" s="8">
        <f>SUM(B28:G28)</f>
        <v>19433</v>
      </c>
      <c r="I28" s="5"/>
      <c r="J28" s="45"/>
      <c r="K28" s="5"/>
      <c r="L28" s="48"/>
      <c r="M28" s="48"/>
      <c r="N28" s="48"/>
      <c r="O28" s="48"/>
      <c r="P28" s="48"/>
      <c r="Q28" s="48"/>
      <c r="R28" s="48"/>
      <c r="S28" s="48"/>
      <c r="T28" s="48"/>
      <c r="U28" s="5"/>
      <c r="V28" s="5"/>
      <c r="W28" s="5"/>
      <c r="X28" s="5"/>
      <c r="Y28" s="5"/>
      <c r="Z28" s="5"/>
      <c r="AA28" s="5"/>
      <c r="AB28" s="5"/>
      <c r="AC28" s="5"/>
      <c r="AD28" s="5"/>
      <c r="AE28" s="5"/>
      <c r="AF28" s="5"/>
    </row>
    <row r="29" spans="1:36" s="11" customFormat="1" x14ac:dyDescent="0.2">
      <c r="A29" s="10"/>
      <c r="H29" s="8"/>
      <c r="I29" s="5"/>
      <c r="J29" s="45"/>
      <c r="K29" s="5"/>
      <c r="L29" s="48"/>
      <c r="M29" s="48"/>
      <c r="N29" s="48"/>
      <c r="O29" s="48"/>
      <c r="P29" s="48"/>
      <c r="Q29" s="48"/>
      <c r="R29" s="48"/>
      <c r="S29" s="48"/>
      <c r="T29" s="48"/>
      <c r="U29" s="5"/>
      <c r="V29" s="5"/>
      <c r="W29" s="5"/>
      <c r="X29" s="5"/>
      <c r="Y29" s="5"/>
      <c r="Z29" s="5"/>
      <c r="AA29" s="5"/>
      <c r="AB29" s="5"/>
      <c r="AC29" s="5"/>
      <c r="AD29" s="5"/>
      <c r="AE29" s="5"/>
      <c r="AF29" s="5"/>
    </row>
    <row r="30" spans="1:36" s="14" customFormat="1" x14ac:dyDescent="0.2">
      <c r="A30" s="13" t="s">
        <v>12</v>
      </c>
      <c r="B30" s="38">
        <f t="shared" ref="B30:C30" si="4">+B27+B28</f>
        <v>51329</v>
      </c>
      <c r="C30" s="38">
        <f t="shared" si="4"/>
        <v>51312</v>
      </c>
      <c r="D30" s="38">
        <f>+D27+D28</f>
        <v>51447</v>
      </c>
      <c r="E30" s="38">
        <f>+E27+E28</f>
        <v>51611</v>
      </c>
      <c r="F30" s="38">
        <f>+F27+F28</f>
        <v>51666</v>
      </c>
      <c r="G30" s="38">
        <f>+G27+G28</f>
        <v>51599</v>
      </c>
      <c r="H30" s="41">
        <f>SUM(H27:H28)</f>
        <v>308964</v>
      </c>
      <c r="I30" s="45"/>
      <c r="J30" s="45"/>
      <c r="K30" s="45"/>
      <c r="L30" s="49"/>
      <c r="M30" s="49"/>
      <c r="N30" s="49"/>
      <c r="O30" s="49"/>
      <c r="P30" s="49"/>
      <c r="Q30" s="49"/>
      <c r="R30" s="49"/>
      <c r="S30" s="49"/>
      <c r="T30" s="49"/>
      <c r="U30" s="45"/>
      <c r="V30" s="45"/>
      <c r="W30" s="45"/>
      <c r="X30" s="45"/>
      <c r="Y30" s="45"/>
      <c r="Z30" s="45"/>
      <c r="AA30" s="45"/>
      <c r="AB30" s="45"/>
      <c r="AC30" s="45"/>
      <c r="AD30" s="45"/>
      <c r="AE30" s="45"/>
      <c r="AF30" s="45"/>
    </row>
    <row r="31" spans="1:36" s="16" customFormat="1" x14ac:dyDescent="0.2">
      <c r="A31" s="10"/>
      <c r="H31" s="15"/>
      <c r="I31" s="8"/>
      <c r="J31" s="45"/>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27">
        <f t="shared" ref="B32:G32" si="5">+IFERROR(B24/B30,0)</f>
        <v>-2.0030140549591851</v>
      </c>
      <c r="C32" s="27">
        <f t="shared" si="5"/>
        <v>-1.6856709925163709</v>
      </c>
      <c r="D32" s="27">
        <f t="shared" si="5"/>
        <v>-1.8925039699885324</v>
      </c>
      <c r="E32" s="27">
        <f t="shared" si="5"/>
        <v>-1.6867694191742071</v>
      </c>
      <c r="F32" s="27">
        <f t="shared" si="5"/>
        <v>-1.7269152868424107</v>
      </c>
      <c r="G32" s="27">
        <f t="shared" si="5"/>
        <v>-1.8477240960096126</v>
      </c>
      <c r="H32" s="17"/>
      <c r="I32" s="8"/>
      <c r="J32" s="5"/>
      <c r="K32" s="8"/>
      <c r="L32" s="5"/>
      <c r="M32" s="5"/>
      <c r="N32" s="5"/>
      <c r="O32" s="5"/>
      <c r="P32" s="5"/>
      <c r="Q32" s="5"/>
      <c r="R32" s="5"/>
      <c r="S32" s="5"/>
      <c r="T32" s="5"/>
      <c r="U32" s="50"/>
      <c r="V32" s="8"/>
      <c r="W32" s="8"/>
      <c r="X32" s="8"/>
      <c r="Y32" s="8"/>
      <c r="Z32" s="8"/>
      <c r="AA32" s="8"/>
      <c r="AB32" s="8"/>
      <c r="AC32" s="8"/>
      <c r="AD32" s="8"/>
      <c r="AE32" s="8"/>
      <c r="AF32" s="8"/>
    </row>
    <row r="33" spans="1:32" s="16" customFormat="1" x14ac:dyDescent="0.2">
      <c r="A33" s="10" t="s">
        <v>14</v>
      </c>
      <c r="B33" s="69">
        <f>'Pacific CPA Eff. 7.1.19'!$G$33</f>
        <v>-1.2259697247382961</v>
      </c>
      <c r="C33" s="69">
        <f>'Pacific CPA Eff. 7.1.19'!$G$33</f>
        <v>-1.2259697247382961</v>
      </c>
      <c r="D33" s="69">
        <f>'Pacific CPA Eff. 7.1.19'!$H$38</f>
        <v>-1.6378750991793303</v>
      </c>
      <c r="E33" s="69">
        <f>'Pacific CPA Eff. 7.1.19'!$H$38</f>
        <v>-1.6378750991793303</v>
      </c>
      <c r="F33" s="69">
        <f>'Pacific CPA Eff. 7.1.19'!$H$38</f>
        <v>-1.6378750991793303</v>
      </c>
      <c r="G33" s="69">
        <f>'Pacific CPA Eff. 7.1.19'!$H$38</f>
        <v>-1.6378750991793303</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27"/>
      <c r="C34" s="27"/>
      <c r="D34" s="27"/>
      <c r="E34" s="27"/>
      <c r="F34" s="27"/>
      <c r="G34" s="27"/>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59">
        <f>+(B32-B33)*B30</f>
        <v>-39884.908425908005</v>
      </c>
      <c r="C35" s="59">
        <f t="shared" ref="C35" si="6">+(C32-C33)*C30</f>
        <v>-23588.19145222857</v>
      </c>
      <c r="D35" s="59">
        <f>+(D32-D33)*D30</f>
        <v>-13099.891516521024</v>
      </c>
      <c r="E35" s="59">
        <f>+(E32-E33)*E30</f>
        <v>-2523.4847492555873</v>
      </c>
      <c r="F35" s="59">
        <f>+(F32-F33)*F30</f>
        <v>-4600.3503358007129</v>
      </c>
      <c r="G35" s="59">
        <f>+(G32-G33)*G30</f>
        <v>-10827.998387445739</v>
      </c>
      <c r="H35" s="60">
        <f>SUM(B35:G35)</f>
        <v>-94524.824867159638</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28"/>
      <c r="C37" s="28"/>
      <c r="D37" s="28"/>
      <c r="E37" s="28"/>
      <c r="F37" s="28"/>
      <c r="G37" s="21" t="s">
        <v>18</v>
      </c>
      <c r="H37" s="17">
        <f>ROUND(H35/H30/2,2)</f>
        <v>-0.15</v>
      </c>
      <c r="I37" s="5"/>
      <c r="K37" s="8"/>
      <c r="R37" s="51"/>
      <c r="S37" s="51"/>
      <c r="T37" s="51"/>
      <c r="U37" s="52"/>
    </row>
    <row r="38" spans="1:32" x14ac:dyDescent="0.2">
      <c r="A38" s="61"/>
      <c r="B38" s="21"/>
      <c r="C38" s="21"/>
      <c r="D38" s="21"/>
      <c r="E38" s="21"/>
      <c r="F38" s="21"/>
      <c r="G38" s="21" t="s">
        <v>21</v>
      </c>
      <c r="H38" s="81">
        <f>SUM(B24:G24)/SUM(B30:G30)</f>
        <v>-1.8069771477324221</v>
      </c>
      <c r="I38" s="44"/>
      <c r="R38" s="51"/>
      <c r="S38" s="51"/>
      <c r="T38" s="51"/>
      <c r="U38" s="44"/>
    </row>
    <row r="39" spans="1:32" x14ac:dyDescent="0.2">
      <c r="A39" s="62"/>
      <c r="D39" s="21"/>
      <c r="E39" s="21"/>
      <c r="F39" s="21"/>
      <c r="G39" s="42" t="s">
        <v>25</v>
      </c>
      <c r="H39" s="18">
        <f>SUM(H37:H38)</f>
        <v>-1.956977147732422</v>
      </c>
      <c r="R39" s="51"/>
      <c r="S39" s="51"/>
      <c r="T39" s="51"/>
      <c r="U39" s="53"/>
    </row>
    <row r="40" spans="1:32" x14ac:dyDescent="0.2">
      <c r="A40" s="62"/>
      <c r="B40" s="21"/>
      <c r="C40" s="21"/>
      <c r="D40" s="21"/>
      <c r="E40" s="21"/>
      <c r="F40" s="21"/>
      <c r="G40" s="21"/>
      <c r="H40" s="20"/>
      <c r="R40" s="51"/>
      <c r="S40" s="51"/>
      <c r="T40" s="51"/>
      <c r="U40" s="53"/>
    </row>
    <row r="41" spans="1:32" x14ac:dyDescent="0.2">
      <c r="A41" s="62"/>
      <c r="B41" s="39"/>
      <c r="C41" s="39"/>
      <c r="D41" s="21"/>
      <c r="E41" s="21"/>
      <c r="F41" s="21"/>
      <c r="G41" s="21" t="s">
        <v>26</v>
      </c>
      <c r="H41" s="70">
        <f>'Pacific CPA Eff. 7.1.19'!H40</f>
        <v>-2.725116445679471</v>
      </c>
      <c r="K41" s="8"/>
      <c r="L41" s="8"/>
      <c r="M41" s="55"/>
      <c r="R41" s="8"/>
      <c r="S41" s="8"/>
      <c r="T41" s="51"/>
    </row>
    <row r="42" spans="1:32" x14ac:dyDescent="0.2">
      <c r="A42" s="63"/>
      <c r="B42" s="21"/>
      <c r="C42" s="21"/>
      <c r="D42" s="21"/>
      <c r="E42" s="21"/>
      <c r="F42" s="21"/>
      <c r="G42" s="21" t="s">
        <v>15</v>
      </c>
      <c r="H42" s="5">
        <f>H41-H39</f>
        <v>-0.76813929794704894</v>
      </c>
      <c r="I42" s="56">
        <f>H42/H41</f>
        <v>0.2818739357596603</v>
      </c>
      <c r="R42" s="8"/>
      <c r="S42" s="8"/>
      <c r="T42" s="51"/>
    </row>
    <row r="43" spans="1:32" x14ac:dyDescent="0.2">
      <c r="A43" s="10"/>
      <c r="B43" s="21"/>
      <c r="C43" s="21"/>
      <c r="D43" s="21"/>
      <c r="E43" s="21"/>
      <c r="F43" s="21"/>
      <c r="G43" s="21" t="s">
        <v>24</v>
      </c>
      <c r="H43" s="8">
        <f>H42*G30*12</f>
        <v>-475622.63561723731</v>
      </c>
      <c r="J43" s="44"/>
      <c r="L43" s="44"/>
      <c r="M43" s="44"/>
      <c r="N43" s="44"/>
      <c r="O43" s="44"/>
      <c r="P43" s="44"/>
      <c r="Q43" s="44"/>
      <c r="R43" s="44"/>
      <c r="S43" s="44"/>
      <c r="T43" s="44"/>
    </row>
    <row r="44" spans="1:32" x14ac:dyDescent="0.2">
      <c r="A44" s="10"/>
      <c r="B44" s="21"/>
      <c r="C44" s="21"/>
      <c r="D44" s="21"/>
      <c r="E44" s="21"/>
      <c r="F44" s="21"/>
      <c r="G44" s="21"/>
      <c r="H44" s="8"/>
      <c r="J44" s="44"/>
      <c r="L44" s="44"/>
      <c r="M44" s="44"/>
      <c r="N44" s="44"/>
      <c r="O44" s="44"/>
      <c r="P44" s="44"/>
      <c r="Q44" s="44"/>
      <c r="R44" s="44"/>
      <c r="S44" s="44"/>
      <c r="T44" s="44"/>
    </row>
    <row r="45" spans="1:32" x14ac:dyDescent="0.2">
      <c r="A45" s="10"/>
      <c r="B45" s="11"/>
      <c r="C45" s="11"/>
      <c r="D45" s="11"/>
      <c r="E45" s="11"/>
      <c r="F45" s="11"/>
      <c r="G45" s="11"/>
      <c r="H45" s="8"/>
    </row>
    <row r="46" spans="1:32" x14ac:dyDescent="0.2">
      <c r="A46" s="29"/>
      <c r="B46" s="1"/>
      <c r="C46" s="1"/>
      <c r="D46" s="1"/>
      <c r="E46" s="1"/>
      <c r="F46" s="1"/>
      <c r="G46" s="1"/>
      <c r="H46" s="1" t="str">
        <f>H5</f>
        <v>6-Month</v>
      </c>
      <c r="S46" s="51"/>
      <c r="T46" s="51"/>
      <c r="U46" s="52"/>
    </row>
    <row r="47" spans="1:32" x14ac:dyDescent="0.2">
      <c r="A47" s="29" t="s">
        <v>16</v>
      </c>
      <c r="B47" s="2">
        <f t="shared" ref="B47:G47" si="7">B6</f>
        <v>43586</v>
      </c>
      <c r="C47" s="2">
        <f t="shared" si="7"/>
        <v>43617</v>
      </c>
      <c r="D47" s="2">
        <f t="shared" si="7"/>
        <v>43648</v>
      </c>
      <c r="E47" s="2">
        <f t="shared" si="7"/>
        <v>43679</v>
      </c>
      <c r="F47" s="2">
        <f t="shared" si="7"/>
        <v>43710</v>
      </c>
      <c r="G47" s="2">
        <f t="shared" si="7"/>
        <v>43741</v>
      </c>
      <c r="H47" s="2" t="s">
        <v>2</v>
      </c>
      <c r="S47" s="51"/>
      <c r="T47" s="51"/>
      <c r="U47" s="44"/>
    </row>
    <row r="48" spans="1:32" x14ac:dyDescent="0.2">
      <c r="A48" s="25" t="s">
        <v>4</v>
      </c>
      <c r="B48" s="4"/>
      <c r="C48" s="4"/>
      <c r="D48" s="4"/>
      <c r="E48" s="4"/>
      <c r="F48" s="4"/>
      <c r="G48" s="4"/>
      <c r="H48" s="4"/>
      <c r="S48" s="51"/>
      <c r="T48" s="51"/>
      <c r="U48" s="53"/>
    </row>
    <row r="49" spans="1:9" x14ac:dyDescent="0.2">
      <c r="A49" s="22" t="s">
        <v>5</v>
      </c>
      <c r="B49" s="65">
        <v>70.42</v>
      </c>
      <c r="C49" s="65">
        <v>61.230000000000011</v>
      </c>
      <c r="D49" s="65">
        <v>70.419999999999973</v>
      </c>
      <c r="E49" s="65">
        <v>67.369999999999976</v>
      </c>
      <c r="F49" s="65">
        <v>64.309999999999988</v>
      </c>
      <c r="G49" s="65">
        <v>70.420000000000016</v>
      </c>
      <c r="H49" s="5">
        <f>SUM(B49:G49)</f>
        <v>404.16999999999996</v>
      </c>
    </row>
    <row r="50" spans="1:9" x14ac:dyDescent="0.2">
      <c r="A50" s="22" t="s">
        <v>6</v>
      </c>
      <c r="B50" s="65">
        <v>14.989999999999998</v>
      </c>
      <c r="C50" s="65">
        <v>13.96</v>
      </c>
      <c r="D50" s="65">
        <v>16.21</v>
      </c>
      <c r="E50" s="65">
        <v>14.29</v>
      </c>
      <c r="F50" s="65">
        <v>13.86</v>
      </c>
      <c r="G50" s="65">
        <v>14.459999999999999</v>
      </c>
      <c r="H50" s="5">
        <f>SUM(B50:G50)</f>
        <v>87.77</v>
      </c>
    </row>
    <row r="51" spans="1:9" x14ac:dyDescent="0.2">
      <c r="B51" s="11"/>
      <c r="C51" s="11"/>
      <c r="D51" s="11"/>
      <c r="E51" s="11"/>
      <c r="F51" s="11"/>
      <c r="G51" s="11"/>
      <c r="H51" s="5"/>
    </row>
    <row r="52" spans="1:9" s="6" customFormat="1" x14ac:dyDescent="0.2">
      <c r="A52" s="6" t="s">
        <v>2</v>
      </c>
      <c r="B52" s="35">
        <f t="shared" ref="B52:E52" si="8">SUM(B49:B50)</f>
        <v>85.41</v>
      </c>
      <c r="C52" s="35">
        <f t="shared" si="8"/>
        <v>75.190000000000012</v>
      </c>
      <c r="D52" s="35">
        <f t="shared" si="8"/>
        <v>86.629999999999967</v>
      </c>
      <c r="E52" s="35">
        <f t="shared" si="8"/>
        <v>81.659999999999968</v>
      </c>
      <c r="F52" s="35">
        <f>SUM(F49:F50)</f>
        <v>78.169999999999987</v>
      </c>
      <c r="G52" s="35">
        <f>SUM(G49:G50)</f>
        <v>84.88000000000001</v>
      </c>
      <c r="H52" s="35">
        <f>SUM(H49:H51)</f>
        <v>491.93999999999994</v>
      </c>
    </row>
    <row r="54" spans="1:9" x14ac:dyDescent="0.2">
      <c r="A54" s="26" t="s">
        <v>20</v>
      </c>
    </row>
    <row r="55" spans="1:9" x14ac:dyDescent="0.2">
      <c r="A55" s="22" t="s">
        <v>5</v>
      </c>
      <c r="B55" s="27">
        <f t="shared" ref="B55:G56" si="9">B17</f>
        <v>-108.96529999999998</v>
      </c>
      <c r="C55" s="27">
        <f t="shared" si="9"/>
        <v>-107.6056</v>
      </c>
      <c r="D55" s="27">
        <f t="shared" si="9"/>
        <v>-105.66560000000001</v>
      </c>
      <c r="E55" s="27">
        <f t="shared" si="9"/>
        <v>-105.90090000000001</v>
      </c>
      <c r="F55" s="27">
        <f t="shared" si="9"/>
        <v>-109.95339999999999</v>
      </c>
      <c r="G55" s="27">
        <f t="shared" si="9"/>
        <v>-111.9259</v>
      </c>
      <c r="H55" s="8"/>
    </row>
    <row r="56" spans="1:9" x14ac:dyDescent="0.2">
      <c r="A56" s="22" t="s">
        <v>6</v>
      </c>
      <c r="B56" s="27">
        <f t="shared" si="9"/>
        <v>-30</v>
      </c>
      <c r="C56" s="27">
        <f t="shared" si="9"/>
        <v>-30</v>
      </c>
      <c r="D56" s="27">
        <f t="shared" si="9"/>
        <v>-30</v>
      </c>
      <c r="E56" s="27">
        <f t="shared" si="9"/>
        <v>-30</v>
      </c>
      <c r="F56" s="27">
        <f t="shared" si="9"/>
        <v>-30</v>
      </c>
      <c r="G56" s="27">
        <f t="shared" si="9"/>
        <v>-30</v>
      </c>
      <c r="H56" s="8"/>
    </row>
    <row r="58" spans="1:9" x14ac:dyDescent="0.2">
      <c r="A58" s="26" t="s">
        <v>8</v>
      </c>
    </row>
    <row r="59" spans="1:9" x14ac:dyDescent="0.2">
      <c r="A59" s="22" t="s">
        <v>5</v>
      </c>
      <c r="B59" s="36">
        <f t="shared" ref="B59:G59" si="10">+B49*B55</f>
        <v>-7673.3364259999989</v>
      </c>
      <c r="C59" s="36">
        <f t="shared" si="10"/>
        <v>-6588.690888000001</v>
      </c>
      <c r="D59" s="36">
        <f t="shared" si="10"/>
        <v>-7440.9715519999982</v>
      </c>
      <c r="E59" s="36">
        <f t="shared" si="10"/>
        <v>-7134.5436329999975</v>
      </c>
      <c r="F59" s="36">
        <f t="shared" si="10"/>
        <v>-7071.1031539999976</v>
      </c>
      <c r="G59" s="36">
        <f t="shared" si="10"/>
        <v>-7881.8218780000016</v>
      </c>
      <c r="H59" s="9">
        <f>SUM(B59:G59)</f>
        <v>-43790.467530999995</v>
      </c>
    </row>
    <row r="60" spans="1:9" x14ac:dyDescent="0.2">
      <c r="A60" s="22" t="s">
        <v>6</v>
      </c>
      <c r="B60" s="36">
        <f t="shared" ref="B60:G60" si="11">+B56*B50</f>
        <v>-449.69999999999993</v>
      </c>
      <c r="C60" s="36">
        <f t="shared" si="11"/>
        <v>-418.8</v>
      </c>
      <c r="D60" s="36">
        <f t="shared" si="11"/>
        <v>-486.3</v>
      </c>
      <c r="E60" s="36">
        <f t="shared" si="11"/>
        <v>-428.7</v>
      </c>
      <c r="F60" s="36">
        <f t="shared" si="11"/>
        <v>-415.79999999999995</v>
      </c>
      <c r="G60" s="36">
        <f t="shared" si="11"/>
        <v>-433.79999999999995</v>
      </c>
      <c r="H60" s="9">
        <f>SUM(B60:G60)</f>
        <v>-2633.1000000000004</v>
      </c>
    </row>
    <row r="61" spans="1:9" x14ac:dyDescent="0.2">
      <c r="B61" s="16"/>
      <c r="C61" s="16"/>
      <c r="D61" s="16"/>
      <c r="E61" s="16"/>
      <c r="F61" s="16"/>
      <c r="G61" s="16"/>
      <c r="H61" s="8"/>
    </row>
    <row r="62" spans="1:9" s="6" customFormat="1" x14ac:dyDescent="0.2">
      <c r="A62" s="6" t="s">
        <v>9</v>
      </c>
      <c r="B62" s="37">
        <f t="shared" ref="B62:C62" si="12">SUM(B59:B60)</f>
        <v>-8123.0364259999988</v>
      </c>
      <c r="C62" s="37">
        <f t="shared" si="12"/>
        <v>-7007.4908880000012</v>
      </c>
      <c r="D62" s="37">
        <f>SUM(D59:D60)</f>
        <v>-7927.2715519999983</v>
      </c>
      <c r="E62" s="37">
        <f>SUM(E59:E60)</f>
        <v>-7563.2436329999973</v>
      </c>
      <c r="F62" s="37">
        <f>SUM(F59:F60)</f>
        <v>-7486.9031539999978</v>
      </c>
      <c r="G62" s="37">
        <f>SUM(G59:G60)</f>
        <v>-8315.6218780000017</v>
      </c>
      <c r="H62" s="40">
        <f>SUM(H59:H60)</f>
        <v>-46423.567530999993</v>
      </c>
      <c r="I62" s="54"/>
    </row>
    <row r="63" spans="1:9" x14ac:dyDescent="0.2">
      <c r="B63" s="16"/>
      <c r="C63" s="16"/>
      <c r="D63" s="16"/>
      <c r="E63" s="16"/>
      <c r="F63" s="16"/>
      <c r="G63" s="16"/>
      <c r="H63" s="8"/>
    </row>
    <row r="64" spans="1:9" x14ac:dyDescent="0.2">
      <c r="B64" s="16"/>
      <c r="C64" s="16"/>
      <c r="D64" s="16"/>
      <c r="E64" s="16"/>
      <c r="F64" s="16"/>
      <c r="G64" s="16"/>
      <c r="H64" s="8"/>
    </row>
    <row r="65" spans="1:13" x14ac:dyDescent="0.2">
      <c r="A65" s="10" t="s">
        <v>10</v>
      </c>
      <c r="B65" s="67">
        <v>9722</v>
      </c>
      <c r="C65" s="67">
        <v>10239</v>
      </c>
      <c r="D65" s="67">
        <v>10396</v>
      </c>
      <c r="E65" s="67">
        <v>11295</v>
      </c>
      <c r="F65" s="67">
        <v>11288</v>
      </c>
      <c r="G65" s="67">
        <v>11300</v>
      </c>
      <c r="H65" s="8">
        <f>SUM(B65:G65)</f>
        <v>64240</v>
      </c>
      <c r="I65" s="6"/>
      <c r="J65" s="68"/>
    </row>
    <row r="66" spans="1:13" x14ac:dyDescent="0.2">
      <c r="A66" s="10" t="s">
        <v>11</v>
      </c>
      <c r="B66" s="67">
        <v>387</v>
      </c>
      <c r="C66" s="67">
        <v>385</v>
      </c>
      <c r="D66" s="67">
        <v>385</v>
      </c>
      <c r="E66" s="67">
        <v>411</v>
      </c>
      <c r="F66" s="67">
        <v>411</v>
      </c>
      <c r="G66" s="67">
        <v>388</v>
      </c>
      <c r="H66" s="8">
        <f>SUM(B66:G66)</f>
        <v>2367</v>
      </c>
    </row>
    <row r="67" spans="1:13" x14ac:dyDescent="0.2">
      <c r="A67" s="10"/>
      <c r="B67" s="16"/>
      <c r="C67" s="16"/>
      <c r="D67" s="16"/>
      <c r="E67" s="16"/>
      <c r="F67" s="16"/>
      <c r="G67" s="16"/>
      <c r="H67" s="8"/>
    </row>
    <row r="68" spans="1:13" s="6" customFormat="1" x14ac:dyDescent="0.2">
      <c r="A68" s="13" t="s">
        <v>12</v>
      </c>
      <c r="B68" s="38">
        <f t="shared" ref="B68:G68" si="13">+B65+B66</f>
        <v>10109</v>
      </c>
      <c r="C68" s="38">
        <f t="shared" si="13"/>
        <v>10624</v>
      </c>
      <c r="D68" s="38">
        <f t="shared" si="13"/>
        <v>10781</v>
      </c>
      <c r="E68" s="38">
        <f t="shared" si="13"/>
        <v>11706</v>
      </c>
      <c r="F68" s="38">
        <f t="shared" si="13"/>
        <v>11699</v>
      </c>
      <c r="G68" s="38">
        <f t="shared" si="13"/>
        <v>11688</v>
      </c>
      <c r="H68" s="41">
        <f>SUM(H65:H66)</f>
        <v>66607</v>
      </c>
      <c r="I68" s="57"/>
      <c r="K68" s="57"/>
    </row>
    <row r="69" spans="1:13" x14ac:dyDescent="0.2">
      <c r="A69" s="10"/>
      <c r="B69" s="16"/>
      <c r="C69" s="16"/>
      <c r="D69" s="16"/>
      <c r="E69" s="16"/>
      <c r="F69" s="16"/>
      <c r="G69" s="16"/>
      <c r="H69" s="15"/>
    </row>
    <row r="70" spans="1:13" x14ac:dyDescent="0.2">
      <c r="A70" s="10" t="s">
        <v>13</v>
      </c>
      <c r="B70" s="27">
        <f t="shared" ref="B70:G70" si="14">+IFERROR(B62/B68,0)</f>
        <v>-0.80354500207735668</v>
      </c>
      <c r="C70" s="27">
        <f t="shared" si="14"/>
        <v>-0.65959063328313261</v>
      </c>
      <c r="D70" s="27">
        <f t="shared" si="14"/>
        <v>-0.735300208886003</v>
      </c>
      <c r="E70" s="27">
        <f t="shared" si="14"/>
        <v>-0.6460997465402355</v>
      </c>
      <c r="F70" s="27">
        <f t="shared" si="14"/>
        <v>-0.63996094999572595</v>
      </c>
      <c r="G70" s="27">
        <f t="shared" si="14"/>
        <v>-0.71146662200547583</v>
      </c>
      <c r="H70" s="5"/>
    </row>
    <row r="71" spans="1:13" x14ac:dyDescent="0.2">
      <c r="A71" s="10" t="s">
        <v>14</v>
      </c>
      <c r="B71" s="69">
        <f>'Pacific CPA Eff. 7.1.19'!$G$72</f>
        <v>-0.50439781625282021</v>
      </c>
      <c r="C71" s="69">
        <f>'Pacific CPA Eff. 7.1.19'!$G$72</f>
        <v>-0.50439781625282021</v>
      </c>
      <c r="D71" s="69">
        <f>'Pacific CPA Eff. 7.1.19'!$H$77</f>
        <v>-0.6416416189538674</v>
      </c>
      <c r="E71" s="69">
        <f>'Pacific CPA Eff. 7.1.19'!$H$77</f>
        <v>-0.6416416189538674</v>
      </c>
      <c r="F71" s="69">
        <f>'Pacific CPA Eff. 7.1.19'!$H$77</f>
        <v>-0.6416416189538674</v>
      </c>
      <c r="G71" s="69">
        <f>'Pacific CPA Eff. 7.1.19'!$H$77</f>
        <v>-0.6416416189538674</v>
      </c>
      <c r="H71" s="5"/>
    </row>
    <row r="72" spans="1:13" x14ac:dyDescent="0.2">
      <c r="A72" s="10"/>
      <c r="B72" s="27"/>
      <c r="C72" s="27"/>
      <c r="D72" s="27"/>
      <c r="E72" s="27"/>
      <c r="F72" s="27"/>
      <c r="G72" s="27"/>
      <c r="H72" s="5"/>
    </row>
    <row r="73" spans="1:13" s="6" customFormat="1" x14ac:dyDescent="0.2">
      <c r="A73" s="13" t="s">
        <v>17</v>
      </c>
      <c r="B73" s="59">
        <f t="shared" ref="B73:C73" si="15">+(B70-B71)*B68</f>
        <v>-3024.0789015002392</v>
      </c>
      <c r="C73" s="59">
        <f t="shared" si="15"/>
        <v>-1648.768488130039</v>
      </c>
      <c r="D73" s="59">
        <f>+(D70-D71)*D68</f>
        <v>-1009.733258058354</v>
      </c>
      <c r="E73" s="59">
        <f>+(E70-E71)*E68</f>
        <v>-52.186841526024971</v>
      </c>
      <c r="F73" s="59">
        <f>+(F70-F71)*F68</f>
        <v>19.662146141296841</v>
      </c>
      <c r="G73" s="59">
        <f>+(G70-G71)*G68</f>
        <v>-816.11463566719942</v>
      </c>
      <c r="H73" s="60">
        <f>SUM(B73:G73)</f>
        <v>-6531.2199787405607</v>
      </c>
    </row>
    <row r="74" spans="1:13" x14ac:dyDescent="0.2">
      <c r="A74" s="10"/>
      <c r="B74" s="11"/>
      <c r="C74" s="11"/>
      <c r="D74" s="11"/>
      <c r="E74" s="11"/>
      <c r="F74" s="11"/>
      <c r="G74" s="11"/>
      <c r="H74" s="8"/>
    </row>
    <row r="75" spans="1:13" x14ac:dyDescent="0.2">
      <c r="A75" s="16"/>
      <c r="B75" s="28"/>
      <c r="C75" s="28"/>
      <c r="D75" s="28"/>
      <c r="E75" s="28"/>
      <c r="F75" s="28"/>
      <c r="G75" s="21" t="s">
        <v>18</v>
      </c>
      <c r="H75" s="17">
        <f>ROUND(H73/H68/2,2)</f>
        <v>-0.05</v>
      </c>
    </row>
    <row r="76" spans="1:13" x14ac:dyDescent="0.2">
      <c r="A76" s="61"/>
      <c r="B76" s="21"/>
      <c r="C76" s="21"/>
      <c r="D76" s="21"/>
      <c r="E76" s="21"/>
      <c r="F76" s="21"/>
      <c r="G76" s="21" t="s">
        <v>21</v>
      </c>
      <c r="H76" s="81">
        <f>SUM(B62:G62)/SUM(B68:G68)</f>
        <v>-0.69697730765535149</v>
      </c>
    </row>
    <row r="77" spans="1:13" x14ac:dyDescent="0.2">
      <c r="A77" s="62"/>
      <c r="B77" s="21"/>
      <c r="C77" s="21"/>
      <c r="D77" s="21"/>
      <c r="E77" s="21"/>
      <c r="F77" s="21"/>
      <c r="G77" s="42" t="s">
        <v>25</v>
      </c>
      <c r="H77" s="18">
        <f>+H76+H75</f>
        <v>-0.74697730765535153</v>
      </c>
    </row>
    <row r="78" spans="1:13" x14ac:dyDescent="0.2">
      <c r="A78" s="62"/>
      <c r="B78" s="21"/>
      <c r="C78" s="21"/>
      <c r="D78" s="21"/>
      <c r="E78" s="21"/>
      <c r="F78" s="21"/>
      <c r="G78" s="21"/>
      <c r="H78" s="20"/>
    </row>
    <row r="79" spans="1:13" x14ac:dyDescent="0.2">
      <c r="A79" s="63"/>
      <c r="B79" s="21"/>
      <c r="C79" s="21"/>
      <c r="D79" s="21"/>
      <c r="E79" s="21"/>
      <c r="F79" s="21"/>
      <c r="G79" s="21" t="s">
        <v>26</v>
      </c>
      <c r="H79" s="70">
        <f>'Pacific CPA Eff. 7.1.19'!H79</f>
        <v>-1.1493160570455123</v>
      </c>
      <c r="K79" s="8"/>
      <c r="L79" s="8"/>
      <c r="M79" s="55"/>
    </row>
    <row r="80" spans="1:13" x14ac:dyDescent="0.2">
      <c r="A80" s="64"/>
      <c r="B80" s="21"/>
      <c r="C80" s="21"/>
      <c r="D80" s="21"/>
      <c r="E80" s="21"/>
      <c r="F80" s="21"/>
      <c r="G80" s="21" t="s">
        <v>15</v>
      </c>
      <c r="H80" s="5">
        <f>+H79-H77</f>
        <v>-0.40233874939016079</v>
      </c>
      <c r="I80" s="56">
        <f>H80/H79</f>
        <v>0.35006797905915654</v>
      </c>
    </row>
    <row r="81" spans="1:9" x14ac:dyDescent="0.2">
      <c r="A81" s="10"/>
      <c r="B81" s="21"/>
      <c r="C81" s="21"/>
      <c r="D81" s="21"/>
      <c r="E81" s="21"/>
      <c r="F81" s="21"/>
      <c r="G81" s="21" t="s">
        <v>24</v>
      </c>
      <c r="H81" s="8">
        <f>H80*G68*12</f>
        <v>-56430.423634466395</v>
      </c>
    </row>
    <row r="82" spans="1:9" x14ac:dyDescent="0.2">
      <c r="A82" s="10"/>
      <c r="B82" s="21"/>
      <c r="C82" s="21"/>
      <c r="D82" s="21"/>
      <c r="E82" s="21"/>
      <c r="F82" s="21"/>
      <c r="G82" s="21"/>
      <c r="I82" s="5"/>
    </row>
  </sheetData>
  <pageMargins left="0.7" right="0.7" top="0.75" bottom="0.75" header="0.3" footer="0.3"/>
  <pageSetup scale="94" fitToHeight="0" orientation="landscape" r:id="rId1"/>
  <rowBreaks count="1" manualBreakCount="1">
    <brk id="43" max="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84"/>
  <sheetViews>
    <sheetView showGridLines="0" view="pageBreakPreview" zoomScale="80" zoomScaleNormal="85" zoomScaleSheetLayoutView="80" workbookViewId="0">
      <pane xSplit="1" ySplit="7" topLeftCell="B8" activePane="bottomRight" state="frozen"/>
      <selection activeCell="B36" sqref="B36"/>
      <selection pane="topRight" activeCell="B36" sqref="B36"/>
      <selection pane="bottomLeft" activeCell="B36" sqref="B36"/>
      <selection pane="bottomRight" activeCell="A5" sqref="A5"/>
    </sheetView>
  </sheetViews>
  <sheetFormatPr defaultRowHeight="12.75" x14ac:dyDescent="0.2"/>
  <cols>
    <col min="1" max="1" width="32.5703125" style="22"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22" bestFit="1" customWidth="1"/>
    <col min="10" max="10" width="9.5703125" style="22" bestFit="1" customWidth="1"/>
    <col min="11" max="11" width="13.5703125" style="22" customWidth="1"/>
    <col min="12" max="12" width="11" style="22" customWidth="1"/>
    <col min="13" max="13" width="11.140625" style="22" customWidth="1"/>
    <col min="14" max="14" width="10.7109375" style="22" customWidth="1"/>
    <col min="15" max="15" width="10.85546875" style="22" customWidth="1"/>
    <col min="16" max="16" width="10.42578125" style="22" customWidth="1"/>
    <col min="17" max="17" width="10.85546875" style="22" customWidth="1"/>
    <col min="18" max="18" width="11.42578125" style="22" customWidth="1"/>
    <col min="19" max="19" width="11.85546875" style="22" customWidth="1"/>
    <col min="20" max="16384" width="9.140625" style="22"/>
  </cols>
  <sheetData>
    <row r="1" spans="1:32" x14ac:dyDescent="0.2">
      <c r="A1" s="6" t="s">
        <v>19</v>
      </c>
    </row>
    <row r="2" spans="1:32" x14ac:dyDescent="0.2">
      <c r="A2" s="6" t="s">
        <v>0</v>
      </c>
      <c r="H2" s="30"/>
    </row>
    <row r="3" spans="1:32" x14ac:dyDescent="0.2">
      <c r="A3" s="6" t="s">
        <v>1</v>
      </c>
      <c r="B3" s="11"/>
      <c r="C3" s="11"/>
      <c r="D3" s="11"/>
      <c r="E3" s="11"/>
      <c r="F3" s="11"/>
      <c r="G3" s="11"/>
      <c r="H3" s="12"/>
      <c r="I3" s="5"/>
    </row>
    <row r="4" spans="1:32" x14ac:dyDescent="0.2">
      <c r="A4" s="6" t="s">
        <v>22</v>
      </c>
      <c r="B4" s="11"/>
      <c r="C4" s="11"/>
      <c r="D4" s="11"/>
      <c r="E4" s="11"/>
      <c r="F4" s="11"/>
      <c r="G4" s="11"/>
      <c r="H4" s="12"/>
      <c r="I4" s="5"/>
      <c r="J4" s="6"/>
    </row>
    <row r="5" spans="1:32" s="31" customFormat="1" x14ac:dyDescent="0.2">
      <c r="B5" s="1"/>
      <c r="C5" s="1"/>
      <c r="D5" s="1"/>
      <c r="E5" s="1"/>
      <c r="F5" s="1"/>
      <c r="G5" s="1"/>
      <c r="H5" s="1" t="s">
        <v>23</v>
      </c>
      <c r="J5" s="5"/>
    </row>
    <row r="6" spans="1:32" s="32" customFormat="1" x14ac:dyDescent="0.2">
      <c r="B6" s="2">
        <v>43405</v>
      </c>
      <c r="C6" s="2">
        <f>+B6+31</f>
        <v>43436</v>
      </c>
      <c r="D6" s="2">
        <f>+C6+31</f>
        <v>43467</v>
      </c>
      <c r="E6" s="2">
        <f>+D6+31</f>
        <v>43498</v>
      </c>
      <c r="F6" s="2">
        <f>+E6+31</f>
        <v>43529</v>
      </c>
      <c r="G6" s="2">
        <f>+F6+31</f>
        <v>43560</v>
      </c>
      <c r="H6" s="2" t="s">
        <v>2</v>
      </c>
      <c r="I6" s="31"/>
      <c r="J6" s="43"/>
      <c r="K6" s="33"/>
      <c r="L6" s="43"/>
      <c r="M6" s="43"/>
      <c r="N6" s="33"/>
      <c r="O6" s="33"/>
      <c r="P6" s="33"/>
      <c r="Q6" s="33"/>
      <c r="R6" s="33"/>
      <c r="S6" s="33"/>
      <c r="T6" s="33"/>
      <c r="U6" s="33"/>
      <c r="V6" s="33"/>
      <c r="W6" s="33"/>
      <c r="X6" s="31"/>
      <c r="Y6" s="31"/>
      <c r="Z6" s="31"/>
      <c r="AA6" s="31"/>
      <c r="AB6" s="31"/>
      <c r="AC6" s="31"/>
      <c r="AD6" s="31"/>
      <c r="AE6" s="31"/>
      <c r="AF6" s="31"/>
    </row>
    <row r="7" spans="1:32" s="31" customFormat="1" x14ac:dyDescent="0.2">
      <c r="B7" s="3"/>
      <c r="C7" s="3"/>
      <c r="D7" s="3"/>
      <c r="E7" s="23"/>
      <c r="F7" s="23"/>
      <c r="G7" s="23"/>
      <c r="H7" s="3"/>
      <c r="J7" s="43"/>
      <c r="K7" s="33"/>
      <c r="L7" s="43"/>
      <c r="M7" s="43"/>
      <c r="N7" s="33"/>
      <c r="O7" s="33"/>
      <c r="P7" s="33"/>
      <c r="Q7" s="33"/>
      <c r="R7" s="33"/>
      <c r="S7" s="33"/>
      <c r="T7" s="33"/>
      <c r="U7" s="33"/>
      <c r="V7" s="33"/>
      <c r="W7" s="33"/>
    </row>
    <row r="8" spans="1:32" s="31" customFormat="1" x14ac:dyDescent="0.2">
      <c r="A8" s="24" t="s">
        <v>3</v>
      </c>
      <c r="B8" s="4"/>
      <c r="C8" s="4"/>
      <c r="D8" s="4"/>
      <c r="E8" s="4"/>
      <c r="F8" s="4"/>
      <c r="G8" s="4"/>
      <c r="H8" s="34"/>
      <c r="J8" s="5"/>
    </row>
    <row r="9" spans="1:32" s="31" customFormat="1" x14ac:dyDescent="0.2">
      <c r="B9" s="4"/>
      <c r="C9" s="4"/>
      <c r="D9" s="4"/>
      <c r="E9" s="4"/>
      <c r="F9" s="4"/>
      <c r="G9" s="4"/>
      <c r="H9" s="34"/>
      <c r="J9" s="5"/>
    </row>
    <row r="10" spans="1:32" s="31" customFormat="1" x14ac:dyDescent="0.2">
      <c r="A10" s="25" t="s">
        <v>4</v>
      </c>
      <c r="B10" s="4"/>
      <c r="C10" s="4"/>
      <c r="D10" s="4"/>
      <c r="E10" s="4"/>
      <c r="F10" s="4"/>
      <c r="G10" s="4"/>
      <c r="H10" s="4"/>
      <c r="I10" s="4"/>
      <c r="J10" s="5"/>
    </row>
    <row r="11" spans="1:32" x14ac:dyDescent="0.2">
      <c r="A11" s="22" t="s">
        <v>5</v>
      </c>
      <c r="B11" s="65">
        <f>+'[7]Pacific Comm Credit'!B9</f>
        <v>998.53999999999985</v>
      </c>
      <c r="C11" s="65">
        <f>+'[7]Pacific Comm Credit'!C9</f>
        <v>919.38</v>
      </c>
      <c r="D11" s="65">
        <f>+'[7]Pacific Comm Credit'!D9</f>
        <v>1024.75</v>
      </c>
      <c r="E11" s="65">
        <f>+'[7]Pacific Comm Credit'!E9</f>
        <v>698.68000000000006</v>
      </c>
      <c r="F11" s="65">
        <f>+'[7]Pacific Comm Credit'!F9</f>
        <v>797.05</v>
      </c>
      <c r="G11" s="65">
        <f>+'[7]Pacific Comm Credit'!G9</f>
        <v>843.68999999999994</v>
      </c>
      <c r="H11" s="5">
        <f>SUM(B11:G11)</f>
        <v>5282.09</v>
      </c>
      <c r="J11" s="5"/>
      <c r="L11" s="44"/>
      <c r="M11" s="44"/>
      <c r="N11" s="44"/>
      <c r="O11" s="44"/>
      <c r="P11" s="44"/>
      <c r="Q11" s="44"/>
      <c r="R11" s="44"/>
      <c r="S11" s="44"/>
      <c r="T11" s="44"/>
    </row>
    <row r="12" spans="1:32" x14ac:dyDescent="0.2">
      <c r="A12" s="22" t="s">
        <v>6</v>
      </c>
      <c r="B12" s="65">
        <f>+'[7]Pacific Comm Credit'!B10</f>
        <v>145.38</v>
      </c>
      <c r="C12" s="65">
        <f>+'[7]Pacific Comm Credit'!C10</f>
        <v>96.17</v>
      </c>
      <c r="D12" s="65">
        <f>+'[7]Pacific Comm Credit'!D10</f>
        <v>145.78</v>
      </c>
      <c r="E12" s="65">
        <f>+'[7]Pacific Comm Credit'!E10</f>
        <v>100.68</v>
      </c>
      <c r="F12" s="65">
        <f>+'[7]Pacific Comm Credit'!F10</f>
        <v>124.57</v>
      </c>
      <c r="G12" s="65">
        <f>+'[7]Pacific Comm Credit'!G10</f>
        <v>121.51</v>
      </c>
      <c r="H12" s="5">
        <f>SUM(B12:G12)</f>
        <v>734.09</v>
      </c>
      <c r="J12" s="5"/>
      <c r="L12" s="44"/>
      <c r="M12" s="44"/>
      <c r="N12" s="44"/>
      <c r="O12" s="44"/>
      <c r="P12" s="44"/>
      <c r="Q12" s="44"/>
      <c r="R12" s="44"/>
      <c r="S12" s="44"/>
      <c r="T12" s="44"/>
    </row>
    <row r="13" spans="1:32" ht="6" customHeight="1" x14ac:dyDescent="0.2">
      <c r="B13" s="11"/>
      <c r="C13" s="11"/>
      <c r="D13" s="11"/>
      <c r="E13" s="11"/>
      <c r="F13" s="11"/>
      <c r="G13" s="11"/>
      <c r="H13" s="5"/>
      <c r="J13" s="5"/>
    </row>
    <row r="14" spans="1:32" s="6" customFormat="1" x14ac:dyDescent="0.2">
      <c r="A14" s="6" t="s">
        <v>7</v>
      </c>
      <c r="B14" s="35">
        <f t="shared" ref="B14:G14" si="0">SUM(B11:B12)</f>
        <v>1143.9199999999998</v>
      </c>
      <c r="C14" s="35">
        <f t="shared" si="0"/>
        <v>1015.55</v>
      </c>
      <c r="D14" s="35">
        <f t="shared" si="0"/>
        <v>1170.53</v>
      </c>
      <c r="E14" s="35">
        <f t="shared" si="0"/>
        <v>799.36000000000013</v>
      </c>
      <c r="F14" s="35">
        <f t="shared" si="0"/>
        <v>921.61999999999989</v>
      </c>
      <c r="G14" s="35">
        <f t="shared" si="0"/>
        <v>965.19999999999993</v>
      </c>
      <c r="H14" s="35">
        <f>SUM(H11:H13)</f>
        <v>6016.18</v>
      </c>
      <c r="J14" s="45"/>
      <c r="L14" s="45"/>
      <c r="M14" s="45"/>
      <c r="N14" s="45"/>
      <c r="O14" s="45"/>
      <c r="P14" s="45"/>
      <c r="Q14" s="45"/>
      <c r="R14" s="45"/>
      <c r="S14" s="45"/>
      <c r="T14" s="45"/>
    </row>
    <row r="15" spans="1:32" x14ac:dyDescent="0.2">
      <c r="J15" s="5"/>
    </row>
    <row r="16" spans="1:32" x14ac:dyDescent="0.2">
      <c r="A16" s="26" t="s">
        <v>20</v>
      </c>
      <c r="J16" s="5"/>
    </row>
    <row r="17" spans="1:36" x14ac:dyDescent="0.2">
      <c r="A17" s="22" t="s">
        <v>5</v>
      </c>
      <c r="B17" s="66">
        <f>+'[7]Pacific Comm Credit'!B15</f>
        <v>-75.002049999999997</v>
      </c>
      <c r="C17" s="66">
        <f>+'[7]Pacific Comm Credit'!C15</f>
        <v>-79.117450000000005</v>
      </c>
      <c r="D17" s="66">
        <f>+'[7]Pacific Comm Credit'!D15</f>
        <v>-87.291550000000001</v>
      </c>
      <c r="E17" s="66">
        <f>+'[7]Pacific Comm Credit'!E15</f>
        <v>-98.354199999999977</v>
      </c>
      <c r="F17" s="66">
        <f>+'[7]Pacific Comm Credit'!F15</f>
        <v>-100.63679999999999</v>
      </c>
      <c r="G17" s="66">
        <f>+'[7]Pacific Comm Credit'!G15</f>
        <v>-106.56739999999999</v>
      </c>
      <c r="H17" s="7"/>
      <c r="J17" s="5"/>
      <c r="L17" s="46"/>
      <c r="M17" s="46"/>
      <c r="N17" s="46"/>
      <c r="O17" s="46"/>
      <c r="P17" s="46"/>
      <c r="Q17" s="46"/>
      <c r="R17" s="46"/>
      <c r="S17" s="46"/>
      <c r="T17" s="46"/>
    </row>
    <row r="18" spans="1:36" x14ac:dyDescent="0.2">
      <c r="A18" s="22" t="s">
        <v>6</v>
      </c>
      <c r="B18" s="66">
        <f>+'[7]Pacific Comm Credit'!B16</f>
        <v>-30</v>
      </c>
      <c r="C18" s="66">
        <f>+'[7]Pacific Comm Credit'!C16</f>
        <v>-30</v>
      </c>
      <c r="D18" s="66">
        <f>+'[7]Pacific Comm Credit'!D16</f>
        <v>-30</v>
      </c>
      <c r="E18" s="66">
        <f>+'[7]Pacific Comm Credit'!E16</f>
        <v>-30</v>
      </c>
      <c r="F18" s="66">
        <f>+'[7]Pacific Comm Credit'!F16</f>
        <v>-30</v>
      </c>
      <c r="G18" s="66">
        <f>+'[7]Pacific Comm Credit'!G16</f>
        <v>-30</v>
      </c>
      <c r="H18" s="8"/>
      <c r="J18" s="5"/>
      <c r="L18" s="5"/>
      <c r="M18" s="5"/>
      <c r="N18" s="5"/>
      <c r="O18" s="5"/>
      <c r="P18" s="5"/>
      <c r="Q18" s="5"/>
      <c r="R18" s="5"/>
      <c r="S18" s="5"/>
      <c r="T18" s="5"/>
    </row>
    <row r="19" spans="1:36" x14ac:dyDescent="0.2">
      <c r="J19" s="5"/>
    </row>
    <row r="20" spans="1:36" x14ac:dyDescent="0.2">
      <c r="A20" s="26" t="s">
        <v>8</v>
      </c>
      <c r="J20" s="5"/>
    </row>
    <row r="21" spans="1:36" x14ac:dyDescent="0.2">
      <c r="A21" s="22" t="s">
        <v>5</v>
      </c>
      <c r="B21" s="36">
        <f>+B11*B17</f>
        <v>-74892.547006999986</v>
      </c>
      <c r="C21" s="36">
        <f t="shared" ref="C21:G21" si="1">+C11*C17</f>
        <v>-72739.001181</v>
      </c>
      <c r="D21" s="16">
        <f t="shared" si="1"/>
        <v>-89452.015862500004</v>
      </c>
      <c r="E21" s="36">
        <f t="shared" si="1"/>
        <v>-68718.112455999988</v>
      </c>
      <c r="F21" s="36">
        <f t="shared" si="1"/>
        <v>-80212.56143999999</v>
      </c>
      <c r="G21" s="36">
        <f t="shared" si="1"/>
        <v>-89909.849705999994</v>
      </c>
      <c r="H21" s="9">
        <f>SUM(B21:G21)</f>
        <v>-475924.08765249996</v>
      </c>
      <c r="J21" s="8"/>
      <c r="L21" s="8"/>
      <c r="M21" s="8"/>
      <c r="N21" s="8"/>
      <c r="O21" s="8"/>
      <c r="P21" s="8"/>
      <c r="Q21" s="8"/>
      <c r="R21" s="8"/>
      <c r="S21" s="8"/>
      <c r="T21" s="8"/>
    </row>
    <row r="22" spans="1:36" x14ac:dyDescent="0.2">
      <c r="A22" s="22" t="s">
        <v>6</v>
      </c>
      <c r="B22" s="36">
        <f t="shared" ref="B22:D22" si="2">+B18*B12</f>
        <v>-4361.3999999999996</v>
      </c>
      <c r="C22" s="36">
        <f t="shared" si="2"/>
        <v>-2885.1</v>
      </c>
      <c r="D22" s="58">
        <f t="shared" si="2"/>
        <v>-4373.3999999999996</v>
      </c>
      <c r="E22" s="36">
        <f t="shared" ref="E22" si="3">+E18*E12</f>
        <v>-3020.4</v>
      </c>
      <c r="F22" s="36">
        <f>+F18*F12</f>
        <v>-3737.1</v>
      </c>
      <c r="G22" s="36">
        <f>+G18*G12</f>
        <v>-3645.3</v>
      </c>
      <c r="H22" s="9">
        <f>SUM(B22:G22)</f>
        <v>-22022.699999999997</v>
      </c>
      <c r="J22" s="8"/>
      <c r="K22" s="44"/>
      <c r="L22" s="8"/>
      <c r="M22" s="8"/>
      <c r="N22" s="8"/>
      <c r="O22" s="8"/>
      <c r="P22" s="8"/>
      <c r="Q22" s="8"/>
      <c r="R22" s="8"/>
      <c r="S22" s="8"/>
      <c r="T22" s="8"/>
    </row>
    <row r="23" spans="1:36" x14ac:dyDescent="0.2">
      <c r="B23" s="16"/>
      <c r="C23" s="16"/>
      <c r="D23" s="16"/>
      <c r="E23" s="16"/>
      <c r="F23" s="16"/>
      <c r="G23" s="16"/>
      <c r="H23" s="8"/>
      <c r="J23" s="5"/>
    </row>
    <row r="24" spans="1:36" s="6" customFormat="1" x14ac:dyDescent="0.2">
      <c r="A24" s="6" t="s">
        <v>9</v>
      </c>
      <c r="B24" s="37">
        <f t="shared" ref="B24:G24" si="4">SUM(B21:B22)</f>
        <v>-79253.947006999981</v>
      </c>
      <c r="C24" s="37">
        <f t="shared" si="4"/>
        <v>-75624.101181000005</v>
      </c>
      <c r="D24" s="37">
        <f t="shared" si="4"/>
        <v>-93825.415862499998</v>
      </c>
      <c r="E24" s="37">
        <f t="shared" si="4"/>
        <v>-71738.512455999982</v>
      </c>
      <c r="F24" s="37">
        <f t="shared" si="4"/>
        <v>-83949.661439999996</v>
      </c>
      <c r="G24" s="37">
        <f t="shared" si="4"/>
        <v>-93555.149705999997</v>
      </c>
      <c r="H24" s="40">
        <f>SUM(H21:H23)</f>
        <v>-497946.78765249997</v>
      </c>
      <c r="J24" s="20"/>
      <c r="L24" s="20"/>
      <c r="M24" s="20"/>
      <c r="N24" s="20"/>
      <c r="O24" s="20"/>
      <c r="P24" s="20"/>
      <c r="Q24" s="20"/>
      <c r="R24" s="20"/>
      <c r="S24" s="20"/>
      <c r="T24" s="20"/>
      <c r="U24" s="47"/>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67">
        <f>+'[7]Pacific Comm Credit'!B23</f>
        <v>47053</v>
      </c>
      <c r="C27" s="67">
        <f>+'[7]Pacific Comm Credit'!C23</f>
        <v>47021</v>
      </c>
      <c r="D27" s="67">
        <f>+'[7]Pacific Comm Credit'!D23</f>
        <v>47071</v>
      </c>
      <c r="E27" s="67">
        <f>+'[7]Pacific Comm Credit'!E23</f>
        <v>47096</v>
      </c>
      <c r="F27" s="67">
        <f>+'[7]Pacific Comm Credit'!F23</f>
        <v>47319</v>
      </c>
      <c r="G27" s="67">
        <f>+'[7]Pacific Comm Credit'!G23</f>
        <v>47644</v>
      </c>
      <c r="H27" s="8">
        <f>SUM(B27:G27)</f>
        <v>283204</v>
      </c>
      <c r="I27" s="5"/>
      <c r="J27" s="45"/>
      <c r="K27" s="48"/>
      <c r="L27" s="48"/>
      <c r="M27" s="48"/>
      <c r="N27" s="48"/>
      <c r="O27" s="48"/>
      <c r="P27" s="48"/>
      <c r="Q27" s="48"/>
      <c r="R27" s="48"/>
      <c r="S27" s="48"/>
      <c r="T27" s="48"/>
      <c r="U27" s="48"/>
      <c r="V27" s="48"/>
      <c r="W27" s="48"/>
      <c r="X27" s="48"/>
      <c r="Y27" s="48"/>
      <c r="Z27" s="48"/>
      <c r="AA27" s="48"/>
      <c r="AB27" s="48"/>
      <c r="AC27" s="48"/>
      <c r="AD27" s="48"/>
      <c r="AE27" s="48"/>
      <c r="AF27" s="48"/>
      <c r="AG27" s="12"/>
      <c r="AH27" s="12"/>
      <c r="AI27" s="12"/>
      <c r="AJ27" s="12"/>
    </row>
    <row r="28" spans="1:36" s="11" customFormat="1" x14ac:dyDescent="0.2">
      <c r="A28" s="10" t="s">
        <v>11</v>
      </c>
      <c r="B28" s="67">
        <f>+'[7]Pacific Comm Credit'!B24</f>
        <v>3489</v>
      </c>
      <c r="C28" s="67">
        <f>+'[7]Pacific Comm Credit'!C24</f>
        <v>3477</v>
      </c>
      <c r="D28" s="67">
        <f>+'[7]Pacific Comm Credit'!D24</f>
        <v>3466</v>
      </c>
      <c r="E28" s="67">
        <f>+'[7]Pacific Comm Credit'!E24</f>
        <v>3463</v>
      </c>
      <c r="F28" s="67">
        <f>+'[7]Pacific Comm Credit'!F24</f>
        <v>3447</v>
      </c>
      <c r="G28" s="67">
        <f>+'[7]Pacific Comm Credit'!G24</f>
        <v>3474</v>
      </c>
      <c r="H28" s="8">
        <f>SUM(B28:G28)</f>
        <v>20816</v>
      </c>
      <c r="I28" s="5"/>
      <c r="J28" s="45"/>
      <c r="K28" s="5"/>
      <c r="L28" s="48"/>
      <c r="M28" s="48"/>
      <c r="N28" s="48"/>
      <c r="O28" s="48"/>
      <c r="P28" s="48"/>
      <c r="Q28" s="48"/>
      <c r="R28" s="48"/>
      <c r="S28" s="48"/>
      <c r="T28" s="48"/>
      <c r="U28" s="5"/>
      <c r="V28" s="5"/>
      <c r="W28" s="5"/>
      <c r="X28" s="5"/>
      <c r="Y28" s="5"/>
      <c r="Z28" s="5"/>
      <c r="AA28" s="5"/>
      <c r="AB28" s="5"/>
      <c r="AC28" s="5"/>
      <c r="AD28" s="5"/>
      <c r="AE28" s="5"/>
      <c r="AF28" s="5"/>
    </row>
    <row r="29" spans="1:36" s="11" customFormat="1" x14ac:dyDescent="0.2">
      <c r="A29" s="10"/>
      <c r="H29" s="8"/>
      <c r="I29" s="5"/>
      <c r="J29" s="45"/>
      <c r="K29" s="5"/>
      <c r="L29" s="48"/>
      <c r="M29" s="48"/>
      <c r="N29" s="48"/>
      <c r="O29" s="48"/>
      <c r="P29" s="48"/>
      <c r="Q29" s="48"/>
      <c r="R29" s="48"/>
      <c r="S29" s="48"/>
      <c r="T29" s="48"/>
      <c r="U29" s="5"/>
      <c r="V29" s="5"/>
      <c r="W29" s="5"/>
      <c r="X29" s="5"/>
      <c r="Y29" s="5"/>
      <c r="Z29" s="5"/>
      <c r="AA29" s="5"/>
      <c r="AB29" s="5"/>
      <c r="AC29" s="5"/>
      <c r="AD29" s="5"/>
      <c r="AE29" s="5"/>
      <c r="AF29" s="5"/>
    </row>
    <row r="30" spans="1:36" s="14" customFormat="1" x14ac:dyDescent="0.2">
      <c r="A30" s="13" t="s">
        <v>12</v>
      </c>
      <c r="B30" s="38">
        <f t="shared" ref="B30:C30" si="5">+B27+B28</f>
        <v>50542</v>
      </c>
      <c r="C30" s="38">
        <f t="shared" si="5"/>
        <v>50498</v>
      </c>
      <c r="D30" s="38">
        <f>+D27+D28</f>
        <v>50537</v>
      </c>
      <c r="E30" s="38">
        <f>+E27+E28</f>
        <v>50559</v>
      </c>
      <c r="F30" s="38">
        <f>+F27+F28</f>
        <v>50766</v>
      </c>
      <c r="G30" s="38">
        <f>+G27+G28</f>
        <v>51118</v>
      </c>
      <c r="H30" s="41">
        <f>SUM(H27:H28)</f>
        <v>304020</v>
      </c>
      <c r="I30" s="45"/>
      <c r="J30" s="45"/>
      <c r="K30" s="45"/>
      <c r="L30" s="49"/>
      <c r="M30" s="49"/>
      <c r="N30" s="49"/>
      <c r="O30" s="49"/>
      <c r="P30" s="49"/>
      <c r="Q30" s="49"/>
      <c r="R30" s="49"/>
      <c r="S30" s="49"/>
      <c r="T30" s="49"/>
      <c r="U30" s="45"/>
      <c r="V30" s="45"/>
      <c r="W30" s="45"/>
      <c r="X30" s="45"/>
      <c r="Y30" s="45"/>
      <c r="Z30" s="45"/>
      <c r="AA30" s="45"/>
      <c r="AB30" s="45"/>
      <c r="AC30" s="45"/>
      <c r="AD30" s="45"/>
      <c r="AE30" s="45"/>
      <c r="AF30" s="45"/>
    </row>
    <row r="31" spans="1:36" s="16" customFormat="1" x14ac:dyDescent="0.2">
      <c r="A31" s="10"/>
      <c r="H31" s="15"/>
      <c r="I31" s="8"/>
      <c r="J31" s="45"/>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27">
        <f t="shared" ref="B32:G32" si="6">+IFERROR(B24/B30,0)</f>
        <v>-1.568080942720905</v>
      </c>
      <c r="C32" s="27">
        <f t="shared" si="6"/>
        <v>-1.4975662636342035</v>
      </c>
      <c r="D32" s="27">
        <f t="shared" si="6"/>
        <v>-1.8565687686744365</v>
      </c>
      <c r="E32" s="27">
        <f t="shared" si="6"/>
        <v>-1.4189068703099346</v>
      </c>
      <c r="F32" s="27">
        <f t="shared" si="6"/>
        <v>-1.6536591703108379</v>
      </c>
      <c r="G32" s="27">
        <f t="shared" si="6"/>
        <v>-1.8301801656168082</v>
      </c>
      <c r="H32" s="17"/>
      <c r="I32" s="8"/>
      <c r="J32" s="5"/>
      <c r="K32" s="8"/>
      <c r="L32" s="5"/>
      <c r="M32" s="5"/>
      <c r="N32" s="5"/>
      <c r="O32" s="5"/>
      <c r="P32" s="5"/>
      <c r="Q32" s="5"/>
      <c r="R32" s="5"/>
      <c r="S32" s="5"/>
      <c r="T32" s="5"/>
      <c r="U32" s="50"/>
      <c r="V32" s="8"/>
      <c r="W32" s="8"/>
      <c r="X32" s="8"/>
      <c r="Y32" s="8"/>
      <c r="Z32" s="8"/>
      <c r="AA32" s="8"/>
      <c r="AB32" s="8"/>
      <c r="AC32" s="8"/>
      <c r="AD32" s="8"/>
      <c r="AE32" s="8"/>
      <c r="AF32" s="8"/>
    </row>
    <row r="33" spans="1:32" s="16" customFormat="1" x14ac:dyDescent="0.2">
      <c r="A33" s="10" t="s">
        <v>14</v>
      </c>
      <c r="B33" s="69">
        <f>+'[8]Pacific Comm Credit'!$N$38</f>
        <v>-1.1456429004883295</v>
      </c>
      <c r="C33" s="69">
        <f>+'[8]Pacific Comm Credit'!$N$38</f>
        <v>-1.1456429004883295</v>
      </c>
      <c r="D33" s="69">
        <f>'Pacific CPA Eff. 1.1.19'!$H$38</f>
        <v>-1.2259697247382961</v>
      </c>
      <c r="E33" s="69">
        <f>'Pacific CPA Eff. 1.1.19'!$H$38</f>
        <v>-1.2259697247382961</v>
      </c>
      <c r="F33" s="69">
        <f>'Pacific CPA Eff. 1.1.19'!$H$38</f>
        <v>-1.2259697247382961</v>
      </c>
      <c r="G33" s="69">
        <f>'Pacific CPA Eff. 1.1.19'!$H$38</f>
        <v>-1.2259697247382961</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27"/>
      <c r="C34" s="27"/>
      <c r="D34" s="27"/>
      <c r="E34" s="27"/>
      <c r="F34" s="27"/>
      <c r="G34" s="27"/>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59">
        <f>+(B32-B33)*B30</f>
        <v>-21350.863530518833</v>
      </c>
      <c r="C35" s="59">
        <f t="shared" ref="C35" si="7">+(C32-C33)*C30</f>
        <v>-17771.425992140346</v>
      </c>
      <c r="D35" s="59">
        <f>+(D32-D33)*D30</f>
        <v>-31868.583883400726</v>
      </c>
      <c r="E35" s="59">
        <f>+(E32-E33)*E30</f>
        <v>-9754.709142956468</v>
      </c>
      <c r="F35" s="59">
        <f>+(F32-F33)*F30</f>
        <v>-21712.082393935652</v>
      </c>
      <c r="G35" s="59">
        <f>+(G32-G33)*G30</f>
        <v>-30886.029316827779</v>
      </c>
      <c r="H35" s="60">
        <f>SUM(B35:G35)</f>
        <v>-133343.69425977979</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28"/>
      <c r="C37" s="28"/>
      <c r="D37" s="28"/>
      <c r="E37" s="28"/>
      <c r="F37" s="28"/>
      <c r="G37" s="21" t="s">
        <v>18</v>
      </c>
      <c r="H37" s="17">
        <f>ROUND(H35/H30,2)</f>
        <v>-0.44</v>
      </c>
      <c r="I37" s="5"/>
      <c r="K37" s="8"/>
      <c r="R37" s="51"/>
      <c r="S37" s="51"/>
      <c r="T37" s="51"/>
      <c r="U37" s="52"/>
    </row>
    <row r="38" spans="1:32" x14ac:dyDescent="0.2">
      <c r="A38" s="61"/>
      <c r="B38" s="21"/>
      <c r="C38" s="21"/>
      <c r="D38" s="21"/>
      <c r="E38" s="21"/>
      <c r="F38" s="21"/>
      <c r="G38" s="21" t="s">
        <v>21</v>
      </c>
      <c r="H38" s="17">
        <f>SUM(B24:G24)/SUM(B30:G30)</f>
        <v>-1.6378750991793303</v>
      </c>
      <c r="I38" s="44"/>
      <c r="R38" s="51"/>
      <c r="S38" s="51"/>
      <c r="T38" s="51"/>
      <c r="U38" s="44"/>
    </row>
    <row r="39" spans="1:32" x14ac:dyDescent="0.2">
      <c r="A39" s="61"/>
      <c r="B39" s="21"/>
      <c r="C39" s="21"/>
      <c r="D39" s="21"/>
      <c r="E39" s="21"/>
      <c r="F39" s="21"/>
      <c r="G39" s="21" t="s">
        <v>38</v>
      </c>
      <c r="H39" s="17">
        <f>-(('Pacific CPA 7.1.18'!N37*H30)-'Pacific CPA 7.1.18'!N35)/H30</f>
        <v>-0.64724134650014065</v>
      </c>
      <c r="I39" s="44"/>
      <c r="R39" s="51"/>
      <c r="S39" s="51"/>
      <c r="T39" s="51"/>
      <c r="U39" s="44"/>
    </row>
    <row r="40" spans="1:32" x14ac:dyDescent="0.2">
      <c r="A40" s="62"/>
      <c r="D40" s="21"/>
      <c r="E40" s="21"/>
      <c r="F40" s="21"/>
      <c r="G40" s="42" t="s">
        <v>25</v>
      </c>
      <c r="H40" s="18">
        <f>SUM(H37:H39)</f>
        <v>-2.725116445679471</v>
      </c>
      <c r="R40" s="51"/>
      <c r="S40" s="51"/>
      <c r="T40" s="51"/>
      <c r="U40" s="53"/>
    </row>
    <row r="41" spans="1:32" x14ac:dyDescent="0.2">
      <c r="A41" s="62"/>
      <c r="B41" s="21"/>
      <c r="C41" s="21"/>
      <c r="D41" s="21"/>
      <c r="E41" s="21"/>
      <c r="F41" s="21"/>
      <c r="G41" s="21"/>
      <c r="H41" s="20"/>
      <c r="R41" s="51"/>
      <c r="S41" s="51"/>
      <c r="T41" s="51"/>
      <c r="U41" s="53"/>
    </row>
    <row r="42" spans="1:32" x14ac:dyDescent="0.2">
      <c r="A42" s="62"/>
      <c r="B42" s="39"/>
      <c r="C42" s="39"/>
      <c r="D42" s="21"/>
      <c r="E42" s="21"/>
      <c r="F42" s="21"/>
      <c r="G42" s="21" t="s">
        <v>26</v>
      </c>
      <c r="H42" s="70">
        <f>'Pacific CPA Eff. 1.1.19'!H40</f>
        <v>-2.2111507911768475</v>
      </c>
      <c r="K42" s="8"/>
      <c r="L42" s="8"/>
      <c r="M42" s="55"/>
      <c r="R42" s="8"/>
      <c r="S42" s="8"/>
      <c r="T42" s="51"/>
    </row>
    <row r="43" spans="1:32" x14ac:dyDescent="0.2">
      <c r="A43" s="63"/>
      <c r="B43" s="21"/>
      <c r="C43" s="21"/>
      <c r="D43" s="21"/>
      <c r="E43" s="21"/>
      <c r="F43" s="21"/>
      <c r="G43" s="21" t="s">
        <v>15</v>
      </c>
      <c r="H43" s="5">
        <f>H42-H40</f>
        <v>0.51396565450262344</v>
      </c>
      <c r="I43" s="56">
        <f>H43/H42</f>
        <v>-0.23244260705940997</v>
      </c>
      <c r="R43" s="8"/>
      <c r="S43" s="8"/>
      <c r="T43" s="51"/>
    </row>
    <row r="44" spans="1:32" x14ac:dyDescent="0.2">
      <c r="A44" s="10"/>
      <c r="B44" s="21"/>
      <c r="C44" s="21"/>
      <c r="D44" s="21"/>
      <c r="E44" s="21"/>
      <c r="F44" s="21"/>
      <c r="G44" s="21" t="s">
        <v>24</v>
      </c>
      <c r="H44" s="8">
        <f>H43*G30*12</f>
        <v>315274.7559223813</v>
      </c>
      <c r="J44" s="44"/>
      <c r="L44" s="44"/>
      <c r="M44" s="44"/>
      <c r="N44" s="44"/>
      <c r="O44" s="44"/>
      <c r="P44" s="44"/>
      <c r="Q44" s="44"/>
      <c r="R44" s="44"/>
      <c r="S44" s="44"/>
      <c r="T44" s="44"/>
    </row>
    <row r="45" spans="1:32" x14ac:dyDescent="0.2">
      <c r="A45" s="10"/>
      <c r="B45" s="21"/>
      <c r="C45" s="21"/>
      <c r="D45" s="21"/>
      <c r="E45" s="21"/>
      <c r="F45" s="21"/>
      <c r="G45" s="21"/>
      <c r="H45" s="8"/>
      <c r="J45" s="44"/>
      <c r="L45" s="44"/>
      <c r="M45" s="44"/>
      <c r="N45" s="44"/>
      <c r="O45" s="44"/>
      <c r="P45" s="44"/>
      <c r="Q45" s="44"/>
      <c r="R45" s="44"/>
      <c r="S45" s="44"/>
      <c r="T45" s="44"/>
    </row>
    <row r="46" spans="1:32" x14ac:dyDescent="0.2">
      <c r="A46" s="10"/>
      <c r="B46" s="11"/>
      <c r="C46" s="11"/>
      <c r="D46" s="11"/>
      <c r="E46" s="11"/>
      <c r="F46" s="11"/>
      <c r="G46" s="11"/>
      <c r="H46" s="8"/>
    </row>
    <row r="47" spans="1:32" x14ac:dyDescent="0.2">
      <c r="A47" s="29"/>
      <c r="B47" s="1"/>
      <c r="C47" s="1"/>
      <c r="D47" s="1"/>
      <c r="E47" s="1"/>
      <c r="F47" s="1"/>
      <c r="G47" s="1"/>
      <c r="H47" s="1" t="str">
        <f>H5</f>
        <v>6-Month</v>
      </c>
      <c r="S47" s="51"/>
      <c r="T47" s="51"/>
      <c r="U47" s="52"/>
    </row>
    <row r="48" spans="1:32" x14ac:dyDescent="0.2">
      <c r="A48" s="29" t="s">
        <v>16</v>
      </c>
      <c r="B48" s="2">
        <f>B6</f>
        <v>43405</v>
      </c>
      <c r="C48" s="2">
        <f t="shared" ref="C48:G48" si="8">C6</f>
        <v>43436</v>
      </c>
      <c r="D48" s="2">
        <f t="shared" si="8"/>
        <v>43467</v>
      </c>
      <c r="E48" s="2">
        <f t="shared" si="8"/>
        <v>43498</v>
      </c>
      <c r="F48" s="2">
        <f t="shared" si="8"/>
        <v>43529</v>
      </c>
      <c r="G48" s="2">
        <f t="shared" si="8"/>
        <v>43560</v>
      </c>
      <c r="H48" s="2" t="s">
        <v>2</v>
      </c>
      <c r="S48" s="51"/>
      <c r="T48" s="51"/>
      <c r="U48" s="44"/>
    </row>
    <row r="49" spans="1:21" x14ac:dyDescent="0.2">
      <c r="A49" s="25" t="s">
        <v>4</v>
      </c>
      <c r="B49" s="4"/>
      <c r="C49" s="4"/>
      <c r="D49" s="4"/>
      <c r="E49" s="4"/>
      <c r="F49" s="4"/>
      <c r="G49" s="4"/>
      <c r="H49" s="4"/>
      <c r="S49" s="51"/>
      <c r="T49" s="51"/>
      <c r="U49" s="53"/>
    </row>
    <row r="50" spans="1:21" x14ac:dyDescent="0.2">
      <c r="A50" s="22" t="s">
        <v>5</v>
      </c>
      <c r="B50" s="65">
        <f>+'[7]Pacific Comm Credit'!B41</f>
        <v>71.37</v>
      </c>
      <c r="C50" s="65">
        <f>+'[7]Pacific Comm Credit'!C41</f>
        <v>68.140000000000015</v>
      </c>
      <c r="D50" s="65">
        <f>+'[7]Pacific Comm Credit'!D41</f>
        <v>74.650000000000006</v>
      </c>
      <c r="E50" s="65">
        <f>+'[7]Pacific Comm Credit'!E41</f>
        <v>64.899999999999977</v>
      </c>
      <c r="F50" s="65">
        <f>+'[7]Pacific Comm Credit'!F41</f>
        <v>68.140000000000015</v>
      </c>
      <c r="G50" s="65">
        <f>+'[7]Pacific Comm Credit'!G41</f>
        <v>71.37</v>
      </c>
      <c r="H50" s="5">
        <f>SUM(B50:G50)</f>
        <v>418.57000000000005</v>
      </c>
    </row>
    <row r="51" spans="1:21" x14ac:dyDescent="0.2">
      <c r="A51" s="22" t="s">
        <v>6</v>
      </c>
      <c r="B51" s="65">
        <f>+'[7]Pacific Comm Credit'!B42</f>
        <v>15.86</v>
      </c>
      <c r="C51" s="65">
        <f>+'[7]Pacific Comm Credit'!C42</f>
        <v>13.2</v>
      </c>
      <c r="D51" s="65">
        <f>+'[7]Pacific Comm Credit'!D42</f>
        <v>16.510000000000002</v>
      </c>
      <c r="E51" s="65">
        <f>+'[7]Pacific Comm Credit'!E42</f>
        <v>12.98</v>
      </c>
      <c r="F51" s="65">
        <f>+'[7]Pacific Comm Credit'!F42</f>
        <v>14.47</v>
      </c>
      <c r="G51" s="65">
        <f>+'[7]Pacific Comm Credit'!G42</f>
        <v>14.71</v>
      </c>
      <c r="H51" s="5">
        <f>SUM(B51:G51)</f>
        <v>87.72999999999999</v>
      </c>
    </row>
    <row r="52" spans="1:21" x14ac:dyDescent="0.2">
      <c r="B52" s="11"/>
      <c r="C52" s="11"/>
      <c r="D52" s="11"/>
      <c r="E52" s="11"/>
      <c r="F52" s="11"/>
      <c r="G52" s="11"/>
      <c r="H52" s="5"/>
    </row>
    <row r="53" spans="1:21" s="6" customFormat="1" x14ac:dyDescent="0.2">
      <c r="A53" s="6" t="s">
        <v>2</v>
      </c>
      <c r="B53" s="35">
        <f t="shared" ref="B53:E53" si="9">SUM(B50:B51)</f>
        <v>87.23</v>
      </c>
      <c r="C53" s="35">
        <f t="shared" si="9"/>
        <v>81.340000000000018</v>
      </c>
      <c r="D53" s="35">
        <f t="shared" si="9"/>
        <v>91.160000000000011</v>
      </c>
      <c r="E53" s="35">
        <f t="shared" si="9"/>
        <v>77.879999999999981</v>
      </c>
      <c r="F53" s="35">
        <f>SUM(F50:F51)</f>
        <v>82.610000000000014</v>
      </c>
      <c r="G53" s="35">
        <f>SUM(G50:G51)</f>
        <v>86.080000000000013</v>
      </c>
      <c r="H53" s="35">
        <f>SUM(H50:H52)</f>
        <v>506.30000000000007</v>
      </c>
    </row>
    <row r="55" spans="1:21" x14ac:dyDescent="0.2">
      <c r="A55" s="26" t="s">
        <v>20</v>
      </c>
    </row>
    <row r="56" spans="1:21" x14ac:dyDescent="0.2">
      <c r="A56" s="22" t="s">
        <v>5</v>
      </c>
      <c r="B56" s="27">
        <f t="shared" ref="B56:G57" si="10">B17</f>
        <v>-75.002049999999997</v>
      </c>
      <c r="C56" s="27">
        <f t="shared" si="10"/>
        <v>-79.117450000000005</v>
      </c>
      <c r="D56" s="27">
        <f t="shared" si="10"/>
        <v>-87.291550000000001</v>
      </c>
      <c r="E56" s="27">
        <f t="shared" si="10"/>
        <v>-98.354199999999977</v>
      </c>
      <c r="F56" s="27">
        <f t="shared" si="10"/>
        <v>-100.63679999999999</v>
      </c>
      <c r="G56" s="27">
        <f t="shared" si="10"/>
        <v>-106.56739999999999</v>
      </c>
      <c r="H56" s="8"/>
    </row>
    <row r="57" spans="1:21" x14ac:dyDescent="0.2">
      <c r="A57" s="22" t="s">
        <v>6</v>
      </c>
      <c r="B57" s="27">
        <f t="shared" si="10"/>
        <v>-30</v>
      </c>
      <c r="C57" s="27">
        <f t="shared" si="10"/>
        <v>-30</v>
      </c>
      <c r="D57" s="27">
        <f t="shared" si="10"/>
        <v>-30</v>
      </c>
      <c r="E57" s="27">
        <f t="shared" si="10"/>
        <v>-30</v>
      </c>
      <c r="F57" s="27">
        <f t="shared" si="10"/>
        <v>-30</v>
      </c>
      <c r="G57" s="27">
        <f t="shared" si="10"/>
        <v>-30</v>
      </c>
      <c r="H57" s="8"/>
    </row>
    <row r="59" spans="1:21" x14ac:dyDescent="0.2">
      <c r="A59" s="26" t="s">
        <v>8</v>
      </c>
    </row>
    <row r="60" spans="1:21" x14ac:dyDescent="0.2">
      <c r="A60" s="22" t="s">
        <v>5</v>
      </c>
      <c r="B60" s="36">
        <f t="shared" ref="B60:G60" si="11">+B50*B56</f>
        <v>-5352.8963085000005</v>
      </c>
      <c r="C60" s="36">
        <f t="shared" si="11"/>
        <v>-5391.0630430000019</v>
      </c>
      <c r="D60" s="36">
        <f t="shared" si="11"/>
        <v>-6516.3142075000005</v>
      </c>
      <c r="E60" s="36">
        <f t="shared" si="11"/>
        <v>-6383.1875799999962</v>
      </c>
      <c r="F60" s="36">
        <f t="shared" si="11"/>
        <v>-6857.391552000001</v>
      </c>
      <c r="G60" s="36">
        <f t="shared" si="11"/>
        <v>-7605.715338</v>
      </c>
      <c r="H60" s="9">
        <f>SUM(B60:G60)</f>
        <v>-38106.568029000002</v>
      </c>
    </row>
    <row r="61" spans="1:21" x14ac:dyDescent="0.2">
      <c r="A61" s="22" t="s">
        <v>6</v>
      </c>
      <c r="B61" s="36">
        <f t="shared" ref="B61:G61" si="12">+B57*B51</f>
        <v>-475.79999999999995</v>
      </c>
      <c r="C61" s="36">
        <f t="shared" si="12"/>
        <v>-396</v>
      </c>
      <c r="D61" s="36">
        <f t="shared" si="12"/>
        <v>-495.30000000000007</v>
      </c>
      <c r="E61" s="36">
        <f t="shared" si="12"/>
        <v>-389.40000000000003</v>
      </c>
      <c r="F61" s="36">
        <f t="shared" si="12"/>
        <v>-434.1</v>
      </c>
      <c r="G61" s="36">
        <f t="shared" si="12"/>
        <v>-441.3</v>
      </c>
      <c r="H61" s="9">
        <f>SUM(B61:G61)</f>
        <v>-2631.9</v>
      </c>
    </row>
    <row r="62" spans="1:21" x14ac:dyDescent="0.2">
      <c r="B62" s="16"/>
      <c r="C62" s="16"/>
      <c r="D62" s="16"/>
      <c r="E62" s="16"/>
      <c r="F62" s="16"/>
      <c r="G62" s="16"/>
      <c r="H62" s="8"/>
    </row>
    <row r="63" spans="1:21" s="6" customFormat="1" x14ac:dyDescent="0.2">
      <c r="A63" s="6" t="s">
        <v>9</v>
      </c>
      <c r="B63" s="37">
        <f t="shared" ref="B63:C63" si="13">SUM(B60:B61)</f>
        <v>-5828.6963085000007</v>
      </c>
      <c r="C63" s="37">
        <f t="shared" si="13"/>
        <v>-5787.0630430000019</v>
      </c>
      <c r="D63" s="37">
        <f>SUM(D60:D61)</f>
        <v>-7011.6142075000007</v>
      </c>
      <c r="E63" s="37">
        <f>SUM(E60:E61)</f>
        <v>-6772.5875799999958</v>
      </c>
      <c r="F63" s="37">
        <f>SUM(F60:F61)</f>
        <v>-7291.4915520000013</v>
      </c>
      <c r="G63" s="37">
        <f>SUM(G60:G61)</f>
        <v>-8047.0153380000002</v>
      </c>
      <c r="H63" s="40">
        <f>SUM(H60:H61)</f>
        <v>-40738.468029000003</v>
      </c>
      <c r="I63" s="54"/>
    </row>
    <row r="64" spans="1:21" x14ac:dyDescent="0.2">
      <c r="B64" s="16"/>
      <c r="C64" s="16"/>
      <c r="D64" s="16"/>
      <c r="E64" s="16"/>
      <c r="F64" s="16"/>
      <c r="G64" s="16"/>
      <c r="H64" s="8"/>
    </row>
    <row r="65" spans="1:11" x14ac:dyDescent="0.2">
      <c r="B65" s="16"/>
      <c r="C65" s="16"/>
      <c r="D65" s="16"/>
      <c r="E65" s="16"/>
      <c r="F65" s="16"/>
      <c r="G65" s="16"/>
      <c r="H65" s="8"/>
    </row>
    <row r="66" spans="1:11" x14ac:dyDescent="0.2">
      <c r="A66" s="10" t="s">
        <v>10</v>
      </c>
      <c r="B66" s="67">
        <f>+'[7]Pacific Comm Credit'!B55</f>
        <v>10039</v>
      </c>
      <c r="C66" s="67">
        <f>+'[7]Pacific Comm Credit'!C55</f>
        <v>10039</v>
      </c>
      <c r="D66" s="67">
        <f>+'[7]Pacific Comm Credit'!D55</f>
        <v>10217</v>
      </c>
      <c r="E66" s="67">
        <f>+'[7]Pacific Comm Credit'!E55</f>
        <v>10200</v>
      </c>
      <c r="F66" s="67">
        <f>+'[7]Pacific Comm Credit'!F55</f>
        <v>10290</v>
      </c>
      <c r="G66" s="67">
        <f>+'[7]Pacific Comm Credit'!G55</f>
        <v>10364</v>
      </c>
      <c r="H66" s="8">
        <f>SUM(B66:G66)</f>
        <v>61149</v>
      </c>
      <c r="I66" s="6"/>
      <c r="J66" s="68"/>
    </row>
    <row r="67" spans="1:11" x14ac:dyDescent="0.2">
      <c r="A67" s="10" t="s">
        <v>11</v>
      </c>
      <c r="B67" s="67">
        <f>+'[7]Pacific Comm Credit'!B56</f>
        <v>392</v>
      </c>
      <c r="C67" s="67">
        <f>+'[7]Pacific Comm Credit'!C56</f>
        <v>390</v>
      </c>
      <c r="D67" s="67">
        <f>+'[7]Pacific Comm Credit'!D56</f>
        <v>390</v>
      </c>
      <c r="E67" s="67">
        <f>+'[7]Pacific Comm Credit'!E56</f>
        <v>390</v>
      </c>
      <c r="F67" s="67">
        <f>+'[7]Pacific Comm Credit'!F56</f>
        <v>390</v>
      </c>
      <c r="G67" s="67">
        <f>+'[7]Pacific Comm Credit'!G56</f>
        <v>390</v>
      </c>
      <c r="H67" s="8">
        <f>SUM(B67:G67)</f>
        <v>2342</v>
      </c>
    </row>
    <row r="68" spans="1:11" x14ac:dyDescent="0.2">
      <c r="A68" s="10"/>
      <c r="B68" s="16"/>
      <c r="C68" s="16"/>
      <c r="D68" s="16"/>
      <c r="E68" s="16"/>
      <c r="F68" s="16"/>
      <c r="G68" s="16"/>
      <c r="H68" s="8"/>
    </row>
    <row r="69" spans="1:11" s="6" customFormat="1" x14ac:dyDescent="0.2">
      <c r="A69" s="13" t="s">
        <v>12</v>
      </c>
      <c r="B69" s="38">
        <f t="shared" ref="B69:G69" si="14">+B66+B67</f>
        <v>10431</v>
      </c>
      <c r="C69" s="38">
        <f t="shared" si="14"/>
        <v>10429</v>
      </c>
      <c r="D69" s="38">
        <f t="shared" si="14"/>
        <v>10607</v>
      </c>
      <c r="E69" s="38">
        <f t="shared" si="14"/>
        <v>10590</v>
      </c>
      <c r="F69" s="38">
        <f t="shared" si="14"/>
        <v>10680</v>
      </c>
      <c r="G69" s="38">
        <f t="shared" si="14"/>
        <v>10754</v>
      </c>
      <c r="H69" s="41">
        <f>SUM(H66:H67)</f>
        <v>63491</v>
      </c>
      <c r="I69" s="57"/>
      <c r="K69" s="57"/>
    </row>
    <row r="70" spans="1:11" x14ac:dyDescent="0.2">
      <c r="A70" s="10"/>
      <c r="B70" s="16"/>
      <c r="C70" s="16"/>
      <c r="D70" s="16"/>
      <c r="E70" s="16"/>
      <c r="F70" s="16"/>
      <c r="G70" s="16"/>
      <c r="H70" s="15"/>
    </row>
    <row r="71" spans="1:11" x14ac:dyDescent="0.2">
      <c r="A71" s="10" t="s">
        <v>13</v>
      </c>
      <c r="B71" s="27">
        <f t="shared" ref="B71:G71" si="15">+IFERROR(B63/B69,0)</f>
        <v>-0.55878595614035098</v>
      </c>
      <c r="C71" s="27">
        <f t="shared" si="15"/>
        <v>-0.55490104928564599</v>
      </c>
      <c r="D71" s="27">
        <f t="shared" si="15"/>
        <v>-0.66103650490242305</v>
      </c>
      <c r="E71" s="27">
        <f t="shared" si="15"/>
        <v>-0.63952668366383336</v>
      </c>
      <c r="F71" s="27">
        <f t="shared" si="15"/>
        <v>-0.6827239280898878</v>
      </c>
      <c r="G71" s="27">
        <f t="shared" si="15"/>
        <v>-0.74828113613539149</v>
      </c>
      <c r="H71" s="5"/>
    </row>
    <row r="72" spans="1:11" x14ac:dyDescent="0.2">
      <c r="A72" s="10" t="s">
        <v>14</v>
      </c>
      <c r="B72" s="69">
        <f>+'[8]Pacific Comm Credit'!$N$76</f>
        <v>-0.45344397557530808</v>
      </c>
      <c r="C72" s="69">
        <f>+'[8]Pacific Comm Credit'!$N$76</f>
        <v>-0.45344397557530808</v>
      </c>
      <c r="D72" s="69">
        <f>'Pacific CPA Eff. 1.1.19'!$H$77</f>
        <v>-0.50439781625282021</v>
      </c>
      <c r="E72" s="69">
        <f>'Pacific CPA Eff. 1.1.19'!$H$77</f>
        <v>-0.50439781625282021</v>
      </c>
      <c r="F72" s="69">
        <f>'Pacific CPA Eff. 1.1.19'!$H$77</f>
        <v>-0.50439781625282021</v>
      </c>
      <c r="G72" s="69">
        <f>'Pacific CPA Eff. 1.1.19'!$H$77</f>
        <v>-0.50439781625282021</v>
      </c>
      <c r="H72" s="5"/>
    </row>
    <row r="73" spans="1:11" x14ac:dyDescent="0.2">
      <c r="A73" s="10"/>
      <c r="B73" s="27"/>
      <c r="C73" s="27"/>
      <c r="D73" s="27"/>
      <c r="E73" s="27"/>
      <c r="F73" s="27"/>
      <c r="G73" s="27"/>
      <c r="H73" s="5"/>
    </row>
    <row r="74" spans="1:11" s="6" customFormat="1" x14ac:dyDescent="0.2">
      <c r="A74" s="13" t="s">
        <v>17</v>
      </c>
      <c r="B74" s="59">
        <f t="shared" ref="B74:C74" si="16">+(B71-B72)*B69</f>
        <v>-1098.8221992739625</v>
      </c>
      <c r="C74" s="59">
        <f t="shared" si="16"/>
        <v>-1058.0958217251141</v>
      </c>
      <c r="D74" s="59">
        <f>+(D71-D72)*D69</f>
        <v>-1661.4665705063373</v>
      </c>
      <c r="E74" s="59">
        <f>+(E71-E72)*E69</f>
        <v>-1431.0147058826292</v>
      </c>
      <c r="F74" s="59">
        <f>+(F71-F72)*F69</f>
        <v>-1904.5228744198819</v>
      </c>
      <c r="G74" s="59">
        <f>+(G71-G72)*G69</f>
        <v>-2622.7212220171714</v>
      </c>
      <c r="H74" s="60">
        <f>SUM(B74:G74)</f>
        <v>-9776.6433938250957</v>
      </c>
    </row>
    <row r="75" spans="1:11" x14ac:dyDescent="0.2">
      <c r="A75" s="10"/>
      <c r="B75" s="11"/>
      <c r="C75" s="11"/>
      <c r="D75" s="11"/>
      <c r="E75" s="11"/>
      <c r="F75" s="11"/>
      <c r="G75" s="11"/>
      <c r="H75" s="8"/>
    </row>
    <row r="76" spans="1:11" x14ac:dyDescent="0.2">
      <c r="A76" s="16"/>
      <c r="B76" s="28"/>
      <c r="C76" s="28"/>
      <c r="D76" s="28"/>
      <c r="E76" s="28"/>
      <c r="F76" s="28"/>
      <c r="G76" s="21" t="s">
        <v>18</v>
      </c>
      <c r="H76" s="17">
        <f>ROUND(H74/H69,2)</f>
        <v>-0.15</v>
      </c>
    </row>
    <row r="77" spans="1:11" x14ac:dyDescent="0.2">
      <c r="A77" s="61"/>
      <c r="B77" s="21"/>
      <c r="C77" s="21"/>
      <c r="D77" s="21"/>
      <c r="E77" s="21"/>
      <c r="F77" s="21"/>
      <c r="G77" s="21" t="s">
        <v>21</v>
      </c>
      <c r="H77" s="17">
        <f>SUM(B63:G63)/SUM(B69:G69)</f>
        <v>-0.6416416189538674</v>
      </c>
    </row>
    <row r="78" spans="1:11" x14ac:dyDescent="0.2">
      <c r="A78" s="61"/>
      <c r="B78" s="21"/>
      <c r="C78" s="21"/>
      <c r="D78" s="21"/>
      <c r="E78" s="21"/>
      <c r="F78" s="21"/>
      <c r="G78" s="21" t="s">
        <v>38</v>
      </c>
      <c r="H78" s="17">
        <f>-(('Pacific CPA 7.1.18'!N75*H69)-'Pacific CPA 7.1.18'!N73)/H69</f>
        <v>-0.35767443809164495</v>
      </c>
    </row>
    <row r="79" spans="1:11" x14ac:dyDescent="0.2">
      <c r="A79" s="62"/>
      <c r="B79" s="21"/>
      <c r="C79" s="21"/>
      <c r="D79" s="21"/>
      <c r="E79" s="21"/>
      <c r="F79" s="21"/>
      <c r="G79" s="42" t="s">
        <v>25</v>
      </c>
      <c r="H79" s="18">
        <f>+H77+H76+H78</f>
        <v>-1.1493160570455123</v>
      </c>
    </row>
    <row r="80" spans="1:11" x14ac:dyDescent="0.2">
      <c r="A80" s="62"/>
      <c r="B80" s="21"/>
      <c r="C80" s="21"/>
      <c r="D80" s="21"/>
      <c r="E80" s="21"/>
      <c r="F80" s="21"/>
      <c r="G80" s="21"/>
      <c r="H80" s="20"/>
    </row>
    <row r="81" spans="1:13" x14ac:dyDescent="0.2">
      <c r="A81" s="63"/>
      <c r="B81" s="21"/>
      <c r="C81" s="21"/>
      <c r="D81" s="21"/>
      <c r="E81" s="21"/>
      <c r="F81" s="21"/>
      <c r="G81" s="21" t="s">
        <v>26</v>
      </c>
      <c r="H81" s="70">
        <f>'Pacific CPA Eff. 1.1.19'!H79</f>
        <v>-0.99957888269137163</v>
      </c>
      <c r="K81" s="8"/>
      <c r="L81" s="8"/>
      <c r="M81" s="55"/>
    </row>
    <row r="82" spans="1:13" x14ac:dyDescent="0.2">
      <c r="A82" s="64"/>
      <c r="B82" s="21"/>
      <c r="C82" s="21"/>
      <c r="D82" s="21"/>
      <c r="E82" s="21"/>
      <c r="F82" s="21"/>
      <c r="G82" s="21" t="s">
        <v>15</v>
      </c>
      <c r="H82" s="5">
        <f>+H81-H79</f>
        <v>0.14973717435414069</v>
      </c>
      <c r="I82" s="56">
        <f>H82/H81</f>
        <v>-0.14980025783555223</v>
      </c>
    </row>
    <row r="83" spans="1:13" x14ac:dyDescent="0.2">
      <c r="A83" s="10"/>
      <c r="B83" s="21"/>
      <c r="C83" s="21"/>
      <c r="D83" s="21"/>
      <c r="E83" s="21"/>
      <c r="F83" s="21"/>
      <c r="G83" s="21" t="s">
        <v>24</v>
      </c>
      <c r="H83" s="8">
        <f>H82*G69*12</f>
        <v>19323.282876053148</v>
      </c>
    </row>
    <row r="84" spans="1:13" x14ac:dyDescent="0.2">
      <c r="A84" s="10"/>
      <c r="B84" s="21"/>
      <c r="C84" s="21"/>
      <c r="D84" s="21"/>
      <c r="E84" s="21"/>
      <c r="F84" s="21"/>
      <c r="G84" s="21"/>
      <c r="I84" s="5"/>
    </row>
  </sheetData>
  <pageMargins left="0.7" right="0.7" top="0.75" bottom="0.75" header="0.3" footer="0.3"/>
  <pageSetup scale="94" fitToHeight="0" orientation="landscape" r:id="rId1"/>
  <rowBreaks count="1" manualBreakCount="1">
    <brk id="44"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84"/>
  <sheetViews>
    <sheetView showGridLines="0" zoomScale="85" zoomScaleNormal="85" zoomScaleSheetLayoutView="80" workbookViewId="0">
      <pane xSplit="1" ySplit="7" topLeftCell="B8" activePane="bottomRight" state="frozen"/>
      <selection activeCell="E21" sqref="E21"/>
      <selection pane="topRight" activeCell="E21" sqref="E21"/>
      <selection pane="bottomLeft" activeCell="E21" sqref="E21"/>
      <selection pane="bottomRight" activeCell="A5" sqref="A5"/>
    </sheetView>
  </sheetViews>
  <sheetFormatPr defaultRowHeight="12.75" x14ac:dyDescent="0.2"/>
  <cols>
    <col min="1" max="1" width="32.5703125" style="22"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22" bestFit="1" customWidth="1"/>
    <col min="10" max="10" width="9.5703125" style="22" bestFit="1" customWidth="1"/>
    <col min="11" max="11" width="13.5703125" style="22" customWidth="1"/>
    <col min="12" max="12" width="11" style="22" customWidth="1"/>
    <col min="13" max="13" width="11.140625" style="22" customWidth="1"/>
    <col min="14" max="14" width="10.7109375" style="22" customWidth="1"/>
    <col min="15" max="15" width="10.85546875" style="22" customWidth="1"/>
    <col min="16" max="16" width="10.42578125" style="22" customWidth="1"/>
    <col min="17" max="17" width="10.85546875" style="22" customWidth="1"/>
    <col min="18" max="18" width="11.42578125" style="22" customWidth="1"/>
    <col min="19" max="19" width="11.85546875" style="22" customWidth="1"/>
    <col min="20" max="16384" width="9.140625" style="22"/>
  </cols>
  <sheetData>
    <row r="1" spans="1:32" x14ac:dyDescent="0.2">
      <c r="A1" s="6" t="s">
        <v>19</v>
      </c>
    </row>
    <row r="2" spans="1:32" x14ac:dyDescent="0.2">
      <c r="A2" s="6" t="s">
        <v>0</v>
      </c>
      <c r="H2" s="30"/>
    </row>
    <row r="3" spans="1:32" x14ac:dyDescent="0.2">
      <c r="A3" s="6" t="s">
        <v>1</v>
      </c>
      <c r="B3" s="11"/>
      <c r="C3" s="11"/>
      <c r="D3" s="11"/>
      <c r="E3" s="11"/>
      <c r="F3" s="11"/>
      <c r="G3" s="11"/>
      <c r="H3" s="12"/>
      <c r="I3" s="5"/>
    </row>
    <row r="4" spans="1:32" x14ac:dyDescent="0.2">
      <c r="A4" s="6" t="s">
        <v>22</v>
      </c>
      <c r="B4" s="11"/>
      <c r="C4" s="11"/>
      <c r="D4" s="11"/>
      <c r="E4" s="11"/>
      <c r="F4" s="11"/>
      <c r="G4" s="11"/>
      <c r="H4" s="12"/>
      <c r="I4" s="5"/>
    </row>
    <row r="5" spans="1:32" s="31" customFormat="1" x14ac:dyDescent="0.2">
      <c r="B5" s="1"/>
      <c r="C5" s="1"/>
      <c r="D5" s="1"/>
      <c r="E5" s="1"/>
      <c r="F5" s="1"/>
      <c r="G5" s="1"/>
      <c r="H5" s="1" t="s">
        <v>23</v>
      </c>
      <c r="J5" s="5"/>
    </row>
    <row r="6" spans="1:32" s="32" customFormat="1" x14ac:dyDescent="0.2">
      <c r="B6" s="2">
        <v>43250</v>
      </c>
      <c r="C6" s="2">
        <v>43281</v>
      </c>
      <c r="D6" s="2">
        <v>43311</v>
      </c>
      <c r="E6" s="2">
        <v>43342</v>
      </c>
      <c r="F6" s="2">
        <v>43373</v>
      </c>
      <c r="G6" s="2">
        <v>43403</v>
      </c>
      <c r="H6" s="2" t="s">
        <v>2</v>
      </c>
      <c r="I6" s="31"/>
      <c r="J6" s="43"/>
      <c r="K6" s="33"/>
      <c r="L6" s="43"/>
      <c r="M6" s="43"/>
      <c r="N6" s="33"/>
      <c r="O6" s="33"/>
      <c r="P6" s="33"/>
      <c r="Q6" s="33"/>
      <c r="R6" s="33"/>
      <c r="S6" s="33"/>
      <c r="T6" s="33"/>
      <c r="U6" s="33"/>
      <c r="V6" s="33"/>
      <c r="W6" s="33"/>
      <c r="X6" s="31"/>
      <c r="Y6" s="31"/>
      <c r="Z6" s="31"/>
      <c r="AA6" s="31"/>
      <c r="AB6" s="31"/>
      <c r="AC6" s="31"/>
      <c r="AD6" s="31"/>
      <c r="AE6" s="31"/>
      <c r="AF6" s="31"/>
    </row>
    <row r="7" spans="1:32" s="31" customFormat="1" x14ac:dyDescent="0.2">
      <c r="B7" s="3"/>
      <c r="C7" s="3"/>
      <c r="D7" s="3"/>
      <c r="E7" s="23"/>
      <c r="F7" s="23"/>
      <c r="G7" s="23"/>
      <c r="H7" s="3"/>
      <c r="J7" s="43"/>
      <c r="K7" s="33"/>
      <c r="L7" s="43"/>
      <c r="M7" s="43"/>
      <c r="N7" s="33"/>
      <c r="O7" s="33"/>
      <c r="P7" s="33"/>
      <c r="Q7" s="33"/>
      <c r="R7" s="33"/>
      <c r="S7" s="33"/>
      <c r="T7" s="33"/>
      <c r="U7" s="33"/>
      <c r="V7" s="33"/>
      <c r="W7" s="33"/>
    </row>
    <row r="8" spans="1:32" s="31" customFormat="1" x14ac:dyDescent="0.2">
      <c r="A8" s="24" t="s">
        <v>3</v>
      </c>
      <c r="B8" s="4"/>
      <c r="C8" s="4"/>
      <c r="D8" s="4"/>
      <c r="E8" s="4"/>
      <c r="F8" s="4"/>
      <c r="G8" s="4"/>
      <c r="H8" s="34"/>
      <c r="J8" s="5"/>
    </row>
    <row r="9" spans="1:32" s="31" customFormat="1" x14ac:dyDescent="0.2">
      <c r="B9" s="4"/>
      <c r="C9" s="4"/>
      <c r="D9" s="4"/>
      <c r="E9" s="4"/>
      <c r="F9" s="4"/>
      <c r="G9" s="4"/>
      <c r="H9" s="34"/>
      <c r="J9" s="5"/>
    </row>
    <row r="10" spans="1:32" s="31" customFormat="1" x14ac:dyDescent="0.2">
      <c r="A10" s="25" t="s">
        <v>4</v>
      </c>
      <c r="B10" s="4"/>
      <c r="C10" s="4"/>
      <c r="D10" s="4"/>
      <c r="E10" s="4"/>
      <c r="F10" s="4"/>
      <c r="G10" s="4"/>
      <c r="H10" s="4"/>
      <c r="I10" s="4"/>
      <c r="J10" s="5"/>
    </row>
    <row r="11" spans="1:32" x14ac:dyDescent="0.2">
      <c r="A11" s="22" t="s">
        <v>5</v>
      </c>
      <c r="B11" s="65">
        <f>'[9]Pacific Comm Credit'!B9</f>
        <v>971.3900000000001</v>
      </c>
      <c r="C11" s="65">
        <f>'[9]Pacific Comm Credit'!C9</f>
        <v>897.8900000000001</v>
      </c>
      <c r="D11" s="65">
        <f>'[9]Pacific Comm Credit'!D9</f>
        <v>897.69000000000017</v>
      </c>
      <c r="E11" s="65">
        <f>'[9]Pacific Comm Credit'!E9</f>
        <v>957.0200000000001</v>
      </c>
      <c r="F11" s="65">
        <f>'[9]Pacific Comm Credit'!F9</f>
        <v>831.45999999999992</v>
      </c>
      <c r="G11" s="65">
        <f>'[9]Pacific Comm Credit'!G9</f>
        <v>930.10000000000014</v>
      </c>
      <c r="H11" s="5">
        <f>SUM(B11:G11)</f>
        <v>5485.55</v>
      </c>
      <c r="I11" s="44"/>
      <c r="J11" s="82"/>
      <c r="L11" s="44"/>
      <c r="M11" s="44"/>
      <c r="N11" s="44"/>
      <c r="O11" s="44"/>
      <c r="P11" s="44"/>
      <c r="Q11" s="44"/>
      <c r="R11" s="44"/>
      <c r="S11" s="44"/>
      <c r="T11" s="44"/>
    </row>
    <row r="12" spans="1:32" x14ac:dyDescent="0.2">
      <c r="A12" s="22" t="s">
        <v>6</v>
      </c>
      <c r="B12" s="65">
        <f>'[9]Pacific Comm Credit'!B10</f>
        <v>123.86</v>
      </c>
      <c r="C12" s="65">
        <f>'[9]Pacific Comm Credit'!C10</f>
        <v>119.36999999999999</v>
      </c>
      <c r="D12" s="65">
        <f>'[9]Pacific Comm Credit'!D10</f>
        <v>124.41999999999999</v>
      </c>
      <c r="E12" s="65">
        <f>'[9]Pacific Comm Credit'!E10</f>
        <v>127.82000000000001</v>
      </c>
      <c r="F12" s="65">
        <f>'[9]Pacific Comm Credit'!F10</f>
        <v>110.49</v>
      </c>
      <c r="G12" s="65">
        <f>'[9]Pacific Comm Credit'!G10</f>
        <v>113.05</v>
      </c>
      <c r="H12" s="5">
        <f>SUM(B12:G12)</f>
        <v>719.00999999999988</v>
      </c>
      <c r="J12" s="5"/>
      <c r="L12" s="44"/>
      <c r="M12" s="44"/>
      <c r="N12" s="44"/>
      <c r="O12" s="44"/>
      <c r="P12" s="44"/>
      <c r="Q12" s="44"/>
      <c r="R12" s="44"/>
      <c r="S12" s="44"/>
      <c r="T12" s="44"/>
    </row>
    <row r="13" spans="1:32" ht="6" customHeight="1" x14ac:dyDescent="0.2">
      <c r="B13" s="11"/>
      <c r="C13" s="11"/>
      <c r="D13" s="11"/>
      <c r="E13" s="11"/>
      <c r="F13" s="11"/>
      <c r="G13" s="11"/>
      <c r="H13" s="5"/>
      <c r="J13" s="5"/>
    </row>
    <row r="14" spans="1:32" s="6" customFormat="1" x14ac:dyDescent="0.2">
      <c r="A14" s="6" t="s">
        <v>7</v>
      </c>
      <c r="B14" s="35">
        <f t="shared" ref="B14:G14" si="0">SUM(B11:B12)</f>
        <v>1095.25</v>
      </c>
      <c r="C14" s="35">
        <f t="shared" si="0"/>
        <v>1017.2600000000001</v>
      </c>
      <c r="D14" s="35">
        <f t="shared" si="0"/>
        <v>1022.1100000000001</v>
      </c>
      <c r="E14" s="35">
        <f t="shared" si="0"/>
        <v>1084.8400000000001</v>
      </c>
      <c r="F14" s="35">
        <f t="shared" si="0"/>
        <v>941.94999999999993</v>
      </c>
      <c r="G14" s="35">
        <f t="shared" si="0"/>
        <v>1043.1500000000001</v>
      </c>
      <c r="H14" s="35">
        <f>SUM(H11:H13)</f>
        <v>6204.56</v>
      </c>
      <c r="J14" s="45"/>
      <c r="L14" s="45"/>
      <c r="M14" s="45"/>
      <c r="N14" s="45"/>
      <c r="O14" s="45"/>
      <c r="P14" s="45"/>
      <c r="Q14" s="45"/>
      <c r="R14" s="45"/>
      <c r="S14" s="45"/>
      <c r="T14" s="45"/>
    </row>
    <row r="15" spans="1:32" x14ac:dyDescent="0.2">
      <c r="J15" s="5"/>
    </row>
    <row r="16" spans="1:32" x14ac:dyDescent="0.2">
      <c r="A16" s="26" t="s">
        <v>20</v>
      </c>
      <c r="J16" s="5"/>
    </row>
    <row r="17" spans="1:36" x14ac:dyDescent="0.2">
      <c r="A17" s="22" t="s">
        <v>5</v>
      </c>
      <c r="B17" s="66">
        <f>'[9]Pacific Comm Credit'!B15</f>
        <v>-49.361342000000008</v>
      </c>
      <c r="C17" s="66">
        <f>'[9]Pacific Comm Credit'!C15</f>
        <v>-39.01424200000001</v>
      </c>
      <c r="D17" s="66">
        <f>'[9]Pacific Comm Credit'!D15</f>
        <v>-75.69984199999999</v>
      </c>
      <c r="E17" s="66">
        <f>'[9]Pacific Comm Credit'!E15</f>
        <v>-70.12384200000001</v>
      </c>
      <c r="F17" s="66">
        <f>'[9]Pacific Comm Credit'!F15</f>
        <v>-75.034980000000004</v>
      </c>
      <c r="G17" s="66">
        <f>'[9]Pacific Comm Credit'!G15</f>
        <v>-73.294049999999999</v>
      </c>
      <c r="H17" s="7"/>
      <c r="J17" s="5"/>
      <c r="L17" s="46"/>
      <c r="M17" s="46"/>
      <c r="N17" s="46"/>
      <c r="O17" s="46"/>
      <c r="P17" s="46"/>
      <c r="Q17" s="46"/>
      <c r="R17" s="46"/>
      <c r="S17" s="46"/>
      <c r="T17" s="46"/>
    </row>
    <row r="18" spans="1:36" x14ac:dyDescent="0.2">
      <c r="A18" s="22" t="s">
        <v>6</v>
      </c>
      <c r="B18" s="66">
        <f>'[9]Pacific Comm Credit'!B16</f>
        <v>-30</v>
      </c>
      <c r="C18" s="66">
        <f>'[9]Pacific Comm Credit'!C16</f>
        <v>-30</v>
      </c>
      <c r="D18" s="66">
        <f>'[9]Pacific Comm Credit'!D16</f>
        <v>-30</v>
      </c>
      <c r="E18" s="66">
        <f>'[9]Pacific Comm Credit'!E16</f>
        <v>-30</v>
      </c>
      <c r="F18" s="66">
        <f>'[9]Pacific Comm Credit'!F16</f>
        <v>-30</v>
      </c>
      <c r="G18" s="66">
        <f>'[9]Pacific Comm Credit'!G16</f>
        <v>-30</v>
      </c>
      <c r="H18" s="8"/>
      <c r="J18" s="5"/>
      <c r="L18" s="5"/>
      <c r="M18" s="5"/>
      <c r="N18" s="5"/>
      <c r="O18" s="5"/>
      <c r="P18" s="5"/>
      <c r="Q18" s="5"/>
      <c r="R18" s="5"/>
      <c r="S18" s="5"/>
      <c r="T18" s="5"/>
    </row>
    <row r="19" spans="1:36" x14ac:dyDescent="0.2">
      <c r="J19" s="5"/>
    </row>
    <row r="20" spans="1:36" x14ac:dyDescent="0.2">
      <c r="A20" s="26" t="s">
        <v>8</v>
      </c>
      <c r="J20" s="5"/>
    </row>
    <row r="21" spans="1:36" x14ac:dyDescent="0.2">
      <c r="A21" s="22" t="s">
        <v>5</v>
      </c>
      <c r="B21" s="36">
        <f>+B11*B17</f>
        <v>-47949.114005380012</v>
      </c>
      <c r="C21" s="36">
        <f t="shared" ref="C21:G21" si="1">+C11*C17</f>
        <v>-35030.497749380011</v>
      </c>
      <c r="D21" s="16">
        <f t="shared" si="1"/>
        <v>-67954.991164980005</v>
      </c>
      <c r="E21" s="36">
        <f t="shared" si="1"/>
        <v>-67109.919270840022</v>
      </c>
      <c r="F21" s="36">
        <f t="shared" si="1"/>
        <v>-62388.5844708</v>
      </c>
      <c r="G21" s="36">
        <f t="shared" si="1"/>
        <v>-68170.795905000006</v>
      </c>
      <c r="H21" s="9">
        <f>SUM(B21:G21)</f>
        <v>-348603.90256638004</v>
      </c>
      <c r="J21" s="8"/>
      <c r="L21" s="8"/>
      <c r="M21" s="8"/>
      <c r="N21" s="8"/>
      <c r="O21" s="8"/>
      <c r="P21" s="8"/>
      <c r="Q21" s="8"/>
      <c r="R21" s="8"/>
      <c r="S21" s="8"/>
      <c r="T21" s="8"/>
    </row>
    <row r="22" spans="1:36" x14ac:dyDescent="0.2">
      <c r="A22" s="22" t="s">
        <v>6</v>
      </c>
      <c r="B22" s="36">
        <f t="shared" ref="B22:E22" si="2">+B18*B12</f>
        <v>-3715.8</v>
      </c>
      <c r="C22" s="36">
        <f t="shared" si="2"/>
        <v>-3581.1</v>
      </c>
      <c r="D22" s="58">
        <f t="shared" si="2"/>
        <v>-3732.5999999999995</v>
      </c>
      <c r="E22" s="36">
        <f t="shared" si="2"/>
        <v>-3834.6000000000004</v>
      </c>
      <c r="F22" s="36">
        <f>+F18*F12</f>
        <v>-3314.7</v>
      </c>
      <c r="G22" s="36">
        <f>+G18*G12</f>
        <v>-3391.5</v>
      </c>
      <c r="H22" s="9">
        <f>SUM(B22:G22)</f>
        <v>-21570.3</v>
      </c>
      <c r="J22" s="8"/>
      <c r="K22" s="44"/>
      <c r="L22" s="8"/>
      <c r="M22" s="8"/>
      <c r="N22" s="8"/>
      <c r="O22" s="8"/>
      <c r="P22" s="8"/>
      <c r="Q22" s="8"/>
      <c r="R22" s="8"/>
      <c r="S22" s="8"/>
      <c r="T22" s="8"/>
    </row>
    <row r="23" spans="1:36" x14ac:dyDescent="0.2">
      <c r="B23" s="16"/>
      <c r="C23" s="16"/>
      <c r="D23" s="16"/>
      <c r="E23" s="16"/>
      <c r="F23" s="16"/>
      <c r="G23" s="16"/>
      <c r="H23" s="8"/>
      <c r="J23" s="5"/>
    </row>
    <row r="24" spans="1:36" s="6" customFormat="1" x14ac:dyDescent="0.2">
      <c r="A24" s="6" t="s">
        <v>9</v>
      </c>
      <c r="B24" s="37">
        <f t="shared" ref="B24:G24" si="3">SUM(B21:B22)</f>
        <v>-51664.914005380015</v>
      </c>
      <c r="C24" s="37">
        <f t="shared" si="3"/>
        <v>-38611.597749380009</v>
      </c>
      <c r="D24" s="37">
        <f t="shared" si="3"/>
        <v>-71687.591164980011</v>
      </c>
      <c r="E24" s="37">
        <f t="shared" si="3"/>
        <v>-70944.519270840028</v>
      </c>
      <c r="F24" s="37">
        <f t="shared" si="3"/>
        <v>-65703.284470800005</v>
      </c>
      <c r="G24" s="37">
        <f t="shared" si="3"/>
        <v>-71562.295905000006</v>
      </c>
      <c r="H24" s="40">
        <f>SUM(H21:H23)</f>
        <v>-370174.20256638003</v>
      </c>
      <c r="J24" s="20"/>
      <c r="L24" s="20"/>
      <c r="M24" s="20"/>
      <c r="N24" s="20"/>
      <c r="O24" s="20"/>
      <c r="P24" s="20"/>
      <c r="Q24" s="20"/>
      <c r="R24" s="20"/>
      <c r="S24" s="20"/>
      <c r="T24" s="20"/>
      <c r="U24" s="47"/>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67">
        <f>'[9]Pacific Comm Credit'!B23</f>
        <v>46541</v>
      </c>
      <c r="C27" s="67">
        <f>'[9]Pacific Comm Credit'!C23</f>
        <v>46615</v>
      </c>
      <c r="D27" s="67">
        <f>'[9]Pacific Comm Credit'!D23</f>
        <v>46754</v>
      </c>
      <c r="E27" s="67">
        <f>'[9]Pacific Comm Credit'!E23</f>
        <v>46959</v>
      </c>
      <c r="F27" s="67">
        <f>'[9]Pacific Comm Credit'!F23</f>
        <v>47021</v>
      </c>
      <c r="G27" s="67">
        <f>'[9]Pacific Comm Credit'!G23</f>
        <v>46518</v>
      </c>
      <c r="H27" s="8">
        <f>SUM(B27:G27)</f>
        <v>280408</v>
      </c>
      <c r="I27" s="5"/>
      <c r="J27" s="45"/>
      <c r="K27" s="48"/>
      <c r="L27" s="48"/>
      <c r="M27" s="48"/>
      <c r="N27" s="48"/>
      <c r="O27" s="48"/>
      <c r="P27" s="48"/>
      <c r="Q27" s="48"/>
      <c r="R27" s="48"/>
      <c r="S27" s="48"/>
      <c r="T27" s="48"/>
      <c r="U27" s="48"/>
      <c r="V27" s="48"/>
      <c r="W27" s="48"/>
      <c r="X27" s="48"/>
      <c r="Y27" s="48"/>
      <c r="Z27" s="48"/>
      <c r="AA27" s="48"/>
      <c r="AB27" s="48"/>
      <c r="AC27" s="48"/>
      <c r="AD27" s="48"/>
      <c r="AE27" s="48"/>
      <c r="AF27" s="48"/>
      <c r="AG27" s="12"/>
      <c r="AH27" s="12"/>
      <c r="AI27" s="12"/>
      <c r="AJ27" s="12"/>
    </row>
    <row r="28" spans="1:36" s="11" customFormat="1" x14ac:dyDescent="0.2">
      <c r="A28" s="10" t="s">
        <v>11</v>
      </c>
      <c r="B28" s="67">
        <f>'[9]Pacific Comm Credit'!B24</f>
        <v>3643</v>
      </c>
      <c r="C28" s="67">
        <f>'[9]Pacific Comm Credit'!C24</f>
        <v>3645</v>
      </c>
      <c r="D28" s="67">
        <f>'[9]Pacific Comm Credit'!D24</f>
        <v>3665</v>
      </c>
      <c r="E28" s="67">
        <f>'[9]Pacific Comm Credit'!E24</f>
        <v>3563</v>
      </c>
      <c r="F28" s="67">
        <f>'[9]Pacific Comm Credit'!F24</f>
        <v>3530</v>
      </c>
      <c r="G28" s="67">
        <f>'[9]Pacific Comm Credit'!G24</f>
        <v>3490</v>
      </c>
      <c r="H28" s="8">
        <f>SUM(B28:G28)</f>
        <v>21536</v>
      </c>
      <c r="I28" s="5"/>
      <c r="J28" s="45"/>
      <c r="K28" s="5"/>
      <c r="L28" s="48"/>
      <c r="M28" s="48"/>
      <c r="N28" s="48"/>
      <c r="O28" s="48"/>
      <c r="P28" s="48"/>
      <c r="Q28" s="48"/>
      <c r="R28" s="48"/>
      <c r="S28" s="48"/>
      <c r="T28" s="48"/>
      <c r="U28" s="5"/>
      <c r="V28" s="5"/>
      <c r="W28" s="5"/>
      <c r="X28" s="5"/>
      <c r="Y28" s="5"/>
      <c r="Z28" s="5"/>
      <c r="AA28" s="5"/>
      <c r="AB28" s="5"/>
      <c r="AC28" s="5"/>
      <c r="AD28" s="5"/>
      <c r="AE28" s="5"/>
      <c r="AF28" s="5"/>
    </row>
    <row r="29" spans="1:36" s="11" customFormat="1" x14ac:dyDescent="0.2">
      <c r="A29" s="10"/>
      <c r="H29" s="8"/>
      <c r="I29" s="5"/>
      <c r="J29" s="45"/>
      <c r="K29" s="5"/>
      <c r="L29" s="48"/>
      <c r="M29" s="48"/>
      <c r="N29" s="48"/>
      <c r="O29" s="48"/>
      <c r="P29" s="48"/>
      <c r="Q29" s="48"/>
      <c r="R29" s="48"/>
      <c r="S29" s="48"/>
      <c r="T29" s="48"/>
      <c r="U29" s="5"/>
      <c r="V29" s="5"/>
      <c r="W29" s="5"/>
      <c r="X29" s="5"/>
      <c r="Y29" s="5"/>
      <c r="Z29" s="5"/>
      <c r="AA29" s="5"/>
      <c r="AB29" s="5"/>
      <c r="AC29" s="5"/>
      <c r="AD29" s="5"/>
      <c r="AE29" s="5"/>
      <c r="AF29" s="5"/>
    </row>
    <row r="30" spans="1:36" s="14" customFormat="1" x14ac:dyDescent="0.2">
      <c r="A30" s="13" t="s">
        <v>12</v>
      </c>
      <c r="B30" s="38">
        <f t="shared" ref="B30:C30" si="4">+B27+B28</f>
        <v>50184</v>
      </c>
      <c r="C30" s="38">
        <f t="shared" si="4"/>
        <v>50260</v>
      </c>
      <c r="D30" s="38">
        <f>+D27+D28</f>
        <v>50419</v>
      </c>
      <c r="E30" s="38">
        <f>+E27+E28</f>
        <v>50522</v>
      </c>
      <c r="F30" s="38">
        <f>+F27+F28</f>
        <v>50551</v>
      </c>
      <c r="G30" s="38">
        <f>+G27+G28</f>
        <v>50008</v>
      </c>
      <c r="H30" s="41">
        <f>SUM(H27:H28)</f>
        <v>301944</v>
      </c>
      <c r="I30" s="45"/>
      <c r="J30" s="45"/>
      <c r="K30" s="45"/>
      <c r="L30" s="49"/>
      <c r="M30" s="49"/>
      <c r="N30" s="49"/>
      <c r="O30" s="49"/>
      <c r="P30" s="49"/>
      <c r="Q30" s="49"/>
      <c r="R30" s="49"/>
      <c r="S30" s="49"/>
      <c r="T30" s="49"/>
      <c r="U30" s="45"/>
      <c r="V30" s="45"/>
      <c r="W30" s="45"/>
      <c r="X30" s="45"/>
      <c r="Y30" s="45"/>
      <c r="Z30" s="45"/>
      <c r="AA30" s="45"/>
      <c r="AB30" s="45"/>
      <c r="AC30" s="45"/>
      <c r="AD30" s="45"/>
      <c r="AE30" s="45"/>
      <c r="AF30" s="45"/>
    </row>
    <row r="31" spans="1:36" s="16" customFormat="1" x14ac:dyDescent="0.2">
      <c r="A31" s="10"/>
      <c r="H31" s="15"/>
      <c r="I31" s="8"/>
      <c r="J31" s="45"/>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27">
        <f t="shared" ref="B32:G32" si="5">+IFERROR(B24/B30,0)</f>
        <v>-1.0295096844687552</v>
      </c>
      <c r="C32" s="27">
        <f t="shared" si="5"/>
        <v>-0.76823712195344229</v>
      </c>
      <c r="D32" s="27">
        <f t="shared" si="5"/>
        <v>-1.4218368306586804</v>
      </c>
      <c r="E32" s="27">
        <f t="shared" si="5"/>
        <v>-1.4042302219001628</v>
      </c>
      <c r="F32" s="27">
        <f t="shared" si="5"/>
        <v>-1.2997425267709839</v>
      </c>
      <c r="G32" s="27">
        <f t="shared" si="5"/>
        <v>-1.4310169553871381</v>
      </c>
      <c r="H32" s="17"/>
      <c r="I32" s="8"/>
      <c r="J32" s="5"/>
      <c r="K32" s="8"/>
      <c r="L32" s="5"/>
      <c r="M32" s="5"/>
      <c r="N32" s="5"/>
      <c r="O32" s="5"/>
      <c r="P32" s="5"/>
      <c r="Q32" s="5"/>
      <c r="R32" s="5"/>
      <c r="S32" s="5"/>
      <c r="T32" s="5"/>
      <c r="U32" s="50"/>
      <c r="V32" s="8"/>
      <c r="W32" s="8"/>
      <c r="X32" s="8"/>
      <c r="Y32" s="8"/>
      <c r="Z32" s="8"/>
      <c r="AA32" s="8"/>
      <c r="AB32" s="8"/>
      <c r="AC32" s="8"/>
      <c r="AD32" s="8"/>
      <c r="AE32" s="8"/>
      <c r="AF32" s="8"/>
    </row>
    <row r="33" spans="1:32" s="16" customFormat="1" x14ac:dyDescent="0.2">
      <c r="A33" s="10" t="s">
        <v>14</v>
      </c>
      <c r="B33" s="79">
        <f>'[9]Pacific Comm Credit'!B28</f>
        <v>1.35</v>
      </c>
      <c r="C33" s="79">
        <f>'[9]Pacific Comm Credit'!C28</f>
        <v>1.35</v>
      </c>
      <c r="D33" s="79">
        <f>'[9]Pacific Comm Credit'!D28</f>
        <v>-1.1499999999999999</v>
      </c>
      <c r="E33" s="79">
        <f>'[9]Pacific Comm Credit'!E28</f>
        <v>-1.1499999999999999</v>
      </c>
      <c r="F33" s="79">
        <f>'[9]Pacific Comm Credit'!F28</f>
        <v>-1.1499999999999999</v>
      </c>
      <c r="G33" s="79">
        <f>'[9]Pacific Comm Credit'!G28</f>
        <v>-1.1499999999999999</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27"/>
      <c r="C34" s="27"/>
      <c r="D34" s="27"/>
      <c r="E34" s="27"/>
      <c r="F34" s="27"/>
      <c r="G34" s="27"/>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59">
        <f t="shared" ref="B35:C35" si="6">+(B32-B33)*B30</f>
        <v>-119413.31400538</v>
      </c>
      <c r="C35" s="59">
        <f t="shared" si="6"/>
        <v>-106462.59774938003</v>
      </c>
      <c r="D35" s="59">
        <f>+(D32-D33)*D30</f>
        <v>-13705.741164980011</v>
      </c>
      <c r="E35" s="59">
        <f>+(E32-E33)*E30</f>
        <v>-12844.219270840029</v>
      </c>
      <c r="F35" s="59">
        <f>+(F32-F33)*F30</f>
        <v>-7569.6344708000115</v>
      </c>
      <c r="G35" s="59">
        <f>+(G32-G33)*G30</f>
        <v>-14053.095905000007</v>
      </c>
      <c r="H35" s="60">
        <f>SUM(B35:G35)</f>
        <v>-274048.60256638011</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28"/>
      <c r="C37" s="28"/>
      <c r="D37" s="28"/>
      <c r="E37" s="28"/>
      <c r="F37" s="28"/>
      <c r="G37" s="21" t="s">
        <v>18</v>
      </c>
      <c r="H37" s="17">
        <f>ROUND(H35/H30,2)</f>
        <v>-0.91</v>
      </c>
      <c r="I37" s="5"/>
      <c r="K37" s="8"/>
      <c r="R37" s="51"/>
      <c r="S37" s="51"/>
      <c r="T37" s="51"/>
      <c r="U37" s="52"/>
    </row>
    <row r="38" spans="1:32" x14ac:dyDescent="0.2">
      <c r="A38" s="61"/>
      <c r="B38" s="21"/>
      <c r="C38" s="21"/>
      <c r="D38" s="21"/>
      <c r="E38" s="21"/>
      <c r="F38" s="21"/>
      <c r="G38" s="21" t="s">
        <v>21</v>
      </c>
      <c r="H38" s="17">
        <f>SUM(B24:G24)/SUM(B30:G30)</f>
        <v>-1.2259697247382961</v>
      </c>
      <c r="I38" s="44"/>
      <c r="R38" s="51"/>
      <c r="S38" s="51"/>
      <c r="T38" s="51"/>
      <c r="U38" s="44"/>
    </row>
    <row r="39" spans="1:32" x14ac:dyDescent="0.2">
      <c r="A39" s="61"/>
      <c r="B39" s="21"/>
      <c r="C39" s="21"/>
      <c r="D39" s="21"/>
      <c r="E39" s="21"/>
      <c r="F39" s="21"/>
      <c r="G39" s="21" t="s">
        <v>40</v>
      </c>
      <c r="H39" s="17">
        <f>-'[10]Printing &amp; Postage'!J6</f>
        <v>-7.5181066438551464E-2</v>
      </c>
      <c r="I39" s="44"/>
      <c r="R39" s="51"/>
      <c r="S39" s="51"/>
      <c r="T39" s="51"/>
      <c r="U39" s="44"/>
    </row>
    <row r="40" spans="1:32" x14ac:dyDescent="0.2">
      <c r="A40" s="62"/>
      <c r="D40" s="21"/>
      <c r="E40" s="21"/>
      <c r="F40" s="21"/>
      <c r="G40" s="42" t="s">
        <v>25</v>
      </c>
      <c r="H40" s="80">
        <f>SUM(H37:H39)</f>
        <v>-2.2111507911768475</v>
      </c>
      <c r="R40" s="51"/>
      <c r="S40" s="51"/>
      <c r="T40" s="51"/>
      <c r="U40" s="53"/>
    </row>
    <row r="41" spans="1:32" x14ac:dyDescent="0.2">
      <c r="A41" s="62"/>
      <c r="B41" s="21"/>
      <c r="C41" s="21"/>
      <c r="D41" s="21"/>
      <c r="E41" s="21"/>
      <c r="F41" s="21"/>
      <c r="G41" s="21"/>
      <c r="H41" s="20"/>
      <c r="R41" s="51"/>
      <c r="S41" s="51"/>
      <c r="T41" s="51"/>
      <c r="U41" s="53"/>
    </row>
    <row r="42" spans="1:32" x14ac:dyDescent="0.2">
      <c r="A42" s="62"/>
      <c r="B42" s="39"/>
      <c r="C42" s="39"/>
      <c r="D42" s="21"/>
      <c r="E42" s="21"/>
      <c r="F42" s="21"/>
      <c r="G42" s="21" t="s">
        <v>26</v>
      </c>
      <c r="H42" s="70">
        <f>'[9]Pacific Comm Credit'!$H$35</f>
        <v>-1.83</v>
      </c>
      <c r="K42" s="8"/>
      <c r="L42" s="8"/>
      <c r="M42" s="55"/>
      <c r="R42" s="8"/>
      <c r="S42" s="8"/>
      <c r="T42" s="51"/>
    </row>
    <row r="43" spans="1:32" x14ac:dyDescent="0.2">
      <c r="A43" s="63"/>
      <c r="B43" s="21"/>
      <c r="C43" s="21"/>
      <c r="D43" s="21"/>
      <c r="E43" s="21"/>
      <c r="F43" s="21"/>
      <c r="G43" s="21" t="s">
        <v>15</v>
      </c>
      <c r="H43" s="5">
        <f>H42-H40</f>
        <v>0.38115079117684747</v>
      </c>
      <c r="I43" s="56">
        <f>H43/H42</f>
        <v>-0.20827912086166528</v>
      </c>
      <c r="R43" s="8"/>
      <c r="S43" s="8"/>
      <c r="T43" s="51"/>
    </row>
    <row r="44" spans="1:32" x14ac:dyDescent="0.2">
      <c r="A44" s="10"/>
      <c r="B44" s="21"/>
      <c r="C44" s="21"/>
      <c r="D44" s="21"/>
      <c r="E44" s="21"/>
      <c r="F44" s="21"/>
      <c r="G44" s="21" t="s">
        <v>24</v>
      </c>
      <c r="H44" s="8">
        <f>H43*G30*12</f>
        <v>228727.06518206146</v>
      </c>
      <c r="J44" s="44"/>
      <c r="L44" s="44"/>
      <c r="M44" s="44"/>
      <c r="N44" s="44"/>
      <c r="O44" s="44"/>
      <c r="P44" s="44"/>
      <c r="Q44" s="44"/>
      <c r="R44" s="44"/>
      <c r="S44" s="44"/>
      <c r="T44" s="44"/>
    </row>
    <row r="45" spans="1:32" x14ac:dyDescent="0.2">
      <c r="A45" s="10"/>
      <c r="B45" s="21"/>
      <c r="C45" s="21"/>
      <c r="D45" s="21"/>
      <c r="E45" s="21"/>
      <c r="F45" s="21"/>
      <c r="G45" s="21"/>
      <c r="H45" s="8"/>
      <c r="J45" s="44"/>
      <c r="L45" s="44"/>
      <c r="M45" s="44"/>
      <c r="N45" s="44"/>
      <c r="O45" s="44"/>
      <c r="P45" s="44"/>
      <c r="Q45" s="44"/>
      <c r="R45" s="44"/>
      <c r="S45" s="44"/>
      <c r="T45" s="44"/>
    </row>
    <row r="46" spans="1:32" x14ac:dyDescent="0.2">
      <c r="A46" s="10"/>
      <c r="B46" s="11"/>
      <c r="C46" s="11"/>
      <c r="D46" s="11"/>
      <c r="E46" s="11"/>
      <c r="F46" s="11"/>
      <c r="G46" s="11"/>
      <c r="H46" s="8"/>
    </row>
    <row r="47" spans="1:32" x14ac:dyDescent="0.2">
      <c r="A47" s="29"/>
      <c r="B47" s="1"/>
      <c r="C47" s="1"/>
      <c r="D47" s="1"/>
      <c r="E47" s="1"/>
      <c r="F47" s="1"/>
      <c r="G47" s="1"/>
      <c r="H47" s="1" t="str">
        <f>H5</f>
        <v>6-Month</v>
      </c>
      <c r="S47" s="51"/>
      <c r="T47" s="51"/>
      <c r="U47" s="52"/>
    </row>
    <row r="48" spans="1:32" x14ac:dyDescent="0.2">
      <c r="A48" s="29" t="s">
        <v>16</v>
      </c>
      <c r="B48" s="2">
        <f>B6</f>
        <v>43250</v>
      </c>
      <c r="C48" s="2">
        <f t="shared" ref="C48:G48" si="7">C6</f>
        <v>43281</v>
      </c>
      <c r="D48" s="2">
        <f t="shared" si="7"/>
        <v>43311</v>
      </c>
      <c r="E48" s="2">
        <f t="shared" si="7"/>
        <v>43342</v>
      </c>
      <c r="F48" s="2">
        <f t="shared" si="7"/>
        <v>43373</v>
      </c>
      <c r="G48" s="2">
        <f t="shared" si="7"/>
        <v>43403</v>
      </c>
      <c r="H48" s="2" t="s">
        <v>2</v>
      </c>
      <c r="S48" s="51"/>
      <c r="T48" s="51"/>
      <c r="U48" s="44"/>
    </row>
    <row r="49" spans="1:21" x14ac:dyDescent="0.2">
      <c r="A49" s="25" t="s">
        <v>4</v>
      </c>
      <c r="B49" s="4"/>
      <c r="C49" s="4"/>
      <c r="D49" s="4"/>
      <c r="E49" s="4"/>
      <c r="F49" s="4"/>
      <c r="G49" s="4"/>
      <c r="H49" s="4"/>
      <c r="S49" s="51"/>
      <c r="T49" s="51"/>
      <c r="U49" s="53"/>
    </row>
    <row r="50" spans="1:21" x14ac:dyDescent="0.2">
      <c r="A50" s="22" t="s">
        <v>5</v>
      </c>
      <c r="B50" s="65">
        <f>'[9]Pacific Comm Credit'!B41</f>
        <v>81.350000000000037</v>
      </c>
      <c r="C50" s="65">
        <f>'[9]Pacific Comm Credit'!C41</f>
        <v>74.280000000000015</v>
      </c>
      <c r="D50" s="65">
        <f>'[9]Pacific Comm Credit'!D41</f>
        <v>77.819999999999979</v>
      </c>
      <c r="E50" s="65">
        <f>'[9]Pacific Comm Credit'!E41</f>
        <v>81.359999999999971</v>
      </c>
      <c r="F50" s="65">
        <f>'[9]Pacific Comm Credit'!F41</f>
        <v>70.749999999999972</v>
      </c>
      <c r="G50" s="65">
        <f>'[9]Pacific Comm Credit'!G41</f>
        <v>74.650000000000006</v>
      </c>
      <c r="H50" s="5">
        <f>SUM(B50:G50)</f>
        <v>460.20999999999992</v>
      </c>
    </row>
    <row r="51" spans="1:21" x14ac:dyDescent="0.2">
      <c r="A51" s="22" t="s">
        <v>6</v>
      </c>
      <c r="B51" s="65">
        <f>'[9]Pacific Comm Credit'!B42</f>
        <v>17.119999999999997</v>
      </c>
      <c r="C51" s="65">
        <f>'[9]Pacific Comm Credit'!C42</f>
        <v>15.91</v>
      </c>
      <c r="D51" s="65">
        <f>'[9]Pacific Comm Credit'!D42</f>
        <v>16.619999999999997</v>
      </c>
      <c r="E51" s="65">
        <f>'[9]Pacific Comm Credit'!E42</f>
        <v>17.260000000000002</v>
      </c>
      <c r="F51" s="65">
        <f>'[9]Pacific Comm Credit'!F42</f>
        <v>14.98</v>
      </c>
      <c r="G51" s="65">
        <f>'[9]Pacific Comm Credit'!G42</f>
        <v>14.870000000000001</v>
      </c>
      <c r="H51" s="5">
        <f>SUM(B51:G51)</f>
        <v>96.76</v>
      </c>
    </row>
    <row r="52" spans="1:21" x14ac:dyDescent="0.2">
      <c r="B52" s="11"/>
      <c r="C52" s="11"/>
      <c r="D52" s="11"/>
      <c r="E52" s="11"/>
      <c r="F52" s="11"/>
      <c r="G52" s="11"/>
      <c r="H52" s="5"/>
    </row>
    <row r="53" spans="1:21" s="6" customFormat="1" x14ac:dyDescent="0.2">
      <c r="A53" s="6" t="s">
        <v>2</v>
      </c>
      <c r="B53" s="35">
        <f t="shared" ref="B53:E53" si="8">SUM(B50:B51)</f>
        <v>98.470000000000027</v>
      </c>
      <c r="C53" s="35">
        <f t="shared" si="8"/>
        <v>90.190000000000012</v>
      </c>
      <c r="D53" s="35">
        <f t="shared" si="8"/>
        <v>94.439999999999969</v>
      </c>
      <c r="E53" s="35">
        <f t="shared" si="8"/>
        <v>98.619999999999976</v>
      </c>
      <c r="F53" s="35">
        <f>SUM(F50:F51)</f>
        <v>85.729999999999976</v>
      </c>
      <c r="G53" s="35">
        <f>SUM(G50:G51)</f>
        <v>89.52000000000001</v>
      </c>
      <c r="H53" s="35">
        <f>SUM(H50:H52)</f>
        <v>556.96999999999991</v>
      </c>
    </row>
    <row r="55" spans="1:21" x14ac:dyDescent="0.2">
      <c r="A55" s="26" t="s">
        <v>20</v>
      </c>
    </row>
    <row r="56" spans="1:21" x14ac:dyDescent="0.2">
      <c r="A56" s="22" t="s">
        <v>5</v>
      </c>
      <c r="B56" s="27">
        <f t="shared" ref="B56:G57" si="9">B17</f>
        <v>-49.361342000000008</v>
      </c>
      <c r="C56" s="27">
        <f t="shared" si="9"/>
        <v>-39.01424200000001</v>
      </c>
      <c r="D56" s="27">
        <f t="shared" si="9"/>
        <v>-75.69984199999999</v>
      </c>
      <c r="E56" s="27">
        <f t="shared" si="9"/>
        <v>-70.12384200000001</v>
      </c>
      <c r="F56" s="27">
        <f t="shared" si="9"/>
        <v>-75.034980000000004</v>
      </c>
      <c r="G56" s="27">
        <f t="shared" si="9"/>
        <v>-73.294049999999999</v>
      </c>
      <c r="H56" s="8"/>
    </row>
    <row r="57" spans="1:21" x14ac:dyDescent="0.2">
      <c r="A57" s="22" t="s">
        <v>6</v>
      </c>
      <c r="B57" s="27">
        <f t="shared" si="9"/>
        <v>-30</v>
      </c>
      <c r="C57" s="27">
        <f t="shared" si="9"/>
        <v>-30</v>
      </c>
      <c r="D57" s="27">
        <f t="shared" si="9"/>
        <v>-30</v>
      </c>
      <c r="E57" s="27">
        <f t="shared" si="9"/>
        <v>-30</v>
      </c>
      <c r="F57" s="27">
        <f t="shared" si="9"/>
        <v>-30</v>
      </c>
      <c r="G57" s="27">
        <f t="shared" si="9"/>
        <v>-30</v>
      </c>
      <c r="H57" s="8"/>
    </row>
    <row r="59" spans="1:21" x14ac:dyDescent="0.2">
      <c r="A59" s="26" t="s">
        <v>8</v>
      </c>
    </row>
    <row r="60" spans="1:21" x14ac:dyDescent="0.2">
      <c r="A60" s="22" t="s">
        <v>5</v>
      </c>
      <c r="B60" s="36">
        <f t="shared" ref="B60:G60" si="10">+B50*B56</f>
        <v>-4015.5451717000024</v>
      </c>
      <c r="C60" s="36">
        <f t="shared" si="10"/>
        <v>-2897.9778957600015</v>
      </c>
      <c r="D60" s="36">
        <f t="shared" si="10"/>
        <v>-5890.9617044399974</v>
      </c>
      <c r="E60" s="36">
        <f t="shared" si="10"/>
        <v>-5705.2757851199985</v>
      </c>
      <c r="F60" s="36">
        <f t="shared" si="10"/>
        <v>-5308.7248349999982</v>
      </c>
      <c r="G60" s="36">
        <f t="shared" si="10"/>
        <v>-5471.4008325000004</v>
      </c>
      <c r="H60" s="9">
        <f>SUM(B60:G60)</f>
        <v>-29289.88622452</v>
      </c>
    </row>
    <row r="61" spans="1:21" x14ac:dyDescent="0.2">
      <c r="A61" s="22" t="s">
        <v>6</v>
      </c>
      <c r="B61" s="36">
        <f t="shared" ref="B61:G61" si="11">+B57*B51</f>
        <v>-513.59999999999991</v>
      </c>
      <c r="C61" s="36">
        <f t="shared" si="11"/>
        <v>-477.3</v>
      </c>
      <c r="D61" s="36">
        <f t="shared" si="11"/>
        <v>-498.59999999999991</v>
      </c>
      <c r="E61" s="36">
        <f t="shared" si="11"/>
        <v>-517.80000000000007</v>
      </c>
      <c r="F61" s="36">
        <f t="shared" si="11"/>
        <v>-449.40000000000003</v>
      </c>
      <c r="G61" s="36">
        <f t="shared" si="11"/>
        <v>-446.1</v>
      </c>
      <c r="H61" s="9">
        <f>SUM(B61:G61)</f>
        <v>-2902.7999999999997</v>
      </c>
    </row>
    <row r="62" spans="1:21" x14ac:dyDescent="0.2">
      <c r="B62" s="16"/>
      <c r="C62" s="16"/>
      <c r="D62" s="16"/>
      <c r="E62" s="16"/>
      <c r="F62" s="16"/>
      <c r="G62" s="16"/>
      <c r="H62" s="8"/>
    </row>
    <row r="63" spans="1:21" s="6" customFormat="1" x14ac:dyDescent="0.2">
      <c r="A63" s="6" t="s">
        <v>9</v>
      </c>
      <c r="B63" s="37">
        <f t="shared" ref="B63:C63" si="12">SUM(B60:B61)</f>
        <v>-4529.1451717000018</v>
      </c>
      <c r="C63" s="37">
        <f t="shared" si="12"/>
        <v>-3375.2778957600017</v>
      </c>
      <c r="D63" s="37">
        <f>SUM(D60:D61)</f>
        <v>-6389.5617044399969</v>
      </c>
      <c r="E63" s="37">
        <f>SUM(E60:E61)</f>
        <v>-6223.0757851199987</v>
      </c>
      <c r="F63" s="37">
        <f>SUM(F60:F61)</f>
        <v>-5758.1248349999978</v>
      </c>
      <c r="G63" s="37">
        <f>SUM(G60:G61)</f>
        <v>-5917.5008325000008</v>
      </c>
      <c r="H63" s="40">
        <f>SUM(H60:H61)</f>
        <v>-32192.686224519999</v>
      </c>
      <c r="I63" s="54"/>
    </row>
    <row r="64" spans="1:21" x14ac:dyDescent="0.2">
      <c r="B64" s="16"/>
      <c r="C64" s="16"/>
      <c r="D64" s="16"/>
      <c r="E64" s="16"/>
      <c r="F64" s="16"/>
      <c r="G64" s="16"/>
      <c r="H64" s="8"/>
    </row>
    <row r="65" spans="1:11" x14ac:dyDescent="0.2">
      <c r="B65" s="16"/>
      <c r="C65" s="16"/>
      <c r="D65" s="16"/>
      <c r="E65" s="16"/>
      <c r="F65" s="16"/>
      <c r="G65" s="16"/>
      <c r="H65" s="8"/>
    </row>
    <row r="66" spans="1:11" x14ac:dyDescent="0.2">
      <c r="A66" s="10" t="s">
        <v>10</v>
      </c>
      <c r="B66" s="67">
        <f>'[9]Pacific Comm Credit'!B55</f>
        <v>10237</v>
      </c>
      <c r="C66" s="67">
        <f>'[9]Pacific Comm Credit'!C55</f>
        <v>10234</v>
      </c>
      <c r="D66" s="67">
        <f>'[9]Pacific Comm Credit'!D55</f>
        <v>10244</v>
      </c>
      <c r="E66" s="67">
        <f>'[9]Pacific Comm Credit'!E55</f>
        <v>10254</v>
      </c>
      <c r="F66" s="67">
        <f>'[9]Pacific Comm Credit'!F55</f>
        <v>10241</v>
      </c>
      <c r="G66" s="67">
        <f>'[9]Pacific Comm Credit'!G55</f>
        <v>10242</v>
      </c>
      <c r="H66" s="8">
        <f>SUM(B66:G66)</f>
        <v>61452</v>
      </c>
    </row>
    <row r="67" spans="1:11" x14ac:dyDescent="0.2">
      <c r="A67" s="10" t="s">
        <v>11</v>
      </c>
      <c r="B67" s="67">
        <f>'[9]Pacific Comm Credit'!B56</f>
        <v>401</v>
      </c>
      <c r="C67" s="67">
        <f>'[9]Pacific Comm Credit'!C56</f>
        <v>401</v>
      </c>
      <c r="D67" s="67">
        <f>'[9]Pacific Comm Credit'!D56</f>
        <v>400</v>
      </c>
      <c r="E67" s="67">
        <f>'[9]Pacific Comm Credit'!E56</f>
        <v>390</v>
      </c>
      <c r="F67" s="67">
        <f>'[9]Pacific Comm Credit'!F56</f>
        <v>390</v>
      </c>
      <c r="G67" s="67">
        <f>'[9]Pacific Comm Credit'!G56</f>
        <v>390</v>
      </c>
      <c r="H67" s="8">
        <f>SUM(B67:G67)</f>
        <v>2372</v>
      </c>
    </row>
    <row r="68" spans="1:11" x14ac:dyDescent="0.2">
      <c r="A68" s="10"/>
      <c r="B68" s="16"/>
      <c r="C68" s="16"/>
      <c r="D68" s="16"/>
      <c r="E68" s="16"/>
      <c r="F68" s="16"/>
      <c r="G68" s="16"/>
      <c r="H68" s="8"/>
    </row>
    <row r="69" spans="1:11" s="6" customFormat="1" x14ac:dyDescent="0.2">
      <c r="A69" s="13" t="s">
        <v>12</v>
      </c>
      <c r="B69" s="38">
        <f t="shared" ref="B69:G69" si="13">+B66+B67</f>
        <v>10638</v>
      </c>
      <c r="C69" s="38">
        <f t="shared" si="13"/>
        <v>10635</v>
      </c>
      <c r="D69" s="38">
        <f t="shared" si="13"/>
        <v>10644</v>
      </c>
      <c r="E69" s="38">
        <f t="shared" si="13"/>
        <v>10644</v>
      </c>
      <c r="F69" s="38">
        <f t="shared" si="13"/>
        <v>10631</v>
      </c>
      <c r="G69" s="38">
        <f t="shared" si="13"/>
        <v>10632</v>
      </c>
      <c r="H69" s="41">
        <f>SUM(H66:H67)</f>
        <v>63824</v>
      </c>
      <c r="I69" s="57"/>
      <c r="K69" s="57"/>
    </row>
    <row r="70" spans="1:11" x14ac:dyDescent="0.2">
      <c r="A70" s="10"/>
      <c r="B70" s="16"/>
      <c r="C70" s="16"/>
      <c r="D70" s="16"/>
      <c r="E70" s="16"/>
      <c r="F70" s="16"/>
      <c r="G70" s="16"/>
      <c r="H70" s="15"/>
    </row>
    <row r="71" spans="1:11" x14ac:dyDescent="0.2">
      <c r="A71" s="10" t="s">
        <v>13</v>
      </c>
      <c r="B71" s="27">
        <f t="shared" ref="B71:G71" si="14">+IFERROR(B63/B69,0)</f>
        <v>-0.42575156718368129</v>
      </c>
      <c r="C71" s="27">
        <f t="shared" si="14"/>
        <v>-0.31737450829901287</v>
      </c>
      <c r="D71" s="27">
        <f t="shared" si="14"/>
        <v>-0.60029704100338188</v>
      </c>
      <c r="E71" s="27">
        <f t="shared" si="14"/>
        <v>-0.5846557483201803</v>
      </c>
      <c r="F71" s="27">
        <f t="shared" si="14"/>
        <v>-0.54163529630326379</v>
      </c>
      <c r="G71" s="27">
        <f t="shared" si="14"/>
        <v>-0.55657457040067726</v>
      </c>
      <c r="H71" s="5"/>
    </row>
    <row r="72" spans="1:11" x14ac:dyDescent="0.2">
      <c r="A72" s="10" t="s">
        <v>14</v>
      </c>
      <c r="B72" s="79">
        <f>'[9]Pacific Comm Credit'!B60</f>
        <v>0.64</v>
      </c>
      <c r="C72" s="79">
        <f>'[9]Pacific Comm Credit'!C60</f>
        <v>0.64</v>
      </c>
      <c r="D72" s="79">
        <f>'[9]Pacific Comm Credit'!D60</f>
        <v>-0.45</v>
      </c>
      <c r="E72" s="79">
        <f>'[9]Pacific Comm Credit'!E60</f>
        <v>-0.45</v>
      </c>
      <c r="F72" s="79">
        <f>'[9]Pacific Comm Credit'!F60</f>
        <v>-0.45</v>
      </c>
      <c r="G72" s="79">
        <f>'[9]Pacific Comm Credit'!G60</f>
        <v>-0.45</v>
      </c>
      <c r="H72" s="5"/>
    </row>
    <row r="73" spans="1:11" x14ac:dyDescent="0.2">
      <c r="A73" s="10"/>
      <c r="B73" s="27"/>
      <c r="C73" s="27"/>
      <c r="D73" s="27"/>
      <c r="E73" s="27"/>
      <c r="F73" s="27"/>
      <c r="G73" s="27"/>
      <c r="H73" s="5"/>
    </row>
    <row r="74" spans="1:11" s="6" customFormat="1" x14ac:dyDescent="0.2">
      <c r="A74" s="13" t="s">
        <v>17</v>
      </c>
      <c r="B74" s="59">
        <f t="shared" ref="B74:C74" si="15">+(B71-B72)*B69</f>
        <v>-11337.465171700002</v>
      </c>
      <c r="C74" s="59">
        <f t="shared" si="15"/>
        <v>-10181.677895760002</v>
      </c>
      <c r="D74" s="59">
        <f>+(D71-D72)*D69</f>
        <v>-1599.7617044399967</v>
      </c>
      <c r="E74" s="59">
        <f>+(E71-E72)*E69</f>
        <v>-1433.275785119999</v>
      </c>
      <c r="F74" s="59">
        <f>+(F71-F72)*F69</f>
        <v>-974.1748349999973</v>
      </c>
      <c r="G74" s="59">
        <f>+(G71-G72)*G69</f>
        <v>-1133.1008325000005</v>
      </c>
      <c r="H74" s="60">
        <f>SUM(B74:G74)</f>
        <v>-26659.45622452</v>
      </c>
    </row>
    <row r="75" spans="1:11" x14ac:dyDescent="0.2">
      <c r="A75" s="10"/>
      <c r="B75" s="11"/>
      <c r="C75" s="11"/>
      <c r="D75" s="11"/>
      <c r="E75" s="11"/>
      <c r="F75" s="11"/>
      <c r="G75" s="11"/>
      <c r="H75" s="8"/>
    </row>
    <row r="76" spans="1:11" x14ac:dyDescent="0.2">
      <c r="A76" s="16"/>
      <c r="B76" s="28"/>
      <c r="C76" s="28"/>
      <c r="D76" s="28"/>
      <c r="E76" s="28"/>
      <c r="F76" s="28"/>
      <c r="G76" s="21" t="s">
        <v>18</v>
      </c>
      <c r="H76" s="17">
        <f>ROUND(H74/H69,2)</f>
        <v>-0.42</v>
      </c>
    </row>
    <row r="77" spans="1:11" x14ac:dyDescent="0.2">
      <c r="A77" s="61"/>
      <c r="B77" s="21"/>
      <c r="C77" s="21"/>
      <c r="D77" s="21"/>
      <c r="E77" s="21"/>
      <c r="F77" s="21"/>
      <c r="G77" s="21" t="s">
        <v>21</v>
      </c>
      <c r="H77" s="17">
        <f>SUM(B63:G63)/SUM(B69:G69)</f>
        <v>-0.50439781625282021</v>
      </c>
    </row>
    <row r="78" spans="1:11" x14ac:dyDescent="0.2">
      <c r="A78" s="61"/>
      <c r="B78" s="21"/>
      <c r="C78" s="21"/>
      <c r="D78" s="21"/>
      <c r="E78" s="21"/>
      <c r="F78" s="21"/>
      <c r="G78" s="21" t="s">
        <v>40</v>
      </c>
      <c r="H78" s="17">
        <f>-'[10]Printing &amp; Postage'!J7</f>
        <v>-7.5181066438551478E-2</v>
      </c>
    </row>
    <row r="79" spans="1:11" x14ac:dyDescent="0.2">
      <c r="A79" s="62"/>
      <c r="B79" s="21"/>
      <c r="C79" s="21"/>
      <c r="D79" s="21"/>
      <c r="E79" s="21"/>
      <c r="F79" s="21"/>
      <c r="G79" s="42" t="s">
        <v>25</v>
      </c>
      <c r="H79" s="80">
        <f>SUM(H76:H78)</f>
        <v>-0.99957888269137163</v>
      </c>
    </row>
    <row r="80" spans="1:11" x14ac:dyDescent="0.2">
      <c r="A80" s="62"/>
      <c r="B80" s="21"/>
      <c r="C80" s="21"/>
      <c r="D80" s="21"/>
      <c r="E80" s="21"/>
      <c r="F80" s="21"/>
      <c r="G80" s="21"/>
      <c r="H80" s="20"/>
    </row>
    <row r="81" spans="1:13" x14ac:dyDescent="0.2">
      <c r="A81" s="63"/>
      <c r="B81" s="21"/>
      <c r="C81" s="21"/>
      <c r="D81" s="21"/>
      <c r="E81" s="21"/>
      <c r="F81" s="21"/>
      <c r="G81" s="21" t="s">
        <v>26</v>
      </c>
      <c r="H81" s="70">
        <f>'[9]Pacific Comm Credit'!$H$67</f>
        <v>-0.82</v>
      </c>
      <c r="K81" s="8"/>
      <c r="L81" s="8"/>
      <c r="M81" s="55"/>
    </row>
    <row r="82" spans="1:13" x14ac:dyDescent="0.2">
      <c r="A82" s="64"/>
      <c r="B82" s="21"/>
      <c r="C82" s="21"/>
      <c r="D82" s="21"/>
      <c r="E82" s="21"/>
      <c r="F82" s="21"/>
      <c r="G82" s="21" t="s">
        <v>15</v>
      </c>
      <c r="H82" s="5">
        <f>+H81-H79</f>
        <v>0.17957888269137168</v>
      </c>
      <c r="I82" s="56">
        <f>H82/H81</f>
        <v>-0.21899863742850206</v>
      </c>
    </row>
    <row r="83" spans="1:13" x14ac:dyDescent="0.2">
      <c r="A83" s="10"/>
      <c r="B83" s="21"/>
      <c r="C83" s="21"/>
      <c r="D83" s="21"/>
      <c r="E83" s="21"/>
      <c r="F83" s="21"/>
      <c r="G83" s="21" t="s">
        <v>24</v>
      </c>
      <c r="H83" s="8">
        <f>H82*G69*12</f>
        <v>22911.392169295963</v>
      </c>
    </row>
    <row r="84" spans="1:13" x14ac:dyDescent="0.2">
      <c r="A84" s="10"/>
      <c r="B84" s="21"/>
      <c r="C84" s="21"/>
      <c r="D84" s="21"/>
      <c r="E84" s="21"/>
      <c r="F84" s="21"/>
      <c r="G84" s="21"/>
      <c r="I84" s="5"/>
    </row>
  </sheetData>
  <pageMargins left="0.7" right="0.7" top="0.75" bottom="0.75" header="0.3" footer="0.3"/>
  <pageSetup scale="89" fitToHeight="2" orientation="landscape" r:id="rId1"/>
  <rowBreaks count="1" manualBreakCount="1">
    <brk id="46"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82"/>
  <sheetViews>
    <sheetView showGridLines="0" view="pageBreakPreview" zoomScale="80" zoomScaleNormal="100" zoomScaleSheetLayoutView="80" workbookViewId="0">
      <pane xSplit="1" ySplit="7" topLeftCell="B8" activePane="bottomRight" state="frozen"/>
      <selection activeCell="L84" sqref="L84"/>
      <selection pane="topRight" activeCell="L84" sqref="L84"/>
      <selection pane="bottomLeft" activeCell="L84" sqref="L84"/>
      <selection pane="bottomRight" activeCell="A5" sqref="A5"/>
    </sheetView>
  </sheetViews>
  <sheetFormatPr defaultRowHeight="12.75" x14ac:dyDescent="0.2"/>
  <cols>
    <col min="1" max="1" width="32.5703125" style="22" customWidth="1"/>
    <col min="2" max="11" width="11.85546875" style="22" bestFit="1" customWidth="1"/>
    <col min="12" max="12" width="12.85546875" style="22" bestFit="1" customWidth="1"/>
    <col min="13" max="13" width="12.85546875" style="22" customWidth="1"/>
    <col min="14" max="14" width="12.85546875" style="22" bestFit="1" customWidth="1"/>
    <col min="15" max="15" width="14" style="22" bestFit="1" customWidth="1"/>
    <col min="16" max="16" width="10.28515625" style="22" bestFit="1" customWidth="1"/>
    <col min="17" max="17" width="13.5703125" style="22" customWidth="1"/>
    <col min="18" max="18" width="11" style="22" customWidth="1"/>
    <col min="19" max="19" width="11.140625" style="22" customWidth="1"/>
    <col min="20" max="20" width="10.7109375" style="22" customWidth="1"/>
    <col min="21" max="21" width="10.85546875" style="22" customWidth="1"/>
    <col min="22" max="22" width="10.42578125" style="22" customWidth="1"/>
    <col min="23" max="23" width="10.85546875" style="22" customWidth="1"/>
    <col min="24" max="24" width="11.42578125" style="22" customWidth="1"/>
    <col min="25" max="25" width="11.85546875" style="22" customWidth="1"/>
    <col min="26" max="16384" width="9.140625" style="22"/>
  </cols>
  <sheetData>
    <row r="1" spans="1:38" x14ac:dyDescent="0.2">
      <c r="A1" s="6" t="s">
        <v>19</v>
      </c>
    </row>
    <row r="2" spans="1:38" x14ac:dyDescent="0.2">
      <c r="A2" s="6" t="s">
        <v>0</v>
      </c>
      <c r="G2" s="78" t="s">
        <v>37</v>
      </c>
      <c r="N2" s="30"/>
    </row>
    <row r="3" spans="1:38" x14ac:dyDescent="0.2">
      <c r="A3" s="6" t="s">
        <v>1</v>
      </c>
      <c r="B3" s="11"/>
      <c r="C3" s="11"/>
      <c r="D3" s="11"/>
      <c r="E3" s="11"/>
      <c r="F3" s="11"/>
      <c r="G3" s="11"/>
      <c r="H3" s="11"/>
      <c r="I3" s="11"/>
      <c r="J3" s="11"/>
      <c r="K3" s="11"/>
      <c r="L3" s="11"/>
      <c r="M3" s="11"/>
      <c r="N3" s="12"/>
      <c r="O3" s="5"/>
    </row>
    <row r="4" spans="1:38" x14ac:dyDescent="0.2">
      <c r="A4" s="6" t="s">
        <v>27</v>
      </c>
      <c r="B4" s="11"/>
      <c r="C4" s="11"/>
      <c r="D4" s="11"/>
      <c r="E4" s="11"/>
      <c r="F4" s="11"/>
      <c r="G4" s="11"/>
      <c r="H4" s="11"/>
      <c r="I4" s="11"/>
      <c r="J4" s="11"/>
      <c r="K4" s="11"/>
      <c r="L4" s="11"/>
      <c r="M4" s="11"/>
      <c r="N4" s="12"/>
      <c r="O4" s="5"/>
    </row>
    <row r="5" spans="1:38" s="31" customFormat="1" x14ac:dyDescent="0.2">
      <c r="B5" s="1"/>
      <c r="C5" s="1"/>
      <c r="D5" s="1"/>
      <c r="E5" s="1"/>
      <c r="F5" s="1"/>
      <c r="G5" s="1"/>
      <c r="H5" s="1"/>
      <c r="I5" s="1"/>
      <c r="J5" s="1"/>
      <c r="K5" s="1"/>
      <c r="L5" s="1"/>
      <c r="M5" s="1"/>
      <c r="N5" s="1" t="s">
        <v>28</v>
      </c>
      <c r="P5" s="5"/>
    </row>
    <row r="6" spans="1:38" s="32" customFormat="1" x14ac:dyDescent="0.2">
      <c r="B6" s="2">
        <v>42886</v>
      </c>
      <c r="C6" s="2">
        <v>42916</v>
      </c>
      <c r="D6" s="2">
        <v>42947</v>
      </c>
      <c r="E6" s="2">
        <v>42978</v>
      </c>
      <c r="F6" s="2">
        <v>43008</v>
      </c>
      <c r="G6" s="2">
        <v>43039</v>
      </c>
      <c r="H6" s="2">
        <v>43069</v>
      </c>
      <c r="I6" s="2">
        <v>43100</v>
      </c>
      <c r="J6" s="2">
        <v>43131</v>
      </c>
      <c r="K6" s="2">
        <v>43159</v>
      </c>
      <c r="L6" s="2">
        <v>43190</v>
      </c>
      <c r="M6" s="2">
        <v>43220</v>
      </c>
      <c r="N6" s="2" t="s">
        <v>2</v>
      </c>
      <c r="O6" s="31"/>
      <c r="P6" s="43"/>
      <c r="Q6" s="33"/>
      <c r="R6" s="43"/>
      <c r="S6" s="43"/>
      <c r="T6" s="33"/>
      <c r="U6" s="33"/>
      <c r="V6" s="33"/>
      <c r="W6" s="33"/>
      <c r="X6" s="33"/>
      <c r="Y6" s="33"/>
      <c r="Z6" s="33"/>
      <c r="AA6" s="33"/>
      <c r="AB6" s="33"/>
      <c r="AC6" s="33"/>
      <c r="AD6" s="31"/>
      <c r="AE6" s="31"/>
      <c r="AF6" s="31"/>
      <c r="AG6" s="31"/>
      <c r="AH6" s="31"/>
      <c r="AI6" s="31"/>
      <c r="AJ6" s="31"/>
      <c r="AK6" s="31"/>
      <c r="AL6" s="31"/>
    </row>
    <row r="7" spans="1:38" s="31" customFormat="1" x14ac:dyDescent="0.2">
      <c r="B7" s="3"/>
      <c r="C7" s="3"/>
      <c r="D7" s="3"/>
      <c r="E7" s="3"/>
      <c r="F7" s="3"/>
      <c r="G7" s="3"/>
      <c r="H7" s="3"/>
      <c r="I7" s="3"/>
      <c r="J7" s="3"/>
      <c r="K7" s="23"/>
      <c r="L7" s="23"/>
      <c r="M7" s="23"/>
      <c r="N7" s="3"/>
      <c r="P7" s="43"/>
      <c r="Q7" s="33"/>
      <c r="R7" s="43"/>
      <c r="S7" s="43"/>
      <c r="T7" s="33"/>
      <c r="U7" s="33"/>
      <c r="V7" s="33"/>
      <c r="W7" s="33"/>
      <c r="X7" s="33"/>
      <c r="Y7" s="33"/>
      <c r="Z7" s="33"/>
      <c r="AA7" s="33"/>
      <c r="AB7" s="33"/>
      <c r="AC7" s="33"/>
    </row>
    <row r="8" spans="1:38" s="31" customFormat="1" x14ac:dyDescent="0.2">
      <c r="A8" s="24" t="s">
        <v>3</v>
      </c>
      <c r="B8" s="4"/>
      <c r="C8" s="4"/>
      <c r="D8" s="4"/>
      <c r="E8" s="4"/>
      <c r="F8" s="4"/>
      <c r="G8" s="4"/>
      <c r="H8" s="4"/>
      <c r="I8" s="4"/>
      <c r="J8" s="4"/>
      <c r="K8" s="4"/>
      <c r="L8" s="4"/>
      <c r="M8" s="4"/>
      <c r="N8" s="34"/>
      <c r="P8" s="5"/>
    </row>
    <row r="9" spans="1:38" s="31" customFormat="1" x14ac:dyDescent="0.2">
      <c r="B9" s="4"/>
      <c r="C9" s="4"/>
      <c r="D9" s="4"/>
      <c r="E9" s="4"/>
      <c r="F9" s="4"/>
      <c r="G9" s="4"/>
      <c r="H9" s="4"/>
      <c r="I9" s="4"/>
      <c r="J9" s="4"/>
      <c r="K9" s="4"/>
      <c r="L9" s="4"/>
      <c r="M9" s="4"/>
      <c r="N9" s="34"/>
      <c r="P9" s="5"/>
    </row>
    <row r="10" spans="1:38" s="31" customFormat="1" x14ac:dyDescent="0.2">
      <c r="A10" s="25" t="s">
        <v>4</v>
      </c>
      <c r="B10" s="4"/>
      <c r="C10" s="4"/>
      <c r="D10" s="4"/>
      <c r="E10" s="4"/>
      <c r="F10" s="4"/>
      <c r="G10" s="4"/>
      <c r="H10" s="4"/>
      <c r="I10" s="4"/>
      <c r="J10" s="4"/>
      <c r="K10" s="4"/>
      <c r="L10" s="4"/>
      <c r="M10" s="4"/>
      <c r="N10" s="4"/>
      <c r="O10" s="4"/>
      <c r="P10" s="5"/>
    </row>
    <row r="11" spans="1:38" x14ac:dyDescent="0.2">
      <c r="A11" s="22" t="s">
        <v>5</v>
      </c>
      <c r="B11" s="11">
        <f>'[11]Pacific Comm Credit'!B9</f>
        <v>1042.6900000000003</v>
      </c>
      <c r="C11" s="11">
        <f>'[11]Pacific Comm Credit'!C9</f>
        <v>995.99999999999989</v>
      </c>
      <c r="D11" s="11">
        <f>'[11]Pacific Comm Credit'!D9</f>
        <v>925.58</v>
      </c>
      <c r="E11" s="11">
        <f>'[11]Pacific Comm Credit'!E9</f>
        <v>989.97000000000014</v>
      </c>
      <c r="F11" s="11">
        <f>'[11]Pacific Comm Credit'!F9</f>
        <v>928.02</v>
      </c>
      <c r="G11" s="11">
        <f>'[11]Pacific Comm Credit'!G9</f>
        <v>934.42999999999972</v>
      </c>
      <c r="H11" s="11">
        <f>'[11]Pacific Comm Credit'!H9</f>
        <v>1025.8800000000001</v>
      </c>
      <c r="I11" s="11">
        <f>'[11]Pacific Comm Credit'!I9</f>
        <v>1036.6799999999998</v>
      </c>
      <c r="J11" s="11">
        <f>'[11]Pacific Comm Credit'!J9</f>
        <v>1129.6716880000001</v>
      </c>
      <c r="K11" s="11">
        <f>'[11]Pacific Comm Credit'!K9</f>
        <v>808.91343600000016</v>
      </c>
      <c r="L11" s="11">
        <f>'[11]Pacific Comm Credit'!L9</f>
        <v>1058.0130359999996</v>
      </c>
      <c r="M11" s="11">
        <f>'[11]Pacific Comm Credit'!M9</f>
        <v>923.55285099999992</v>
      </c>
      <c r="N11" s="5">
        <f>SUM(B11:M11)</f>
        <v>11799.401011000002</v>
      </c>
      <c r="P11" s="5"/>
      <c r="R11" s="44"/>
      <c r="S11" s="44"/>
      <c r="T11" s="44"/>
      <c r="U11" s="44"/>
      <c r="V11" s="44"/>
      <c r="W11" s="44"/>
      <c r="X11" s="44"/>
      <c r="Y11" s="44"/>
      <c r="Z11" s="44"/>
    </row>
    <row r="12" spans="1:38" x14ac:dyDescent="0.2">
      <c r="A12" s="22" t="s">
        <v>6</v>
      </c>
      <c r="B12" s="11">
        <f>'[11]Pacific Comm Credit'!B10</f>
        <v>148.13999999999999</v>
      </c>
      <c r="C12" s="11">
        <f>'[11]Pacific Comm Credit'!C10</f>
        <v>131.29</v>
      </c>
      <c r="D12" s="11">
        <f>'[11]Pacific Comm Credit'!D10</f>
        <v>149.47</v>
      </c>
      <c r="E12" s="11">
        <f>'[11]Pacific Comm Credit'!E10</f>
        <v>154.04000000000002</v>
      </c>
      <c r="F12" s="11">
        <f>'[11]Pacific Comm Credit'!F10</f>
        <v>136.63</v>
      </c>
      <c r="G12" s="11">
        <f>'[11]Pacific Comm Credit'!G10</f>
        <v>132.31</v>
      </c>
      <c r="H12" s="11">
        <f>'[11]Pacific Comm Credit'!H10</f>
        <v>114.27000000000001</v>
      </c>
      <c r="I12" s="11">
        <f>'[11]Pacific Comm Credit'!I10</f>
        <v>128.38999999999999</v>
      </c>
      <c r="J12" s="11">
        <f>'[11]Pacific Comm Credit'!J10</f>
        <v>147.63</v>
      </c>
      <c r="K12" s="11">
        <f>'[11]Pacific Comm Credit'!K10</f>
        <v>97.610000000000014</v>
      </c>
      <c r="L12" s="11">
        <f>'[11]Pacific Comm Credit'!L10</f>
        <v>118.82</v>
      </c>
      <c r="M12" s="11">
        <f>'[11]Pacific Comm Credit'!M10</f>
        <v>112.94</v>
      </c>
      <c r="N12" s="5">
        <f>SUM(B12:M12)</f>
        <v>1571.5400000000002</v>
      </c>
      <c r="P12" s="5"/>
      <c r="R12" s="44"/>
      <c r="S12" s="44"/>
      <c r="T12" s="44"/>
      <c r="U12" s="44"/>
      <c r="V12" s="44"/>
      <c r="W12" s="44"/>
      <c r="X12" s="44"/>
      <c r="Y12" s="44"/>
      <c r="Z12" s="44"/>
    </row>
    <row r="13" spans="1:38" ht="6" customHeight="1" x14ac:dyDescent="0.2">
      <c r="B13" s="11"/>
      <c r="C13" s="11"/>
      <c r="D13" s="11"/>
      <c r="E13" s="11"/>
      <c r="F13" s="11"/>
      <c r="G13" s="11"/>
      <c r="H13" s="11"/>
      <c r="I13" s="11"/>
      <c r="J13" s="11"/>
      <c r="K13" s="11"/>
      <c r="L13" s="11"/>
      <c r="M13" s="11"/>
      <c r="N13" s="5"/>
      <c r="P13" s="5"/>
    </row>
    <row r="14" spans="1:38" s="6" customFormat="1" x14ac:dyDescent="0.2">
      <c r="A14" s="6" t="s">
        <v>7</v>
      </c>
      <c r="B14" s="35">
        <f>SUM(B11:B12)</f>
        <v>1190.8300000000004</v>
      </c>
      <c r="C14" s="35">
        <f>SUM(C11:C12)</f>
        <v>1127.29</v>
      </c>
      <c r="D14" s="35">
        <f t="shared" ref="D14:M14" si="0">SUM(D11:D12)</f>
        <v>1075.05</v>
      </c>
      <c r="E14" s="35">
        <f t="shared" si="0"/>
        <v>1144.0100000000002</v>
      </c>
      <c r="F14" s="35">
        <f t="shared" si="0"/>
        <v>1064.6500000000001</v>
      </c>
      <c r="G14" s="35">
        <f t="shared" si="0"/>
        <v>1066.7399999999998</v>
      </c>
      <c r="H14" s="35">
        <f t="shared" si="0"/>
        <v>1140.1500000000001</v>
      </c>
      <c r="I14" s="35">
        <f t="shared" si="0"/>
        <v>1165.0699999999997</v>
      </c>
      <c r="J14" s="35">
        <f t="shared" si="0"/>
        <v>1277.301688</v>
      </c>
      <c r="K14" s="35">
        <f t="shared" si="0"/>
        <v>906.52343600000017</v>
      </c>
      <c r="L14" s="35">
        <f t="shared" si="0"/>
        <v>1176.8330359999995</v>
      </c>
      <c r="M14" s="35">
        <f t="shared" si="0"/>
        <v>1036.492851</v>
      </c>
      <c r="N14" s="35">
        <f>SUM(N11:N13)</f>
        <v>13370.941011000003</v>
      </c>
      <c r="O14" s="57"/>
      <c r="P14" s="45"/>
      <c r="Q14" s="57"/>
      <c r="R14" s="45"/>
      <c r="S14" s="45"/>
      <c r="T14" s="45"/>
      <c r="U14" s="45"/>
      <c r="V14" s="45"/>
      <c r="W14" s="45"/>
      <c r="X14" s="45"/>
      <c r="Y14" s="45"/>
      <c r="Z14" s="45"/>
    </row>
    <row r="15" spans="1:38" x14ac:dyDescent="0.2">
      <c r="P15" s="5"/>
    </row>
    <row r="16" spans="1:38" x14ac:dyDescent="0.2">
      <c r="A16" s="26" t="s">
        <v>20</v>
      </c>
      <c r="P16" s="5"/>
    </row>
    <row r="17" spans="1:42" x14ac:dyDescent="0.2">
      <c r="A17" s="22" t="s">
        <v>5</v>
      </c>
      <c r="B17" s="27">
        <f>'[11]Pacific Comm Credit'!B15</f>
        <v>62.714999999999996</v>
      </c>
      <c r="C17" s="27">
        <f>'[11]Pacific Comm Credit'!C15</f>
        <v>85.117999999999995</v>
      </c>
      <c r="D17" s="27">
        <f>'[11]Pacific Comm Credit'!D15</f>
        <v>94.094999999999999</v>
      </c>
      <c r="E17" s="27">
        <f>'[11]Pacific Comm Credit'!E15</f>
        <v>80.64</v>
      </c>
      <c r="F17" s="27">
        <f>'[11]Pacific Comm Credit'!F15</f>
        <v>61.322000000000017</v>
      </c>
      <c r="G17" s="27">
        <f>'[11]Pacific Comm Credit'!G15</f>
        <v>22.388999999999996</v>
      </c>
      <c r="H17" s="27">
        <f>'[11]Pacific Comm Credit'!H15</f>
        <v>35.187000000000005</v>
      </c>
      <c r="I17" s="27">
        <f>'[11]Pacific Comm Credit'!I15</f>
        <v>32.935000000000024</v>
      </c>
      <c r="J17" s="27">
        <f>'[11]Pacific Comm Credit'!J15</f>
        <v>-18.190220000000004</v>
      </c>
      <c r="K17" s="27">
        <f>'[11]Pacific Comm Credit'!K15</f>
        <v>-33.529720000000005</v>
      </c>
      <c r="L17" s="27">
        <f>'[11]Pacific Comm Credit'!L15</f>
        <v>-38.297619999999981</v>
      </c>
      <c r="M17" s="27">
        <f>'[11]Pacific Comm Credit'!M15</f>
        <v>-50.726408000000006</v>
      </c>
      <c r="N17" s="7"/>
      <c r="P17" s="5"/>
      <c r="R17" s="46"/>
      <c r="S17" s="46"/>
      <c r="T17" s="46"/>
      <c r="U17" s="46"/>
      <c r="V17" s="46"/>
      <c r="W17" s="46"/>
      <c r="X17" s="46"/>
      <c r="Y17" s="46"/>
      <c r="Z17" s="46"/>
    </row>
    <row r="18" spans="1:42" x14ac:dyDescent="0.2">
      <c r="A18" s="22" t="s">
        <v>6</v>
      </c>
      <c r="B18" s="27">
        <f>'[11]Pacific Comm Credit'!B16</f>
        <v>30</v>
      </c>
      <c r="C18" s="27">
        <f>'[11]Pacific Comm Credit'!C16</f>
        <v>30</v>
      </c>
      <c r="D18" s="27">
        <f>'[11]Pacific Comm Credit'!D16</f>
        <v>30</v>
      </c>
      <c r="E18" s="27">
        <f>'[11]Pacific Comm Credit'!E16</f>
        <v>30</v>
      </c>
      <c r="F18" s="27">
        <f>'[11]Pacific Comm Credit'!F16</f>
        <v>30</v>
      </c>
      <c r="G18" s="27">
        <f>'[11]Pacific Comm Credit'!G16</f>
        <v>30</v>
      </c>
      <c r="H18" s="27">
        <f>'[11]Pacific Comm Credit'!H16</f>
        <v>30</v>
      </c>
      <c r="I18" s="27">
        <f>'[11]Pacific Comm Credit'!I16</f>
        <v>30</v>
      </c>
      <c r="J18" s="27">
        <f>'[11]Pacific Comm Credit'!J16</f>
        <v>-30</v>
      </c>
      <c r="K18" s="27">
        <f>'[11]Pacific Comm Credit'!K16</f>
        <v>-30</v>
      </c>
      <c r="L18" s="27">
        <f>'[11]Pacific Comm Credit'!L16</f>
        <v>-30</v>
      </c>
      <c r="M18" s="27">
        <f>'[11]Pacific Comm Credit'!M16</f>
        <v>-30</v>
      </c>
      <c r="N18" s="8"/>
      <c r="P18" s="5"/>
      <c r="R18" s="5"/>
      <c r="S18" s="5"/>
      <c r="T18" s="5"/>
      <c r="U18" s="5"/>
      <c r="V18" s="5"/>
      <c r="W18" s="5"/>
      <c r="X18" s="5"/>
      <c r="Y18" s="5"/>
      <c r="Z18" s="5"/>
    </row>
    <row r="19" spans="1:42" x14ac:dyDescent="0.2">
      <c r="P19" s="5"/>
    </row>
    <row r="20" spans="1:42" x14ac:dyDescent="0.2">
      <c r="A20" s="26" t="s">
        <v>8</v>
      </c>
      <c r="P20" s="5"/>
    </row>
    <row r="21" spans="1:42" x14ac:dyDescent="0.2">
      <c r="A21" s="22" t="s">
        <v>5</v>
      </c>
      <c r="B21" s="36">
        <f t="shared" ref="B21:M21" si="1">+B11*B17</f>
        <v>65392.303350000017</v>
      </c>
      <c r="C21" s="36">
        <f t="shared" si="1"/>
        <v>84777.527999999991</v>
      </c>
      <c r="D21" s="36">
        <f t="shared" si="1"/>
        <v>87092.450100000002</v>
      </c>
      <c r="E21" s="36">
        <f t="shared" si="1"/>
        <v>79831.180800000016</v>
      </c>
      <c r="F21" s="36">
        <f t="shared" si="1"/>
        <v>56908.042440000012</v>
      </c>
      <c r="G21" s="36">
        <f t="shared" si="1"/>
        <v>20920.953269999991</v>
      </c>
      <c r="H21" s="36">
        <f>+H11*H17</f>
        <v>36097.639560000011</v>
      </c>
      <c r="I21" s="36">
        <f t="shared" si="1"/>
        <v>34143.055800000016</v>
      </c>
      <c r="J21" s="16">
        <f t="shared" si="1"/>
        <v>-20548.976532491368</v>
      </c>
      <c r="K21" s="36">
        <f t="shared" si="1"/>
        <v>-27122.641013317931</v>
      </c>
      <c r="L21" s="36">
        <f t="shared" si="1"/>
        <v>-40519.381207774284</v>
      </c>
      <c r="M21" s="36">
        <f t="shared" si="1"/>
        <v>-46848.518729389209</v>
      </c>
      <c r="N21" s="9">
        <f>SUM(B21:M21)</f>
        <v>330123.63583702734</v>
      </c>
      <c r="P21" s="8"/>
      <c r="R21" s="8"/>
      <c r="S21" s="8"/>
      <c r="T21" s="8"/>
      <c r="U21" s="8"/>
      <c r="V21" s="8"/>
      <c r="W21" s="8"/>
      <c r="X21" s="8"/>
      <c r="Y21" s="8"/>
      <c r="Z21" s="8"/>
    </row>
    <row r="22" spans="1:42" x14ac:dyDescent="0.2">
      <c r="A22" s="22" t="s">
        <v>6</v>
      </c>
      <c r="B22" s="36">
        <f t="shared" ref="B22:K22" si="2">+B18*B12</f>
        <v>4444.2</v>
      </c>
      <c r="C22" s="36">
        <f t="shared" si="2"/>
        <v>3938.7</v>
      </c>
      <c r="D22" s="36">
        <f t="shared" si="2"/>
        <v>4484.1000000000004</v>
      </c>
      <c r="E22" s="36">
        <f t="shared" si="2"/>
        <v>4621.2000000000007</v>
      </c>
      <c r="F22" s="36">
        <f t="shared" si="2"/>
        <v>4098.8999999999996</v>
      </c>
      <c r="G22" s="36">
        <f t="shared" si="2"/>
        <v>3969.3</v>
      </c>
      <c r="H22" s="36">
        <f t="shared" si="2"/>
        <v>3428.1000000000004</v>
      </c>
      <c r="I22" s="36">
        <f t="shared" si="2"/>
        <v>3851.7</v>
      </c>
      <c r="J22" s="58">
        <f t="shared" si="2"/>
        <v>-4428.8999999999996</v>
      </c>
      <c r="K22" s="36">
        <f t="shared" si="2"/>
        <v>-2928.3</v>
      </c>
      <c r="L22" s="36">
        <f>+L18*L12</f>
        <v>-3564.6</v>
      </c>
      <c r="M22" s="36">
        <f>+M18*M12</f>
        <v>-3388.2</v>
      </c>
      <c r="N22" s="9">
        <f>SUM(B22:M22)</f>
        <v>18526.199999999997</v>
      </c>
      <c r="P22" s="8"/>
      <c r="Q22" s="44"/>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6" t="s">
        <v>9</v>
      </c>
      <c r="B24" s="37">
        <f>SUM(B21:B22)</f>
        <v>69836.503350000014</v>
      </c>
      <c r="C24" s="37">
        <f>SUM(C21:C22)</f>
        <v>88716.227999999988</v>
      </c>
      <c r="D24" s="37">
        <f t="shared" ref="D24:M24" si="3">SUM(D21:D22)</f>
        <v>91576.550100000008</v>
      </c>
      <c r="E24" s="37">
        <f t="shared" si="3"/>
        <v>84452.380800000014</v>
      </c>
      <c r="F24" s="37">
        <f t="shared" si="3"/>
        <v>61006.942440000013</v>
      </c>
      <c r="G24" s="37">
        <f t="shared" si="3"/>
        <v>24890.25326999999</v>
      </c>
      <c r="H24" s="37">
        <f t="shared" si="3"/>
        <v>39525.739560000009</v>
      </c>
      <c r="I24" s="37">
        <f t="shared" si="3"/>
        <v>37994.755800000014</v>
      </c>
      <c r="J24" s="37">
        <f t="shared" si="3"/>
        <v>-24977.876532491369</v>
      </c>
      <c r="K24" s="37">
        <f t="shared" si="3"/>
        <v>-30050.94101331793</v>
      </c>
      <c r="L24" s="37">
        <f t="shared" si="3"/>
        <v>-44083.981207774283</v>
      </c>
      <c r="M24" s="37">
        <f t="shared" si="3"/>
        <v>-50236.718729389206</v>
      </c>
      <c r="N24" s="40">
        <f>SUM(N21:N23)</f>
        <v>348649.83583702735</v>
      </c>
      <c r="P24" s="20"/>
      <c r="R24" s="20"/>
      <c r="S24" s="20"/>
      <c r="T24" s="20"/>
      <c r="U24" s="20"/>
      <c r="V24" s="20"/>
      <c r="W24" s="20"/>
      <c r="X24" s="20"/>
      <c r="Y24" s="20"/>
      <c r="Z24" s="20"/>
      <c r="AA24" s="47"/>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10</v>
      </c>
      <c r="B27" s="16">
        <f>'[11]Pacific Comm Credit'!B23</f>
        <v>45797</v>
      </c>
      <c r="C27" s="16">
        <f>'[11]Pacific Comm Credit'!C23</f>
        <v>45900</v>
      </c>
      <c r="D27" s="16">
        <f>'[11]Pacific Comm Credit'!D23</f>
        <v>45900</v>
      </c>
      <c r="E27" s="16">
        <f>'[11]Pacific Comm Credit'!E23</f>
        <v>46228</v>
      </c>
      <c r="F27" s="16">
        <f>'[11]Pacific Comm Credit'!F23</f>
        <v>46274</v>
      </c>
      <c r="G27" s="16">
        <f>'[11]Pacific Comm Credit'!G23</f>
        <v>45845</v>
      </c>
      <c r="H27" s="16">
        <f>'[11]Pacific Comm Credit'!H23</f>
        <v>45870</v>
      </c>
      <c r="I27" s="16">
        <f>'[11]Pacific Comm Credit'!I23</f>
        <v>45877</v>
      </c>
      <c r="J27" s="16">
        <f>'[11]Pacific Comm Credit'!J23</f>
        <v>45952</v>
      </c>
      <c r="K27" s="16">
        <f>'[11]Pacific Comm Credit'!K23</f>
        <v>45920</v>
      </c>
      <c r="L27" s="16">
        <f>'[11]Pacific Comm Credit'!L23</f>
        <v>46147</v>
      </c>
      <c r="M27" s="16">
        <f>'[11]Pacific Comm Credit'!M23</f>
        <v>46391</v>
      </c>
      <c r="N27" s="8">
        <f>SUM(B27:M27)</f>
        <v>552101</v>
      </c>
      <c r="O27" s="5"/>
      <c r="P27" s="45"/>
      <c r="Q27" s="48"/>
      <c r="R27" s="48"/>
      <c r="S27" s="48"/>
      <c r="T27" s="48"/>
      <c r="U27" s="48"/>
      <c r="V27" s="48"/>
      <c r="W27" s="48"/>
      <c r="X27" s="48"/>
      <c r="Y27" s="48"/>
      <c r="Z27" s="48"/>
      <c r="AA27" s="48"/>
      <c r="AB27" s="48"/>
      <c r="AC27" s="48"/>
      <c r="AD27" s="48"/>
      <c r="AE27" s="48"/>
      <c r="AF27" s="48"/>
      <c r="AG27" s="48"/>
      <c r="AH27" s="48"/>
      <c r="AI27" s="48"/>
      <c r="AJ27" s="48"/>
      <c r="AK27" s="48"/>
      <c r="AL27" s="48"/>
      <c r="AM27" s="12"/>
      <c r="AN27" s="12"/>
      <c r="AO27" s="12"/>
      <c r="AP27" s="12"/>
    </row>
    <row r="28" spans="1:42" s="11" customFormat="1" x14ac:dyDescent="0.2">
      <c r="A28" s="10" t="s">
        <v>11</v>
      </c>
      <c r="B28" s="16">
        <f>'[11]Pacific Comm Credit'!B24</f>
        <v>3581</v>
      </c>
      <c r="C28" s="16">
        <f>'[11]Pacific Comm Credit'!C24</f>
        <v>3602</v>
      </c>
      <c r="D28" s="16">
        <f>'[11]Pacific Comm Credit'!D24</f>
        <v>3602</v>
      </c>
      <c r="E28" s="16">
        <f>'[11]Pacific Comm Credit'!E24</f>
        <v>3620</v>
      </c>
      <c r="F28" s="16">
        <f>'[11]Pacific Comm Credit'!F24</f>
        <v>3622</v>
      </c>
      <c r="G28" s="16">
        <f>'[11]Pacific Comm Credit'!G24</f>
        <v>3576</v>
      </c>
      <c r="H28" s="16">
        <f>'[11]Pacific Comm Credit'!H24</f>
        <v>3574</v>
      </c>
      <c r="I28" s="16">
        <f>'[11]Pacific Comm Credit'!I24</f>
        <v>3575</v>
      </c>
      <c r="J28" s="16">
        <f>'[11]Pacific Comm Credit'!J24</f>
        <v>3583</v>
      </c>
      <c r="K28" s="16">
        <f>'[11]Pacific Comm Credit'!K24</f>
        <v>3586</v>
      </c>
      <c r="L28" s="16">
        <f>'[11]Pacific Comm Credit'!L24</f>
        <v>3603</v>
      </c>
      <c r="M28" s="16">
        <f>'[11]Pacific Comm Credit'!M24</f>
        <v>3616</v>
      </c>
      <c r="N28" s="8">
        <f>SUM(B28:M28)</f>
        <v>43140</v>
      </c>
      <c r="O28" s="5"/>
      <c r="P28" s="45"/>
      <c r="Q28" s="5"/>
      <c r="R28" s="48"/>
      <c r="S28" s="48"/>
      <c r="T28" s="48"/>
      <c r="U28" s="48"/>
      <c r="V28" s="48"/>
      <c r="W28" s="48"/>
      <c r="X28" s="48"/>
      <c r="Y28" s="48"/>
      <c r="Z28" s="48"/>
      <c r="AA28" s="5"/>
      <c r="AB28" s="5"/>
      <c r="AC28" s="5"/>
      <c r="AD28" s="5"/>
      <c r="AE28" s="5"/>
      <c r="AF28" s="5"/>
      <c r="AG28" s="5"/>
      <c r="AH28" s="5"/>
      <c r="AI28" s="5"/>
      <c r="AJ28" s="5"/>
      <c r="AK28" s="5"/>
      <c r="AL28" s="5"/>
    </row>
    <row r="29" spans="1:42" s="11" customFormat="1" x14ac:dyDescent="0.2">
      <c r="A29" s="10"/>
      <c r="N29" s="8"/>
      <c r="O29" s="5"/>
      <c r="P29" s="45"/>
      <c r="Q29" s="5"/>
      <c r="R29" s="48"/>
      <c r="S29" s="48"/>
      <c r="T29" s="48"/>
      <c r="U29" s="48"/>
      <c r="V29" s="48"/>
      <c r="W29" s="48"/>
      <c r="X29" s="48"/>
      <c r="Y29" s="48"/>
      <c r="Z29" s="48"/>
      <c r="AA29" s="5"/>
      <c r="AB29" s="5"/>
      <c r="AC29" s="5"/>
      <c r="AD29" s="5"/>
      <c r="AE29" s="5"/>
      <c r="AF29" s="5"/>
      <c r="AG29" s="5"/>
      <c r="AH29" s="5"/>
      <c r="AI29" s="5"/>
      <c r="AJ29" s="5"/>
      <c r="AK29" s="5"/>
      <c r="AL29" s="5"/>
    </row>
    <row r="30" spans="1:42" s="14" customFormat="1" x14ac:dyDescent="0.2">
      <c r="A30" s="13" t="s">
        <v>12</v>
      </c>
      <c r="B30" s="38">
        <f>+B27+B28</f>
        <v>49378</v>
      </c>
      <c r="C30" s="38">
        <f t="shared" ref="C30:I30" si="4">+C27+C28</f>
        <v>49502</v>
      </c>
      <c r="D30" s="38">
        <f t="shared" si="4"/>
        <v>49502</v>
      </c>
      <c r="E30" s="38">
        <f t="shared" si="4"/>
        <v>49848</v>
      </c>
      <c r="F30" s="38">
        <f t="shared" si="4"/>
        <v>49896</v>
      </c>
      <c r="G30" s="38">
        <f t="shared" si="4"/>
        <v>49421</v>
      </c>
      <c r="H30" s="38">
        <f t="shared" si="4"/>
        <v>49444</v>
      </c>
      <c r="I30" s="38">
        <f t="shared" si="4"/>
        <v>49452</v>
      </c>
      <c r="J30" s="38">
        <f>+J27+J28</f>
        <v>49535</v>
      </c>
      <c r="K30" s="38">
        <f>+K27+K28</f>
        <v>49506</v>
      </c>
      <c r="L30" s="38">
        <f>+L27+L28</f>
        <v>49750</v>
      </c>
      <c r="M30" s="38">
        <f>+M27+M28</f>
        <v>50007</v>
      </c>
      <c r="N30" s="41">
        <f>SUM(N27:N28)</f>
        <v>595241</v>
      </c>
      <c r="O30" s="45"/>
      <c r="P30" s="45"/>
      <c r="Q30" s="45"/>
      <c r="R30" s="49"/>
      <c r="S30" s="49"/>
      <c r="T30" s="49"/>
      <c r="U30" s="49"/>
      <c r="V30" s="49"/>
      <c r="W30" s="49"/>
      <c r="X30" s="49"/>
      <c r="Y30" s="49"/>
      <c r="Z30" s="49"/>
      <c r="AA30" s="45"/>
      <c r="AB30" s="45"/>
      <c r="AC30" s="45"/>
      <c r="AD30" s="45"/>
      <c r="AE30" s="45"/>
      <c r="AF30" s="45"/>
      <c r="AG30" s="45"/>
      <c r="AH30" s="45"/>
      <c r="AI30" s="45"/>
      <c r="AJ30" s="45"/>
      <c r="AK30" s="45"/>
      <c r="AL30" s="45"/>
    </row>
    <row r="31" spans="1:42" s="16" customFormat="1" x14ac:dyDescent="0.2">
      <c r="A31" s="10"/>
      <c r="N31" s="15"/>
      <c r="O31" s="8"/>
      <c r="P31" s="45"/>
      <c r="Q31" s="8"/>
      <c r="R31" s="8"/>
      <c r="S31" s="8"/>
      <c r="T31" s="8"/>
      <c r="U31" s="8"/>
      <c r="V31" s="8"/>
      <c r="W31" s="8"/>
      <c r="X31" s="8"/>
      <c r="Y31" s="8"/>
      <c r="Z31" s="8"/>
      <c r="AA31" s="8"/>
      <c r="AB31" s="8"/>
      <c r="AC31" s="8"/>
      <c r="AD31" s="8"/>
      <c r="AE31" s="8"/>
      <c r="AF31" s="8"/>
      <c r="AG31" s="8"/>
      <c r="AH31" s="8"/>
      <c r="AI31" s="8"/>
      <c r="AJ31" s="8"/>
      <c r="AK31" s="8"/>
      <c r="AL31" s="8"/>
    </row>
    <row r="32" spans="1:42" s="16" customFormat="1" x14ac:dyDescent="0.2">
      <c r="A32" s="10" t="s">
        <v>13</v>
      </c>
      <c r="B32" s="27">
        <f>+IFERROR(B24/B30,0)</f>
        <v>1.4143242608044071</v>
      </c>
      <c r="C32" s="27">
        <f t="shared" ref="C32:M32" si="5">+IFERROR(C24/C30,0)</f>
        <v>1.7921746192073045</v>
      </c>
      <c r="D32" s="27">
        <f t="shared" si="5"/>
        <v>1.8499565694315383</v>
      </c>
      <c r="E32" s="27">
        <f t="shared" si="5"/>
        <v>1.6941979778526723</v>
      </c>
      <c r="F32" s="27">
        <f t="shared" si="5"/>
        <v>1.2226820274170276</v>
      </c>
      <c r="G32" s="27">
        <f t="shared" si="5"/>
        <v>0.50363718399061108</v>
      </c>
      <c r="H32" s="27">
        <f t="shared" si="5"/>
        <v>0.79940416552058913</v>
      </c>
      <c r="I32" s="27">
        <f t="shared" si="5"/>
        <v>0.7683158578015048</v>
      </c>
      <c r="J32" s="27">
        <f t="shared" si="5"/>
        <v>-0.50424702801032339</v>
      </c>
      <c r="K32" s="27">
        <f t="shared" si="5"/>
        <v>-0.60701613972685997</v>
      </c>
      <c r="L32" s="27">
        <f t="shared" si="5"/>
        <v>-0.88611017503063882</v>
      </c>
      <c r="M32" s="27">
        <f t="shared" si="5"/>
        <v>-1.004593731465379</v>
      </c>
      <c r="N32" s="17"/>
      <c r="O32" s="8"/>
      <c r="P32" s="5"/>
      <c r="Q32" s="8"/>
      <c r="R32" s="5"/>
      <c r="S32" s="5"/>
      <c r="T32" s="5"/>
      <c r="U32" s="5"/>
      <c r="V32" s="5"/>
      <c r="W32" s="5"/>
      <c r="X32" s="5"/>
      <c r="Y32" s="5"/>
      <c r="Z32" s="5"/>
      <c r="AA32" s="50"/>
      <c r="AB32" s="8"/>
      <c r="AC32" s="8"/>
      <c r="AD32" s="8"/>
      <c r="AE32" s="8"/>
      <c r="AF32" s="8"/>
      <c r="AG32" s="8"/>
      <c r="AH32" s="8"/>
      <c r="AI32" s="8"/>
      <c r="AJ32" s="8"/>
      <c r="AK32" s="8"/>
      <c r="AL32" s="8"/>
    </row>
    <row r="33" spans="1:38" s="16" customFormat="1" x14ac:dyDescent="0.2">
      <c r="A33" s="10" t="s">
        <v>14</v>
      </c>
      <c r="B33" s="27">
        <f>'[12]Pacific Comm Credit'!$M$33</f>
        <v>0.83</v>
      </c>
      <c r="C33" s="27">
        <f>'[12]Pacific Comm Credit'!$M$33</f>
        <v>0.83</v>
      </c>
      <c r="D33" s="27">
        <f>'[12]Pacific Comm Credit'!$N$38</f>
        <v>1.35</v>
      </c>
      <c r="E33" s="27">
        <f>'[12]Pacific Comm Credit'!$N$38</f>
        <v>1.35</v>
      </c>
      <c r="F33" s="27">
        <f>'[12]Pacific Comm Credit'!$N$38</f>
        <v>1.35</v>
      </c>
      <c r="G33" s="27">
        <f>'[12]Pacific Comm Credit'!$N$38</f>
        <v>1.35</v>
      </c>
      <c r="H33" s="27">
        <f>'[12]Pacific Comm Credit'!$N$38</f>
        <v>1.35</v>
      </c>
      <c r="I33" s="27">
        <f>'[12]Pacific Comm Credit'!$N$38</f>
        <v>1.35</v>
      </c>
      <c r="J33" s="27">
        <f>'[12]Pacific Comm Credit'!$N$38</f>
        <v>1.35</v>
      </c>
      <c r="K33" s="27">
        <f>'[12]Pacific Comm Credit'!$N$38</f>
        <v>1.35</v>
      </c>
      <c r="L33" s="27">
        <f>'[12]Pacific Comm Credit'!$N$38</f>
        <v>1.35</v>
      </c>
      <c r="M33" s="27">
        <f>'[12]Pacific Comm Credit'!$N$38</f>
        <v>1.35</v>
      </c>
      <c r="N33" s="17"/>
      <c r="O33" s="8"/>
      <c r="P33" s="5"/>
      <c r="Q33" s="8"/>
      <c r="R33" s="5"/>
      <c r="S33" s="5"/>
      <c r="T33" s="5"/>
      <c r="U33" s="5"/>
      <c r="V33" s="5"/>
      <c r="W33" s="5"/>
      <c r="X33" s="5"/>
      <c r="Y33" s="5"/>
      <c r="Z33" s="5"/>
      <c r="AA33" s="8"/>
      <c r="AB33" s="8"/>
      <c r="AC33" s="8"/>
      <c r="AD33" s="8"/>
      <c r="AE33" s="8"/>
      <c r="AF33" s="8"/>
      <c r="AG33" s="8"/>
      <c r="AH33" s="8"/>
      <c r="AI33" s="8"/>
      <c r="AJ33" s="8"/>
      <c r="AK33" s="8"/>
      <c r="AL33" s="8"/>
    </row>
    <row r="34" spans="1:38" s="16" customFormat="1" x14ac:dyDescent="0.2">
      <c r="A34" s="10"/>
      <c r="B34" s="27"/>
      <c r="C34" s="27"/>
      <c r="D34" s="27"/>
      <c r="E34" s="27"/>
      <c r="F34" s="27"/>
      <c r="G34" s="27"/>
      <c r="H34" s="27"/>
      <c r="I34" s="27"/>
      <c r="J34" s="27"/>
      <c r="K34" s="27"/>
      <c r="L34" s="27"/>
      <c r="M34" s="27"/>
      <c r="N34" s="17"/>
      <c r="O34" s="8"/>
      <c r="P34" s="5"/>
      <c r="Q34" s="8"/>
      <c r="R34" s="5"/>
      <c r="S34" s="5"/>
      <c r="T34" s="5"/>
      <c r="U34" s="5"/>
      <c r="V34" s="5"/>
      <c r="W34" s="5"/>
      <c r="X34" s="5"/>
      <c r="Y34" s="5"/>
      <c r="Z34" s="5"/>
      <c r="AA34" s="8"/>
      <c r="AB34" s="8"/>
      <c r="AC34" s="8"/>
      <c r="AD34" s="8"/>
      <c r="AE34" s="8"/>
      <c r="AF34" s="8"/>
      <c r="AG34" s="8"/>
      <c r="AH34" s="8"/>
      <c r="AI34" s="8"/>
      <c r="AJ34" s="8"/>
      <c r="AK34" s="8"/>
      <c r="AL34" s="8"/>
    </row>
    <row r="35" spans="1:38" s="19" customFormat="1" x14ac:dyDescent="0.2">
      <c r="A35" s="13" t="s">
        <v>17</v>
      </c>
      <c r="B35" s="59">
        <f t="shared" ref="B35:I35" si="6">+(B32-B33)*B30</f>
        <v>28852.763350000016</v>
      </c>
      <c r="C35" s="59">
        <f>+(C32-C33)*C30</f>
        <v>47629.567999999985</v>
      </c>
      <c r="D35" s="59">
        <f t="shared" si="6"/>
        <v>24748.850100000003</v>
      </c>
      <c r="E35" s="59">
        <f t="shared" si="6"/>
        <v>17157.580800000007</v>
      </c>
      <c r="F35" s="59">
        <f t="shared" si="6"/>
        <v>-6352.657559999996</v>
      </c>
      <c r="G35" s="59">
        <f t="shared" si="6"/>
        <v>-41828.096730000012</v>
      </c>
      <c r="H35" s="59">
        <f t="shared" si="6"/>
        <v>-27223.660439999996</v>
      </c>
      <c r="I35" s="59">
        <f t="shared" si="6"/>
        <v>-28765.444199999991</v>
      </c>
      <c r="J35" s="59">
        <f>+(J32-J33)*J30</f>
        <v>-91850.126532491369</v>
      </c>
      <c r="K35" s="59">
        <f>+(K32-K33)*K30</f>
        <v>-96884.041013317939</v>
      </c>
      <c r="L35" s="59">
        <f>+(L32-L33)*L30</f>
        <v>-111246.48120777428</v>
      </c>
      <c r="M35" s="59">
        <f>+(M32-M33)*M30</f>
        <v>-117746.16872938922</v>
      </c>
      <c r="N35" s="60">
        <f>SUM(B35:M35)</f>
        <v>-403507.91416297277</v>
      </c>
      <c r="O35" s="7"/>
      <c r="P35" s="7"/>
      <c r="Q35" s="7"/>
      <c r="R35" s="7"/>
      <c r="S35" s="7"/>
      <c r="T35" s="7"/>
      <c r="U35" s="7"/>
      <c r="V35" s="7"/>
      <c r="W35" s="7"/>
      <c r="X35" s="7"/>
      <c r="Y35" s="7"/>
      <c r="Z35" s="7"/>
      <c r="AA35" s="7"/>
      <c r="AB35" s="7"/>
      <c r="AC35" s="7"/>
      <c r="AD35" s="7"/>
      <c r="AE35" s="7"/>
      <c r="AF35" s="7"/>
      <c r="AG35" s="7"/>
      <c r="AH35" s="7"/>
      <c r="AI35" s="7"/>
      <c r="AJ35" s="7"/>
      <c r="AK35" s="7"/>
      <c r="AL35" s="7"/>
    </row>
    <row r="36" spans="1:38" s="16" customFormat="1" x14ac:dyDescent="0.2">
      <c r="A36" s="10"/>
      <c r="B36" s="11"/>
      <c r="C36" s="11"/>
      <c r="D36" s="11"/>
      <c r="E36" s="11"/>
      <c r="F36" s="11"/>
      <c r="G36" s="11"/>
      <c r="H36" s="11"/>
      <c r="I36" s="11"/>
      <c r="J36" s="11"/>
      <c r="K36" s="11"/>
      <c r="L36" s="11"/>
      <c r="M36" s="11"/>
      <c r="N36" s="8"/>
      <c r="O36" s="8"/>
      <c r="P36" s="8"/>
      <c r="Q36" s="8"/>
      <c r="R36" s="8"/>
      <c r="S36" s="8"/>
      <c r="T36" s="8"/>
      <c r="U36" s="8"/>
      <c r="V36" s="8"/>
      <c r="W36" s="8"/>
      <c r="X36" s="8"/>
      <c r="Y36" s="8"/>
      <c r="Z36" s="8"/>
      <c r="AA36" s="8"/>
      <c r="AB36" s="8"/>
      <c r="AC36" s="8"/>
      <c r="AD36" s="8"/>
      <c r="AE36" s="8"/>
      <c r="AF36" s="8"/>
      <c r="AG36" s="8"/>
      <c r="AH36" s="8"/>
      <c r="AI36" s="8"/>
      <c r="AJ36" s="8"/>
      <c r="AK36" s="8"/>
      <c r="AL36" s="8"/>
    </row>
    <row r="37" spans="1:38" x14ac:dyDescent="0.2">
      <c r="A37" s="16"/>
      <c r="B37" s="28"/>
      <c r="C37" s="28"/>
      <c r="D37" s="28"/>
      <c r="E37" s="28"/>
      <c r="F37" s="28"/>
      <c r="G37" s="28"/>
      <c r="H37" s="28"/>
      <c r="I37" s="28"/>
      <c r="J37" s="28"/>
      <c r="K37" s="28"/>
      <c r="L37" s="28"/>
      <c r="M37" s="21" t="s">
        <v>18</v>
      </c>
      <c r="N37" s="17">
        <f>ROUND(N35/N30,2)</f>
        <v>-0.68</v>
      </c>
      <c r="O37" s="5"/>
      <c r="Q37" s="8"/>
      <c r="X37" s="51"/>
      <c r="Y37" s="51"/>
      <c r="Z37" s="51"/>
      <c r="AA37" s="52"/>
    </row>
    <row r="38" spans="1:38" x14ac:dyDescent="0.2">
      <c r="A38" s="71" t="s">
        <v>29</v>
      </c>
      <c r="B38" s="2">
        <v>43069</v>
      </c>
      <c r="C38" s="2">
        <v>43100</v>
      </c>
      <c r="D38" s="2">
        <v>43131</v>
      </c>
      <c r="E38" s="2">
        <v>43159</v>
      </c>
      <c r="F38" s="2">
        <v>43190</v>
      </c>
      <c r="G38" s="2">
        <v>43220</v>
      </c>
      <c r="H38" s="21"/>
      <c r="I38" s="21"/>
      <c r="J38" s="21"/>
      <c r="K38" s="21"/>
      <c r="L38" s="21"/>
      <c r="M38" s="21" t="s">
        <v>21</v>
      </c>
      <c r="N38" s="17">
        <f>SUM(B42:G42)/SUM(H30:M30)</f>
        <v>-1.1456429004883295</v>
      </c>
      <c r="O38" s="44"/>
      <c r="X38" s="51"/>
      <c r="Y38" s="51"/>
      <c r="Z38" s="51"/>
      <c r="AA38" s="44"/>
    </row>
    <row r="39" spans="1:38" ht="25.5" x14ac:dyDescent="0.2">
      <c r="A39" s="62" t="s">
        <v>30</v>
      </c>
      <c r="B39" s="46">
        <f>H17-45</f>
        <v>-9.8129999999999953</v>
      </c>
      <c r="C39" s="46">
        <f t="shared" ref="C39:G39" si="7">I17-45</f>
        <v>-12.064999999999976</v>
      </c>
      <c r="D39" s="46">
        <f t="shared" si="7"/>
        <v>-63.190220000000004</v>
      </c>
      <c r="E39" s="46">
        <f t="shared" si="7"/>
        <v>-78.529719999999998</v>
      </c>
      <c r="F39" s="46">
        <f t="shared" si="7"/>
        <v>-83.297619999999981</v>
      </c>
      <c r="G39" s="46">
        <f t="shared" si="7"/>
        <v>-95.726408000000006</v>
      </c>
      <c r="J39" s="21"/>
      <c r="K39" s="21"/>
      <c r="L39" s="21"/>
      <c r="M39" s="42" t="s">
        <v>31</v>
      </c>
      <c r="N39" s="18">
        <f>SUM(N37:N38)</f>
        <v>-1.8256429004883294</v>
      </c>
      <c r="X39" s="51"/>
      <c r="Y39" s="51"/>
      <c r="Z39" s="51"/>
      <c r="AA39" s="53"/>
    </row>
    <row r="40" spans="1:38" ht="25.5" x14ac:dyDescent="0.2">
      <c r="A40" s="62" t="s">
        <v>32</v>
      </c>
      <c r="B40" s="36">
        <f>H11*B39</f>
        <v>-10066.960439999997</v>
      </c>
      <c r="C40" s="36">
        <f t="shared" ref="C40:G40" si="8">I11*C39</f>
        <v>-12507.544199999973</v>
      </c>
      <c r="D40" s="36">
        <f t="shared" si="8"/>
        <v>-71384.202492491371</v>
      </c>
      <c r="E40" s="36">
        <f t="shared" si="8"/>
        <v>-63523.745633317929</v>
      </c>
      <c r="F40" s="36">
        <f t="shared" si="8"/>
        <v>-88129.967827774264</v>
      </c>
      <c r="G40" s="36">
        <f t="shared" si="8"/>
        <v>-88408.397024389211</v>
      </c>
      <c r="H40" s="21"/>
      <c r="I40" s="21"/>
      <c r="J40" s="21"/>
      <c r="K40" s="21"/>
      <c r="L40" s="21"/>
      <c r="M40" s="21"/>
      <c r="N40" s="20"/>
      <c r="X40" s="51"/>
      <c r="Y40" s="51"/>
      <c r="Z40" s="51"/>
      <c r="AA40" s="53"/>
    </row>
    <row r="41" spans="1:38" x14ac:dyDescent="0.2">
      <c r="A41" s="62" t="s">
        <v>33</v>
      </c>
      <c r="B41" s="72">
        <f>H12*H18</f>
        <v>3428.1000000000004</v>
      </c>
      <c r="C41" s="72">
        <f t="shared" ref="C41:G41" si="9">I12*I18</f>
        <v>3851.7</v>
      </c>
      <c r="D41" s="72">
        <f t="shared" si="9"/>
        <v>-4428.8999999999996</v>
      </c>
      <c r="E41" s="72">
        <f t="shared" si="9"/>
        <v>-2928.3</v>
      </c>
      <c r="F41" s="72">
        <f t="shared" si="9"/>
        <v>-3564.6</v>
      </c>
      <c r="G41" s="72">
        <f t="shared" si="9"/>
        <v>-3388.2</v>
      </c>
      <c r="H41" s="39"/>
      <c r="I41" s="39"/>
      <c r="J41" s="21"/>
      <c r="K41" s="21"/>
      <c r="L41" s="21"/>
      <c r="M41" s="21" t="s">
        <v>34</v>
      </c>
      <c r="N41" s="5">
        <v>1.81</v>
      </c>
      <c r="Q41" s="8"/>
      <c r="R41" s="8"/>
      <c r="S41" s="55"/>
      <c r="X41" s="8"/>
      <c r="Y41" s="8"/>
      <c r="Z41" s="51"/>
    </row>
    <row r="42" spans="1:38" x14ac:dyDescent="0.2">
      <c r="A42" s="73" t="s">
        <v>35</v>
      </c>
      <c r="B42" s="74">
        <f>SUM(B40:B41)</f>
        <v>-6638.8604399999967</v>
      </c>
      <c r="C42" s="74">
        <f t="shared" ref="C42:G42" si="10">SUM(C40:C41)</f>
        <v>-8655.8441999999741</v>
      </c>
      <c r="D42" s="74">
        <f t="shared" si="10"/>
        <v>-75813.102492491365</v>
      </c>
      <c r="E42" s="74">
        <f t="shared" si="10"/>
        <v>-66452.045633317932</v>
      </c>
      <c r="F42" s="74">
        <f t="shared" si="10"/>
        <v>-91694.56782777427</v>
      </c>
      <c r="G42" s="74">
        <f t="shared" si="10"/>
        <v>-91796.597024389208</v>
      </c>
      <c r="H42" s="21"/>
      <c r="I42" s="21"/>
      <c r="J42" s="21"/>
      <c r="K42" s="21"/>
      <c r="L42" s="21"/>
      <c r="M42" s="21" t="s">
        <v>15</v>
      </c>
      <c r="N42" s="5">
        <f>N41-N39</f>
        <v>3.6356429004883295</v>
      </c>
      <c r="O42" s="56">
        <f>N42/N41</f>
        <v>2.0086424864576404</v>
      </c>
      <c r="X42" s="8"/>
      <c r="Y42" s="8"/>
      <c r="Z42" s="51"/>
    </row>
    <row r="43" spans="1:38" x14ac:dyDescent="0.2">
      <c r="A43" s="10"/>
      <c r="B43" s="21"/>
      <c r="C43" s="21"/>
      <c r="D43" s="21"/>
      <c r="E43" s="21"/>
      <c r="F43" s="21"/>
      <c r="G43" s="21"/>
      <c r="H43" s="21"/>
      <c r="I43" s="21"/>
      <c r="J43" s="21"/>
      <c r="K43" s="21"/>
      <c r="L43" s="21"/>
      <c r="M43" s="21" t="s">
        <v>36</v>
      </c>
      <c r="N43" s="8">
        <f>N42*M30*12</f>
        <v>2181691.1342966389</v>
      </c>
      <c r="P43" s="44"/>
      <c r="R43" s="44"/>
      <c r="S43" s="44"/>
      <c r="T43" s="44"/>
      <c r="U43" s="44"/>
      <c r="V43" s="44"/>
      <c r="W43" s="44"/>
      <c r="X43" s="44"/>
      <c r="Y43" s="44"/>
      <c r="Z43" s="44"/>
    </row>
    <row r="44" spans="1:38" x14ac:dyDescent="0.2">
      <c r="A44" s="10"/>
      <c r="B44" s="21"/>
      <c r="C44" s="21"/>
      <c r="D44" s="21"/>
      <c r="E44" s="21"/>
      <c r="F44" s="21"/>
      <c r="G44" s="21"/>
      <c r="H44" s="21"/>
      <c r="I44" s="21"/>
      <c r="J44" s="21"/>
      <c r="K44" s="21"/>
      <c r="L44" s="21"/>
      <c r="M44" s="21"/>
      <c r="N44" s="8"/>
      <c r="P44" s="44"/>
      <c r="R44" s="44"/>
      <c r="S44" s="44"/>
      <c r="T44" s="44"/>
      <c r="U44" s="44"/>
      <c r="V44" s="44"/>
      <c r="W44" s="44"/>
      <c r="X44" s="44"/>
      <c r="Y44" s="44"/>
      <c r="Z44" s="44"/>
    </row>
    <row r="45" spans="1:38" x14ac:dyDescent="0.2">
      <c r="A45" s="10"/>
      <c r="B45" s="11"/>
      <c r="C45" s="11"/>
      <c r="D45" s="11"/>
      <c r="E45" s="11"/>
      <c r="F45" s="11"/>
      <c r="G45" s="11"/>
      <c r="H45" s="11"/>
      <c r="I45" s="11"/>
      <c r="J45" s="11"/>
      <c r="K45" s="11"/>
      <c r="L45" s="11"/>
      <c r="M45" s="11"/>
      <c r="N45" s="8"/>
    </row>
    <row r="46" spans="1:38" x14ac:dyDescent="0.2">
      <c r="A46" s="29"/>
      <c r="B46" s="1"/>
      <c r="C46" s="1"/>
      <c r="D46" s="1"/>
      <c r="E46" s="1"/>
      <c r="F46" s="1"/>
      <c r="G46" s="1"/>
      <c r="H46" s="1"/>
      <c r="I46" s="1"/>
      <c r="J46" s="1"/>
      <c r="K46" s="1"/>
      <c r="L46" s="1"/>
      <c r="M46" s="1"/>
      <c r="N46" s="1" t="s">
        <v>28</v>
      </c>
      <c r="Y46" s="51"/>
      <c r="Z46" s="51"/>
      <c r="AA46" s="52"/>
    </row>
    <row r="47" spans="1:38" x14ac:dyDescent="0.2">
      <c r="A47" s="29" t="s">
        <v>16</v>
      </c>
      <c r="B47" s="2">
        <f>B6</f>
        <v>42886</v>
      </c>
      <c r="C47" s="2">
        <f>B47+30</f>
        <v>42916</v>
      </c>
      <c r="D47" s="2">
        <f t="shared" ref="D47:M47" si="11">C47+30</f>
        <v>42946</v>
      </c>
      <c r="E47" s="2">
        <f t="shared" si="11"/>
        <v>42976</v>
      </c>
      <c r="F47" s="2">
        <f t="shared" si="11"/>
        <v>43006</v>
      </c>
      <c r="G47" s="2">
        <f t="shared" si="11"/>
        <v>43036</v>
      </c>
      <c r="H47" s="2">
        <f t="shared" si="11"/>
        <v>43066</v>
      </c>
      <c r="I47" s="2">
        <f t="shared" si="11"/>
        <v>43096</v>
      </c>
      <c r="J47" s="2">
        <f t="shared" si="11"/>
        <v>43126</v>
      </c>
      <c r="K47" s="2">
        <f t="shared" si="11"/>
        <v>43156</v>
      </c>
      <c r="L47" s="2">
        <f t="shared" si="11"/>
        <v>43186</v>
      </c>
      <c r="M47" s="2">
        <f t="shared" si="11"/>
        <v>43216</v>
      </c>
      <c r="N47" s="2" t="s">
        <v>2</v>
      </c>
      <c r="Y47" s="51"/>
      <c r="Z47" s="51"/>
      <c r="AA47" s="44"/>
    </row>
    <row r="48" spans="1:38" x14ac:dyDescent="0.2">
      <c r="A48" s="25" t="s">
        <v>4</v>
      </c>
      <c r="B48" s="4"/>
      <c r="C48" s="4"/>
      <c r="D48" s="4"/>
      <c r="E48" s="4"/>
      <c r="F48" s="4"/>
      <c r="G48" s="4"/>
      <c r="H48" s="4"/>
      <c r="I48" s="4"/>
      <c r="J48" s="4"/>
      <c r="K48" s="4"/>
      <c r="L48" s="4"/>
      <c r="M48" s="4"/>
      <c r="N48" s="4"/>
      <c r="Y48" s="51"/>
      <c r="Z48" s="51"/>
      <c r="AA48" s="53"/>
    </row>
    <row r="49" spans="1:17" x14ac:dyDescent="0.2">
      <c r="A49" s="22" t="s">
        <v>5</v>
      </c>
      <c r="B49" s="11">
        <f>'[11]Pacific Comm Credit'!B41</f>
        <v>86.26</v>
      </c>
      <c r="C49" s="11">
        <f>'[11]Pacific Comm Credit'!C41</f>
        <v>82.469999999999985</v>
      </c>
      <c r="D49" s="11">
        <f>'[11]Pacific Comm Credit'!D41</f>
        <v>78.75</v>
      </c>
      <c r="E49" s="11">
        <f>'[11]Pacific Comm Credit'!E41</f>
        <v>86.26</v>
      </c>
      <c r="F49" s="11">
        <f>'[11]Pacific Comm Credit'!F41</f>
        <v>78.75</v>
      </c>
      <c r="G49" s="11">
        <f>'[11]Pacific Comm Credit'!G41</f>
        <v>82.46999999999997</v>
      </c>
      <c r="H49" s="11">
        <f>'[11]Pacific Comm Credit'!H41</f>
        <v>82.469999999999985</v>
      </c>
      <c r="I49" s="11">
        <f>'[11]Pacific Comm Credit'!I41</f>
        <v>78.75</v>
      </c>
      <c r="J49" s="11">
        <f>'[11]Pacific Comm Credit'!J41</f>
        <v>81.952767999999992</v>
      </c>
      <c r="K49" s="11">
        <f>'[11]Pacific Comm Credit'!K41</f>
        <v>75.019995999999992</v>
      </c>
      <c r="L49" s="11">
        <f>'[11]Pacific Comm Credit'!L41</f>
        <v>82.532999999999987</v>
      </c>
      <c r="M49" s="11">
        <f>'[11]Pacific Comm Credit'!M41</f>
        <v>81.245619000000005</v>
      </c>
      <c r="N49" s="5">
        <f>SUM(B49:M49)</f>
        <v>976.93138299999998</v>
      </c>
    </row>
    <row r="50" spans="1:17" x14ac:dyDescent="0.2">
      <c r="A50" s="22" t="s">
        <v>6</v>
      </c>
      <c r="B50" s="11">
        <f>'[11]Pacific Comm Credit'!B42</f>
        <v>23.49</v>
      </c>
      <c r="C50" s="11">
        <f>'[11]Pacific Comm Credit'!C42</f>
        <v>21.91</v>
      </c>
      <c r="D50" s="11">
        <f>'[11]Pacific Comm Credit'!D42</f>
        <v>22.130000000000003</v>
      </c>
      <c r="E50" s="11">
        <f>'[11]Pacific Comm Credit'!E42</f>
        <v>23.669999999999998</v>
      </c>
      <c r="F50" s="11">
        <f>'[11]Pacific Comm Credit'!F42</f>
        <v>21.419999999999998</v>
      </c>
      <c r="G50" s="11">
        <f>'[11]Pacific Comm Credit'!G42</f>
        <v>21.98</v>
      </c>
      <c r="H50" s="11">
        <f>'[11]Pacific Comm Credit'!H42</f>
        <v>21.11</v>
      </c>
      <c r="I50" s="11">
        <f>'[11]Pacific Comm Credit'!I42</f>
        <v>21.08</v>
      </c>
      <c r="J50" s="11">
        <f>'[11]Pacific Comm Credit'!J42</f>
        <v>23.409999999999997</v>
      </c>
      <c r="K50" s="11">
        <f>'[11]Pacific Comm Credit'!K42</f>
        <v>18.88</v>
      </c>
      <c r="L50" s="11">
        <f>'[11]Pacific Comm Credit'!L42</f>
        <v>21.29</v>
      </c>
      <c r="M50" s="11">
        <f>'[11]Pacific Comm Credit'!M42</f>
        <v>15.64</v>
      </c>
      <c r="N50" s="5">
        <f>SUM(B50:M50)</f>
        <v>256.00999999999993</v>
      </c>
    </row>
    <row r="51" spans="1:17" x14ac:dyDescent="0.2">
      <c r="B51" s="11"/>
      <c r="C51" s="11"/>
      <c r="D51" s="11"/>
      <c r="E51" s="11"/>
      <c r="F51" s="11"/>
      <c r="G51" s="11"/>
      <c r="H51" s="11"/>
      <c r="I51" s="11"/>
      <c r="J51" s="11"/>
      <c r="K51" s="11"/>
      <c r="L51" s="11"/>
      <c r="M51" s="11"/>
      <c r="N51" s="5"/>
    </row>
    <row r="52" spans="1:17" s="6" customFormat="1" x14ac:dyDescent="0.2">
      <c r="A52" s="6" t="s">
        <v>2</v>
      </c>
      <c r="B52" s="35">
        <f>SUM(B49:B51)</f>
        <v>109.75</v>
      </c>
      <c r="C52" s="35">
        <f>SUM(C49:C51)</f>
        <v>104.37999999999998</v>
      </c>
      <c r="D52" s="35">
        <f t="shared" ref="D52:K52" si="12">SUM(D49:D50)</f>
        <v>100.88</v>
      </c>
      <c r="E52" s="35">
        <f t="shared" si="12"/>
        <v>109.93</v>
      </c>
      <c r="F52" s="35">
        <f t="shared" si="12"/>
        <v>100.17</v>
      </c>
      <c r="G52" s="35">
        <f t="shared" si="12"/>
        <v>104.44999999999997</v>
      </c>
      <c r="H52" s="35">
        <f t="shared" si="12"/>
        <v>103.57999999999998</v>
      </c>
      <c r="I52" s="35">
        <f t="shared" si="12"/>
        <v>99.83</v>
      </c>
      <c r="J52" s="35">
        <f t="shared" si="12"/>
        <v>105.36276799999999</v>
      </c>
      <c r="K52" s="35">
        <f t="shared" si="12"/>
        <v>93.899995999999987</v>
      </c>
      <c r="L52" s="35">
        <f>SUM(L49:L50)</f>
        <v>103.82299999999998</v>
      </c>
      <c r="M52" s="35">
        <f>SUM(M49:M50)</f>
        <v>96.885619000000005</v>
      </c>
      <c r="N52" s="35">
        <f>SUM(N49:N51)</f>
        <v>1232.9413829999999</v>
      </c>
      <c r="O52" s="57"/>
      <c r="P52" s="45"/>
      <c r="Q52" s="57"/>
    </row>
    <row r="54" spans="1:17" x14ac:dyDescent="0.2">
      <c r="A54" s="26" t="s">
        <v>20</v>
      </c>
    </row>
    <row r="55" spans="1:17" x14ac:dyDescent="0.2">
      <c r="A55" s="22" t="s">
        <v>5</v>
      </c>
      <c r="B55" s="27">
        <f>B17</f>
        <v>62.714999999999996</v>
      </c>
      <c r="C55" s="27">
        <f t="shared" ref="C55:M56" si="13">C17</f>
        <v>85.117999999999995</v>
      </c>
      <c r="D55" s="27">
        <f t="shared" si="13"/>
        <v>94.094999999999999</v>
      </c>
      <c r="E55" s="27">
        <f t="shared" si="13"/>
        <v>80.64</v>
      </c>
      <c r="F55" s="27">
        <f t="shared" si="13"/>
        <v>61.322000000000017</v>
      </c>
      <c r="G55" s="27">
        <f t="shared" si="13"/>
        <v>22.388999999999996</v>
      </c>
      <c r="H55" s="27">
        <f t="shared" si="13"/>
        <v>35.187000000000005</v>
      </c>
      <c r="I55" s="27">
        <f t="shared" si="13"/>
        <v>32.935000000000024</v>
      </c>
      <c r="J55" s="27">
        <f t="shared" si="13"/>
        <v>-18.190220000000004</v>
      </c>
      <c r="K55" s="27">
        <f t="shared" si="13"/>
        <v>-33.529720000000005</v>
      </c>
      <c r="L55" s="27">
        <f t="shared" si="13"/>
        <v>-38.297619999999981</v>
      </c>
      <c r="M55" s="27">
        <f t="shared" si="13"/>
        <v>-50.726408000000006</v>
      </c>
      <c r="N55" s="8"/>
    </row>
    <row r="56" spans="1:17" x14ac:dyDescent="0.2">
      <c r="A56" s="22" t="s">
        <v>6</v>
      </c>
      <c r="B56" s="27">
        <f>B18</f>
        <v>30</v>
      </c>
      <c r="C56" s="27">
        <f t="shared" si="13"/>
        <v>30</v>
      </c>
      <c r="D56" s="27">
        <f t="shared" si="13"/>
        <v>30</v>
      </c>
      <c r="E56" s="27">
        <f t="shared" si="13"/>
        <v>30</v>
      </c>
      <c r="F56" s="27">
        <f t="shared" si="13"/>
        <v>30</v>
      </c>
      <c r="G56" s="27">
        <f t="shared" si="13"/>
        <v>30</v>
      </c>
      <c r="H56" s="27">
        <f t="shared" si="13"/>
        <v>30</v>
      </c>
      <c r="I56" s="27">
        <f t="shared" si="13"/>
        <v>30</v>
      </c>
      <c r="J56" s="27">
        <f t="shared" si="13"/>
        <v>-30</v>
      </c>
      <c r="K56" s="27">
        <f t="shared" si="13"/>
        <v>-30</v>
      </c>
      <c r="L56" s="27">
        <f t="shared" si="13"/>
        <v>-30</v>
      </c>
      <c r="M56" s="27">
        <f t="shared" si="13"/>
        <v>-30</v>
      </c>
      <c r="N56" s="8"/>
    </row>
    <row r="58" spans="1:17" x14ac:dyDescent="0.2">
      <c r="A58" s="26" t="s">
        <v>8</v>
      </c>
    </row>
    <row r="59" spans="1:17" x14ac:dyDescent="0.2">
      <c r="A59" s="22" t="s">
        <v>5</v>
      </c>
      <c r="B59" s="36">
        <f>B49*B55</f>
        <v>5409.7959000000001</v>
      </c>
      <c r="C59" s="36">
        <f>C49*C55</f>
        <v>7019.681459999998</v>
      </c>
      <c r="D59" s="36">
        <f t="shared" ref="D59:M59" si="14">+D49*D55</f>
        <v>7409.9812499999998</v>
      </c>
      <c r="E59" s="36">
        <f t="shared" si="14"/>
        <v>6956.0064000000002</v>
      </c>
      <c r="F59" s="36">
        <f t="shared" si="14"/>
        <v>4829.107500000001</v>
      </c>
      <c r="G59" s="36">
        <f t="shared" si="14"/>
        <v>1846.4208299999989</v>
      </c>
      <c r="H59" s="36">
        <f t="shared" si="14"/>
        <v>2901.8718899999999</v>
      </c>
      <c r="I59" s="36">
        <f t="shared" si="14"/>
        <v>2593.6312500000017</v>
      </c>
      <c r="J59" s="36">
        <f t="shared" si="14"/>
        <v>-1490.7388795289601</v>
      </c>
      <c r="K59" s="36">
        <f t="shared" si="14"/>
        <v>-2515.3994602811199</v>
      </c>
      <c r="L59" s="36">
        <f t="shared" si="14"/>
        <v>-3160.8174714599977</v>
      </c>
      <c r="M59" s="36">
        <f t="shared" si="14"/>
        <v>-4121.2984176065529</v>
      </c>
      <c r="N59" s="9">
        <f>SUM(B59:M59)</f>
        <v>27678.242251123367</v>
      </c>
    </row>
    <row r="60" spans="1:17" x14ac:dyDescent="0.2">
      <c r="A60" s="22" t="s">
        <v>6</v>
      </c>
      <c r="B60" s="36">
        <f>B50*B56</f>
        <v>704.69999999999993</v>
      </c>
      <c r="C60" s="36">
        <f>C50*C56</f>
        <v>657.3</v>
      </c>
      <c r="D60" s="36">
        <f>+D56*D50</f>
        <v>663.90000000000009</v>
      </c>
      <c r="E60" s="36">
        <f t="shared" ref="E60:M60" si="15">+E56*E50</f>
        <v>710.09999999999991</v>
      </c>
      <c r="F60" s="36">
        <f t="shared" si="15"/>
        <v>642.59999999999991</v>
      </c>
      <c r="G60" s="36">
        <f t="shared" si="15"/>
        <v>659.4</v>
      </c>
      <c r="H60" s="36">
        <f t="shared" si="15"/>
        <v>633.29999999999995</v>
      </c>
      <c r="I60" s="36">
        <f t="shared" si="15"/>
        <v>632.4</v>
      </c>
      <c r="J60" s="36">
        <f t="shared" si="15"/>
        <v>-702.3</v>
      </c>
      <c r="K60" s="36">
        <f t="shared" si="15"/>
        <v>-566.4</v>
      </c>
      <c r="L60" s="36">
        <f t="shared" si="15"/>
        <v>-638.69999999999993</v>
      </c>
      <c r="M60" s="36">
        <f t="shared" si="15"/>
        <v>-469.20000000000005</v>
      </c>
      <c r="N60" s="9">
        <f>SUM(B60:M60)</f>
        <v>2927.0999999999995</v>
      </c>
    </row>
    <row r="61" spans="1:17" x14ac:dyDescent="0.2">
      <c r="B61" s="16"/>
      <c r="C61" s="16"/>
      <c r="D61" s="16"/>
      <c r="E61" s="16"/>
      <c r="F61" s="16"/>
      <c r="G61" s="16"/>
      <c r="H61" s="16"/>
      <c r="I61" s="16"/>
      <c r="J61" s="16"/>
      <c r="K61" s="16"/>
      <c r="L61" s="16"/>
      <c r="M61" s="16"/>
      <c r="N61" s="8"/>
    </row>
    <row r="62" spans="1:17" s="6" customFormat="1" x14ac:dyDescent="0.2">
      <c r="A62" s="6" t="s">
        <v>9</v>
      </c>
      <c r="B62" s="37">
        <f>SUM(B59:B60)</f>
        <v>6114.4958999999999</v>
      </c>
      <c r="C62" s="37">
        <f t="shared" ref="C62:I62" si="16">SUM(C59:C60)</f>
        <v>7676.9814599999982</v>
      </c>
      <c r="D62" s="37">
        <f t="shared" si="16"/>
        <v>8073.8812500000004</v>
      </c>
      <c r="E62" s="37">
        <f t="shared" si="16"/>
        <v>7666.1064000000006</v>
      </c>
      <c r="F62" s="37">
        <f t="shared" si="16"/>
        <v>5471.7075000000004</v>
      </c>
      <c r="G62" s="37">
        <f t="shared" si="16"/>
        <v>2505.8208299999988</v>
      </c>
      <c r="H62" s="37">
        <f t="shared" si="16"/>
        <v>3535.1718899999996</v>
      </c>
      <c r="I62" s="37">
        <f t="shared" si="16"/>
        <v>3226.0312500000018</v>
      </c>
      <c r="J62" s="37">
        <f>SUM(J59:J60)</f>
        <v>-2193.03887952896</v>
      </c>
      <c r="K62" s="37">
        <f>SUM(K59:K60)</f>
        <v>-3081.79946028112</v>
      </c>
      <c r="L62" s="37">
        <f>SUM(L59:L60)</f>
        <v>-3799.5174714599975</v>
      </c>
      <c r="M62" s="37">
        <f>SUM(M59:M60)</f>
        <v>-4590.4984176065527</v>
      </c>
      <c r="N62" s="40">
        <f>SUM(N59:N60)</f>
        <v>30605.342251123366</v>
      </c>
      <c r="O62" s="54"/>
    </row>
    <row r="63" spans="1:17" x14ac:dyDescent="0.2">
      <c r="B63" s="16"/>
      <c r="C63" s="16"/>
      <c r="D63" s="16"/>
      <c r="E63" s="16"/>
      <c r="F63" s="16"/>
      <c r="G63" s="16"/>
      <c r="H63" s="16"/>
      <c r="I63" s="16"/>
      <c r="J63" s="16"/>
      <c r="K63" s="16"/>
      <c r="L63" s="16"/>
      <c r="M63" s="16"/>
      <c r="N63" s="8"/>
    </row>
    <row r="64" spans="1:17" x14ac:dyDescent="0.2">
      <c r="B64" s="16"/>
      <c r="C64" s="16"/>
      <c r="D64" s="16"/>
      <c r="E64" s="16"/>
      <c r="F64" s="16"/>
      <c r="G64" s="16"/>
      <c r="H64" s="16"/>
      <c r="I64" s="16"/>
      <c r="J64" s="16"/>
      <c r="K64" s="16"/>
      <c r="L64" s="16"/>
      <c r="M64" s="16"/>
      <c r="N64" s="8"/>
    </row>
    <row r="65" spans="1:19" x14ac:dyDescent="0.2">
      <c r="A65" s="10" t="s">
        <v>10</v>
      </c>
      <c r="B65" s="16">
        <f>'[11]Pacific Comm Credit'!B55</f>
        <v>9727</v>
      </c>
      <c r="C65" s="16">
        <f>'[11]Pacific Comm Credit'!C55</f>
        <v>9727</v>
      </c>
      <c r="D65" s="16">
        <f>'[11]Pacific Comm Credit'!D55</f>
        <v>9711</v>
      </c>
      <c r="E65" s="16">
        <f>'[11]Pacific Comm Credit'!E55</f>
        <v>9880</v>
      </c>
      <c r="F65" s="16">
        <f>'[11]Pacific Comm Credit'!F55</f>
        <v>9954</v>
      </c>
      <c r="G65" s="16">
        <f>'[11]Pacific Comm Credit'!G55</f>
        <v>9954</v>
      </c>
      <c r="H65" s="16">
        <f>'[11]Pacific Comm Credit'!H55</f>
        <v>9916</v>
      </c>
      <c r="I65" s="16">
        <f>'[11]Pacific Comm Credit'!I55</f>
        <v>10129</v>
      </c>
      <c r="J65" s="16">
        <f>'[11]Pacific Comm Credit'!J55</f>
        <v>10127</v>
      </c>
      <c r="K65" s="16">
        <f>'[11]Pacific Comm Credit'!K55</f>
        <v>10131</v>
      </c>
      <c r="L65" s="16">
        <f>'[11]Pacific Comm Credit'!L55</f>
        <v>10081</v>
      </c>
      <c r="M65" s="16">
        <f>'[11]Pacific Comm Credit'!M55</f>
        <v>10240</v>
      </c>
      <c r="N65" s="8">
        <f>SUM(B65:M65)</f>
        <v>119577</v>
      </c>
    </row>
    <row r="66" spans="1:19" x14ac:dyDescent="0.2">
      <c r="A66" s="10" t="s">
        <v>11</v>
      </c>
      <c r="B66" s="16">
        <f>'[11]Pacific Comm Credit'!B56</f>
        <v>397</v>
      </c>
      <c r="C66" s="16">
        <f>'[11]Pacific Comm Credit'!C56</f>
        <v>407</v>
      </c>
      <c r="D66" s="16">
        <f>'[11]Pacific Comm Credit'!D56</f>
        <v>407</v>
      </c>
      <c r="E66" s="16">
        <f>'[11]Pacific Comm Credit'!E56</f>
        <v>407</v>
      </c>
      <c r="F66" s="16">
        <f>'[11]Pacific Comm Credit'!F56</f>
        <v>407</v>
      </c>
      <c r="G66" s="16">
        <f>'[11]Pacific Comm Credit'!G56</f>
        <v>407</v>
      </c>
      <c r="H66" s="16">
        <f>'[11]Pacific Comm Credit'!H56</f>
        <v>407</v>
      </c>
      <c r="I66" s="16">
        <f>'[11]Pacific Comm Credit'!I56</f>
        <v>405</v>
      </c>
      <c r="J66" s="16">
        <f>'[11]Pacific Comm Credit'!J56</f>
        <v>405</v>
      </c>
      <c r="K66" s="16">
        <f>'[11]Pacific Comm Credit'!K56</f>
        <v>405</v>
      </c>
      <c r="L66" s="16">
        <f>'[11]Pacific Comm Credit'!L56</f>
        <v>405</v>
      </c>
      <c r="M66" s="16">
        <f>'[11]Pacific Comm Credit'!M56</f>
        <v>405</v>
      </c>
      <c r="N66" s="8">
        <f>SUM(B66:M66)</f>
        <v>4864</v>
      </c>
    </row>
    <row r="67" spans="1:19" x14ac:dyDescent="0.2">
      <c r="A67" s="10"/>
      <c r="B67" s="16"/>
      <c r="C67" s="16"/>
      <c r="D67" s="16"/>
      <c r="E67" s="16"/>
      <c r="F67" s="16"/>
      <c r="G67" s="16"/>
      <c r="H67" s="16"/>
      <c r="I67" s="16"/>
      <c r="J67" s="16"/>
      <c r="K67" s="16"/>
      <c r="L67" s="16"/>
      <c r="M67" s="16"/>
      <c r="N67" s="8"/>
    </row>
    <row r="68" spans="1:19" s="6" customFormat="1" x14ac:dyDescent="0.2">
      <c r="A68" s="13" t="s">
        <v>12</v>
      </c>
      <c r="B68" s="38">
        <f>+B65+B66</f>
        <v>10124</v>
      </c>
      <c r="C68" s="38">
        <f>+C65+C66</f>
        <v>10134</v>
      </c>
      <c r="D68" s="38">
        <f t="shared" ref="D68:M68" si="17">+D65+D66</f>
        <v>10118</v>
      </c>
      <c r="E68" s="38">
        <f>+E65+E66</f>
        <v>10287</v>
      </c>
      <c r="F68" s="38">
        <f>+F65+F66</f>
        <v>10361</v>
      </c>
      <c r="G68" s="38">
        <f t="shared" si="17"/>
        <v>10361</v>
      </c>
      <c r="H68" s="38">
        <f t="shared" si="17"/>
        <v>10323</v>
      </c>
      <c r="I68" s="38">
        <f t="shared" si="17"/>
        <v>10534</v>
      </c>
      <c r="J68" s="38">
        <f t="shared" si="17"/>
        <v>10532</v>
      </c>
      <c r="K68" s="38">
        <f t="shared" si="17"/>
        <v>10536</v>
      </c>
      <c r="L68" s="38">
        <f t="shared" si="17"/>
        <v>10486</v>
      </c>
      <c r="M68" s="38">
        <f t="shared" si="17"/>
        <v>10645</v>
      </c>
      <c r="N68" s="41">
        <f>SUM(N65:N66)</f>
        <v>124441</v>
      </c>
      <c r="O68" s="57"/>
      <c r="P68" s="45"/>
      <c r="Q68" s="57"/>
    </row>
    <row r="69" spans="1:19" x14ac:dyDescent="0.2">
      <c r="A69" s="10"/>
      <c r="B69" s="16"/>
      <c r="C69" s="16"/>
      <c r="D69" s="16"/>
      <c r="E69" s="16"/>
      <c r="F69" s="16"/>
      <c r="G69" s="16"/>
      <c r="H69" s="16"/>
      <c r="I69" s="16"/>
      <c r="J69" s="16"/>
      <c r="K69" s="16"/>
      <c r="L69" s="16"/>
      <c r="M69" s="16"/>
      <c r="N69" s="15"/>
    </row>
    <row r="70" spans="1:19" x14ac:dyDescent="0.2">
      <c r="A70" s="10" t="s">
        <v>13</v>
      </c>
      <c r="B70" s="27">
        <f>+IFERROR(B62/B68,0)</f>
        <v>0.6039604800474121</v>
      </c>
      <c r="C70" s="27">
        <f t="shared" ref="C70:M70" si="18">+IFERROR(C62/C68,0)</f>
        <v>0.75754701598579022</v>
      </c>
      <c r="D70" s="27">
        <f t="shared" si="18"/>
        <v>0.79797205475390398</v>
      </c>
      <c r="E70" s="27">
        <f t="shared" si="18"/>
        <v>0.74522274715660553</v>
      </c>
      <c r="F70" s="27">
        <f t="shared" si="18"/>
        <v>0.528106119100473</v>
      </c>
      <c r="G70" s="27">
        <f t="shared" si="18"/>
        <v>0.24185125277482855</v>
      </c>
      <c r="H70" s="27">
        <f t="shared" si="18"/>
        <v>0.34245586457425164</v>
      </c>
      <c r="I70" s="27">
        <f t="shared" si="18"/>
        <v>0.30624940668312151</v>
      </c>
      <c r="J70" s="27">
        <f t="shared" si="18"/>
        <v>-0.20822625137950626</v>
      </c>
      <c r="K70" s="27">
        <f t="shared" si="18"/>
        <v>-0.29250184702744114</v>
      </c>
      <c r="L70" s="27">
        <f t="shared" si="18"/>
        <v>-0.36234192937821835</v>
      </c>
      <c r="M70" s="27">
        <f t="shared" si="18"/>
        <v>-0.43123517309596548</v>
      </c>
      <c r="N70" s="5"/>
    </row>
    <row r="71" spans="1:19" x14ac:dyDescent="0.2">
      <c r="A71" s="10" t="s">
        <v>14</v>
      </c>
      <c r="B71" s="27">
        <f>'[12]Pacific Comm Credit'!$M$71</f>
        <v>0.5</v>
      </c>
      <c r="C71" s="27">
        <f>'[12]Pacific Comm Credit'!$M$71</f>
        <v>0.5</v>
      </c>
      <c r="D71" s="27">
        <f>'[12]Pacific Comm Credit'!$N$76</f>
        <v>0.64</v>
      </c>
      <c r="E71" s="27">
        <f>'[12]Pacific Comm Credit'!$N$76</f>
        <v>0.64</v>
      </c>
      <c r="F71" s="27">
        <f>'[12]Pacific Comm Credit'!$N$76</f>
        <v>0.64</v>
      </c>
      <c r="G71" s="27">
        <f>'[12]Pacific Comm Credit'!$N$76</f>
        <v>0.64</v>
      </c>
      <c r="H71" s="27">
        <f>'[12]Pacific Comm Credit'!$N$76</f>
        <v>0.64</v>
      </c>
      <c r="I71" s="27">
        <f>'[12]Pacific Comm Credit'!$N$76</f>
        <v>0.64</v>
      </c>
      <c r="J71" s="27">
        <f>'[12]Pacific Comm Credit'!$N$76</f>
        <v>0.64</v>
      </c>
      <c r="K71" s="27">
        <f>'[12]Pacific Comm Credit'!$N$76</f>
        <v>0.64</v>
      </c>
      <c r="L71" s="27">
        <f>'[12]Pacific Comm Credit'!$N$76</f>
        <v>0.64</v>
      </c>
      <c r="M71" s="27">
        <f>'[12]Pacific Comm Credit'!$N$76</f>
        <v>0.64</v>
      </c>
      <c r="N71" s="5"/>
    </row>
    <row r="72" spans="1:19" x14ac:dyDescent="0.2">
      <c r="A72" s="10"/>
      <c r="B72" s="27"/>
      <c r="C72" s="27"/>
      <c r="D72" s="27"/>
      <c r="E72" s="27"/>
      <c r="F72" s="27"/>
      <c r="G72" s="27"/>
      <c r="H72" s="27"/>
      <c r="I72" s="27"/>
      <c r="J72" s="27"/>
      <c r="K72" s="27"/>
      <c r="L72" s="27"/>
      <c r="M72" s="27"/>
      <c r="N72" s="5"/>
    </row>
    <row r="73" spans="1:19" s="6" customFormat="1" x14ac:dyDescent="0.2">
      <c r="A73" s="13" t="s">
        <v>17</v>
      </c>
      <c r="B73" s="59">
        <f t="shared" ref="B73:I73" si="19">+(B70-B71)*B68</f>
        <v>1052.4959000000001</v>
      </c>
      <c r="C73" s="59">
        <f t="shared" si="19"/>
        <v>2609.9814599999982</v>
      </c>
      <c r="D73" s="59">
        <f t="shared" si="19"/>
        <v>1598.3612500000004</v>
      </c>
      <c r="E73" s="59">
        <f t="shared" si="19"/>
        <v>1082.426400000001</v>
      </c>
      <c r="F73" s="59">
        <f t="shared" si="19"/>
        <v>-1159.3324999999993</v>
      </c>
      <c r="G73" s="59">
        <f t="shared" si="19"/>
        <v>-4125.2191700000012</v>
      </c>
      <c r="H73" s="59">
        <f t="shared" si="19"/>
        <v>-3071.5481100000006</v>
      </c>
      <c r="I73" s="59">
        <f t="shared" si="19"/>
        <v>-3515.7287499999984</v>
      </c>
      <c r="J73" s="59">
        <f>+(J70-J71)*J68</f>
        <v>-8933.5188795289596</v>
      </c>
      <c r="K73" s="59">
        <f>+(K70-K71)*K68</f>
        <v>-9824.8394602811186</v>
      </c>
      <c r="L73" s="59">
        <f>+(L70-L71)*L68</f>
        <v>-10510.557471459997</v>
      </c>
      <c r="M73" s="59">
        <f>+(M70-M71)*M68</f>
        <v>-11403.298417606553</v>
      </c>
      <c r="N73" s="60">
        <f>SUM(B73:M73)</f>
        <v>-46200.77774887663</v>
      </c>
    </row>
    <row r="74" spans="1:19" x14ac:dyDescent="0.2">
      <c r="A74" s="10"/>
      <c r="B74" s="11"/>
      <c r="C74" s="11"/>
      <c r="D74" s="11"/>
      <c r="E74" s="11"/>
      <c r="F74" s="11"/>
      <c r="G74" s="11"/>
      <c r="H74" s="11"/>
      <c r="I74" s="11"/>
      <c r="J74" s="11"/>
      <c r="K74" s="11"/>
      <c r="L74" s="11"/>
      <c r="M74" s="11"/>
      <c r="N74" s="8"/>
    </row>
    <row r="75" spans="1:19" x14ac:dyDescent="0.2">
      <c r="A75" s="16"/>
      <c r="B75" s="28"/>
      <c r="C75" s="28"/>
      <c r="D75" s="28"/>
      <c r="E75" s="28"/>
      <c r="F75" s="28"/>
      <c r="G75" s="28"/>
      <c r="H75" s="28"/>
      <c r="I75" s="28"/>
      <c r="J75" s="28"/>
      <c r="K75" s="28"/>
      <c r="L75" s="28"/>
      <c r="M75" s="21" t="s">
        <v>18</v>
      </c>
      <c r="N75" s="17">
        <f>ROUND(N73/N68,2)</f>
        <v>-0.37</v>
      </c>
    </row>
    <row r="76" spans="1:19" x14ac:dyDescent="0.2">
      <c r="A76" s="71" t="s">
        <v>29</v>
      </c>
      <c r="B76" s="2">
        <v>43069</v>
      </c>
      <c r="C76" s="2">
        <v>43100</v>
      </c>
      <c r="D76" s="2">
        <v>43131</v>
      </c>
      <c r="E76" s="2">
        <v>43159</v>
      </c>
      <c r="F76" s="2">
        <v>43190</v>
      </c>
      <c r="G76" s="2">
        <v>43220</v>
      </c>
      <c r="H76" s="21"/>
      <c r="I76" s="21"/>
      <c r="J76" s="21"/>
      <c r="K76" s="21"/>
      <c r="L76" s="21"/>
      <c r="M76" s="21" t="s">
        <v>21</v>
      </c>
      <c r="N76" s="17">
        <f>SUM(B79:G79)/SUM(H68:M68)</f>
        <v>-0.45344397557530808</v>
      </c>
    </row>
    <row r="77" spans="1:19" ht="25.5" x14ac:dyDescent="0.2">
      <c r="A77" s="62" t="s">
        <v>32</v>
      </c>
      <c r="B77" s="75">
        <f>H49*B39</f>
        <v>-809.27810999999951</v>
      </c>
      <c r="C77" s="75">
        <f t="shared" ref="C77:G77" si="20">I49*C39</f>
        <v>-950.11874999999816</v>
      </c>
      <c r="D77" s="75">
        <f t="shared" si="20"/>
        <v>-5178.61343952896</v>
      </c>
      <c r="E77" s="75">
        <f t="shared" si="20"/>
        <v>-5891.2992802811195</v>
      </c>
      <c r="F77" s="75">
        <f t="shared" si="20"/>
        <v>-6874.8024714599969</v>
      </c>
      <c r="G77" s="75">
        <f t="shared" si="20"/>
        <v>-7777.3512726065528</v>
      </c>
      <c r="H77" s="21"/>
      <c r="I77" s="21"/>
      <c r="J77" s="21"/>
      <c r="K77" s="21"/>
      <c r="L77" s="21"/>
      <c r="M77" s="42" t="s">
        <v>31</v>
      </c>
      <c r="N77" s="18">
        <f>+N76+N75</f>
        <v>-0.82344397557530802</v>
      </c>
    </row>
    <row r="78" spans="1:19" x14ac:dyDescent="0.2">
      <c r="A78" s="62" t="s">
        <v>33</v>
      </c>
      <c r="B78" s="76">
        <f>H50*H56</f>
        <v>633.29999999999995</v>
      </c>
      <c r="C78" s="76">
        <f t="shared" ref="C78:G78" si="21">I50*I56</f>
        <v>632.4</v>
      </c>
      <c r="D78" s="76">
        <f t="shared" si="21"/>
        <v>-702.3</v>
      </c>
      <c r="E78" s="76">
        <f t="shared" si="21"/>
        <v>-566.4</v>
      </c>
      <c r="F78" s="76">
        <f t="shared" si="21"/>
        <v>-638.69999999999993</v>
      </c>
      <c r="G78" s="76">
        <f t="shared" si="21"/>
        <v>-469.20000000000005</v>
      </c>
      <c r="H78" s="21"/>
      <c r="I78" s="21"/>
      <c r="J78" s="21"/>
      <c r="K78" s="21"/>
      <c r="L78" s="21"/>
      <c r="M78" s="21"/>
      <c r="N78" s="20"/>
    </row>
    <row r="79" spans="1:19" x14ac:dyDescent="0.2">
      <c r="A79" s="73" t="s">
        <v>35</v>
      </c>
      <c r="B79" s="77">
        <f>SUM(B77:B78)</f>
        <v>-175.97810999999956</v>
      </c>
      <c r="C79" s="77">
        <f t="shared" ref="C79:G79" si="22">SUM(C77:C78)</f>
        <v>-317.71874999999818</v>
      </c>
      <c r="D79" s="77">
        <f t="shared" si="22"/>
        <v>-5880.9134395289602</v>
      </c>
      <c r="E79" s="77">
        <f t="shared" si="22"/>
        <v>-6457.6992802811192</v>
      </c>
      <c r="F79" s="77">
        <f t="shared" si="22"/>
        <v>-7513.5024714599967</v>
      </c>
      <c r="G79" s="77">
        <f t="shared" si="22"/>
        <v>-8246.5512726065535</v>
      </c>
      <c r="H79" s="21"/>
      <c r="I79" s="21"/>
      <c r="J79" s="21"/>
      <c r="K79" s="21"/>
      <c r="L79" s="21"/>
      <c r="M79" s="21" t="s">
        <v>34</v>
      </c>
      <c r="N79" s="5">
        <v>0.76</v>
      </c>
      <c r="Q79" s="8"/>
      <c r="R79" s="8"/>
      <c r="S79" s="55"/>
    </row>
    <row r="80" spans="1:19" x14ac:dyDescent="0.2">
      <c r="A80" s="10"/>
      <c r="B80" s="21"/>
      <c r="C80" s="21"/>
      <c r="D80" s="21"/>
      <c r="E80" s="21"/>
      <c r="F80" s="21"/>
      <c r="G80" s="21"/>
      <c r="H80" s="21"/>
      <c r="I80" s="21"/>
      <c r="J80" s="21"/>
      <c r="K80" s="21"/>
      <c r="L80" s="21"/>
      <c r="M80" s="21" t="s">
        <v>15</v>
      </c>
      <c r="N80" s="5">
        <f>+N79-N77</f>
        <v>1.583443975575308</v>
      </c>
      <c r="O80" s="56">
        <f>N80/N79</f>
        <v>2.0834789152306685</v>
      </c>
    </row>
    <row r="81" spans="1:15" x14ac:dyDescent="0.2">
      <c r="A81" s="10"/>
      <c r="B81" s="21"/>
      <c r="C81" s="21"/>
      <c r="D81" s="21"/>
      <c r="E81" s="21"/>
      <c r="F81" s="21"/>
      <c r="G81" s="21"/>
      <c r="H81" s="21"/>
      <c r="I81" s="21"/>
      <c r="J81" s="21"/>
      <c r="K81" s="21"/>
      <c r="L81" s="21"/>
      <c r="M81" s="21" t="s">
        <v>36</v>
      </c>
      <c r="N81" s="5">
        <f>N80*M68*12</f>
        <v>202269.13343998988</v>
      </c>
    </row>
    <row r="82" spans="1:15" x14ac:dyDescent="0.2">
      <c r="A82" s="10"/>
      <c r="B82" s="21"/>
      <c r="C82" s="21"/>
      <c r="D82" s="21"/>
      <c r="E82" s="21"/>
      <c r="F82" s="21"/>
      <c r="G82" s="21"/>
      <c r="H82" s="21"/>
      <c r="I82" s="21"/>
      <c r="J82" s="21"/>
      <c r="K82" s="21"/>
      <c r="L82" s="21"/>
      <c r="M82" s="21"/>
      <c r="O82" s="5"/>
    </row>
  </sheetData>
  <pageMargins left="0.7" right="0.7" top="0.75" bottom="0.75" header="0.3" footer="0.3"/>
  <pageSetup scale="60" fitToHeight="0" orientation="landscape" r:id="rId1"/>
  <rowBreaks count="1" manualBreakCount="1">
    <brk id="45" max="1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CAD325F3C6A8A46ACC39C9AD9026CE8" ma:contentTypeVersion="24" ma:contentTypeDescription="" ma:contentTypeScope="" ma:versionID="e6eed7d109fc31d3df85d80f4d60a1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2023-11-16T08:00:00+00:00</OpenedDate>
    <SignificantOrder xmlns="dc463f71-b30c-4ab2-9473-d307f9d35888">false</SignificantOrder>
    <Date1 xmlns="dc463f71-b30c-4ab2-9473-d307f9d35888">2023-11-16T08:00:00+00:00</Date1>
    <IsDocumentOrder xmlns="dc463f71-b30c-4ab2-9473-d307f9d35888">false</IsDocumentOrder>
    <IsHighlyConfidential xmlns="dc463f71-b30c-4ab2-9473-d307f9d35888">false</IsHighlyConfidential>
    <CaseCompanyNames xmlns="dc463f71-b30c-4ab2-9473-d307f9d35888">HAROLD LEMAY ENTERPRISES, INC.                </CaseCompanyNames>
    <Nickname xmlns="http://schemas.microsoft.com/sharepoint/v3" xsi:nil="true"/>
    <DocketNumber xmlns="dc463f71-b30c-4ab2-9473-d307f9d35888">230959</DocketNumber>
    <DelegatedOrder xmlns="dc463f71-b30c-4ab2-9473-d307f9d35888">false</DelegatedOrder>
  </documentManagement>
</p:properties>
</file>

<file path=customXml/itemProps1.xml><?xml version="1.0" encoding="utf-8"?>
<ds:datastoreItem xmlns:ds="http://schemas.openxmlformats.org/officeDocument/2006/customXml" ds:itemID="{339B91A3-49F6-4BAD-ADFB-D51E1C4CA3C8}"/>
</file>

<file path=customXml/itemProps2.xml><?xml version="1.0" encoding="utf-8"?>
<ds:datastoreItem xmlns:ds="http://schemas.openxmlformats.org/officeDocument/2006/customXml" ds:itemID="{CE29C933-7CE4-40FB-9C67-762A9F28738C}"/>
</file>

<file path=customXml/itemProps3.xml><?xml version="1.0" encoding="utf-8"?>
<ds:datastoreItem xmlns:ds="http://schemas.openxmlformats.org/officeDocument/2006/customXml" ds:itemID="{1EE3D3B4-E9A4-4457-93CC-C400EB1BC841}"/>
</file>

<file path=customXml/itemProps4.xml><?xml version="1.0" encoding="utf-8"?>
<ds:datastoreItem xmlns:ds="http://schemas.openxmlformats.org/officeDocument/2006/customXml" ds:itemID="{C83A68EF-BFF5-46A0-ACF4-42212A83A1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Pacific CPA 1.1.24</vt:lpstr>
      <vt:lpstr>Pacific CPA 1.1.23</vt:lpstr>
      <vt:lpstr>Pacific CPA 1.1.22</vt:lpstr>
      <vt:lpstr>Pacific CPA 1.1.21</vt:lpstr>
      <vt:lpstr>Pacific CPA Eff. 1.1.20</vt:lpstr>
      <vt:lpstr>Pacific CPA Eff. 7.1.19</vt:lpstr>
      <vt:lpstr>Pacific CPA Eff. 1.1.19</vt:lpstr>
      <vt:lpstr>Pacific CPA 7.1.18</vt:lpstr>
      <vt:lpstr>'Pacific CPA 1.1.21'!Print_Area</vt:lpstr>
      <vt:lpstr>'Pacific CPA 1.1.22'!Print_Area</vt:lpstr>
      <vt:lpstr>'Pacific CPA 1.1.23'!Print_Area</vt:lpstr>
      <vt:lpstr>'Pacific CPA 1.1.24'!Print_Area</vt:lpstr>
      <vt:lpstr>'Pacific CPA 7.1.18'!Print_Area</vt:lpstr>
      <vt:lpstr>'Pacific CPA Eff. 1.1.19'!Print_Area</vt:lpstr>
      <vt:lpstr>'Pacific CPA Eff. 1.1.20'!Print_Area</vt:lpstr>
      <vt:lpstr>'Pacific CPA Eff. 7.1.19'!Print_Area</vt:lpstr>
      <vt:lpstr>'Pacific CPA 1.1.21'!Print_Titles</vt:lpstr>
      <vt:lpstr>'Pacific CPA 1.1.22'!Print_Titles</vt:lpstr>
      <vt:lpstr>'Pacific CPA 1.1.23'!Print_Titles</vt:lpstr>
      <vt:lpstr>'Pacific CPA 1.1.24'!Print_Titles</vt:lpstr>
      <vt:lpstr>'Pacific CPA 7.1.18'!Print_Titles</vt:lpstr>
      <vt:lpstr>'Pacific CPA Eff. 1.1.19'!Print_Titles</vt:lpstr>
      <vt:lpstr>'Pacific CPA Eff. 1.1.20'!Print_Titles</vt:lpstr>
      <vt:lpstr>'Pacific CPA Eff. 7.1.19'!Print_Titles</vt:lpstr>
    </vt:vector>
  </TitlesOfParts>
  <Company>Waste Connections,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Artem Savka</cp:lastModifiedBy>
  <cp:lastPrinted>2023-11-16T23:30:14Z</cp:lastPrinted>
  <dcterms:created xsi:type="dcterms:W3CDTF">2014-05-14T23:45:49Z</dcterms:created>
  <dcterms:modified xsi:type="dcterms:W3CDTF">2023-11-16T23:30:23Z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0x0101006E56B4D1795A2E4DB2F0B01679ED314A000CAD325F3C6A8A46ACC39C9AD9026CE8</vt:lpwstr>
  </property>
  <property fmtid="{D5CDD505-2E9C-101B-9397-08002B2CF9AE}" pid="3" name="_docset_NoMedatataSyncRequired">
    <vt:lpwstr>False</vt:lpwstr>
  </property>
</Properties>
</file>