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comments4.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heckCompatibility="1" defaultThemeVersion="124226"/>
  <mc:AlternateContent xmlns:mc="http://schemas.openxmlformats.org/markup-compatibility/2006">
    <mc:Choice Requires="x15">
      <x15ac:absPath xmlns:x15ac="http://schemas.microsoft.com/office/spreadsheetml/2010/11/ac" url="\\wcnx.org\Regions\Western Region\2000 Western Region Office\WUTC\WUTC-LeMay\Commodity Credit\2188 Joe's, RSA-1\Commodity Price Adjust 1-1-2024\"/>
    </mc:Choice>
  </mc:AlternateContent>
  <xr:revisionPtr revIDLastSave="0" documentId="13_ncr:1_{39ECE49D-C161-4A95-A8C7-E395E61F2AB1}" xr6:coauthVersionLast="47" xr6:coauthVersionMax="47" xr10:uidLastSave="{00000000-0000-0000-0000-000000000000}"/>
  <bookViews>
    <workbookView xWindow="28680" yWindow="-120" windowWidth="29040" windowHeight="15840" activeTab="3" xr2:uid="{00000000-000D-0000-FFFF-FFFF00000000}"/>
  </bookViews>
  <sheets>
    <sheet name="RSA-1 CPA Eff. 1.1.2024" sheetId="15" r:id="rId1"/>
    <sheet name="Joe's CPA Eff. 1.1.2024" sheetId="16" r:id="rId2"/>
    <sheet name="RSA-1 CPA Eff. 1.1.2023" sheetId="13" r:id="rId3"/>
    <sheet name="Joe's CPA Eff. 1.1.2023" sheetId="14" r:id="rId4"/>
    <sheet name="RSA-1 CPA Eff. 1.1.2022" sheetId="11" r:id="rId5"/>
    <sheet name="Joe's CPA Eff. 1.1.2022" sheetId="12" r:id="rId6"/>
    <sheet name="RSA-1 CPA Eff. 1.1.2021" sheetId="9" r:id="rId7"/>
    <sheet name="Joe's CPA Eff. 1.1.2021" sheetId="10" r:id="rId8"/>
    <sheet name="RSA-1 CPA Eff. 1.1.2020" sheetId="7" r:id="rId9"/>
    <sheet name="Joe's CPA Eff 1.1.2020" sheetId="8" r:id="rId10"/>
    <sheet name="RSA-1 CPA Eff. 7.1.19" sheetId="1" r:id="rId11"/>
    <sheet name="Joe's CPA Eff 7.1.19" sheetId="2" r:id="rId12"/>
    <sheet name="RSA-1 CPA Eff 7.1.18" sheetId="5" r:id="rId13"/>
    <sheet name="Joe's CPA Eff 7.1.18" sheetId="6"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Print_Area" localSheetId="9">'Joe''s CPA Eff 1.1.2020'!$A$1:$I$65</definedName>
    <definedName name="_xlnm.Print_Area" localSheetId="13">'Joe''s CPA Eff 7.1.18'!$A$1:$O$66</definedName>
    <definedName name="_xlnm.Print_Area" localSheetId="11">'Joe''s CPA Eff 7.1.19'!$A$1:$I$67</definedName>
    <definedName name="_xlnm.Print_Area" localSheetId="7">'Joe''s CPA Eff. 1.1.2021'!$A$1:$O$66</definedName>
    <definedName name="_xlnm.Print_Area" localSheetId="5">'Joe''s CPA Eff. 1.1.2022'!$A$1:$O$66</definedName>
    <definedName name="_xlnm.Print_Area" localSheetId="3">'Joe''s CPA Eff. 1.1.2023'!$A$1:$O$68</definedName>
    <definedName name="_xlnm.Print_Area" localSheetId="1">'Joe''s CPA Eff. 1.1.2024'!$A$1:$O$68</definedName>
    <definedName name="_xlnm.Print_Area" localSheetId="12">'RSA-1 CPA Eff 7.1.18'!$A$1:$P$28</definedName>
    <definedName name="_xlnm.Print_Area" localSheetId="8">'RSA-1 CPA Eff. 1.1.2020'!$A$1:$I$28</definedName>
    <definedName name="_xlnm.Print_Area" localSheetId="6">'RSA-1 CPA Eff. 1.1.2021'!$A$1:$P$28</definedName>
    <definedName name="_xlnm.Print_Area" localSheetId="4">'RSA-1 CPA Eff. 1.1.2022'!$A$1:$P$28</definedName>
    <definedName name="_xlnm.Print_Area" localSheetId="2">'RSA-1 CPA Eff. 1.1.2023'!$A$1:$P$29</definedName>
    <definedName name="_xlnm.Print_Area" localSheetId="0">'RSA-1 CPA Eff. 1.1.2024'!$A$1:$P$29</definedName>
    <definedName name="_xlnm.Print_Area" localSheetId="10">'RSA-1 CPA Eff. 7.1.19'!$A$1:$I$29</definedName>
    <definedName name="_xlnm.Print_Titles" localSheetId="9">'Joe''s CPA Eff 1.1.2020'!$1:$4</definedName>
    <definedName name="_xlnm.Print_Titles" localSheetId="13">'Joe''s CPA Eff 7.1.18'!$1:$4</definedName>
    <definedName name="_xlnm.Print_Titles" localSheetId="11">'Joe''s CPA Eff 7.1.19'!$1:$4</definedName>
    <definedName name="_xlnm.Print_Titles" localSheetId="7">'Joe''s CPA Eff. 1.1.2021'!$1:$4</definedName>
    <definedName name="_xlnm.Print_Titles" localSheetId="5">'Joe''s CPA Eff. 1.1.2022'!$1:$4</definedName>
    <definedName name="_xlnm.Print_Titles" localSheetId="3">'Joe''s CPA Eff. 1.1.2023'!$1:$4</definedName>
    <definedName name="_xlnm.Print_Titles" localSheetId="1">'Joe''s CPA Eff. 1.1.2024'!$1:$4</definedName>
    <definedName name="_xlnm.Print_Titles" localSheetId="12">'RSA-1 CPA Eff 7.1.18'!$A:$A</definedName>
    <definedName name="_xlnm.Print_Titles" localSheetId="8">'RSA-1 CPA Eff. 1.1.2020'!$A:$A</definedName>
    <definedName name="_xlnm.Print_Titles" localSheetId="6">'RSA-1 CPA Eff. 1.1.2021'!$A:$A</definedName>
    <definedName name="_xlnm.Print_Titles" localSheetId="4">'RSA-1 CPA Eff. 1.1.2022'!$A:$A</definedName>
    <definedName name="_xlnm.Print_Titles" localSheetId="2">'RSA-1 CPA Eff. 1.1.2023'!$A:$A</definedName>
    <definedName name="_xlnm.Print_Titles" localSheetId="0">'RSA-1 CPA Eff. 1.1.2024'!$A:$A</definedName>
    <definedName name="_xlnm.Print_Titles" localSheetId="10">'RSA-1 CPA Eff. 7.1.19'!$A:$A</definedName>
  </definedNames>
  <calcPr calcId="191029" iterate="1"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16" l="1"/>
  <c r="N62" i="16"/>
  <c r="N29" i="16"/>
  <c r="N29" i="14"/>
  <c r="N61" i="14"/>
  <c r="N61" i="16"/>
  <c r="N59" i="16"/>
  <c r="N54" i="16"/>
  <c r="P54" i="16" s="1"/>
  <c r="P52" i="16"/>
  <c r="E57" i="16"/>
  <c r="F57" i="16"/>
  <c r="F58" i="16" s="1"/>
  <c r="G57" i="16"/>
  <c r="H57" i="16"/>
  <c r="I57" i="16"/>
  <c r="J57" i="16"/>
  <c r="J58" i="16" s="1"/>
  <c r="K57" i="16"/>
  <c r="L57" i="16"/>
  <c r="M57" i="16"/>
  <c r="D57" i="16"/>
  <c r="D58" i="16"/>
  <c r="C57" i="16"/>
  <c r="C58" i="16" s="1"/>
  <c r="B57" i="16"/>
  <c r="B58" i="16" s="1"/>
  <c r="P43" i="16"/>
  <c r="C54" i="16"/>
  <c r="D54" i="16"/>
  <c r="E54" i="16"/>
  <c r="F54" i="16"/>
  <c r="G54" i="16"/>
  <c r="H54" i="16"/>
  <c r="I54" i="16"/>
  <c r="J54" i="16"/>
  <c r="K54" i="16"/>
  <c r="L54" i="16"/>
  <c r="M54" i="16"/>
  <c r="B54" i="16"/>
  <c r="C41" i="16"/>
  <c r="D41" i="16"/>
  <c r="E41" i="16"/>
  <c r="F41" i="16"/>
  <c r="G41" i="16"/>
  <c r="H41" i="16"/>
  <c r="I41" i="16"/>
  <c r="J41" i="16"/>
  <c r="K41" i="16"/>
  <c r="L41" i="16"/>
  <c r="M41" i="16"/>
  <c r="C42" i="16"/>
  <c r="D42" i="16"/>
  <c r="N42" i="16" s="1"/>
  <c r="E42" i="16"/>
  <c r="F42" i="16"/>
  <c r="G42" i="16"/>
  <c r="H42" i="16"/>
  <c r="I42" i="16"/>
  <c r="J42" i="16"/>
  <c r="K42" i="16"/>
  <c r="L42" i="16"/>
  <c r="M42" i="16"/>
  <c r="B42" i="16"/>
  <c r="B41" i="16"/>
  <c r="P27" i="16"/>
  <c r="E25" i="16"/>
  <c r="F25" i="16"/>
  <c r="F26" i="16" s="1"/>
  <c r="G25" i="16"/>
  <c r="H25" i="16"/>
  <c r="I25" i="16"/>
  <c r="J25" i="16"/>
  <c r="J26" i="16" s="1"/>
  <c r="K25" i="16"/>
  <c r="L25" i="16"/>
  <c r="L26" i="16" s="1"/>
  <c r="M25" i="16"/>
  <c r="D25" i="16"/>
  <c r="B26" i="16"/>
  <c r="C25" i="16"/>
  <c r="B25" i="16"/>
  <c r="P22" i="16"/>
  <c r="C22" i="16"/>
  <c r="N22" i="16" s="1"/>
  <c r="D22" i="16"/>
  <c r="E22" i="16"/>
  <c r="E26" i="16" s="1"/>
  <c r="F22" i="16"/>
  <c r="G22" i="16"/>
  <c r="H22" i="16"/>
  <c r="I22" i="16"/>
  <c r="I26" i="16" s="1"/>
  <c r="J22" i="16"/>
  <c r="K22" i="16"/>
  <c r="L22" i="16"/>
  <c r="M22" i="16"/>
  <c r="M26" i="16" s="1"/>
  <c r="B22" i="16"/>
  <c r="P11" i="16"/>
  <c r="C9" i="16"/>
  <c r="C11" i="16" s="1"/>
  <c r="D9" i="16"/>
  <c r="D11" i="16" s="1"/>
  <c r="E9" i="16"/>
  <c r="F9" i="16"/>
  <c r="G9" i="16"/>
  <c r="G11" i="16" s="1"/>
  <c r="H9" i="16"/>
  <c r="I9" i="16"/>
  <c r="J9" i="16"/>
  <c r="K9" i="16"/>
  <c r="K11" i="16" s="1"/>
  <c r="L9" i="16"/>
  <c r="M9" i="16"/>
  <c r="C10" i="16"/>
  <c r="D10" i="16"/>
  <c r="N10" i="16" s="1"/>
  <c r="E10" i="16"/>
  <c r="E19" i="16" s="1"/>
  <c r="F10" i="16"/>
  <c r="G10" i="16"/>
  <c r="H10" i="16"/>
  <c r="I10" i="16"/>
  <c r="J10" i="16"/>
  <c r="K10" i="16"/>
  <c r="L10" i="16"/>
  <c r="M10" i="16"/>
  <c r="M19" i="16" s="1"/>
  <c r="B10" i="16"/>
  <c r="B9" i="16"/>
  <c r="C15" i="16"/>
  <c r="D15" i="16"/>
  <c r="E15" i="16"/>
  <c r="F15" i="16"/>
  <c r="F47" i="16" s="1"/>
  <c r="F51" i="16" s="1"/>
  <c r="G15" i="16"/>
  <c r="H15" i="16"/>
  <c r="I15" i="16"/>
  <c r="J15" i="16"/>
  <c r="J47" i="16" s="1"/>
  <c r="J51" i="16" s="1"/>
  <c r="K15" i="16"/>
  <c r="L15" i="16"/>
  <c r="M15" i="16"/>
  <c r="B15" i="16"/>
  <c r="C14" i="16"/>
  <c r="C46" i="16" s="1"/>
  <c r="D14" i="16"/>
  <c r="E14" i="16"/>
  <c r="F14" i="16"/>
  <c r="F46" i="16" s="1"/>
  <c r="G14" i="16"/>
  <c r="G46" i="16" s="1"/>
  <c r="H14" i="16"/>
  <c r="I14" i="16"/>
  <c r="J14" i="16"/>
  <c r="J46" i="16" s="1"/>
  <c r="K14" i="16"/>
  <c r="K46" i="16" s="1"/>
  <c r="L14" i="16"/>
  <c r="M14" i="16"/>
  <c r="B14" i="16"/>
  <c r="B46" i="16" s="1"/>
  <c r="A4" i="16"/>
  <c r="M58" i="16"/>
  <c r="L58" i="16"/>
  <c r="K58" i="16"/>
  <c r="I58" i="16"/>
  <c r="H58" i="16"/>
  <c r="G58" i="16"/>
  <c r="E58" i="16"/>
  <c r="M43" i="16"/>
  <c r="J43" i="16"/>
  <c r="I43" i="16"/>
  <c r="F43" i="16"/>
  <c r="E43" i="16"/>
  <c r="B43" i="16"/>
  <c r="K26" i="16"/>
  <c r="H26" i="16"/>
  <c r="G26" i="16"/>
  <c r="D26" i="16"/>
  <c r="C26" i="16"/>
  <c r="M47" i="16"/>
  <c r="M51" i="16" s="1"/>
  <c r="L47" i="16"/>
  <c r="L51" i="16" s="1"/>
  <c r="K47" i="16"/>
  <c r="K51" i="16" s="1"/>
  <c r="I47" i="16"/>
  <c r="I51" i="16" s="1"/>
  <c r="H47" i="16"/>
  <c r="G47" i="16"/>
  <c r="G51" i="16" s="1"/>
  <c r="E47" i="16"/>
  <c r="E51" i="16" s="1"/>
  <c r="D47" i="16"/>
  <c r="C47" i="16"/>
  <c r="C51" i="16" s="1"/>
  <c r="B47" i="16"/>
  <c r="M46" i="16"/>
  <c r="L46" i="16"/>
  <c r="I46" i="16"/>
  <c r="H46" i="16"/>
  <c r="E46" i="16"/>
  <c r="D46" i="16"/>
  <c r="I19" i="16"/>
  <c r="M18" i="16"/>
  <c r="L18" i="16"/>
  <c r="J11" i="16"/>
  <c r="I18" i="16"/>
  <c r="H18" i="16"/>
  <c r="F11" i="16"/>
  <c r="E18" i="16"/>
  <c r="D18" i="16"/>
  <c r="B11" i="16"/>
  <c r="M6" i="16"/>
  <c r="M38" i="16" s="1"/>
  <c r="L6" i="16"/>
  <c r="L38" i="16" s="1"/>
  <c r="K6" i="16"/>
  <c r="K38" i="16" s="1"/>
  <c r="J6" i="16"/>
  <c r="J38" i="16" s="1"/>
  <c r="I6" i="16"/>
  <c r="I38" i="16" s="1"/>
  <c r="H6" i="16"/>
  <c r="H38" i="16" s="1"/>
  <c r="G6" i="16"/>
  <c r="G38" i="16" s="1"/>
  <c r="F6" i="16"/>
  <c r="F38" i="16" s="1"/>
  <c r="E6" i="16"/>
  <c r="E38" i="16" s="1"/>
  <c r="D6" i="16"/>
  <c r="D38" i="16" s="1"/>
  <c r="C6" i="16"/>
  <c r="C38" i="16" s="1"/>
  <c r="B6" i="16"/>
  <c r="B38" i="16" s="1"/>
  <c r="N28" i="15"/>
  <c r="Q21" i="15"/>
  <c r="E19" i="15"/>
  <c r="F19" i="15"/>
  <c r="G19" i="15"/>
  <c r="H19" i="15"/>
  <c r="I19" i="15"/>
  <c r="J19" i="15"/>
  <c r="K19" i="15"/>
  <c r="L19" i="15"/>
  <c r="M19" i="15"/>
  <c r="D19" i="15"/>
  <c r="R20" i="16"/>
  <c r="D51" i="16" l="1"/>
  <c r="H51" i="16"/>
  <c r="B51" i="16"/>
  <c r="E20" i="16"/>
  <c r="E24" i="16" s="1"/>
  <c r="I20" i="16"/>
  <c r="I24" i="16" s="1"/>
  <c r="M20" i="16"/>
  <c r="M24" i="16" s="1"/>
  <c r="C50" i="16"/>
  <c r="C52" i="16" s="1"/>
  <c r="C56" i="16" s="1"/>
  <c r="G50" i="16"/>
  <c r="G52" i="16" s="1"/>
  <c r="G56" i="16" s="1"/>
  <c r="K50" i="16"/>
  <c r="K52" i="16" s="1"/>
  <c r="K56" i="16" s="1"/>
  <c r="E27" i="16"/>
  <c r="D50" i="16"/>
  <c r="H50" i="16"/>
  <c r="H52" i="16" s="1"/>
  <c r="H56" i="16" s="1"/>
  <c r="L50" i="16"/>
  <c r="L52" i="16" s="1"/>
  <c r="L56" i="16" s="1"/>
  <c r="H20" i="16"/>
  <c r="H24" i="16" s="1"/>
  <c r="N9" i="16"/>
  <c r="H11" i="16"/>
  <c r="L11" i="16"/>
  <c r="B18" i="16"/>
  <c r="F18" i="16"/>
  <c r="J18" i="16"/>
  <c r="C43" i="16"/>
  <c r="G43" i="16"/>
  <c r="K43" i="16"/>
  <c r="E50" i="16"/>
  <c r="E52" i="16" s="1"/>
  <c r="E56" i="16" s="1"/>
  <c r="I50" i="16"/>
  <c r="I52" i="16" s="1"/>
  <c r="I56" i="16" s="1"/>
  <c r="M50" i="16"/>
  <c r="M52" i="16" s="1"/>
  <c r="M56" i="16" s="1"/>
  <c r="E11" i="16"/>
  <c r="I11" i="16"/>
  <c r="M11" i="16"/>
  <c r="C18" i="16"/>
  <c r="C20" i="16" s="1"/>
  <c r="C24" i="16" s="1"/>
  <c r="G18" i="16"/>
  <c r="K18" i="16"/>
  <c r="B19" i="16"/>
  <c r="F19" i="16"/>
  <c r="J19" i="16"/>
  <c r="N41" i="16"/>
  <c r="N43" i="16" s="1"/>
  <c r="D43" i="16"/>
  <c r="H43" i="16"/>
  <c r="L43" i="16"/>
  <c r="B50" i="16"/>
  <c r="F50" i="16"/>
  <c r="F52" i="16" s="1"/>
  <c r="F56" i="16" s="1"/>
  <c r="J50" i="16"/>
  <c r="J52" i="16" s="1"/>
  <c r="J56" i="16" s="1"/>
  <c r="C19" i="16"/>
  <c r="G19" i="16"/>
  <c r="K19" i="16"/>
  <c r="D19" i="16"/>
  <c r="D20" i="16" s="1"/>
  <c r="H19" i="16"/>
  <c r="L19" i="16"/>
  <c r="L20" i="16" s="1"/>
  <c r="N24" i="13"/>
  <c r="C19" i="15"/>
  <c r="B19" i="15"/>
  <c r="C16" i="15"/>
  <c r="D16" i="15"/>
  <c r="E16" i="15"/>
  <c r="F16" i="15"/>
  <c r="G16" i="15"/>
  <c r="H16" i="15"/>
  <c r="I16" i="15"/>
  <c r="J16" i="15"/>
  <c r="K16" i="15"/>
  <c r="L16" i="15"/>
  <c r="M16" i="15"/>
  <c r="B16" i="15"/>
  <c r="B20" i="15" s="1"/>
  <c r="C12" i="15"/>
  <c r="D12" i="15"/>
  <c r="E12" i="15"/>
  <c r="F12" i="15"/>
  <c r="G12" i="15"/>
  <c r="H12" i="15"/>
  <c r="I12" i="15"/>
  <c r="J12" i="15"/>
  <c r="K12" i="15"/>
  <c r="L12" i="15"/>
  <c r="M12" i="15"/>
  <c r="B12" i="15"/>
  <c r="C9" i="15"/>
  <c r="D9" i="15"/>
  <c r="E9" i="15"/>
  <c r="E14" i="15" s="1"/>
  <c r="E18" i="15" s="1"/>
  <c r="F9" i="15"/>
  <c r="G9" i="15"/>
  <c r="H9" i="15"/>
  <c r="I9" i="15"/>
  <c r="I14" i="15" s="1"/>
  <c r="I18" i="15" s="1"/>
  <c r="J9" i="15"/>
  <c r="K9" i="15"/>
  <c r="L9" i="15"/>
  <c r="M9" i="15"/>
  <c r="M14" i="15" s="1"/>
  <c r="M18" i="15" s="1"/>
  <c r="B9" i="15"/>
  <c r="B14" i="15" s="1"/>
  <c r="S34" i="15"/>
  <c r="S33" i="15"/>
  <c r="N16" i="15"/>
  <c r="Q16" i="15" s="1"/>
  <c r="H14" i="15"/>
  <c r="H18" i="15" s="1"/>
  <c r="J14" i="15"/>
  <c r="F14" i="15"/>
  <c r="F18" i="15" s="1"/>
  <c r="C14" i="15"/>
  <c r="C18" i="15" s="1"/>
  <c r="C6" i="15"/>
  <c r="D6" i="15" s="1"/>
  <c r="E6" i="15" s="1"/>
  <c r="F6" i="15" s="1"/>
  <c r="G6" i="15" s="1"/>
  <c r="H6" i="15" s="1"/>
  <c r="I6" i="15" s="1"/>
  <c r="J6" i="15" s="1"/>
  <c r="K6" i="15" s="1"/>
  <c r="L6" i="15" s="1"/>
  <c r="M6" i="15" s="1"/>
  <c r="D52" i="16" l="1"/>
  <c r="D56" i="16" s="1"/>
  <c r="N51" i="16"/>
  <c r="M27" i="16"/>
  <c r="N11" i="16"/>
  <c r="I27" i="16"/>
  <c r="L59" i="16"/>
  <c r="E59" i="16"/>
  <c r="C59" i="16"/>
  <c r="L24" i="16"/>
  <c r="L27" i="16"/>
  <c r="D24" i="16"/>
  <c r="D27" i="16"/>
  <c r="N19" i="16"/>
  <c r="B20" i="16"/>
  <c r="B24" i="16" s="1"/>
  <c r="N18" i="16"/>
  <c r="J59" i="16"/>
  <c r="H59" i="16"/>
  <c r="H27" i="16"/>
  <c r="B52" i="16"/>
  <c r="N50" i="16"/>
  <c r="N52" i="16" s="1"/>
  <c r="K20" i="16"/>
  <c r="F59" i="16"/>
  <c r="C27" i="16"/>
  <c r="M59" i="16"/>
  <c r="D59" i="16"/>
  <c r="K59" i="16"/>
  <c r="F20" i="16"/>
  <c r="G20" i="16"/>
  <c r="J20" i="16"/>
  <c r="I59" i="16"/>
  <c r="G59" i="16"/>
  <c r="B17" i="15"/>
  <c r="B18" i="15"/>
  <c r="B21" i="15"/>
  <c r="K14" i="15"/>
  <c r="K18" i="15" s="1"/>
  <c r="G14" i="15"/>
  <c r="G18" i="15" s="1"/>
  <c r="L14" i="15"/>
  <c r="L18" i="15" s="1"/>
  <c r="D14" i="15"/>
  <c r="D18" i="15" s="1"/>
  <c r="C20" i="15"/>
  <c r="C21" i="15" s="1"/>
  <c r="K20" i="15"/>
  <c r="E20" i="15"/>
  <c r="E21" i="15" s="1"/>
  <c r="I20" i="15"/>
  <c r="I21" i="15" s="1"/>
  <c r="M20" i="15"/>
  <c r="M21" i="15" s="1"/>
  <c r="H20" i="15"/>
  <c r="H21" i="15" s="1"/>
  <c r="L20" i="15"/>
  <c r="L21" i="15" s="1"/>
  <c r="F20" i="15"/>
  <c r="F21" i="15" s="1"/>
  <c r="J20" i="15"/>
  <c r="J21" i="15" s="1"/>
  <c r="G20" i="15"/>
  <c r="G21" i="15" s="1"/>
  <c r="J18" i="15"/>
  <c r="K21" i="15"/>
  <c r="N9" i="15"/>
  <c r="Q9" i="15" s="1"/>
  <c r="N20" i="16" l="1"/>
  <c r="P20" i="16" s="1"/>
  <c r="B27" i="16"/>
  <c r="F24" i="16"/>
  <c r="F27" i="16"/>
  <c r="B56" i="16"/>
  <c r="B59" i="16"/>
  <c r="J24" i="16"/>
  <c r="J27" i="16"/>
  <c r="G24" i="16"/>
  <c r="G27" i="16"/>
  <c r="K24" i="16"/>
  <c r="K27" i="16"/>
  <c r="N14" i="15"/>
  <c r="N24" i="15" s="1"/>
  <c r="D20" i="15"/>
  <c r="D21" i="15" s="1"/>
  <c r="N21" i="15" s="1"/>
  <c r="N23" i="15" s="1"/>
  <c r="S20" i="16" l="1"/>
  <c r="N27" i="16"/>
  <c r="N31" i="16" s="1"/>
  <c r="N63" i="16"/>
  <c r="P59" i="16"/>
  <c r="S32" i="15"/>
  <c r="S35" i="15" s="1"/>
  <c r="N25" i="15"/>
  <c r="C41" i="14" l="1"/>
  <c r="D41" i="14"/>
  <c r="E41" i="14"/>
  <c r="F41" i="14"/>
  <c r="G41" i="14"/>
  <c r="H41" i="14"/>
  <c r="I41" i="14"/>
  <c r="J41" i="14"/>
  <c r="K41" i="14"/>
  <c r="L41" i="14"/>
  <c r="M41" i="14"/>
  <c r="C42" i="14"/>
  <c r="D42" i="14"/>
  <c r="E42" i="14"/>
  <c r="F42" i="14"/>
  <c r="G42" i="14"/>
  <c r="H42" i="14"/>
  <c r="I42" i="14"/>
  <c r="J42" i="14"/>
  <c r="K42" i="14"/>
  <c r="L42" i="14"/>
  <c r="M42" i="14"/>
  <c r="B42" i="14"/>
  <c r="B41" i="14"/>
  <c r="C22" i="14"/>
  <c r="D22" i="14"/>
  <c r="E22" i="14"/>
  <c r="F22" i="14"/>
  <c r="G22" i="14"/>
  <c r="H22" i="14"/>
  <c r="I22" i="14"/>
  <c r="J22" i="14"/>
  <c r="K22" i="14"/>
  <c r="L22" i="14"/>
  <c r="M22" i="14"/>
  <c r="B22" i="14"/>
  <c r="C9" i="14"/>
  <c r="D9" i="14"/>
  <c r="E9" i="14"/>
  <c r="F9" i="14"/>
  <c r="G9" i="14"/>
  <c r="H9" i="14"/>
  <c r="I9" i="14"/>
  <c r="J9" i="14"/>
  <c r="K9" i="14"/>
  <c r="L9" i="14"/>
  <c r="M9" i="14"/>
  <c r="C10" i="14"/>
  <c r="D10" i="14"/>
  <c r="E10" i="14"/>
  <c r="F10" i="14"/>
  <c r="G10" i="14"/>
  <c r="H10" i="14"/>
  <c r="I10" i="14"/>
  <c r="J10" i="14"/>
  <c r="K10" i="14"/>
  <c r="L10" i="14"/>
  <c r="M10" i="14"/>
  <c r="B10" i="14"/>
  <c r="B9" i="14"/>
  <c r="C16" i="13"/>
  <c r="D16" i="13"/>
  <c r="E16" i="13"/>
  <c r="F16" i="13"/>
  <c r="G16" i="13"/>
  <c r="H16" i="13"/>
  <c r="I16" i="13"/>
  <c r="J16" i="13"/>
  <c r="K16" i="13"/>
  <c r="L16" i="13"/>
  <c r="M16" i="13"/>
  <c r="B16" i="13"/>
  <c r="M12" i="13"/>
  <c r="L12" i="13"/>
  <c r="K12" i="13"/>
  <c r="J12" i="13"/>
  <c r="I12" i="13"/>
  <c r="H12" i="13"/>
  <c r="G12" i="13"/>
  <c r="F12" i="13"/>
  <c r="E12" i="13"/>
  <c r="D12" i="13"/>
  <c r="C12" i="13"/>
  <c r="B12" i="13"/>
  <c r="M9" i="13"/>
  <c r="L9" i="13"/>
  <c r="K9" i="13"/>
  <c r="J9" i="13"/>
  <c r="I9" i="13"/>
  <c r="H9" i="13"/>
  <c r="G9" i="13"/>
  <c r="F9" i="13"/>
  <c r="E9" i="13"/>
  <c r="D9" i="13"/>
  <c r="C9" i="13"/>
  <c r="B9" i="13"/>
  <c r="R20" i="14"/>
  <c r="S14" i="13"/>
  <c r="M54" i="14" l="1"/>
  <c r="L54" i="14"/>
  <c r="K54" i="14"/>
  <c r="J54" i="14"/>
  <c r="I54" i="14"/>
  <c r="H54" i="14"/>
  <c r="G54" i="14"/>
  <c r="F54" i="14"/>
  <c r="E54" i="14"/>
  <c r="N54" i="14" s="1"/>
  <c r="P54" i="14" s="1"/>
  <c r="D54" i="14"/>
  <c r="C54" i="14"/>
  <c r="B54" i="14"/>
  <c r="J47" i="14"/>
  <c r="K43" i="14"/>
  <c r="I43" i="14"/>
  <c r="H43" i="14"/>
  <c r="M15" i="14"/>
  <c r="L15" i="14"/>
  <c r="K15" i="14"/>
  <c r="J15" i="14"/>
  <c r="I15" i="14"/>
  <c r="I47" i="14" s="1"/>
  <c r="I51" i="14" s="1"/>
  <c r="H15" i="14"/>
  <c r="H47" i="14" s="1"/>
  <c r="H51" i="14" s="1"/>
  <c r="G15" i="14"/>
  <c r="G47" i="14" s="1"/>
  <c r="G51" i="14" s="1"/>
  <c r="F15" i="14"/>
  <c r="E15" i="14"/>
  <c r="D15" i="14"/>
  <c r="C15" i="14"/>
  <c r="B15" i="14"/>
  <c r="B47" i="14" s="1"/>
  <c r="B51" i="14" s="1"/>
  <c r="L14" i="14"/>
  <c r="L46" i="14" s="1"/>
  <c r="D14" i="14"/>
  <c r="D46" i="14" s="1"/>
  <c r="G19" i="14"/>
  <c r="J11" i="14"/>
  <c r="I11" i="14"/>
  <c r="B11" i="14"/>
  <c r="B6" i="14"/>
  <c r="B38" i="14" s="1"/>
  <c r="A4" i="14"/>
  <c r="K14" i="13"/>
  <c r="M14" i="14"/>
  <c r="M46" i="14" s="1"/>
  <c r="K14" i="14"/>
  <c r="K46" i="14" s="1"/>
  <c r="J14" i="14"/>
  <c r="J46" i="14" s="1"/>
  <c r="I14" i="14"/>
  <c r="I46" i="14" s="1"/>
  <c r="H14" i="14"/>
  <c r="H46" i="14" s="1"/>
  <c r="G14" i="14"/>
  <c r="G46" i="14" s="1"/>
  <c r="F14" i="14"/>
  <c r="F46" i="14" s="1"/>
  <c r="E14" i="14"/>
  <c r="E46" i="14" s="1"/>
  <c r="C14" i="14"/>
  <c r="C46" i="14" s="1"/>
  <c r="B14" i="14"/>
  <c r="B46" i="14" s="1"/>
  <c r="M14" i="13"/>
  <c r="J14" i="13"/>
  <c r="H14" i="13"/>
  <c r="G14" i="13"/>
  <c r="F14" i="13"/>
  <c r="E14" i="13"/>
  <c r="C14" i="13"/>
  <c r="B14" i="13"/>
  <c r="C6" i="13"/>
  <c r="D6" i="13" s="1"/>
  <c r="H18" i="13" l="1"/>
  <c r="J18" i="13"/>
  <c r="F18" i="13"/>
  <c r="M18" i="13"/>
  <c r="G18" i="13"/>
  <c r="C18" i="13"/>
  <c r="K18" i="13"/>
  <c r="E18" i="13"/>
  <c r="B18" i="13"/>
  <c r="L43" i="14"/>
  <c r="K11" i="14"/>
  <c r="L11" i="14"/>
  <c r="C19" i="14"/>
  <c r="K19" i="14"/>
  <c r="N42" i="14"/>
  <c r="C11" i="14"/>
  <c r="D43" i="14"/>
  <c r="D19" i="14"/>
  <c r="L19" i="14"/>
  <c r="G43" i="14"/>
  <c r="C43" i="14"/>
  <c r="F19" i="14"/>
  <c r="J51" i="14"/>
  <c r="M19" i="14"/>
  <c r="B43" i="14"/>
  <c r="J43" i="14"/>
  <c r="K47" i="14"/>
  <c r="K51" i="14" s="1"/>
  <c r="C47" i="14"/>
  <c r="C51" i="14" s="1"/>
  <c r="N9" i="14"/>
  <c r="F18" i="14"/>
  <c r="N10" i="14"/>
  <c r="N22" i="14"/>
  <c r="P22" i="14" s="1"/>
  <c r="G11" i="14"/>
  <c r="I19" i="14"/>
  <c r="E19" i="14"/>
  <c r="H11" i="14"/>
  <c r="B19" i="14"/>
  <c r="J19" i="14"/>
  <c r="E43" i="14"/>
  <c r="M43" i="14"/>
  <c r="N16" i="13"/>
  <c r="Q16" i="13" s="1"/>
  <c r="I14" i="13"/>
  <c r="F50" i="14"/>
  <c r="N9" i="13"/>
  <c r="Q9" i="13" s="1"/>
  <c r="L14" i="13"/>
  <c r="E18" i="14"/>
  <c r="M18" i="14"/>
  <c r="C50" i="14"/>
  <c r="K50" i="14"/>
  <c r="E6" i="13"/>
  <c r="D6" i="14"/>
  <c r="D38" i="14" s="1"/>
  <c r="B18" i="14"/>
  <c r="J18" i="14"/>
  <c r="D50" i="14"/>
  <c r="L50" i="14"/>
  <c r="C18" i="14"/>
  <c r="C20" i="14" s="1"/>
  <c r="C24" i="14" s="1"/>
  <c r="K18" i="14"/>
  <c r="L18" i="14"/>
  <c r="L20" i="14" s="1"/>
  <c r="L24" i="14" s="1"/>
  <c r="D14" i="13"/>
  <c r="D11" i="14"/>
  <c r="G50" i="14"/>
  <c r="G52" i="14" s="1"/>
  <c r="C6" i="14"/>
  <c r="C38" i="14" s="1"/>
  <c r="E11" i="14"/>
  <c r="M11" i="14"/>
  <c r="G18" i="14"/>
  <c r="G20" i="14" s="1"/>
  <c r="G24" i="14" s="1"/>
  <c r="F43" i="14"/>
  <c r="D47" i="14"/>
  <c r="D51" i="14" s="1"/>
  <c r="L47" i="14"/>
  <c r="L51" i="14" s="1"/>
  <c r="H50" i="14"/>
  <c r="H52" i="14" s="1"/>
  <c r="D18" i="14"/>
  <c r="M50" i="14"/>
  <c r="F11" i="14"/>
  <c r="H18" i="14"/>
  <c r="E47" i="14"/>
  <c r="E51" i="14" s="1"/>
  <c r="M47" i="14"/>
  <c r="M51" i="14" s="1"/>
  <c r="I50" i="14"/>
  <c r="I52" i="14" s="1"/>
  <c r="I18" i="14"/>
  <c r="F47" i="14"/>
  <c r="F51" i="14" s="1"/>
  <c r="B50" i="14"/>
  <c r="J50" i="14"/>
  <c r="J52" i="14" s="1"/>
  <c r="H19" i="14"/>
  <c r="E50" i="14"/>
  <c r="N41" i="14"/>
  <c r="C53" i="12"/>
  <c r="D53" i="12"/>
  <c r="E53" i="12"/>
  <c r="F53" i="12"/>
  <c r="G53" i="12"/>
  <c r="H53" i="12"/>
  <c r="I53" i="12"/>
  <c r="J53" i="12"/>
  <c r="K53" i="12"/>
  <c r="L53" i="12"/>
  <c r="M53" i="12"/>
  <c r="B53" i="12"/>
  <c r="C40" i="12"/>
  <c r="D40" i="12"/>
  <c r="E40" i="12"/>
  <c r="F40" i="12"/>
  <c r="G40" i="12"/>
  <c r="H40" i="12"/>
  <c r="I40" i="12"/>
  <c r="J40" i="12"/>
  <c r="K40" i="12"/>
  <c r="L40" i="12"/>
  <c r="M40" i="12"/>
  <c r="C41" i="12"/>
  <c r="D41" i="12"/>
  <c r="E41" i="12"/>
  <c r="F41" i="12"/>
  <c r="G41" i="12"/>
  <c r="H41" i="12"/>
  <c r="I41" i="12"/>
  <c r="J41" i="12"/>
  <c r="K41" i="12"/>
  <c r="L41" i="12"/>
  <c r="M41" i="12"/>
  <c r="B41" i="12"/>
  <c r="B40" i="12"/>
  <c r="N40" i="12" s="1"/>
  <c r="C22" i="12"/>
  <c r="D22" i="12"/>
  <c r="E22" i="12"/>
  <c r="F22" i="12"/>
  <c r="G22" i="12"/>
  <c r="H22" i="12"/>
  <c r="I22" i="12"/>
  <c r="J22" i="12"/>
  <c r="K22" i="12"/>
  <c r="L22" i="12"/>
  <c r="M22" i="12"/>
  <c r="B22" i="12"/>
  <c r="C15" i="12"/>
  <c r="D15" i="12"/>
  <c r="E15" i="12"/>
  <c r="F15" i="12"/>
  <c r="G15" i="12"/>
  <c r="H15" i="12"/>
  <c r="I15" i="12"/>
  <c r="J15" i="12"/>
  <c r="K15" i="12"/>
  <c r="L15" i="12"/>
  <c r="M15" i="12"/>
  <c r="B15" i="12"/>
  <c r="M10" i="12"/>
  <c r="L10" i="12"/>
  <c r="K10" i="12"/>
  <c r="J10" i="12"/>
  <c r="I10" i="12"/>
  <c r="H10" i="12"/>
  <c r="G10" i="12"/>
  <c r="F10" i="12"/>
  <c r="E10" i="12"/>
  <c r="D10" i="12"/>
  <c r="C10" i="12"/>
  <c r="M9" i="12"/>
  <c r="L9" i="12"/>
  <c r="K9" i="12"/>
  <c r="J9" i="12"/>
  <c r="I9" i="12"/>
  <c r="H9" i="12"/>
  <c r="G9" i="12"/>
  <c r="F9" i="12"/>
  <c r="E9" i="12"/>
  <c r="D9" i="12"/>
  <c r="C9" i="12"/>
  <c r="B10" i="12"/>
  <c r="B9" i="12"/>
  <c r="C16" i="11"/>
  <c r="D16" i="11"/>
  <c r="E16" i="11"/>
  <c r="F16" i="11"/>
  <c r="G16" i="11"/>
  <c r="H16" i="11"/>
  <c r="I16" i="11"/>
  <c r="J16" i="11"/>
  <c r="K16" i="11"/>
  <c r="L16" i="11"/>
  <c r="M16" i="11"/>
  <c r="B16" i="11"/>
  <c r="C12" i="11"/>
  <c r="D12" i="11"/>
  <c r="E12" i="11"/>
  <c r="F12" i="11"/>
  <c r="G12" i="11"/>
  <c r="H12" i="11"/>
  <c r="I12" i="11"/>
  <c r="J12" i="11"/>
  <c r="K12" i="11"/>
  <c r="L12" i="11"/>
  <c r="M12" i="11"/>
  <c r="B12" i="11"/>
  <c r="C9" i="11"/>
  <c r="D9" i="11"/>
  <c r="E9" i="11"/>
  <c r="F9" i="11"/>
  <c r="G9" i="11"/>
  <c r="H9" i="11"/>
  <c r="I9" i="11"/>
  <c r="J9" i="11"/>
  <c r="K9" i="11"/>
  <c r="L9" i="11"/>
  <c r="M9" i="11"/>
  <c r="B9" i="11"/>
  <c r="N41" i="12" l="1"/>
  <c r="N43" i="14"/>
  <c r="P43" i="14" s="1"/>
  <c r="F20" i="14"/>
  <c r="F24" i="14" s="1"/>
  <c r="N11" i="14"/>
  <c r="P11" i="14" s="1"/>
  <c r="J20" i="14"/>
  <c r="J24" i="14" s="1"/>
  <c r="J56" i="14"/>
  <c r="H56" i="14"/>
  <c r="I56" i="14"/>
  <c r="G56" i="14"/>
  <c r="L18" i="13"/>
  <c r="D18" i="13"/>
  <c r="I18" i="13"/>
  <c r="K20" i="14"/>
  <c r="D20" i="14"/>
  <c r="E52" i="14"/>
  <c r="K52" i="14"/>
  <c r="M52" i="14"/>
  <c r="C52" i="14"/>
  <c r="F52" i="14"/>
  <c r="L52" i="14"/>
  <c r="M20" i="14"/>
  <c r="M24" i="14" s="1"/>
  <c r="N19" i="14"/>
  <c r="I20" i="14"/>
  <c r="D52" i="14"/>
  <c r="E20" i="14"/>
  <c r="E24" i="14" s="1"/>
  <c r="N14" i="13"/>
  <c r="N18" i="14"/>
  <c r="B20" i="14"/>
  <c r="F6" i="13"/>
  <c r="E6" i="14"/>
  <c r="E38" i="14" s="1"/>
  <c r="B52" i="14"/>
  <c r="N50" i="14"/>
  <c r="N51" i="14"/>
  <c r="H20" i="14"/>
  <c r="H24" i="14" s="1"/>
  <c r="N53" i="12"/>
  <c r="P53" i="12" s="1"/>
  <c r="G46" i="12"/>
  <c r="G50" i="12" s="1"/>
  <c r="F46" i="12"/>
  <c r="F50" i="12" s="1"/>
  <c r="K42" i="12"/>
  <c r="H42" i="12"/>
  <c r="G42" i="12"/>
  <c r="C42" i="12"/>
  <c r="M42" i="12"/>
  <c r="L42" i="12"/>
  <c r="J42" i="12"/>
  <c r="F42" i="12"/>
  <c r="E42" i="12"/>
  <c r="D42" i="12"/>
  <c r="N42" i="12"/>
  <c r="P42" i="12" s="1"/>
  <c r="N22" i="12"/>
  <c r="P22" i="12" s="1"/>
  <c r="L19" i="12"/>
  <c r="H19" i="12"/>
  <c r="D19" i="12"/>
  <c r="M46" i="12"/>
  <c r="M50" i="12" s="1"/>
  <c r="L46" i="12"/>
  <c r="L50" i="12" s="1"/>
  <c r="K46" i="12"/>
  <c r="K50" i="12" s="1"/>
  <c r="J46" i="12"/>
  <c r="J50" i="12" s="1"/>
  <c r="I46" i="12"/>
  <c r="I50" i="12" s="1"/>
  <c r="H46" i="12"/>
  <c r="H50" i="12" s="1"/>
  <c r="G19" i="12"/>
  <c r="F19" i="12"/>
  <c r="E46" i="12"/>
  <c r="E50" i="12" s="1"/>
  <c r="D46" i="12"/>
  <c r="D50" i="12" s="1"/>
  <c r="C46" i="12"/>
  <c r="C50" i="12" s="1"/>
  <c r="B46" i="12"/>
  <c r="B50" i="12" s="1"/>
  <c r="M14" i="12"/>
  <c r="M45" i="12" s="1"/>
  <c r="I14" i="12"/>
  <c r="I45" i="12" s="1"/>
  <c r="F14" i="12"/>
  <c r="F45" i="12" s="1"/>
  <c r="F49" i="12" s="1"/>
  <c r="E14" i="12"/>
  <c r="E45" i="12" s="1"/>
  <c r="K11" i="12"/>
  <c r="J11" i="12"/>
  <c r="F11" i="12"/>
  <c r="C11" i="12"/>
  <c r="B11" i="12"/>
  <c r="N10" i="12"/>
  <c r="M11" i="12"/>
  <c r="I11" i="12"/>
  <c r="H11" i="12"/>
  <c r="G11" i="12"/>
  <c r="E11" i="12"/>
  <c r="B6" i="12"/>
  <c r="B37" i="12" s="1"/>
  <c r="A4" i="12"/>
  <c r="N16" i="11"/>
  <c r="Q16" i="11" s="1"/>
  <c r="G14" i="11"/>
  <c r="G18" i="11" s="1"/>
  <c r="L14" i="12"/>
  <c r="L45" i="12" s="1"/>
  <c r="K14" i="11"/>
  <c r="K18" i="11" s="1"/>
  <c r="J14" i="12"/>
  <c r="J45" i="12" s="1"/>
  <c r="J49" i="12" s="1"/>
  <c r="H14" i="12"/>
  <c r="H45" i="12" s="1"/>
  <c r="G14" i="12"/>
  <c r="G45" i="12" s="1"/>
  <c r="D14" i="12"/>
  <c r="D45" i="12" s="1"/>
  <c r="C14" i="12"/>
  <c r="C45" i="12" s="1"/>
  <c r="C49" i="12" s="1"/>
  <c r="C51" i="12" s="1"/>
  <c r="C55" i="12" s="1"/>
  <c r="B14" i="12"/>
  <c r="B45" i="12" s="1"/>
  <c r="B49" i="12" s="1"/>
  <c r="M14" i="11"/>
  <c r="M18" i="11" s="1"/>
  <c r="L14" i="11"/>
  <c r="L18" i="11" s="1"/>
  <c r="J14" i="11"/>
  <c r="J18" i="11" s="1"/>
  <c r="I14" i="11"/>
  <c r="I18" i="11" s="1"/>
  <c r="H14" i="11"/>
  <c r="H18" i="11" s="1"/>
  <c r="F14" i="11"/>
  <c r="F18" i="11" s="1"/>
  <c r="E14" i="11"/>
  <c r="E18" i="11" s="1"/>
  <c r="D14" i="11"/>
  <c r="D18" i="11" s="1"/>
  <c r="N9" i="11"/>
  <c r="Q9" i="11" s="1"/>
  <c r="C6" i="11"/>
  <c r="C6" i="12" s="1"/>
  <c r="C37" i="12" s="1"/>
  <c r="S32" i="13" l="1"/>
  <c r="Q14" i="13"/>
  <c r="T14" i="13"/>
  <c r="D56" i="14"/>
  <c r="L56" i="14"/>
  <c r="E56" i="14"/>
  <c r="F56" i="14"/>
  <c r="M56" i="14"/>
  <c r="K56" i="14"/>
  <c r="C56" i="14"/>
  <c r="B56" i="14"/>
  <c r="I24" i="14"/>
  <c r="D24" i="14"/>
  <c r="K24" i="14"/>
  <c r="B24" i="14"/>
  <c r="N20" i="14"/>
  <c r="N52" i="14"/>
  <c r="G6" i="13"/>
  <c r="F6" i="14"/>
  <c r="F38" i="14" s="1"/>
  <c r="D6" i="11"/>
  <c r="D6" i="12" s="1"/>
  <c r="D37" i="12" s="1"/>
  <c r="F51" i="12"/>
  <c r="F55" i="12" s="1"/>
  <c r="N50" i="12"/>
  <c r="I49" i="12"/>
  <c r="I51" i="12" s="1"/>
  <c r="I55" i="12" s="1"/>
  <c r="C18" i="12"/>
  <c r="D18" i="12"/>
  <c r="D20" i="12" s="1"/>
  <c r="D24" i="12" s="1"/>
  <c r="L18" i="12"/>
  <c r="L20" i="12" s="1"/>
  <c r="L24" i="12" s="1"/>
  <c r="G49" i="12"/>
  <c r="G51" i="12" s="1"/>
  <c r="G55" i="12" s="1"/>
  <c r="B51" i="12"/>
  <c r="B55" i="12" s="1"/>
  <c r="J51" i="12"/>
  <c r="J55" i="12" s="1"/>
  <c r="B18" i="12"/>
  <c r="J18" i="12"/>
  <c r="H49" i="12"/>
  <c r="H51" i="12" s="1"/>
  <c r="H55" i="12" s="1"/>
  <c r="F18" i="12"/>
  <c r="F20" i="12" s="1"/>
  <c r="F24" i="12" s="1"/>
  <c r="I19" i="12"/>
  <c r="N9" i="12"/>
  <c r="D11" i="12"/>
  <c r="L11" i="12"/>
  <c r="G18" i="12"/>
  <c r="G20" i="12" s="1"/>
  <c r="G24" i="12" s="1"/>
  <c r="B19" i="12"/>
  <c r="J19" i="12"/>
  <c r="I42" i="12"/>
  <c r="D49" i="12"/>
  <c r="D51" i="12" s="1"/>
  <c r="D55" i="12" s="1"/>
  <c r="L49" i="12"/>
  <c r="L51" i="12" s="1"/>
  <c r="L55" i="12" s="1"/>
  <c r="E18" i="12"/>
  <c r="M18" i="12"/>
  <c r="E6" i="11"/>
  <c r="B14" i="11"/>
  <c r="H18" i="12"/>
  <c r="H20" i="12" s="1"/>
  <c r="H24" i="12" s="1"/>
  <c r="C19" i="12"/>
  <c r="K19" i="12"/>
  <c r="B42" i="12"/>
  <c r="E49" i="12"/>
  <c r="E51" i="12" s="1"/>
  <c r="E55" i="12" s="1"/>
  <c r="M49" i="12"/>
  <c r="M51" i="12" s="1"/>
  <c r="M55" i="12" s="1"/>
  <c r="C14" i="11"/>
  <c r="C18" i="11" s="1"/>
  <c r="I18" i="12"/>
  <c r="E19" i="12"/>
  <c r="M19" i="12"/>
  <c r="K14" i="12"/>
  <c r="K45" i="12" s="1"/>
  <c r="K49" i="12" s="1"/>
  <c r="K51" i="12" s="1"/>
  <c r="K55" i="12" s="1"/>
  <c r="N30" i="14" l="1"/>
  <c r="S33" i="13"/>
  <c r="P20" i="14"/>
  <c r="S20" i="14"/>
  <c r="N62" i="14"/>
  <c r="S34" i="13"/>
  <c r="P52" i="14"/>
  <c r="G6" i="14"/>
  <c r="G38" i="14" s="1"/>
  <c r="H6" i="13"/>
  <c r="E20" i="12"/>
  <c r="E24" i="12" s="1"/>
  <c r="N11" i="12"/>
  <c r="P11" i="12" s="1"/>
  <c r="N49" i="12"/>
  <c r="N51" i="12" s="1"/>
  <c r="I20" i="12"/>
  <c r="I24" i="12" s="1"/>
  <c r="E6" i="12"/>
  <c r="E37" i="12" s="1"/>
  <c r="F6" i="11"/>
  <c r="N14" i="11"/>
  <c r="B18" i="11"/>
  <c r="N19" i="12"/>
  <c r="J20" i="12"/>
  <c r="J24" i="12" s="1"/>
  <c r="C20" i="12"/>
  <c r="C24" i="12" s="1"/>
  <c r="M20" i="12"/>
  <c r="M24" i="12" s="1"/>
  <c r="B20" i="12"/>
  <c r="B24" i="12" s="1"/>
  <c r="K18" i="12"/>
  <c r="K20" i="12" s="1"/>
  <c r="K24" i="12" s="1"/>
  <c r="M16" i="9"/>
  <c r="L16" i="9"/>
  <c r="K16" i="9"/>
  <c r="J16" i="9"/>
  <c r="I16" i="9"/>
  <c r="H16" i="9"/>
  <c r="G16" i="9"/>
  <c r="F16" i="9"/>
  <c r="E16" i="9"/>
  <c r="D16" i="9"/>
  <c r="C16" i="9"/>
  <c r="B16" i="9"/>
  <c r="C53" i="10"/>
  <c r="D53" i="10"/>
  <c r="E53" i="10"/>
  <c r="F53" i="10"/>
  <c r="G53" i="10"/>
  <c r="H53" i="10"/>
  <c r="I53" i="10"/>
  <c r="J53" i="10"/>
  <c r="K53" i="10"/>
  <c r="L53" i="10"/>
  <c r="M53" i="10"/>
  <c r="B53" i="10"/>
  <c r="C40" i="10"/>
  <c r="D40" i="10"/>
  <c r="E40" i="10"/>
  <c r="F40" i="10"/>
  <c r="G40" i="10"/>
  <c r="H40" i="10"/>
  <c r="I40" i="10"/>
  <c r="J40" i="10"/>
  <c r="K40" i="10"/>
  <c r="L40" i="10"/>
  <c r="M40" i="10"/>
  <c r="C41" i="10"/>
  <c r="D41" i="10"/>
  <c r="E41" i="10"/>
  <c r="F41" i="10"/>
  <c r="G41" i="10"/>
  <c r="H41" i="10"/>
  <c r="I41" i="10"/>
  <c r="J41" i="10"/>
  <c r="K41" i="10"/>
  <c r="L41" i="10"/>
  <c r="M41" i="10"/>
  <c r="B41" i="10"/>
  <c r="B40" i="10"/>
  <c r="C22" i="10"/>
  <c r="D22" i="10"/>
  <c r="E22" i="10"/>
  <c r="F22" i="10"/>
  <c r="G22" i="10"/>
  <c r="H22" i="10"/>
  <c r="I22" i="10"/>
  <c r="J22" i="10"/>
  <c r="K22" i="10"/>
  <c r="L22" i="10"/>
  <c r="M22" i="10"/>
  <c r="B22" i="10"/>
  <c r="C15" i="10"/>
  <c r="C19" i="10" s="1"/>
  <c r="D15" i="10"/>
  <c r="D19" i="10" s="1"/>
  <c r="E15" i="10"/>
  <c r="F15" i="10"/>
  <c r="F19" i="10" s="1"/>
  <c r="G15" i="10"/>
  <c r="G19" i="10" s="1"/>
  <c r="H15" i="10"/>
  <c r="I15" i="10"/>
  <c r="J15" i="10"/>
  <c r="K15" i="10"/>
  <c r="K19" i="10" s="1"/>
  <c r="L15" i="10"/>
  <c r="L19" i="10" s="1"/>
  <c r="M15" i="10"/>
  <c r="B15" i="10"/>
  <c r="C9" i="10"/>
  <c r="D9" i="10"/>
  <c r="E9" i="10"/>
  <c r="F9" i="10"/>
  <c r="G9" i="10"/>
  <c r="H9" i="10"/>
  <c r="I9" i="10"/>
  <c r="J9" i="10"/>
  <c r="K9" i="10"/>
  <c r="L9" i="10"/>
  <c r="M9" i="10"/>
  <c r="C10" i="10"/>
  <c r="D10" i="10"/>
  <c r="E10" i="10"/>
  <c r="F10" i="10"/>
  <c r="G10" i="10"/>
  <c r="H10" i="10"/>
  <c r="I10" i="10"/>
  <c r="J10" i="10"/>
  <c r="J19" i="10" s="1"/>
  <c r="K10" i="10"/>
  <c r="L10" i="10"/>
  <c r="M10" i="10"/>
  <c r="B10" i="10"/>
  <c r="B9" i="10"/>
  <c r="M19" i="10" l="1"/>
  <c r="I19" i="10"/>
  <c r="E19" i="10"/>
  <c r="H19" i="10"/>
  <c r="S35" i="13"/>
  <c r="I6" i="13"/>
  <c r="H6" i="14"/>
  <c r="H38" i="14" s="1"/>
  <c r="N60" i="12"/>
  <c r="P51" i="12"/>
  <c r="N23" i="11"/>
  <c r="Q14" i="11"/>
  <c r="N18" i="12"/>
  <c r="N20" i="12" s="1"/>
  <c r="F6" i="12"/>
  <c r="F37" i="12" s="1"/>
  <c r="G6" i="11"/>
  <c r="C9" i="9"/>
  <c r="D9" i="9"/>
  <c r="E9" i="9"/>
  <c r="F9" i="9"/>
  <c r="G9" i="9"/>
  <c r="H9" i="9"/>
  <c r="I9" i="9"/>
  <c r="J9" i="9"/>
  <c r="K9" i="9"/>
  <c r="L9" i="9"/>
  <c r="M9" i="9"/>
  <c r="B9" i="9"/>
  <c r="M19" i="13" l="1"/>
  <c r="M20" i="13" s="1"/>
  <c r="M21" i="13" s="1"/>
  <c r="I19" i="13"/>
  <c r="I20" i="13" s="1"/>
  <c r="I21" i="13" s="1"/>
  <c r="E19" i="13"/>
  <c r="E20" i="13" s="1"/>
  <c r="E21" i="13" s="1"/>
  <c r="L19" i="13"/>
  <c r="L20" i="13" s="1"/>
  <c r="L21" i="13" s="1"/>
  <c r="H19" i="13"/>
  <c r="H20" i="13" s="1"/>
  <c r="H21" i="13" s="1"/>
  <c r="D19" i="13"/>
  <c r="D20" i="13" s="1"/>
  <c r="D21" i="13" s="1"/>
  <c r="K19" i="13"/>
  <c r="K20" i="13" s="1"/>
  <c r="K21" i="13" s="1"/>
  <c r="G19" i="13"/>
  <c r="G20" i="13" s="1"/>
  <c r="G21" i="13" s="1"/>
  <c r="J19" i="13"/>
  <c r="J20" i="13" s="1"/>
  <c r="J21" i="13" s="1"/>
  <c r="F19" i="13"/>
  <c r="F20" i="13" s="1"/>
  <c r="F21" i="13" s="1"/>
  <c r="G57" i="14"/>
  <c r="G58" i="14" s="1"/>
  <c r="G59" i="14" s="1"/>
  <c r="K57" i="14"/>
  <c r="K58" i="14" s="1"/>
  <c r="K59" i="14" s="1"/>
  <c r="H57" i="14"/>
  <c r="H58" i="14" s="1"/>
  <c r="H59" i="14" s="1"/>
  <c r="L57" i="14"/>
  <c r="L58" i="14" s="1"/>
  <c r="L59" i="14" s="1"/>
  <c r="E57" i="14"/>
  <c r="E58" i="14" s="1"/>
  <c r="E59" i="14" s="1"/>
  <c r="I57" i="14"/>
  <c r="I58" i="14" s="1"/>
  <c r="I59" i="14" s="1"/>
  <c r="M57" i="14"/>
  <c r="M58" i="14" s="1"/>
  <c r="M59" i="14" s="1"/>
  <c r="F57" i="14"/>
  <c r="F58" i="14" s="1"/>
  <c r="F59" i="14" s="1"/>
  <c r="J57" i="14"/>
  <c r="J58" i="14" s="1"/>
  <c r="J59" i="14" s="1"/>
  <c r="D57" i="14"/>
  <c r="D58" i="14" s="1"/>
  <c r="D59" i="14" s="1"/>
  <c r="J6" i="13"/>
  <c r="I6" i="14"/>
  <c r="I38" i="14" s="1"/>
  <c r="N29" i="12"/>
  <c r="P20" i="12"/>
  <c r="G6" i="12"/>
  <c r="G37" i="12" s="1"/>
  <c r="H6" i="11"/>
  <c r="L12" i="9"/>
  <c r="C12" i="9"/>
  <c r="F12" i="9"/>
  <c r="H12" i="9"/>
  <c r="D12" i="9"/>
  <c r="K12" i="9"/>
  <c r="G12" i="9"/>
  <c r="B12" i="9"/>
  <c r="J12" i="9"/>
  <c r="M12" i="9"/>
  <c r="I12" i="9"/>
  <c r="E12" i="9"/>
  <c r="M25" i="14" l="1"/>
  <c r="M26" i="14" s="1"/>
  <c r="M27" i="14" s="1"/>
  <c r="I25" i="14"/>
  <c r="I26" i="14" s="1"/>
  <c r="I27" i="14" s="1"/>
  <c r="E25" i="14"/>
  <c r="E26" i="14" s="1"/>
  <c r="E27" i="14" s="1"/>
  <c r="L25" i="14"/>
  <c r="L26" i="14" s="1"/>
  <c r="L27" i="14" s="1"/>
  <c r="H25" i="14"/>
  <c r="H26" i="14" s="1"/>
  <c r="H27" i="14" s="1"/>
  <c r="D25" i="14"/>
  <c r="D26" i="14" s="1"/>
  <c r="D27" i="14" s="1"/>
  <c r="K25" i="14"/>
  <c r="K26" i="14" s="1"/>
  <c r="K27" i="14" s="1"/>
  <c r="G25" i="14"/>
  <c r="G26" i="14" s="1"/>
  <c r="G27" i="14" s="1"/>
  <c r="J25" i="14"/>
  <c r="J26" i="14" s="1"/>
  <c r="J27" i="14" s="1"/>
  <c r="F25" i="14"/>
  <c r="F26" i="14" s="1"/>
  <c r="F27" i="14" s="1"/>
  <c r="J6" i="14"/>
  <c r="J38" i="14" s="1"/>
  <c r="K6" i="13"/>
  <c r="I6" i="11"/>
  <c r="H6" i="12"/>
  <c r="H37" i="12" s="1"/>
  <c r="C6" i="9"/>
  <c r="D6" i="9" s="1"/>
  <c r="E6" i="9" s="1"/>
  <c r="F6" i="9" s="1"/>
  <c r="G6" i="9" s="1"/>
  <c r="H6" i="9" s="1"/>
  <c r="I6" i="9" s="1"/>
  <c r="J6" i="9" s="1"/>
  <c r="K6" i="9" s="1"/>
  <c r="L6" i="9" s="1"/>
  <c r="M6" i="9" s="1"/>
  <c r="L6" i="13" l="1"/>
  <c r="K6" i="14"/>
  <c r="K38" i="14" s="1"/>
  <c r="J6" i="11"/>
  <c r="I6" i="12"/>
  <c r="I37" i="12" s="1"/>
  <c r="N53" i="10"/>
  <c r="M46" i="10"/>
  <c r="M50" i="10" s="1"/>
  <c r="L46" i="10"/>
  <c r="L50" i="10" s="1"/>
  <c r="K46" i="10"/>
  <c r="K50" i="10" s="1"/>
  <c r="J46" i="10"/>
  <c r="J50" i="10" s="1"/>
  <c r="I46" i="10"/>
  <c r="I50" i="10" s="1"/>
  <c r="H46" i="10"/>
  <c r="H50" i="10" s="1"/>
  <c r="G46" i="10"/>
  <c r="G50" i="10" s="1"/>
  <c r="F46" i="10"/>
  <c r="F50" i="10" s="1"/>
  <c r="E46" i="10"/>
  <c r="E50" i="10" s="1"/>
  <c r="D46" i="10"/>
  <c r="D50" i="10" s="1"/>
  <c r="C46" i="10"/>
  <c r="C50" i="10" s="1"/>
  <c r="B46" i="10"/>
  <c r="B50" i="10" s="1"/>
  <c r="M42" i="10"/>
  <c r="L42" i="10"/>
  <c r="K42" i="10"/>
  <c r="J42" i="10"/>
  <c r="I42" i="10"/>
  <c r="H42" i="10"/>
  <c r="G42" i="10"/>
  <c r="F42" i="10"/>
  <c r="E42" i="10"/>
  <c r="D42" i="10"/>
  <c r="C42" i="10"/>
  <c r="B42" i="10"/>
  <c r="N41" i="10"/>
  <c r="N40" i="10"/>
  <c r="N22" i="10"/>
  <c r="B19" i="10"/>
  <c r="M14" i="10"/>
  <c r="L14" i="10"/>
  <c r="K14" i="10"/>
  <c r="J14" i="10"/>
  <c r="I14" i="10"/>
  <c r="H14" i="10"/>
  <c r="G14" i="10"/>
  <c r="F14" i="10"/>
  <c r="F18" i="10" s="1"/>
  <c r="E14" i="10"/>
  <c r="D14" i="10"/>
  <c r="C14" i="10"/>
  <c r="B14" i="10"/>
  <c r="B18" i="10" s="1"/>
  <c r="M11" i="10"/>
  <c r="L11" i="10"/>
  <c r="K11" i="10"/>
  <c r="J11" i="10"/>
  <c r="I11" i="10"/>
  <c r="H11" i="10"/>
  <c r="G11" i="10"/>
  <c r="F11" i="10"/>
  <c r="E11" i="10"/>
  <c r="D11" i="10"/>
  <c r="C11" i="10"/>
  <c r="B11" i="10"/>
  <c r="N11" i="10" s="1"/>
  <c r="N10" i="10"/>
  <c r="N9" i="10"/>
  <c r="M6" i="10"/>
  <c r="M37" i="10" s="1"/>
  <c r="L6" i="10"/>
  <c r="L37" i="10" s="1"/>
  <c r="K6" i="10"/>
  <c r="K37" i="10" s="1"/>
  <c r="J6" i="10"/>
  <c r="J37" i="10" s="1"/>
  <c r="I6" i="10"/>
  <c r="I37" i="10" s="1"/>
  <c r="H6" i="10"/>
  <c r="H37" i="10" s="1"/>
  <c r="G6" i="10"/>
  <c r="G37" i="10" s="1"/>
  <c r="F6" i="10"/>
  <c r="F37" i="10" s="1"/>
  <c r="E6" i="10"/>
  <c r="E37" i="10" s="1"/>
  <c r="D6" i="10"/>
  <c r="D37" i="10" s="1"/>
  <c r="C6" i="10"/>
  <c r="C37" i="10" s="1"/>
  <c r="B6" i="10"/>
  <c r="B37" i="10" s="1"/>
  <c r="A4" i="10"/>
  <c r="N16" i="9"/>
  <c r="M14" i="9"/>
  <c r="L14" i="9"/>
  <c r="K14" i="9"/>
  <c r="J14" i="9"/>
  <c r="I14" i="9"/>
  <c r="H14" i="9"/>
  <c r="G14" i="9"/>
  <c r="F14" i="9"/>
  <c r="E14" i="9"/>
  <c r="D14" i="9"/>
  <c r="C14" i="9"/>
  <c r="B14" i="9"/>
  <c r="B18" i="9" s="1"/>
  <c r="N9" i="9"/>
  <c r="M6" i="13" l="1"/>
  <c r="M6" i="14" s="1"/>
  <c r="M38" i="14" s="1"/>
  <c r="L6" i="14"/>
  <c r="L38" i="14" s="1"/>
  <c r="C45" i="10"/>
  <c r="C18" i="10"/>
  <c r="C20" i="10" s="1"/>
  <c r="C24" i="10" s="1"/>
  <c r="K45" i="10"/>
  <c r="K18" i="10"/>
  <c r="D45" i="10"/>
  <c r="D49" i="10" s="1"/>
  <c r="D18" i="10"/>
  <c r="L45" i="10"/>
  <c r="L49" i="10" s="1"/>
  <c r="L18" i="10"/>
  <c r="L20" i="10" s="1"/>
  <c r="L24" i="10" s="1"/>
  <c r="E18" i="10"/>
  <c r="E20" i="10" s="1"/>
  <c r="E24" i="10" s="1"/>
  <c r="M18" i="10"/>
  <c r="M20" i="10" s="1"/>
  <c r="M24" i="10" s="1"/>
  <c r="G45" i="10"/>
  <c r="G18" i="10"/>
  <c r="G20" i="10" s="1"/>
  <c r="G24" i="10" s="1"/>
  <c r="H45" i="10"/>
  <c r="H18" i="10"/>
  <c r="H20" i="10" s="1"/>
  <c r="H24" i="10" s="1"/>
  <c r="I18" i="10"/>
  <c r="I20" i="10" s="1"/>
  <c r="I24" i="10" s="1"/>
  <c r="J18" i="10"/>
  <c r="J20" i="10" s="1"/>
  <c r="J24" i="10" s="1"/>
  <c r="K6" i="11"/>
  <c r="J6" i="12"/>
  <c r="J37" i="12" s="1"/>
  <c r="N42" i="10"/>
  <c r="D51" i="10"/>
  <c r="D55" i="10" s="1"/>
  <c r="L51" i="10"/>
  <c r="L55" i="10" s="1"/>
  <c r="F20" i="10"/>
  <c r="F24" i="10" s="1"/>
  <c r="N19" i="10"/>
  <c r="J18" i="9"/>
  <c r="F18" i="9"/>
  <c r="K18" i="9"/>
  <c r="C18" i="9"/>
  <c r="G18" i="9"/>
  <c r="H18" i="9"/>
  <c r="D18" i="9"/>
  <c r="L18" i="9"/>
  <c r="E18" i="9"/>
  <c r="I18" i="9"/>
  <c r="M18" i="9"/>
  <c r="N14" i="9"/>
  <c r="N23" i="9" s="1"/>
  <c r="B20" i="10"/>
  <c r="B24" i="10" s="1"/>
  <c r="N50" i="10"/>
  <c r="K20" i="10"/>
  <c r="K24" i="10" s="1"/>
  <c r="E45" i="10"/>
  <c r="I45" i="10"/>
  <c r="M45" i="10"/>
  <c r="D20" i="10"/>
  <c r="D24" i="10" s="1"/>
  <c r="B45" i="10"/>
  <c r="B49" i="10" s="1"/>
  <c r="F45" i="10"/>
  <c r="J45" i="10"/>
  <c r="M49" i="10" l="1"/>
  <c r="M51" i="10" s="1"/>
  <c r="M55" i="10" s="1"/>
  <c r="E49" i="10"/>
  <c r="E51" i="10" s="1"/>
  <c r="E55" i="10" s="1"/>
  <c r="E19" i="11"/>
  <c r="E20" i="11" s="1"/>
  <c r="M19" i="11"/>
  <c r="F19" i="11"/>
  <c r="F20" i="11" s="1"/>
  <c r="D19" i="11"/>
  <c r="D20" i="11" s="1"/>
  <c r="I19" i="11"/>
  <c r="I20" i="11" s="1"/>
  <c r="G19" i="11"/>
  <c r="G20" i="11" s="1"/>
  <c r="H19" i="11"/>
  <c r="H20" i="11" s="1"/>
  <c r="J19" i="11"/>
  <c r="J20" i="11" s="1"/>
  <c r="K19" i="11"/>
  <c r="K20" i="11" s="1"/>
  <c r="L19" i="11"/>
  <c r="L20" i="11" s="1"/>
  <c r="I49" i="10"/>
  <c r="I51" i="10" s="1"/>
  <c r="I55" i="10" s="1"/>
  <c r="F49" i="10"/>
  <c r="F51" i="10" s="1"/>
  <c r="F55" i="10" s="1"/>
  <c r="C49" i="10"/>
  <c r="C51" i="10" s="1"/>
  <c r="C55" i="10" s="1"/>
  <c r="J49" i="10"/>
  <c r="J51" i="10" s="1"/>
  <c r="J55" i="10" s="1"/>
  <c r="H49" i="10"/>
  <c r="H51" i="10" s="1"/>
  <c r="H55" i="10" s="1"/>
  <c r="G49" i="10"/>
  <c r="G51" i="10" s="1"/>
  <c r="G55" i="10" s="1"/>
  <c r="K49" i="10"/>
  <c r="K51" i="10" s="1"/>
  <c r="K55" i="10" s="1"/>
  <c r="K6" i="12"/>
  <c r="K37" i="12" s="1"/>
  <c r="L6" i="11"/>
  <c r="B51" i="10"/>
  <c r="N18" i="10"/>
  <c r="N20" i="10" s="1"/>
  <c r="N29" i="10" s="1"/>
  <c r="M20" i="11" l="1"/>
  <c r="C19" i="13"/>
  <c r="C20" i="13" s="1"/>
  <c r="C21" i="13" s="1"/>
  <c r="B19" i="13"/>
  <c r="B20" i="13" s="1"/>
  <c r="B21" i="13" s="1"/>
  <c r="N21" i="13" s="1"/>
  <c r="L25" i="12"/>
  <c r="L26" i="12" s="1"/>
  <c r="D25" i="12"/>
  <c r="D26" i="12" s="1"/>
  <c r="K25" i="12"/>
  <c r="K26" i="12" s="1"/>
  <c r="H25" i="12"/>
  <c r="H26" i="12" s="1"/>
  <c r="J25" i="12"/>
  <c r="J26" i="12" s="1"/>
  <c r="I25" i="12"/>
  <c r="I26" i="12" s="1"/>
  <c r="G25" i="12"/>
  <c r="G26" i="12" s="1"/>
  <c r="F25" i="12"/>
  <c r="F26" i="12" s="1"/>
  <c r="M25" i="12"/>
  <c r="E25" i="12"/>
  <c r="E26" i="12" s="1"/>
  <c r="N49" i="10"/>
  <c r="N51" i="10" s="1"/>
  <c r="N60" i="10" s="1"/>
  <c r="M6" i="11"/>
  <c r="M6" i="12" s="1"/>
  <c r="M37" i="12" s="1"/>
  <c r="L6" i="12"/>
  <c r="L37" i="12" s="1"/>
  <c r="B55" i="10"/>
  <c r="M26" i="12" l="1"/>
  <c r="C25" i="14"/>
  <c r="C26" i="14" s="1"/>
  <c r="C27" i="14" s="1"/>
  <c r="B25" i="14"/>
  <c r="B26" i="14" s="1"/>
  <c r="B27" i="14" s="1"/>
  <c r="N27" i="14" s="1"/>
  <c r="Q21" i="13"/>
  <c r="N23" i="13"/>
  <c r="L56" i="12"/>
  <c r="L57" i="12" s="1"/>
  <c r="E56" i="12"/>
  <c r="E57" i="12" s="1"/>
  <c r="M56" i="12"/>
  <c r="H56" i="12"/>
  <c r="H57" i="12" s="1"/>
  <c r="F56" i="12"/>
  <c r="F57" i="12" s="1"/>
  <c r="D56" i="12"/>
  <c r="D57" i="12" s="1"/>
  <c r="G56" i="12"/>
  <c r="G57" i="12" s="1"/>
  <c r="I56" i="12"/>
  <c r="I57" i="12" s="1"/>
  <c r="J56" i="12"/>
  <c r="J57" i="12" s="1"/>
  <c r="K56" i="12"/>
  <c r="K57" i="12" s="1"/>
  <c r="M57" i="12" l="1"/>
  <c r="C57" i="14"/>
  <c r="C58" i="14" s="1"/>
  <c r="C59" i="14" s="1"/>
  <c r="B57" i="14"/>
  <c r="B58" i="14" s="1"/>
  <c r="B59" i="14" s="1"/>
  <c r="P27" i="14"/>
  <c r="N31" i="14"/>
  <c r="N33" i="16" s="1"/>
  <c r="N34" i="16" s="1"/>
  <c r="N25" i="13"/>
  <c r="N27" i="15" s="1"/>
  <c r="G42" i="8"/>
  <c r="C42" i="8"/>
  <c r="H22" i="8"/>
  <c r="F46" i="8"/>
  <c r="F50" i="8" s="1"/>
  <c r="E46" i="8"/>
  <c r="E50" i="8" s="1"/>
  <c r="D46" i="8"/>
  <c r="D50" i="8" s="1"/>
  <c r="B46" i="8"/>
  <c r="B50" i="8" s="1"/>
  <c r="G45" i="8"/>
  <c r="F45" i="8"/>
  <c r="E45" i="8"/>
  <c r="E49" i="8" s="1"/>
  <c r="D45" i="8"/>
  <c r="C45" i="8"/>
  <c r="B45" i="8"/>
  <c r="F11" i="8"/>
  <c r="G11" i="8"/>
  <c r="F18" i="8"/>
  <c r="D11" i="8"/>
  <c r="C11" i="8"/>
  <c r="B18" i="8"/>
  <c r="G6" i="8"/>
  <c r="G37" i="8" s="1"/>
  <c r="F6" i="8"/>
  <c r="F37" i="8" s="1"/>
  <c r="E6" i="8"/>
  <c r="E37" i="8" s="1"/>
  <c r="D6" i="8"/>
  <c r="D37" i="8" s="1"/>
  <c r="C6" i="8"/>
  <c r="C37" i="8" s="1"/>
  <c r="B6" i="8"/>
  <c r="B37" i="8" s="1"/>
  <c r="A4" i="8"/>
  <c r="H16" i="7"/>
  <c r="G14" i="7"/>
  <c r="G18" i="7" s="1"/>
  <c r="E14" i="7"/>
  <c r="E18" i="7" s="1"/>
  <c r="D14" i="7"/>
  <c r="D18" i="7" s="1"/>
  <c r="C14" i="7"/>
  <c r="C18" i="7" s="1"/>
  <c r="O34" i="16" l="1"/>
  <c r="N35" i="16"/>
  <c r="P28" i="15"/>
  <c r="N29" i="15"/>
  <c r="N59" i="14"/>
  <c r="E42" i="8"/>
  <c r="H10" i="8"/>
  <c r="D49" i="8"/>
  <c r="D51" i="8" s="1"/>
  <c r="D55" i="8" s="1"/>
  <c r="E11" i="8"/>
  <c r="C19" i="8"/>
  <c r="G19" i="8"/>
  <c r="H41" i="8"/>
  <c r="H53" i="8"/>
  <c r="B11" i="8"/>
  <c r="D19" i="8"/>
  <c r="B42" i="8"/>
  <c r="F42" i="8"/>
  <c r="D42" i="8"/>
  <c r="H9" i="7"/>
  <c r="F14" i="7"/>
  <c r="F18" i="7" s="1"/>
  <c r="E51" i="8"/>
  <c r="E55" i="8" s="1"/>
  <c r="H9" i="8"/>
  <c r="C18" i="8"/>
  <c r="G18" i="8"/>
  <c r="C46" i="8"/>
  <c r="C50" i="8" s="1"/>
  <c r="G46" i="8"/>
  <c r="G50" i="8" s="1"/>
  <c r="D18" i="8"/>
  <c r="D20" i="8" s="1"/>
  <c r="D24" i="8" s="1"/>
  <c r="E19" i="8"/>
  <c r="B49" i="8"/>
  <c r="F49" i="8"/>
  <c r="F51" i="8" s="1"/>
  <c r="F55" i="8" s="1"/>
  <c r="B14" i="7"/>
  <c r="E18" i="8"/>
  <c r="B19" i="8"/>
  <c r="F19" i="8"/>
  <c r="F20" i="8" s="1"/>
  <c r="F24" i="8" s="1"/>
  <c r="H40" i="8"/>
  <c r="C49" i="8"/>
  <c r="G49" i="8"/>
  <c r="N63" i="14" l="1"/>
  <c r="N65" i="16" s="1"/>
  <c r="N66" i="16" s="1"/>
  <c r="P59" i="14"/>
  <c r="H42" i="8"/>
  <c r="H50" i="8"/>
  <c r="E20" i="8"/>
  <c r="E24" i="8" s="1"/>
  <c r="G20" i="8"/>
  <c r="G24" i="8" s="1"/>
  <c r="H11" i="8"/>
  <c r="C20" i="8"/>
  <c r="C24" i="8" s="1"/>
  <c r="G51" i="8"/>
  <c r="G55" i="8" s="1"/>
  <c r="H18" i="8"/>
  <c r="H19" i="8"/>
  <c r="B51" i="8"/>
  <c r="H49" i="8"/>
  <c r="H51" i="8" s="1"/>
  <c r="C51" i="8"/>
  <c r="C55" i="8" s="1"/>
  <c r="G23" i="7"/>
  <c r="B18" i="7"/>
  <c r="H14" i="7"/>
  <c r="B20" i="8"/>
  <c r="M56" i="6"/>
  <c r="L56" i="6"/>
  <c r="K56" i="6"/>
  <c r="J56" i="6"/>
  <c r="I56" i="6"/>
  <c r="H56" i="6"/>
  <c r="G56" i="6"/>
  <c r="F56" i="6"/>
  <c r="E56" i="6"/>
  <c r="D56" i="6"/>
  <c r="C56" i="6"/>
  <c r="B56" i="6"/>
  <c r="M53" i="6"/>
  <c r="L53" i="6"/>
  <c r="K53" i="6"/>
  <c r="J53" i="6"/>
  <c r="I53" i="6"/>
  <c r="H53" i="6"/>
  <c r="G53" i="6"/>
  <c r="F53" i="6"/>
  <c r="E53" i="6"/>
  <c r="D53" i="6"/>
  <c r="C53" i="6"/>
  <c r="B53" i="6"/>
  <c r="M41" i="6"/>
  <c r="L41" i="6"/>
  <c r="K41" i="6"/>
  <c r="J41" i="6"/>
  <c r="I41" i="6"/>
  <c r="H41" i="6"/>
  <c r="G41" i="6"/>
  <c r="F41" i="6"/>
  <c r="E41" i="6"/>
  <c r="D41" i="6"/>
  <c r="C41" i="6"/>
  <c r="B41" i="6"/>
  <c r="M40" i="6"/>
  <c r="L40" i="6"/>
  <c r="K40" i="6"/>
  <c r="K42" i="6" s="1"/>
  <c r="J40" i="6"/>
  <c r="I40" i="6"/>
  <c r="H40" i="6"/>
  <c r="G40" i="6"/>
  <c r="F40" i="6"/>
  <c r="E40" i="6"/>
  <c r="D40" i="6"/>
  <c r="C40" i="6"/>
  <c r="C42" i="6" s="1"/>
  <c r="B40" i="6"/>
  <c r="M25" i="6"/>
  <c r="L25" i="6"/>
  <c r="K25" i="6"/>
  <c r="J25" i="6"/>
  <c r="I25" i="6"/>
  <c r="H25" i="6"/>
  <c r="G25" i="6"/>
  <c r="F25" i="6"/>
  <c r="E25" i="6"/>
  <c r="D25" i="6"/>
  <c r="C25" i="6"/>
  <c r="B25" i="6"/>
  <c r="M22" i="6"/>
  <c r="L22" i="6"/>
  <c r="K22" i="6"/>
  <c r="J22" i="6"/>
  <c r="I22" i="6"/>
  <c r="H22" i="6"/>
  <c r="G22" i="6"/>
  <c r="F22" i="6"/>
  <c r="E22" i="6"/>
  <c r="D22" i="6"/>
  <c r="C22" i="6"/>
  <c r="B22" i="6"/>
  <c r="M15" i="6"/>
  <c r="M46" i="6" s="1"/>
  <c r="M50" i="6" s="1"/>
  <c r="L15" i="6"/>
  <c r="L46" i="6" s="1"/>
  <c r="L50" i="6" s="1"/>
  <c r="K15" i="6"/>
  <c r="J15" i="6"/>
  <c r="J46" i="6" s="1"/>
  <c r="J50" i="6" s="1"/>
  <c r="I15" i="6"/>
  <c r="I46" i="6" s="1"/>
  <c r="I50" i="6" s="1"/>
  <c r="H15" i="6"/>
  <c r="H46" i="6" s="1"/>
  <c r="H50" i="6" s="1"/>
  <c r="G15" i="6"/>
  <c r="F15" i="6"/>
  <c r="F46" i="6" s="1"/>
  <c r="F50" i="6" s="1"/>
  <c r="E15" i="6"/>
  <c r="E46" i="6" s="1"/>
  <c r="E50" i="6" s="1"/>
  <c r="D15" i="6"/>
  <c r="D46" i="6" s="1"/>
  <c r="D50" i="6" s="1"/>
  <c r="C15" i="6"/>
  <c r="B15" i="6"/>
  <c r="B46" i="6" s="1"/>
  <c r="B50" i="6" s="1"/>
  <c r="M10" i="6"/>
  <c r="L10" i="6"/>
  <c r="K10" i="6"/>
  <c r="J10" i="6"/>
  <c r="I10" i="6"/>
  <c r="H10" i="6"/>
  <c r="G10" i="6"/>
  <c r="F10" i="6"/>
  <c r="E10" i="6"/>
  <c r="D10" i="6"/>
  <c r="C10" i="6"/>
  <c r="B10" i="6"/>
  <c r="M9" i="6"/>
  <c r="L9" i="6"/>
  <c r="K9" i="6"/>
  <c r="J9" i="6"/>
  <c r="I9" i="6"/>
  <c r="I11" i="6" s="1"/>
  <c r="H9" i="6"/>
  <c r="G9" i="6"/>
  <c r="F9" i="6"/>
  <c r="E9" i="6"/>
  <c r="D9" i="6"/>
  <c r="C9" i="6"/>
  <c r="B9" i="6"/>
  <c r="M6" i="6"/>
  <c r="M37" i="6" s="1"/>
  <c r="L6" i="6"/>
  <c r="L37" i="6" s="1"/>
  <c r="K6" i="6"/>
  <c r="K37" i="6" s="1"/>
  <c r="J6" i="6"/>
  <c r="J37" i="6" s="1"/>
  <c r="I6" i="6"/>
  <c r="I37" i="6" s="1"/>
  <c r="H6" i="6"/>
  <c r="H37" i="6" s="1"/>
  <c r="G6" i="6"/>
  <c r="G37" i="6" s="1"/>
  <c r="F6" i="6"/>
  <c r="F37" i="6" s="1"/>
  <c r="E6" i="6"/>
  <c r="E37" i="6" s="1"/>
  <c r="D6" i="6"/>
  <c r="D37" i="6" s="1"/>
  <c r="C6" i="6"/>
  <c r="C37" i="6" s="1"/>
  <c r="B6" i="6"/>
  <c r="B37" i="6" s="1"/>
  <c r="A4" i="6"/>
  <c r="M19" i="5"/>
  <c r="L19" i="5"/>
  <c r="K19" i="5"/>
  <c r="J19" i="5"/>
  <c r="I19" i="5"/>
  <c r="H19" i="5"/>
  <c r="G19" i="5"/>
  <c r="F19" i="5"/>
  <c r="E19" i="5"/>
  <c r="D19" i="5"/>
  <c r="C19" i="5"/>
  <c r="B19" i="5"/>
  <c r="M16" i="5"/>
  <c r="L16" i="5"/>
  <c r="K16" i="5"/>
  <c r="J16" i="5"/>
  <c r="I16" i="5"/>
  <c r="H16" i="5"/>
  <c r="G16" i="5"/>
  <c r="F16" i="5"/>
  <c r="E16" i="5"/>
  <c r="D16" i="5"/>
  <c r="C16" i="5"/>
  <c r="B16" i="5"/>
  <c r="M12" i="5"/>
  <c r="L12" i="5"/>
  <c r="L14" i="6" s="1"/>
  <c r="K12" i="5"/>
  <c r="K14" i="6" s="1"/>
  <c r="J12" i="5"/>
  <c r="J14" i="6" s="1"/>
  <c r="I12" i="5"/>
  <c r="H12" i="5"/>
  <c r="H14" i="6" s="1"/>
  <c r="G12" i="5"/>
  <c r="G14" i="6" s="1"/>
  <c r="G45" i="6" s="1"/>
  <c r="F12" i="5"/>
  <c r="F14" i="6" s="1"/>
  <c r="F45" i="6" s="1"/>
  <c r="E12" i="5"/>
  <c r="D12" i="5"/>
  <c r="D14" i="6" s="1"/>
  <c r="D45" i="6" s="1"/>
  <c r="C12" i="5"/>
  <c r="C14" i="6" s="1"/>
  <c r="C45" i="6" s="1"/>
  <c r="B12" i="5"/>
  <c r="B14" i="6" s="1"/>
  <c r="B45" i="6" s="1"/>
  <c r="M9" i="5"/>
  <c r="L9" i="5"/>
  <c r="K9" i="5"/>
  <c r="J9" i="5"/>
  <c r="I9" i="5"/>
  <c r="H9" i="5"/>
  <c r="G9" i="5"/>
  <c r="F9" i="5"/>
  <c r="E9" i="5"/>
  <c r="D9" i="5"/>
  <c r="C9" i="5"/>
  <c r="B9" i="5"/>
  <c r="N67" i="16" l="1"/>
  <c r="O66" i="16"/>
  <c r="G14" i="5"/>
  <c r="G18" i="5" s="1"/>
  <c r="G20" i="5" s="1"/>
  <c r="B32" i="6"/>
  <c r="J14" i="5"/>
  <c r="J18" i="5" s="1"/>
  <c r="J20" i="5" s="1"/>
  <c r="L19" i="9"/>
  <c r="L20" i="9" s="1"/>
  <c r="E19" i="9"/>
  <c r="E20" i="9" s="1"/>
  <c r="F19" i="9"/>
  <c r="F20" i="9" s="1"/>
  <c r="D19" i="9"/>
  <c r="D20" i="9" s="1"/>
  <c r="H19" i="9"/>
  <c r="H20" i="9" s="1"/>
  <c r="J19" i="9"/>
  <c r="J20" i="9" s="1"/>
  <c r="K19" i="9"/>
  <c r="K20" i="9" s="1"/>
  <c r="M19" i="9"/>
  <c r="G19" i="9"/>
  <c r="G20" i="9" s="1"/>
  <c r="I19" i="9"/>
  <c r="I20" i="9" s="1"/>
  <c r="G42" i="6"/>
  <c r="B14" i="5"/>
  <c r="E11" i="6"/>
  <c r="M11" i="6"/>
  <c r="C32" i="6"/>
  <c r="E32" i="6"/>
  <c r="K14" i="5"/>
  <c r="K18" i="5" s="1"/>
  <c r="K20" i="5" s="1"/>
  <c r="D32" i="6"/>
  <c r="D14" i="5"/>
  <c r="D18" i="5" s="1"/>
  <c r="D20" i="5" s="1"/>
  <c r="F32" i="6"/>
  <c r="C14" i="5"/>
  <c r="C18" i="5" s="1"/>
  <c r="C20" i="5" s="1"/>
  <c r="F14" i="5"/>
  <c r="F18" i="5" s="1"/>
  <c r="F20" i="5" s="1"/>
  <c r="G32" i="6"/>
  <c r="N41" i="6"/>
  <c r="N9" i="6"/>
  <c r="N10" i="6"/>
  <c r="N22" i="6"/>
  <c r="N53" i="6"/>
  <c r="C19" i="6"/>
  <c r="G19" i="6"/>
  <c r="K19" i="6"/>
  <c r="E14" i="5"/>
  <c r="E18" i="5" s="1"/>
  <c r="E20" i="5" s="1"/>
  <c r="I14" i="5"/>
  <c r="I18" i="5" s="1"/>
  <c r="I20" i="5" s="1"/>
  <c r="M14" i="5"/>
  <c r="M18" i="5" s="1"/>
  <c r="M20" i="5" s="1"/>
  <c r="N16" i="5"/>
  <c r="H60" i="8"/>
  <c r="B55" i="8"/>
  <c r="H29" i="8"/>
  <c r="B24" i="8"/>
  <c r="H20" i="8"/>
  <c r="F18" i="6"/>
  <c r="J18" i="6"/>
  <c r="B49" i="6"/>
  <c r="B51" i="6" s="1"/>
  <c r="B55" i="6" s="1"/>
  <c r="B57" i="6" s="1"/>
  <c r="F49" i="6"/>
  <c r="F51" i="6" s="1"/>
  <c r="F55" i="6" s="1"/>
  <c r="F57" i="6" s="1"/>
  <c r="D62" i="6"/>
  <c r="E30" i="6"/>
  <c r="E31" i="6" s="1"/>
  <c r="K45" i="6"/>
  <c r="K49" i="6" s="1"/>
  <c r="H45" i="6"/>
  <c r="H49" i="6" s="1"/>
  <c r="H51" i="6" s="1"/>
  <c r="H55" i="6" s="1"/>
  <c r="H57" i="6" s="1"/>
  <c r="B30" i="6"/>
  <c r="B31" i="6" s="1"/>
  <c r="L45" i="6"/>
  <c r="L49" i="6" s="1"/>
  <c r="L51" i="6" s="1"/>
  <c r="L55" i="6" s="1"/>
  <c r="L57" i="6" s="1"/>
  <c r="F30" i="6"/>
  <c r="F31" i="6" s="1"/>
  <c r="C18" i="6"/>
  <c r="G18" i="6"/>
  <c r="K18" i="6"/>
  <c r="D18" i="6"/>
  <c r="H18" i="6"/>
  <c r="L18" i="6"/>
  <c r="D49" i="6"/>
  <c r="D51" i="6" s="1"/>
  <c r="D55" i="6" s="1"/>
  <c r="D57" i="6" s="1"/>
  <c r="B62" i="6"/>
  <c r="F62" i="6"/>
  <c r="B18" i="5"/>
  <c r="B20" i="5" s="1"/>
  <c r="J45" i="6"/>
  <c r="J49" i="6" s="1"/>
  <c r="J51" i="6" s="1"/>
  <c r="J55" i="6" s="1"/>
  <c r="J57" i="6" s="1"/>
  <c r="D30" i="6"/>
  <c r="D31" i="6" s="1"/>
  <c r="C62" i="6"/>
  <c r="G62" i="6"/>
  <c r="N9" i="5"/>
  <c r="H14" i="5"/>
  <c r="H18" i="5" s="1"/>
  <c r="H20" i="5" s="1"/>
  <c r="L14" i="5"/>
  <c r="L18" i="5" s="1"/>
  <c r="L20" i="5" s="1"/>
  <c r="C24" i="5"/>
  <c r="C25" i="5" s="1"/>
  <c r="C27" i="5" s="1"/>
  <c r="G24" i="5"/>
  <c r="G25" i="5" s="1"/>
  <c r="G27" i="5" s="1"/>
  <c r="B11" i="6"/>
  <c r="F11" i="6"/>
  <c r="J11" i="6"/>
  <c r="E14" i="6"/>
  <c r="E45" i="6" s="1"/>
  <c r="E49" i="6" s="1"/>
  <c r="E51" i="6" s="1"/>
  <c r="E55" i="6" s="1"/>
  <c r="E57" i="6" s="1"/>
  <c r="I14" i="6"/>
  <c r="M14" i="6"/>
  <c r="D19" i="6"/>
  <c r="H19" i="6"/>
  <c r="L19" i="6"/>
  <c r="N40" i="6"/>
  <c r="N42" i="6" s="1"/>
  <c r="D42" i="6"/>
  <c r="H42" i="6"/>
  <c r="L42" i="6"/>
  <c r="C46" i="6"/>
  <c r="C50" i="6" s="1"/>
  <c r="G46" i="6"/>
  <c r="G50" i="6" s="1"/>
  <c r="K46" i="6"/>
  <c r="K50" i="6" s="1"/>
  <c r="C49" i="6"/>
  <c r="G49" i="6"/>
  <c r="D24" i="5"/>
  <c r="D25" i="5" s="1"/>
  <c r="D27" i="5" s="1"/>
  <c r="C11" i="6"/>
  <c r="G11" i="6"/>
  <c r="K11" i="6"/>
  <c r="B18" i="6"/>
  <c r="E19" i="6"/>
  <c r="I19" i="6"/>
  <c r="M19" i="6"/>
  <c r="E42" i="6"/>
  <c r="I42" i="6"/>
  <c r="M42" i="6"/>
  <c r="E24" i="5"/>
  <c r="E25" i="5" s="1"/>
  <c r="E27" i="5" s="1"/>
  <c r="D11" i="6"/>
  <c r="H11" i="6"/>
  <c r="L11" i="6"/>
  <c r="B19" i="6"/>
  <c r="F19" i="6"/>
  <c r="J19" i="6"/>
  <c r="B42" i="6"/>
  <c r="F42" i="6"/>
  <c r="J42" i="6"/>
  <c r="B24" i="5"/>
  <c r="B25" i="5" s="1"/>
  <c r="B27" i="5" s="1"/>
  <c r="F24" i="5"/>
  <c r="F25" i="5" s="1"/>
  <c r="F27" i="5" s="1"/>
  <c r="D33" i="6" l="1"/>
  <c r="L25" i="10"/>
  <c r="L26" i="10" s="1"/>
  <c r="E25" i="10"/>
  <c r="E26" i="10" s="1"/>
  <c r="M25" i="10"/>
  <c r="K25" i="10"/>
  <c r="K26" i="10" s="1"/>
  <c r="F25" i="10"/>
  <c r="F26" i="10" s="1"/>
  <c r="D25" i="10"/>
  <c r="D26" i="10" s="1"/>
  <c r="G25" i="10"/>
  <c r="G26" i="10" s="1"/>
  <c r="H25" i="10"/>
  <c r="H26" i="10" s="1"/>
  <c r="I25" i="10"/>
  <c r="I26" i="10" s="1"/>
  <c r="J25" i="10"/>
  <c r="J26" i="10" s="1"/>
  <c r="C19" i="11"/>
  <c r="C20" i="11" s="1"/>
  <c r="B19" i="11"/>
  <c r="B20" i="11" s="1"/>
  <c r="M20" i="9"/>
  <c r="K20" i="6"/>
  <c r="K24" i="6" s="1"/>
  <c r="K26" i="6" s="1"/>
  <c r="E33" i="6"/>
  <c r="K56" i="10"/>
  <c r="K57" i="10" s="1"/>
  <c r="L56" i="10"/>
  <c r="L57" i="10" s="1"/>
  <c r="E56" i="10"/>
  <c r="E57" i="10" s="1"/>
  <c r="M56" i="10"/>
  <c r="F56" i="10"/>
  <c r="F57" i="10" s="1"/>
  <c r="D56" i="10"/>
  <c r="D57" i="10" s="1"/>
  <c r="I56" i="10"/>
  <c r="I57" i="10" s="1"/>
  <c r="G56" i="10"/>
  <c r="G57" i="10" s="1"/>
  <c r="H56" i="10"/>
  <c r="H57" i="10" s="1"/>
  <c r="J56" i="10"/>
  <c r="J57" i="10" s="1"/>
  <c r="F33" i="6"/>
  <c r="D61" i="6"/>
  <c r="B33" i="6"/>
  <c r="C20" i="6"/>
  <c r="C24" i="6" s="1"/>
  <c r="C26" i="6" s="1"/>
  <c r="G20" i="6"/>
  <c r="G24" i="6" s="1"/>
  <c r="G26" i="6" s="1"/>
  <c r="F61" i="6"/>
  <c r="F63" i="6" s="1"/>
  <c r="E61" i="6"/>
  <c r="J20" i="6"/>
  <c r="J24" i="6" s="1"/>
  <c r="J26" i="6" s="1"/>
  <c r="F20" i="6"/>
  <c r="F24" i="6" s="1"/>
  <c r="F26" i="6" s="1"/>
  <c r="D63" i="6"/>
  <c r="L20" i="6"/>
  <c r="L24" i="6" s="1"/>
  <c r="L26" i="6" s="1"/>
  <c r="N14" i="5"/>
  <c r="N19" i="6"/>
  <c r="N50" i="6"/>
  <c r="E18" i="6"/>
  <c r="N20" i="5"/>
  <c r="N22" i="5" s="1"/>
  <c r="N23" i="5"/>
  <c r="K51" i="6"/>
  <c r="K55" i="6" s="1"/>
  <c r="K57" i="6" s="1"/>
  <c r="M45" i="6"/>
  <c r="M49" i="6" s="1"/>
  <c r="M51" i="6" s="1"/>
  <c r="M55" i="6" s="1"/>
  <c r="M57" i="6" s="1"/>
  <c r="G30" i="6"/>
  <c r="B20" i="6"/>
  <c r="B24" i="6" s="1"/>
  <c r="B26" i="6" s="1"/>
  <c r="G51" i="6"/>
  <c r="G55" i="6" s="1"/>
  <c r="G57" i="6" s="1"/>
  <c r="M18" i="6"/>
  <c r="M20" i="6" s="1"/>
  <c r="M24" i="6" s="1"/>
  <c r="M26" i="6" s="1"/>
  <c r="I45" i="6"/>
  <c r="I49" i="6" s="1"/>
  <c r="I51" i="6" s="1"/>
  <c r="I55" i="6" s="1"/>
  <c r="I57" i="6" s="1"/>
  <c r="C30" i="6"/>
  <c r="N11" i="6"/>
  <c r="H20" i="6"/>
  <c r="H24" i="6" s="1"/>
  <c r="H26" i="6" s="1"/>
  <c r="C51" i="6"/>
  <c r="C55" i="6" s="1"/>
  <c r="C57" i="6" s="1"/>
  <c r="I18" i="6"/>
  <c r="I20" i="6" s="1"/>
  <c r="I24" i="6" s="1"/>
  <c r="I26" i="6" s="1"/>
  <c r="B61" i="6"/>
  <c r="B63" i="6" s="1"/>
  <c r="D20" i="6"/>
  <c r="D24" i="6" s="1"/>
  <c r="D26" i="6" s="1"/>
  <c r="E62" i="6"/>
  <c r="N20" i="11" l="1"/>
  <c r="E63" i="6"/>
  <c r="N24" i="5"/>
  <c r="N27" i="5" s="1"/>
  <c r="P27" i="5" s="1"/>
  <c r="N22" i="11"/>
  <c r="N24" i="11" s="1"/>
  <c r="N27" i="13" s="1"/>
  <c r="N28" i="13" s="1"/>
  <c r="Q20" i="11"/>
  <c r="B56" i="12"/>
  <c r="B57" i="12" s="1"/>
  <c r="C56" i="12"/>
  <c r="C57" i="12" s="1"/>
  <c r="M57" i="10"/>
  <c r="C25" i="12"/>
  <c r="C26" i="12" s="1"/>
  <c r="B25" i="12"/>
  <c r="B26" i="12" s="1"/>
  <c r="N26" i="12" s="1"/>
  <c r="M26" i="10"/>
  <c r="N18" i="6"/>
  <c r="N20" i="6" s="1"/>
  <c r="E20" i="6"/>
  <c r="E24" i="6" s="1"/>
  <c r="E26" i="6" s="1"/>
  <c r="N26" i="6" s="1"/>
  <c r="N28" i="6" s="1"/>
  <c r="N57" i="6"/>
  <c r="N59" i="6" s="1"/>
  <c r="C31" i="6"/>
  <c r="C33" i="6" s="1"/>
  <c r="C61" i="6"/>
  <c r="C63" i="6" s="1"/>
  <c r="G31" i="6"/>
  <c r="G33" i="6" s="1"/>
  <c r="G61" i="6"/>
  <c r="G63" i="6" s="1"/>
  <c r="N49" i="6"/>
  <c r="N51" i="6" s="1"/>
  <c r="P28" i="13" l="1"/>
  <c r="N29" i="13"/>
  <c r="N57" i="12"/>
  <c r="N59" i="12" s="1"/>
  <c r="N61" i="12" s="1"/>
  <c r="N65" i="14" s="1"/>
  <c r="N66" i="14" s="1"/>
  <c r="N60" i="6"/>
  <c r="N61" i="6" s="1"/>
  <c r="N64" i="6" s="1"/>
  <c r="P57" i="12"/>
  <c r="N28" i="5"/>
  <c r="N28" i="12"/>
  <c r="N30" i="12" s="1"/>
  <c r="N33" i="14" s="1"/>
  <c r="N34" i="14" s="1"/>
  <c r="P26" i="12"/>
  <c r="N29" i="6"/>
  <c r="N30" i="6" s="1"/>
  <c r="N33" i="6" s="1"/>
  <c r="O64" i="6" l="1"/>
  <c r="N65" i="6"/>
  <c r="N67" i="14"/>
  <c r="O66" i="14"/>
  <c r="N35" i="14"/>
  <c r="O34" i="14"/>
  <c r="N34" i="6"/>
  <c r="O33" i="6"/>
  <c r="C22" i="2" l="1"/>
  <c r="D22" i="2"/>
  <c r="E22" i="2"/>
  <c r="F22" i="2"/>
  <c r="G22" i="2"/>
  <c r="B22" i="2"/>
  <c r="C57" i="2" l="1"/>
  <c r="D57" i="2"/>
  <c r="E57" i="2"/>
  <c r="F57" i="2"/>
  <c r="G57" i="2"/>
  <c r="B57" i="2"/>
  <c r="C54" i="2"/>
  <c r="D54" i="2"/>
  <c r="E54" i="2"/>
  <c r="F54" i="2"/>
  <c r="G54" i="2"/>
  <c r="B54" i="2"/>
  <c r="C41" i="2"/>
  <c r="D41" i="2"/>
  <c r="E41" i="2"/>
  <c r="F41" i="2"/>
  <c r="G41" i="2"/>
  <c r="C42" i="2"/>
  <c r="D42" i="2"/>
  <c r="E42" i="2"/>
  <c r="F42" i="2"/>
  <c r="G42" i="2"/>
  <c r="B42" i="2"/>
  <c r="B41" i="2"/>
  <c r="C25" i="2"/>
  <c r="D25" i="2"/>
  <c r="E25" i="2"/>
  <c r="F25" i="2"/>
  <c r="G25" i="2"/>
  <c r="B25" i="2"/>
  <c r="C14" i="2"/>
  <c r="D14" i="2"/>
  <c r="E14" i="2"/>
  <c r="F14" i="2"/>
  <c r="G14" i="2"/>
  <c r="C15" i="2"/>
  <c r="D15" i="2"/>
  <c r="E15" i="2"/>
  <c r="F15" i="2"/>
  <c r="G15" i="2"/>
  <c r="B15" i="2"/>
  <c r="B14" i="2"/>
  <c r="C9" i="2"/>
  <c r="D9" i="2"/>
  <c r="E9" i="2"/>
  <c r="F9" i="2"/>
  <c r="G9" i="2"/>
  <c r="C10" i="2"/>
  <c r="D10" i="2"/>
  <c r="E10" i="2"/>
  <c r="F10" i="2"/>
  <c r="G10" i="2"/>
  <c r="B10" i="2"/>
  <c r="B9" i="2"/>
  <c r="H65" i="2"/>
  <c r="H33" i="2"/>
  <c r="G27" i="1"/>
  <c r="C25" i="8" l="1"/>
  <c r="C26" i="8" s="1"/>
  <c r="B25" i="8"/>
  <c r="B26" i="8" s="1"/>
  <c r="C56" i="8"/>
  <c r="C57" i="8" s="1"/>
  <c r="B56" i="8"/>
  <c r="B57" i="8" s="1"/>
  <c r="C19" i="1"/>
  <c r="D19" i="1"/>
  <c r="E19" i="1"/>
  <c r="F19" i="1"/>
  <c r="G19" i="1"/>
  <c r="B19" i="1"/>
  <c r="C16" i="1"/>
  <c r="D16" i="1"/>
  <c r="E16" i="1"/>
  <c r="F16" i="1"/>
  <c r="G16" i="1"/>
  <c r="B16" i="1"/>
  <c r="C12" i="1"/>
  <c r="D12" i="1"/>
  <c r="E12" i="1"/>
  <c r="F12" i="1"/>
  <c r="B12" i="1"/>
  <c r="C9" i="1"/>
  <c r="D9" i="1"/>
  <c r="E9" i="1"/>
  <c r="F9" i="1"/>
  <c r="G9" i="1"/>
  <c r="B9" i="1"/>
  <c r="C19" i="7" l="1"/>
  <c r="C20" i="7" s="1"/>
  <c r="B19" i="7"/>
  <c r="B20" i="7" s="1"/>
  <c r="G12" i="1"/>
  <c r="B47" i="2" l="1"/>
  <c r="C6" i="2"/>
  <c r="D6" i="2"/>
  <c r="E6" i="2"/>
  <c r="F6" i="2"/>
  <c r="G6" i="2"/>
  <c r="B6" i="2"/>
  <c r="B46" i="2" l="1"/>
  <c r="B14" i="1"/>
  <c r="G11" i="2" l="1"/>
  <c r="F11" i="2"/>
  <c r="E11" i="2"/>
  <c r="C11" i="2"/>
  <c r="B11" i="2"/>
  <c r="H9" i="2"/>
  <c r="H9" i="1"/>
  <c r="A4" i="2" l="1"/>
  <c r="G38" i="2" l="1"/>
  <c r="F38" i="2"/>
  <c r="E38" i="2"/>
  <c r="D38" i="2"/>
  <c r="C38" i="2"/>
  <c r="B38" i="2"/>
  <c r="H16" i="1"/>
  <c r="G24" i="1" s="1"/>
  <c r="H22" i="2" l="1"/>
  <c r="H30" i="2" s="1"/>
  <c r="H54" i="2"/>
  <c r="H62" i="2" s="1"/>
  <c r="B43" i="2" l="1"/>
  <c r="F43" i="2"/>
  <c r="E43" i="2"/>
  <c r="D11" i="2"/>
  <c r="H41" i="2"/>
  <c r="D43" i="2" l="1"/>
  <c r="C43" i="2"/>
  <c r="G43" i="2"/>
  <c r="H10" i="2"/>
  <c r="H42" i="2"/>
  <c r="H43" i="2" s="1"/>
  <c r="H11" i="2" l="1"/>
  <c r="E47" i="2" l="1"/>
  <c r="E19" i="2"/>
  <c r="C14" i="1"/>
  <c r="D14" i="1"/>
  <c r="D18" i="1" s="1"/>
  <c r="D20" i="1" s="1"/>
  <c r="F14" i="1"/>
  <c r="F18" i="1" s="1"/>
  <c r="F20" i="1" s="1"/>
  <c r="E14" i="1"/>
  <c r="E18" i="1" s="1"/>
  <c r="E20" i="1" s="1"/>
  <c r="C19" i="2"/>
  <c r="C47" i="2"/>
  <c r="B19" i="2"/>
  <c r="G47" i="2"/>
  <c r="G19" i="2"/>
  <c r="G18" i="2"/>
  <c r="G46" i="2"/>
  <c r="G50" i="2" s="1"/>
  <c r="D47" i="2"/>
  <c r="D19" i="2"/>
  <c r="G14" i="1"/>
  <c r="G18" i="1" s="1"/>
  <c r="G20" i="1" s="1"/>
  <c r="F19" i="2"/>
  <c r="F47" i="2"/>
  <c r="B18" i="2"/>
  <c r="B50" i="2"/>
  <c r="B20" i="2" l="1"/>
  <c r="B24" i="2" s="1"/>
  <c r="B26" i="2" s="1"/>
  <c r="C51" i="2"/>
  <c r="F51" i="2"/>
  <c r="B51" i="2"/>
  <c r="B52" i="2" s="1"/>
  <c r="D51" i="2"/>
  <c r="G51" i="2"/>
  <c r="G52" i="2" s="1"/>
  <c r="G56" i="2" s="1"/>
  <c r="G58" i="2" s="1"/>
  <c r="E51" i="2"/>
  <c r="C18" i="1"/>
  <c r="C20" i="1" s="1"/>
  <c r="G23" i="1"/>
  <c r="H19" i="2"/>
  <c r="D18" i="2"/>
  <c r="D20" i="2" s="1"/>
  <c r="D24" i="2" s="1"/>
  <c r="D26" i="2" s="1"/>
  <c r="D46" i="2"/>
  <c r="D50" i="2" s="1"/>
  <c r="C18" i="2"/>
  <c r="C20" i="2" s="1"/>
  <c r="C24" i="2" s="1"/>
  <c r="C26" i="2" s="1"/>
  <c r="C46" i="2"/>
  <c r="C50" i="2" s="1"/>
  <c r="F18" i="2"/>
  <c r="F20" i="2" s="1"/>
  <c r="F24" i="2" s="1"/>
  <c r="F26" i="2" s="1"/>
  <c r="F46" i="2"/>
  <c r="F50" i="2" s="1"/>
  <c r="E18" i="2"/>
  <c r="E20" i="2" s="1"/>
  <c r="E24" i="2" s="1"/>
  <c r="E26" i="2" s="1"/>
  <c r="E46" i="2"/>
  <c r="E50" i="2" s="1"/>
  <c r="B18" i="1"/>
  <c r="B20" i="1" s="1"/>
  <c r="H20" i="1" s="1"/>
  <c r="G22" i="1" s="1"/>
  <c r="G25" i="1" s="1"/>
  <c r="G26" i="7" s="1"/>
  <c r="H14" i="1"/>
  <c r="G20" i="2"/>
  <c r="G24" i="2" s="1"/>
  <c r="G26" i="2" s="1"/>
  <c r="G19" i="7" l="1"/>
  <c r="F19" i="7"/>
  <c r="F20" i="7" s="1"/>
  <c r="E19" i="7"/>
  <c r="E20" i="7" s="1"/>
  <c r="D19" i="7"/>
  <c r="D20" i="7" s="1"/>
  <c r="C52" i="2"/>
  <c r="C56" i="2" s="1"/>
  <c r="C58" i="2" s="1"/>
  <c r="H51" i="2"/>
  <c r="H29" i="2"/>
  <c r="F52" i="2"/>
  <c r="F56" i="2" s="1"/>
  <c r="F58" i="2" s="1"/>
  <c r="B56" i="2"/>
  <c r="B58" i="2" s="1"/>
  <c r="D52" i="2"/>
  <c r="D56" i="2" s="1"/>
  <c r="D58" i="2" s="1"/>
  <c r="E52" i="2"/>
  <c r="E56" i="2" s="1"/>
  <c r="E58" i="2" s="1"/>
  <c r="G28" i="1"/>
  <c r="H50" i="2"/>
  <c r="H26" i="2"/>
  <c r="H28" i="2" s="1"/>
  <c r="H18" i="2"/>
  <c r="H20" i="2" s="1"/>
  <c r="H31" i="2" l="1"/>
  <c r="H32" i="8" s="1"/>
  <c r="G20" i="7"/>
  <c r="H20" i="7" s="1"/>
  <c r="G22" i="7" s="1"/>
  <c r="G24" i="7" s="1"/>
  <c r="B19" i="9"/>
  <c r="B20" i="9" s="1"/>
  <c r="C19" i="9"/>
  <c r="C20" i="9" s="1"/>
  <c r="E25" i="8"/>
  <c r="E26" i="8" s="1"/>
  <c r="D25" i="8"/>
  <c r="D26" i="8" s="1"/>
  <c r="G25" i="8"/>
  <c r="F25" i="8"/>
  <c r="F26" i="8" s="1"/>
  <c r="H52" i="2"/>
  <c r="H61" i="2"/>
  <c r="H58" i="2"/>
  <c r="H60" i="2" s="1"/>
  <c r="H28" i="1"/>
  <c r="G29" i="1"/>
  <c r="N20" i="9" l="1"/>
  <c r="N22" i="9" s="1"/>
  <c r="N24" i="9" s="1"/>
  <c r="G27" i="7"/>
  <c r="H27" i="7" s="1"/>
  <c r="N26" i="9"/>
  <c r="G26" i="8"/>
  <c r="C25" i="10"/>
  <c r="C26" i="10" s="1"/>
  <c r="B25" i="10"/>
  <c r="B26" i="10" s="1"/>
  <c r="H34" i="2"/>
  <c r="I34" i="2" s="1"/>
  <c r="H63" i="2"/>
  <c r="H63" i="8" s="1"/>
  <c r="N26" i="11"/>
  <c r="N27" i="11" s="1"/>
  <c r="G56" i="8"/>
  <c r="F56" i="8"/>
  <c r="F57" i="8" s="1"/>
  <c r="E56" i="8"/>
  <c r="E57" i="8" s="1"/>
  <c r="D56" i="8"/>
  <c r="D57" i="8" s="1"/>
  <c r="H26" i="8"/>
  <c r="H28" i="8" s="1"/>
  <c r="H30" i="8" s="1"/>
  <c r="H66" i="2"/>
  <c r="I66" i="2" s="1"/>
  <c r="H35" i="2"/>
  <c r="N27" i="9" l="1"/>
  <c r="N26" i="10"/>
  <c r="N28" i="10" s="1"/>
  <c r="N30" i="10" s="1"/>
  <c r="N33" i="10" s="1"/>
  <c r="G28" i="7"/>
  <c r="N28" i="9"/>
  <c r="P27" i="9"/>
  <c r="H33" i="8"/>
  <c r="H34" i="8" s="1"/>
  <c r="N32" i="10"/>
  <c r="G57" i="8"/>
  <c r="C56" i="10"/>
  <c r="C57" i="10" s="1"/>
  <c r="B56" i="10"/>
  <c r="B57" i="10" s="1"/>
  <c r="N57" i="10" s="1"/>
  <c r="N59" i="10" s="1"/>
  <c r="N61" i="10" s="1"/>
  <c r="P27" i="11"/>
  <c r="N28" i="11"/>
  <c r="N32" i="12"/>
  <c r="N33" i="12" s="1"/>
  <c r="H57" i="8"/>
  <c r="H67" i="2"/>
  <c r="I33" i="8" l="1"/>
  <c r="N34" i="10"/>
  <c r="O33" i="10"/>
  <c r="N63" i="12"/>
  <c r="N64" i="12" s="1"/>
  <c r="N34" i="12"/>
  <c r="O33" i="12"/>
  <c r="H59" i="8"/>
  <c r="H61" i="8" s="1"/>
  <c r="H64" i="8" l="1"/>
  <c r="H65" i="8" s="1"/>
  <c r="N63" i="10"/>
  <c r="N64" i="10" s="1"/>
  <c r="O64" i="12"/>
  <c r="N65" i="12"/>
  <c r="I64" i="8" l="1"/>
  <c r="O64" i="10"/>
  <c r="N6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Heather Garland</author>
  </authors>
  <commentList>
    <comment ref="G22" authorId="0" shapeId="0" xr:uid="{00000000-0006-0000-0600-000001000000}">
      <text>
        <r>
          <rPr>
            <b/>
            <sz val="9"/>
            <color indexed="81"/>
            <rFont val="Tahoma"/>
            <family val="2"/>
          </rPr>
          <t>Heather Garland:</t>
        </r>
        <r>
          <rPr>
            <sz val="9"/>
            <color indexed="81"/>
            <rFont val="Tahoma"/>
            <family val="2"/>
          </rPr>
          <t xml:space="preserve">
Divided by two because we will be paying back over 12 months instead of 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Heather Garland</author>
  </authors>
  <commentList>
    <comment ref="H28" authorId="0" shapeId="0" xr:uid="{00000000-0006-0000-0700-000001000000}">
      <text>
        <r>
          <rPr>
            <b/>
            <sz val="9"/>
            <color indexed="81"/>
            <rFont val="Tahoma"/>
            <family val="2"/>
          </rPr>
          <t>Heather Garland:</t>
        </r>
        <r>
          <rPr>
            <sz val="9"/>
            <color indexed="81"/>
            <rFont val="Tahoma"/>
            <family val="2"/>
          </rPr>
          <t xml:space="preserve">
Divided by two because we will be paying back over 12 months instead of 6.</t>
        </r>
      </text>
    </comment>
    <comment ref="H59" authorId="0" shapeId="0" xr:uid="{00000000-0006-0000-0700-000002000000}">
      <text>
        <r>
          <rPr>
            <b/>
            <sz val="9"/>
            <color indexed="81"/>
            <rFont val="Tahoma"/>
            <family val="2"/>
          </rPr>
          <t>Heather Garland:</t>
        </r>
        <r>
          <rPr>
            <sz val="9"/>
            <color indexed="81"/>
            <rFont val="Tahoma"/>
            <family val="2"/>
          </rPr>
          <t xml:space="preserve">
Divided by two because we will be paying back over 12 months instead of 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Heather Garland</author>
  </authors>
  <commentList>
    <comment ref="G24" authorId="0" shapeId="0" xr:uid="{00000000-0006-0000-0800-000001000000}">
      <text>
        <r>
          <rPr>
            <b/>
            <sz val="9"/>
            <color indexed="81"/>
            <rFont val="Tahoma"/>
            <family val="2"/>
          </rPr>
          <t>Heather Garland:</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Chelsea Paschke</author>
  </authors>
  <commentList>
    <comment ref="H30" authorId="0" shapeId="0" xr:uid="{00000000-0006-0000-0900-000001000000}">
      <text>
        <r>
          <rPr>
            <b/>
            <sz val="9"/>
            <color indexed="81"/>
            <rFont val="Tahoma"/>
            <family val="2"/>
          </rPr>
          <t>Chelsea Paschke:</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 ref="H62" authorId="0" shapeId="0" xr:uid="{00000000-0006-0000-0900-000002000000}">
      <text>
        <r>
          <rPr>
            <b/>
            <sz val="9"/>
            <color indexed="81"/>
            <rFont val="Tahoma"/>
            <family val="2"/>
          </rPr>
          <t>Chelsea Paschke:</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3" authorId="0" shapeId="0" xr:uid="{00000000-0006-0000-0A00-00000100000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9" authorId="0" shapeId="0" xr:uid="{00000000-0006-0000-0B00-00000100000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 ref="A60" authorId="0" shapeId="0" xr:uid="{00000000-0006-0000-0B00-00000200000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sharedStrings.xml><?xml version="1.0" encoding="utf-8"?>
<sst xmlns="http://schemas.openxmlformats.org/spreadsheetml/2006/main" count="562" uniqueCount="67">
  <si>
    <t>Lewis Co.,  RSA-1</t>
  </si>
  <si>
    <t>Total</t>
  </si>
  <si>
    <t>Tons</t>
  </si>
  <si>
    <t>Co-Mingled</t>
  </si>
  <si>
    <t>Price per Ton</t>
  </si>
  <si>
    <t>Revenue</t>
  </si>
  <si>
    <t>Customers</t>
  </si>
  <si>
    <t>Actual Rev/Cust</t>
  </si>
  <si>
    <t>Projected Rev/Cust</t>
  </si>
  <si>
    <t>Change:</t>
  </si>
  <si>
    <t>Joe's Thurston  County</t>
  </si>
  <si>
    <t>Glass</t>
  </si>
  <si>
    <t>Total Tons</t>
  </si>
  <si>
    <t>Multi-Family</t>
  </si>
  <si>
    <t>Total Revenue</t>
  </si>
  <si>
    <t>Harold LeMay Enterprises, Inc. G-98</t>
  </si>
  <si>
    <t>Commodity Credit Calculation</t>
  </si>
  <si>
    <t>Over/(Under) Earned</t>
  </si>
  <si>
    <t>Single Family</t>
  </si>
  <si>
    <t>Over/(Under) Earned:</t>
  </si>
  <si>
    <t>6 Month Average:</t>
  </si>
  <si>
    <t>New Commodity (Debit)/Credit:</t>
  </si>
  <si>
    <t>Old (Debit)/Credit:</t>
  </si>
  <si>
    <t>Revenue Impact:</t>
  </si>
  <si>
    <t>6-Month</t>
  </si>
  <si>
    <t>Effective July 1, 2019</t>
  </si>
  <si>
    <t>Effective July 1, 2018</t>
  </si>
  <si>
    <t>12-Month</t>
  </si>
  <si>
    <t>6-Month Projection at Net Price per Ton</t>
  </si>
  <si>
    <t>Price per Ton-Net of $45 Processing Fee</t>
  </si>
  <si>
    <t>New Commodity Debit:</t>
  </si>
  <si>
    <t>6-Month Netted Down Revenue - Commingle</t>
  </si>
  <si>
    <t>Old Credit:</t>
  </si>
  <si>
    <t>Total Projected 6-Mo Revenue</t>
  </si>
  <si>
    <t>12-Month Revenue Impact:</t>
  </si>
  <si>
    <t>6-Month Revenue - Glass</t>
  </si>
  <si>
    <t>TG-180427</t>
  </si>
  <si>
    <t>True-Up From TG-180427</t>
  </si>
  <si>
    <t>Effective January 1, 2020</t>
  </si>
  <si>
    <t>Effective January 1, 2021</t>
  </si>
  <si>
    <t>12 Month Average:</t>
  </si>
  <si>
    <t>New Commodity Debit/(Credit):</t>
  </si>
  <si>
    <t>Old Debit/(Credit):</t>
  </si>
  <si>
    <t>Rounding difference</t>
  </si>
  <si>
    <t>imm, due to rounding</t>
  </si>
  <si>
    <t>ok - compared to Pac</t>
  </si>
  <si>
    <t>Effective January 1, 2022</t>
  </si>
  <si>
    <t>Matched to JE</t>
  </si>
  <si>
    <t>ok - matched to JE</t>
  </si>
  <si>
    <t>12 Month Average Commodity Price:</t>
  </si>
  <si>
    <t>Effective January 1, 2023</t>
  </si>
  <si>
    <t>Commingle</t>
  </si>
  <si>
    <t>Price per Ton Revenue (Expense)</t>
  </si>
  <si>
    <t>Earned Revenue (Expense)</t>
  </si>
  <si>
    <t>Earned Revenue (Expense)/Customer</t>
  </si>
  <si>
    <t>Projected Revenue (Expense)/Customer</t>
  </si>
  <si>
    <t>Projected Revenue (Expense)</t>
  </si>
  <si>
    <t>Due From (To) Customers</t>
  </si>
  <si>
    <t>Total Earned Revenue (Expense)</t>
  </si>
  <si>
    <t>Actual Revenue (Expense)/Customer</t>
  </si>
  <si>
    <t>12-Month rolling cost/(benefit) of material sales/customer:</t>
  </si>
  <si>
    <t>JE</t>
  </si>
  <si>
    <t>Difference</t>
  </si>
  <si>
    <t>Per RSA</t>
  </si>
  <si>
    <t>Per Joe SF</t>
  </si>
  <si>
    <t>Per Joe MF</t>
  </si>
  <si>
    <t>Effective January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</si>
</sst>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quot;$&quot;#,##0.00"/>
    <numFmt numFmtId="167" formatCode="_(&quot;$&quot;* #,##0_);_(&quot;$&quot;* \(#,##0\);_(&quot;$&quot;* &quot;-&quot;??_);_(@_)"/>
    <numFmt numFmtId="168" formatCode="0.0%"/>
    <numFmt numFmtId="169" formatCode="&quot;$&quot;#,##0"/>
    <numFmt numFmtId="170" formatCode="_(&quot;$&quot;* #,##0.0_);_(&quot;$&quot;* \(#,##0.0\);_(&quot;$&quot;* &quot;-&quot;??_);_(@_)"/>
  </numFmts>
  <fonts count="56" x14ac:knownFonts="1">
    <font>
      <sz val="11"/>
      <color theme="1"/>
      <name val="Calibri"/>
      <family val="2"/>
      <scheme val="minor"/>
    </font>
    <font>
      <sz val="10"/>
      <name val="Arial"/>
      <family val="2"/>
    </font>
    <font>
      <b/>
      <sz val="10"/>
      <name val="Arial"/>
      <family val="2"/>
    </font>
    <font>
      <u/>
      <sz val="10"/>
      <name val="Arial"/>
      <family val="2"/>
    </font>
    <font>
      <b/>
      <sz val="10"/>
      <color rgb="FFFF0000"/>
      <name val="Arial"/>
      <family val="2"/>
    </font>
    <font>
      <sz val="10"/>
      <color indexed="8"/>
      <name val="Arial"/>
      <family val="2"/>
    </font>
    <font>
      <b/>
      <i/>
      <u/>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2"/>
      <name val="Courier"/>
      <family val="3"/>
    </font>
    <font>
      <sz val="9"/>
      <color indexed="8"/>
      <name val="Arial"/>
      <family val="2"/>
    </font>
    <font>
      <b/>
      <sz val="10"/>
      <color indexed="12"/>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theme="10"/>
      <name val="Arial"/>
      <family val="2"/>
    </font>
    <font>
      <u/>
      <sz val="11"/>
      <color indexed="12"/>
      <name val="Calibri"/>
      <family val="2"/>
    </font>
    <font>
      <sz val="10"/>
      <color indexed="12"/>
      <name val="Arial"/>
      <family val="2"/>
    </font>
    <font>
      <sz val="11"/>
      <color indexed="52"/>
      <name val="Calibri"/>
      <family val="2"/>
    </font>
    <font>
      <sz val="11"/>
      <color indexed="60"/>
      <name val="Calibri"/>
      <family val="2"/>
    </font>
    <font>
      <sz val="12"/>
      <name val="Helv"/>
    </font>
    <font>
      <i/>
      <sz val="10"/>
      <color indexed="10"/>
      <name val="Arial"/>
      <family val="2"/>
    </font>
    <font>
      <sz val="10"/>
      <name val="MS Sans Serif"/>
      <family val="2"/>
    </font>
    <font>
      <b/>
      <sz val="10"/>
      <name val="MS Sans Serif"/>
      <family val="2"/>
    </font>
    <font>
      <b/>
      <sz val="11"/>
      <color indexed="8"/>
      <name val="Calibri"/>
      <family val="2"/>
    </font>
    <font>
      <sz val="10"/>
      <name val="Tahoma"/>
      <family val="2"/>
    </font>
    <font>
      <sz val="12"/>
      <name val="Arial"/>
      <family val="2"/>
    </font>
    <font>
      <u/>
      <sz val="10"/>
      <color indexed="12"/>
      <name val="Arial"/>
      <family val="2"/>
    </font>
    <font>
      <sz val="10"/>
      <name val="Times New Roman"/>
      <family val="1"/>
    </font>
    <font>
      <sz val="11"/>
      <color indexed="8"/>
      <name val="Arial"/>
      <family val="2"/>
    </font>
    <font>
      <b/>
      <sz val="11"/>
      <color indexed="9"/>
      <name val="Calibri"/>
      <family val="2"/>
    </font>
    <font>
      <i/>
      <sz val="11"/>
      <color indexed="23"/>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4"/>
      <name val="Helv"/>
    </font>
    <font>
      <b/>
      <sz val="11"/>
      <name val="Century Gothic"/>
      <family val="2"/>
    </font>
    <font>
      <b/>
      <sz val="11"/>
      <color indexed="63"/>
      <name val="Calibri"/>
      <family val="2"/>
    </font>
    <font>
      <sz val="18"/>
      <color indexed="13"/>
      <name val="Helv"/>
    </font>
    <font>
      <sz val="12"/>
      <color indexed="13"/>
      <name val="Helv"/>
    </font>
    <font>
      <b/>
      <sz val="18"/>
      <color indexed="56"/>
      <name val="Cambria"/>
      <family val="2"/>
    </font>
    <font>
      <sz val="11"/>
      <color rgb="FF000000"/>
      <name val="Calibri"/>
      <family val="2"/>
      <scheme val="minor"/>
    </font>
    <font>
      <sz val="11"/>
      <color theme="1"/>
      <name val="Calibri"/>
      <family val="2"/>
    </font>
    <font>
      <b/>
      <sz val="11"/>
      <color theme="1" tint="0.14996795556505021"/>
      <name val="Calibri"/>
      <family val="2"/>
      <scheme val="minor"/>
    </font>
    <font>
      <u/>
      <sz val="8"/>
      <color theme="10"/>
      <name val="Arial"/>
      <family val="2"/>
    </font>
    <font>
      <b/>
      <u/>
      <sz val="9"/>
      <name val="Arial"/>
      <family val="2"/>
    </font>
    <font>
      <b/>
      <sz val="9"/>
      <color indexed="81"/>
      <name val="Tahoma"/>
      <family val="2"/>
    </font>
    <font>
      <sz val="9"/>
      <color indexed="81"/>
      <name val="Tahoma"/>
      <family val="2"/>
    </font>
    <font>
      <b/>
      <sz val="10"/>
      <color rgb="FF0000FF"/>
      <name val="Arial"/>
      <family val="2"/>
    </font>
    <font>
      <i/>
      <sz val="10"/>
      <name val="Arial"/>
      <family val="2"/>
    </font>
  </fonts>
  <fills count="39">
    <fill>
      <patternFill patternType="none"/>
    </fill>
    <fill>
      <patternFill patternType="gray125"/>
    </fill>
    <fill>
      <patternFill patternType="solid">
        <fgColor indexed="22"/>
      </patternFill>
    </fill>
    <fill>
      <patternFill patternType="solid">
        <fgColor indexed="44"/>
      </patternFill>
    </fill>
    <fill>
      <patternFill patternType="solid">
        <fgColor indexed="43"/>
      </patternFill>
    </fill>
    <fill>
      <patternFill patternType="solid">
        <fgColor indexed="49"/>
      </patternFill>
    </fill>
    <fill>
      <patternFill patternType="solid">
        <fgColor indexed="29"/>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9"/>
      </patternFill>
    </fill>
    <fill>
      <patternFill patternType="solid">
        <fgColor indexed="65"/>
        <bgColor indexed="10"/>
      </patternFill>
    </fill>
    <fill>
      <patternFill patternType="gray125">
        <fgColor indexed="10"/>
      </patternFill>
    </fill>
    <fill>
      <patternFill patternType="solid">
        <fgColor indexed="42"/>
      </patternFill>
    </fill>
    <fill>
      <patternFill patternType="solid">
        <fgColor indexed="22"/>
        <bgColor indexed="64"/>
      </patternFill>
    </fill>
    <fill>
      <patternFill patternType="solid">
        <fgColor indexed="26"/>
      </patternFill>
    </fill>
    <fill>
      <patternFill patternType="solid">
        <fgColor rgb="FFFFFFCC"/>
      </patternFill>
    </fill>
    <fill>
      <patternFill patternType="solid">
        <fgColor theme="4" tint="0.79998168889431442"/>
        <bgColor indexed="65"/>
      </patternFill>
    </fill>
    <fill>
      <patternFill patternType="solid">
        <fgColor indexed="47"/>
      </patternFill>
    </fill>
    <fill>
      <patternFill patternType="solid">
        <fgColor indexed="31"/>
      </patternFill>
    </fill>
    <fill>
      <patternFill patternType="solid">
        <fgColor indexed="46"/>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5"/>
      </patternFill>
    </fill>
    <fill>
      <patternFill patternType="solid">
        <fgColor indexed="13"/>
      </patternFill>
    </fill>
    <fill>
      <patternFill patternType="solid">
        <fgColor indexed="12"/>
      </patternFill>
    </fill>
    <fill>
      <patternFill patternType="solid">
        <fgColor theme="6" tint="0.39994506668294322"/>
        <bgColor indexed="64"/>
      </patternFill>
    </fill>
    <fill>
      <patternFill patternType="solid">
        <fgColor theme="4" tint="0.3999450666829432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99"/>
        <bgColor indexed="64"/>
      </patternFill>
    </fill>
    <fill>
      <patternFill patternType="solid">
        <fgColor theme="4" tint="0.39997558519241921"/>
        <bgColor indexed="64"/>
      </patternFill>
    </fill>
  </fills>
  <borders count="23">
    <border>
      <left/>
      <right/>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medium">
        <color indexed="3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style="thin">
        <color indexed="64"/>
      </top>
      <bottom/>
      <diagonal/>
    </border>
    <border>
      <left/>
      <right/>
      <top style="thin">
        <color indexed="64"/>
      </top>
      <bottom style="medium">
        <color indexed="64"/>
      </bottom>
      <diagonal/>
    </border>
  </borders>
  <cellStyleXfs count="15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Border="0" applyAlignment="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41" fontId="1" fillId="0" borderId="0"/>
    <xf numFmtId="41" fontId="1" fillId="0" borderId="0"/>
    <xf numFmtId="41" fontId="1" fillId="0" borderId="0"/>
    <xf numFmtId="41" fontId="1" fillId="0" borderId="0"/>
    <xf numFmtId="0" fontId="10" fillId="10" borderId="0" applyNumberFormat="0" applyBorder="0" applyAlignment="0" applyProtection="0"/>
    <xf numFmtId="3" fontId="1" fillId="0" borderId="0"/>
    <xf numFmtId="3" fontId="1" fillId="0" borderId="0"/>
    <xf numFmtId="3" fontId="1" fillId="0" borderId="0"/>
    <xf numFmtId="3" fontId="1" fillId="0" borderId="0"/>
    <xf numFmtId="0" fontId="11" fillId="11" borderId="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5" fillId="0" borderId="0"/>
    <xf numFmtId="0" fontId="12" fillId="0" borderId="0"/>
    <xf numFmtId="0" fontId="12" fillId="0" borderId="0"/>
    <xf numFmtId="0" fontId="13" fillId="12" borderId="3" applyAlignment="0">
      <alignment horizontal="right"/>
      <protection locked="0"/>
    </xf>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14" fillId="13" borderId="0">
      <alignment horizontal="right"/>
      <protection locked="0"/>
    </xf>
    <xf numFmtId="2" fontId="14" fillId="13" borderId="0">
      <alignment horizontal="right"/>
      <protection locked="0"/>
    </xf>
    <xf numFmtId="0" fontId="15" fillId="1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3" fontId="21" fillId="15" borderId="0">
      <protection locked="0"/>
    </xf>
    <xf numFmtId="4" fontId="21" fillId="15" borderId="0">
      <protection locked="0"/>
    </xf>
    <xf numFmtId="0" fontId="22" fillId="0" borderId="7" applyNumberFormat="0" applyFill="0" applyAlignment="0" applyProtection="0"/>
    <xf numFmtId="0" fontId="23" fillId="4" borderId="0" applyNumberFormat="0" applyBorder="0" applyAlignment="0" applyProtection="0"/>
    <xf numFmtId="43" fontId="1"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1" fillId="0" borderId="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5" fillId="0" borderId="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8" fillId="16" borderId="8" applyNumberFormat="0" applyFont="0" applyAlignment="0" applyProtection="0"/>
    <xf numFmtId="168" fontId="25" fillId="0" borderId="0" applyNumberFormat="0"/>
    <xf numFmtId="9" fontId="1"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168" fontId="1" fillId="0" borderId="0" applyFont="0" applyFill="0" applyBorder="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ont="0" applyFill="0" applyBorder="0" applyAlignment="0" applyProtection="0">
      <alignment horizontal="left"/>
    </xf>
    <xf numFmtId="0" fontId="27" fillId="0" borderId="1">
      <alignment horizontal="center"/>
    </xf>
    <xf numFmtId="0" fontId="5" fillId="0" borderId="0">
      <alignment vertical="top"/>
    </xf>
    <xf numFmtId="0" fontId="5" fillId="0" borderId="0">
      <alignment vertical="top"/>
    </xf>
    <xf numFmtId="0" fontId="5" fillId="0" borderId="0">
      <alignment vertical="top"/>
    </xf>
    <xf numFmtId="0" fontId="28" fillId="0" borderId="9" applyNumberFormat="0" applyFill="0" applyAlignment="0" applyProtection="0"/>
    <xf numFmtId="0" fontId="1" fillId="0" borderId="0"/>
    <xf numFmtId="0" fontId="8" fillId="20"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9"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9" fillId="25"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6" borderId="0" applyNumberFormat="0" applyBorder="0" applyAlignment="0" applyProtection="0"/>
    <xf numFmtId="0" fontId="9" fillId="5" borderId="0" applyNumberFormat="0" applyBorder="0" applyAlignment="0" applyProtection="0"/>
    <xf numFmtId="0" fontId="11" fillId="2" borderId="2" applyNumberFormat="0" applyAlignment="0" applyProtection="0"/>
    <xf numFmtId="0" fontId="34" fillId="29" borderId="12" applyNumberFormat="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alignment wrapText="1"/>
    </xf>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 fontId="5" fillId="0" borderId="0"/>
    <xf numFmtId="44" fontId="7"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alignment wrapText="1"/>
    </xf>
    <xf numFmtId="44" fontId="3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33"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alignment wrapText="1"/>
    </xf>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24" fillId="0" borderId="0"/>
    <xf numFmtId="0" fontId="24" fillId="0" borderId="0"/>
    <xf numFmtId="0" fontId="24" fillId="0" borderId="13"/>
    <xf numFmtId="0" fontId="35" fillId="0" borderId="0" applyNumberFormat="0" applyFill="0" applyBorder="0" applyAlignment="0" applyProtection="0"/>
    <xf numFmtId="0" fontId="1" fillId="0" borderId="0"/>
    <xf numFmtId="0" fontId="37" fillId="0" borderId="14" applyNumberFormat="0" applyFill="0" applyAlignment="0" applyProtection="0"/>
    <xf numFmtId="0" fontId="38" fillId="0" borderId="5" applyNumberFormat="0" applyFill="0" applyAlignment="0" applyProtection="0"/>
    <xf numFmtId="0" fontId="39" fillId="0" borderId="15" applyNumberFormat="0" applyFill="0" applyAlignment="0" applyProtection="0"/>
    <xf numFmtId="0" fontId="39" fillId="0" borderId="0" applyNumberFormat="0" applyFill="0" applyBorder="0" applyAlignment="0" applyProtection="0"/>
    <xf numFmtId="0" fontId="31" fillId="0" borderId="0" applyNumberFormat="0" applyFill="0" applyBorder="0" applyAlignment="0" applyProtection="0">
      <alignment vertical="top"/>
      <protection locked="0"/>
    </xf>
    <xf numFmtId="0" fontId="40" fillId="19" borderId="2" applyNumberFormat="0" applyAlignment="0" applyProtection="0"/>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41" fillId="30" borderId="13"/>
    <xf numFmtId="0" fontId="24" fillId="0" borderId="0"/>
    <xf numFmtId="0" fontId="24"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1" fillId="0" borderId="0"/>
    <xf numFmtId="0" fontId="47" fillId="0" borderId="0"/>
    <xf numFmtId="0" fontId="7" fillId="0" borderId="0"/>
    <xf numFmtId="0" fontId="8" fillId="0" borderId="0"/>
    <xf numFmtId="0" fontId="1" fillId="0" borderId="0"/>
    <xf numFmtId="0" fontId="7" fillId="0" borderId="0"/>
    <xf numFmtId="0" fontId="7" fillId="0" borderId="0"/>
    <xf numFmtId="0" fontId="4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alignment wrapText="1"/>
    </xf>
    <xf numFmtId="0" fontId="1" fillId="0" borderId="0">
      <alignment wrapText="1"/>
    </xf>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wrapText="1"/>
    </xf>
    <xf numFmtId="0" fontId="7" fillId="0" borderId="0"/>
    <xf numFmtId="0" fontId="7" fillId="0" borderId="0"/>
    <xf numFmtId="0" fontId="5" fillId="0" borderId="0"/>
    <xf numFmtId="0" fontId="1" fillId="0" borderId="0">
      <alignment wrapText="1"/>
    </xf>
    <xf numFmtId="0" fontId="5" fillId="0" borderId="0"/>
    <xf numFmtId="0" fontId="1" fillId="0" borderId="0">
      <alignment wrapText="1"/>
    </xf>
    <xf numFmtId="0" fontId="5" fillId="0" borderId="0"/>
    <xf numFmtId="0" fontId="1" fillId="0" borderId="0">
      <alignment wrapText="1"/>
    </xf>
    <xf numFmtId="0" fontId="30" fillId="0" borderId="0"/>
    <xf numFmtId="0" fontId="29" fillId="0" borderId="0"/>
    <xf numFmtId="0" fontId="1" fillId="0" borderId="0"/>
    <xf numFmtId="0" fontId="5" fillId="0" borderId="0">
      <alignment vertical="top"/>
    </xf>
    <xf numFmtId="0" fontId="5" fillId="0" borderId="0">
      <alignment vertical="top"/>
    </xf>
    <xf numFmtId="0" fontId="5" fillId="0" borderId="0">
      <alignment vertical="top"/>
    </xf>
    <xf numFmtId="0" fontId="1" fillId="0" borderId="0"/>
    <xf numFmtId="0" fontId="5" fillId="0" borderId="0">
      <alignment vertical="top"/>
    </xf>
    <xf numFmtId="0" fontId="1" fillId="0" borderId="0"/>
    <xf numFmtId="0" fontId="1" fillId="0" borderId="0"/>
    <xf numFmtId="0" fontId="5" fillId="0" borderId="0"/>
    <xf numFmtId="0" fontId="5" fillId="0" borderId="0"/>
    <xf numFmtId="0" fontId="7" fillId="0" borderId="0"/>
    <xf numFmtId="0" fontId="7" fillId="0" borderId="0"/>
    <xf numFmtId="0" fontId="5" fillId="0" borderId="0"/>
    <xf numFmtId="0" fontId="5" fillId="0" borderId="0"/>
    <xf numFmtId="0" fontId="7" fillId="0" borderId="0"/>
    <xf numFmtId="0" fontId="7" fillId="0" borderId="0"/>
    <xf numFmtId="0" fontId="1" fillId="0" borderId="0"/>
    <xf numFmtId="0" fontId="1" fillId="0" borderId="0"/>
    <xf numFmtId="0" fontId="5" fillId="0" borderId="0">
      <alignment vertical="top"/>
    </xf>
    <xf numFmtId="0" fontId="5" fillId="0" borderId="0">
      <alignment vertical="top"/>
    </xf>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wrapText="1"/>
    </xf>
    <xf numFmtId="0" fontId="7"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5"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5" fillId="0" borderId="0"/>
    <xf numFmtId="0" fontId="5" fillId="0" borderId="0"/>
    <xf numFmtId="0" fontId="1" fillId="0" borderId="0"/>
    <xf numFmtId="0" fontId="1" fillId="0" borderId="0"/>
    <xf numFmtId="0" fontId="7" fillId="0" borderId="0"/>
    <xf numFmtId="0" fontId="7" fillId="0" borderId="0"/>
    <xf numFmtId="0" fontId="1" fillId="0" borderId="0"/>
    <xf numFmtId="0" fontId="1" fillId="0" borderId="0">
      <alignment vertical="top"/>
    </xf>
    <xf numFmtId="0" fontId="1" fillId="0" borderId="0"/>
    <xf numFmtId="0" fontId="1" fillId="0" borderId="0">
      <alignment vertical="top"/>
    </xf>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alignmen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vertical="top"/>
    </xf>
    <xf numFmtId="0" fontId="1"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1" fillId="0" borderId="0"/>
    <xf numFmtId="0" fontId="8" fillId="16" borderId="8" applyNumberFormat="0" applyFont="0" applyAlignment="0" applyProtection="0"/>
    <xf numFmtId="0" fontId="7" fillId="17" borderId="11" applyNumberFormat="0" applyFont="0" applyAlignment="0" applyProtection="0"/>
    <xf numFmtId="0" fontId="5" fillId="16" borderId="8" applyNumberFormat="0" applyFont="0" applyAlignment="0" applyProtection="0"/>
    <xf numFmtId="0" fontId="49" fillId="32" borderId="16" applyBorder="0">
      <alignment horizontal="centerContinuous"/>
    </xf>
    <xf numFmtId="0" fontId="42" fillId="33" borderId="17" applyBorder="0">
      <alignment horizontal="centerContinuous"/>
    </xf>
    <xf numFmtId="0" fontId="43" fillId="2" borderId="18"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alignment vertical="top"/>
    </xf>
    <xf numFmtId="0" fontId="24" fillId="0" borderId="0"/>
    <xf numFmtId="0" fontId="24" fillId="0" borderId="0"/>
    <xf numFmtId="0" fontId="5" fillId="0" borderId="0">
      <alignment vertical="top"/>
    </xf>
    <xf numFmtId="0" fontId="5" fillId="0" borderId="0">
      <alignment vertical="top"/>
    </xf>
    <xf numFmtId="0" fontId="5" fillId="0" borderId="0" applyNumberFormat="0" applyBorder="0" applyAlignment="0"/>
    <xf numFmtId="0" fontId="5" fillId="0" borderId="0" applyNumberFormat="0" applyBorder="0" applyAlignment="0"/>
    <xf numFmtId="0" fontId="24" fillId="0" borderId="13"/>
    <xf numFmtId="0" fontId="24" fillId="0" borderId="13"/>
    <xf numFmtId="0" fontId="44" fillId="31" borderId="0"/>
    <xf numFmtId="0" fontId="45" fillId="31" borderId="0"/>
    <xf numFmtId="0" fontId="46" fillId="0" borderId="0" applyNumberFormat="0" applyFill="0" applyBorder="0" applyAlignment="0" applyProtection="0"/>
    <xf numFmtId="0" fontId="1" fillId="0" borderId="0"/>
    <xf numFmtId="0" fontId="28" fillId="0" borderId="19" applyNumberFormat="0" applyFill="0" applyAlignment="0" applyProtection="0"/>
    <xf numFmtId="0" fontId="41" fillId="0" borderId="20"/>
    <xf numFmtId="0" fontId="41" fillId="0" borderId="20"/>
    <xf numFmtId="0" fontId="41" fillId="0" borderId="13"/>
    <xf numFmtId="0" fontId="41" fillId="0" borderId="13"/>
    <xf numFmtId="0" fontId="36" fillId="0" borderId="0" applyNumberFormat="0" applyFill="0" applyBorder="0" applyAlignment="0" applyProtection="0"/>
    <xf numFmtId="0" fontId="1" fillId="0" borderId="0"/>
    <xf numFmtId="0" fontId="50" fillId="0" borderId="0" applyNumberFormat="0" applyFill="0" applyBorder="0" applyAlignment="0" applyProtection="0">
      <alignment vertical="top"/>
      <protection locked="0"/>
    </xf>
    <xf numFmtId="44" fontId="1" fillId="0" borderId="0" applyFont="0" applyFill="0" applyBorder="0" applyAlignment="0" applyProtection="0"/>
    <xf numFmtId="43" fontId="1" fillId="0" borderId="0" applyFont="0" applyFill="0" applyBorder="0" applyAlignment="0" applyProtection="0"/>
    <xf numFmtId="0" fontId="7" fillId="0" borderId="0"/>
    <xf numFmtId="0" fontId="5" fillId="0" borderId="0">
      <alignment vertical="top"/>
    </xf>
    <xf numFmtId="0" fontId="5" fillId="0" borderId="0"/>
    <xf numFmtId="9" fontId="5" fillId="0" borderId="0" applyFont="0" applyFill="0" applyBorder="0" applyAlignment="0" applyProtection="0">
      <alignment vertical="top"/>
    </xf>
    <xf numFmtId="0" fontId="5" fillId="0" borderId="0"/>
    <xf numFmtId="0" fontId="7" fillId="0" borderId="0"/>
    <xf numFmtId="0" fontId="47" fillId="0" borderId="0"/>
    <xf numFmtId="0" fontId="5" fillId="0" borderId="0">
      <alignment vertical="top"/>
    </xf>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7" fillId="0" borderId="0"/>
    <xf numFmtId="0" fontId="1" fillId="0" borderId="0"/>
    <xf numFmtId="0" fontId="1" fillId="0" borderId="0"/>
    <xf numFmtId="0" fontId="1" fillId="0" borderId="0"/>
  </cellStyleXfs>
  <cellXfs count="156">
    <xf numFmtId="0" fontId="0" fillId="0" borderId="0" xfId="0"/>
    <xf numFmtId="0" fontId="1" fillId="0" borderId="0" xfId="4"/>
    <xf numFmtId="43" fontId="1" fillId="0" borderId="0" xfId="1" applyFill="1"/>
    <xf numFmtId="0" fontId="2" fillId="0" borderId="0" xfId="4" applyFont="1"/>
    <xf numFmtId="17" fontId="2" fillId="0" borderId="0" xfId="4" applyNumberFormat="1" applyFont="1" applyAlignment="1">
      <alignment horizontal="center"/>
    </xf>
    <xf numFmtId="165" fontId="1" fillId="0" borderId="0" xfId="1" applyNumberFormat="1" applyFill="1"/>
    <xf numFmtId="0" fontId="1" fillId="0" borderId="0" xfId="4" applyAlignment="1">
      <alignment horizontal="center"/>
    </xf>
    <xf numFmtId="3" fontId="1" fillId="0" borderId="0" xfId="1" applyNumberFormat="1" applyFill="1" applyBorder="1"/>
    <xf numFmtId="3" fontId="1" fillId="0" borderId="0" xfId="4" applyNumberFormat="1"/>
    <xf numFmtId="44" fontId="1" fillId="0" borderId="0" xfId="2" applyFont="1" applyFill="1"/>
    <xf numFmtId="167" fontId="1" fillId="0" borderId="0" xfId="2" applyNumberFormat="1" applyFill="1"/>
    <xf numFmtId="167" fontId="1" fillId="0" borderId="0" xfId="2" applyNumberFormat="1" applyFill="1" applyBorder="1"/>
    <xf numFmtId="165" fontId="1" fillId="0" borderId="0" xfId="4" applyNumberFormat="1"/>
    <xf numFmtId="3" fontId="1" fillId="0" borderId="0" xfId="1" applyNumberFormat="1" applyFill="1"/>
    <xf numFmtId="165" fontId="1" fillId="0" borderId="0" xfId="1" applyNumberFormat="1" applyFont="1" applyFill="1"/>
    <xf numFmtId="165" fontId="1" fillId="0" borderId="0" xfId="1" applyNumberFormat="1" applyFill="1" applyAlignment="1">
      <alignment horizontal="left"/>
    </xf>
    <xf numFmtId="44" fontId="1" fillId="0" borderId="0" xfId="2" applyFill="1"/>
    <xf numFmtId="44" fontId="1" fillId="0" borderId="0" xfId="2" applyFill="1" applyBorder="1"/>
    <xf numFmtId="166" fontId="1" fillId="0" borderId="0" xfId="4" applyNumberFormat="1"/>
    <xf numFmtId="166" fontId="1" fillId="0" borderId="0" xfId="1" applyNumberFormat="1" applyFill="1"/>
    <xf numFmtId="44" fontId="2" fillId="0" borderId="0" xfId="2" applyFont="1" applyFill="1"/>
    <xf numFmtId="165" fontId="1" fillId="0" borderId="0" xfId="1" applyNumberFormat="1" applyFill="1" applyBorder="1"/>
    <xf numFmtId="165" fontId="1" fillId="0" borderId="0" xfId="1" applyNumberFormat="1" applyFont="1" applyFill="1" applyAlignment="1">
      <alignment horizontal="right"/>
    </xf>
    <xf numFmtId="4" fontId="1" fillId="0" borderId="0" xfId="4" applyNumberFormat="1"/>
    <xf numFmtId="4" fontId="1" fillId="0" borderId="0" xfId="1" applyNumberFormat="1" applyFill="1" applyBorder="1"/>
    <xf numFmtId="0" fontId="1" fillId="0" borderId="0" xfId="4" applyAlignment="1">
      <alignment horizontal="right"/>
    </xf>
    <xf numFmtId="0" fontId="1" fillId="0" borderId="0" xfId="5" applyAlignment="1">
      <alignment horizontal="center"/>
    </xf>
    <xf numFmtId="43" fontId="1" fillId="0" borderId="0" xfId="1" applyFill="1" applyBorder="1"/>
    <xf numFmtId="17" fontId="2" fillId="0" borderId="1" xfId="4" applyNumberFormat="1" applyFont="1" applyBorder="1" applyAlignment="1">
      <alignment horizontal="center"/>
    </xf>
    <xf numFmtId="43" fontId="2" fillId="0" borderId="0" xfId="1" applyFont="1" applyFill="1"/>
    <xf numFmtId="43" fontId="2" fillId="0" borderId="0" xfId="1" applyFont="1" applyFill="1" applyBorder="1"/>
    <xf numFmtId="43" fontId="1" fillId="0" borderId="0" xfId="4" applyNumberFormat="1"/>
    <xf numFmtId="44" fontId="1" fillId="0" borderId="0" xfId="2" applyFont="1" applyFill="1" applyBorder="1"/>
    <xf numFmtId="4" fontId="1" fillId="0" borderId="0" xfId="1" applyNumberFormat="1" applyFill="1"/>
    <xf numFmtId="167" fontId="1" fillId="0" borderId="0" xfId="2" applyNumberFormat="1" applyFont="1" applyFill="1"/>
    <xf numFmtId="167" fontId="2" fillId="0" borderId="0" xfId="2" applyNumberFormat="1" applyFont="1" applyFill="1"/>
    <xf numFmtId="167" fontId="2" fillId="0" borderId="0" xfId="2" applyNumberFormat="1" applyFont="1" applyFill="1" applyBorder="1"/>
    <xf numFmtId="166" fontId="1" fillId="0" borderId="0" xfId="1" applyNumberFormat="1" applyFont="1" applyFill="1"/>
    <xf numFmtId="37" fontId="1" fillId="0" borderId="0" xfId="1" applyNumberFormat="1" applyFill="1"/>
    <xf numFmtId="0" fontId="2" fillId="0" borderId="0" xfId="4" applyFont="1" applyAlignment="1">
      <alignment horizontal="left"/>
    </xf>
    <xf numFmtId="0" fontId="2" fillId="0" borderId="0" xfId="4" applyFont="1" applyAlignment="1">
      <alignment horizontal="center"/>
    </xf>
    <xf numFmtId="164" fontId="1" fillId="0" borderId="0" xfId="4" applyNumberFormat="1" applyAlignment="1">
      <alignment horizontal="center"/>
    </xf>
    <xf numFmtId="0" fontId="3" fillId="0" borderId="0" xfId="4" applyFont="1" applyAlignment="1">
      <alignment horizontal="center"/>
    </xf>
    <xf numFmtId="5" fontId="1" fillId="0" borderId="0" xfId="4" applyNumberFormat="1"/>
    <xf numFmtId="44" fontId="2" fillId="0" borderId="0" xfId="2" applyFont="1" applyFill="1" applyBorder="1"/>
    <xf numFmtId="168" fontId="1" fillId="0" borderId="0" xfId="3" applyNumberFormat="1" applyFont="1" applyFill="1" applyAlignment="1">
      <alignment horizontal="right"/>
    </xf>
    <xf numFmtId="7" fontId="1" fillId="0" borderId="0" xfId="4" applyNumberFormat="1"/>
    <xf numFmtId="169" fontId="1" fillId="0" borderId="0" xfId="1" applyNumberFormat="1" applyFill="1"/>
    <xf numFmtId="169" fontId="1" fillId="0" borderId="0" xfId="4" applyNumberFormat="1"/>
    <xf numFmtId="43" fontId="1" fillId="0" borderId="0" xfId="1" applyFont="1" applyFill="1" applyAlignment="1">
      <alignment horizontal="right"/>
    </xf>
    <xf numFmtId="1" fontId="1" fillId="0" borderId="0" xfId="1" applyNumberFormat="1" applyFill="1"/>
    <xf numFmtId="44" fontId="2" fillId="0" borderId="0" xfId="4" applyNumberFormat="1" applyFont="1"/>
    <xf numFmtId="44" fontId="1" fillId="0" borderId="0" xfId="2" applyFont="1" applyFill="1" applyAlignment="1">
      <alignment horizontal="right"/>
    </xf>
    <xf numFmtId="44" fontId="2" fillId="0" borderId="0" xfId="2" applyFont="1" applyFill="1" applyAlignment="1">
      <alignment horizontal="right"/>
    </xf>
    <xf numFmtId="43" fontId="2" fillId="0" borderId="0" xfId="1" applyFont="1" applyFill="1" applyBorder="1" applyAlignment="1">
      <alignment horizontal="right"/>
    </xf>
    <xf numFmtId="0" fontId="0" fillId="0" borderId="0" xfId="4" applyFont="1"/>
    <xf numFmtId="44" fontId="1" fillId="0" borderId="0" xfId="4" applyNumberFormat="1"/>
    <xf numFmtId="10" fontId="1" fillId="0" borderId="0" xfId="3" applyNumberFormat="1" applyFont="1" applyFill="1" applyAlignment="1">
      <alignment horizontal="right"/>
    </xf>
    <xf numFmtId="0" fontId="2" fillId="0" borderId="1" xfId="4" applyFont="1" applyBorder="1" applyAlignment="1">
      <alignment horizontal="center"/>
    </xf>
    <xf numFmtId="164" fontId="1" fillId="0" borderId="0" xfId="4" applyNumberFormat="1"/>
    <xf numFmtId="0" fontId="6" fillId="0" borderId="0" xfId="4" applyFont="1" applyAlignment="1">
      <alignment horizontal="center"/>
    </xf>
    <xf numFmtId="17" fontId="2" fillId="0" borderId="0" xfId="4" quotePrefix="1" applyNumberFormat="1" applyFont="1" applyAlignment="1">
      <alignment horizontal="center"/>
    </xf>
    <xf numFmtId="43" fontId="1" fillId="0" borderId="0" xfId="1" applyFont="1" applyFill="1" applyBorder="1"/>
    <xf numFmtId="3" fontId="2" fillId="0" borderId="0" xfId="1" applyNumberFormat="1" applyFont="1" applyFill="1"/>
    <xf numFmtId="3" fontId="2" fillId="0" borderId="0" xfId="4" applyNumberFormat="1" applyFont="1"/>
    <xf numFmtId="0" fontId="1" fillId="0" borderId="0" xfId="1" applyNumberFormat="1" applyFill="1"/>
    <xf numFmtId="0" fontId="2" fillId="0" borderId="0" xfId="1" applyNumberFormat="1" applyFont="1" applyFill="1"/>
    <xf numFmtId="37" fontId="1" fillId="0" borderId="0" xfId="4" applyNumberFormat="1"/>
    <xf numFmtId="0" fontId="1" fillId="0" borderId="0" xfId="1" applyNumberFormat="1" applyFont="1" applyFill="1"/>
    <xf numFmtId="0" fontId="4" fillId="0" borderId="0" xfId="4" applyFont="1"/>
    <xf numFmtId="43" fontId="1" fillId="0" borderId="0" xfId="1" applyFont="1" applyFill="1" applyAlignment="1">
      <alignment horizontal="left"/>
    </xf>
    <xf numFmtId="10" fontId="1" fillId="0" borderId="0" xfId="3" applyNumberFormat="1" applyFill="1"/>
    <xf numFmtId="165" fontId="1" fillId="0" borderId="0" xfId="153" applyNumberFormat="1" applyFont="1" applyFill="1" applyAlignment="1">
      <alignment horizontal="right"/>
    </xf>
    <xf numFmtId="165" fontId="2" fillId="0" borderId="0" xfId="153" applyNumberFormat="1" applyFont="1" applyFill="1" applyAlignment="1">
      <alignment horizontal="right"/>
    </xf>
    <xf numFmtId="14" fontId="0" fillId="0" borderId="0" xfId="0" applyNumberFormat="1"/>
    <xf numFmtId="40" fontId="2" fillId="0" borderId="0" xfId="0" applyNumberFormat="1" applyFont="1"/>
    <xf numFmtId="40" fontId="2" fillId="0" borderId="0" xfId="0" applyNumberFormat="1" applyFont="1" applyAlignment="1">
      <alignment horizontal="center"/>
    </xf>
    <xf numFmtId="0" fontId="0" fillId="0" borderId="0" xfId="0" applyAlignment="1">
      <alignment horizontal="center"/>
    </xf>
    <xf numFmtId="0" fontId="0" fillId="0" borderId="0" xfId="0" applyAlignment="1">
      <alignment horizontal="left"/>
    </xf>
    <xf numFmtId="43" fontId="1" fillId="34" borderId="0" xfId="1" applyFill="1"/>
    <xf numFmtId="8" fontId="1" fillId="34" borderId="0" xfId="1" applyNumberFormat="1" applyFill="1"/>
    <xf numFmtId="165" fontId="1" fillId="34" borderId="0" xfId="1" applyNumberFormat="1" applyFill="1"/>
    <xf numFmtId="7" fontId="1" fillId="34" borderId="0" xfId="2" applyNumberFormat="1" applyFill="1"/>
    <xf numFmtId="17" fontId="2" fillId="0" borderId="0" xfId="5" applyNumberFormat="1" applyFont="1" applyAlignment="1">
      <alignment horizontal="center"/>
    </xf>
    <xf numFmtId="44" fontId="1" fillId="0" borderId="0" xfId="5" applyNumberFormat="1"/>
    <xf numFmtId="167" fontId="1" fillId="0" borderId="0" xfId="64" applyNumberFormat="1" applyFont="1" applyFill="1" applyBorder="1"/>
    <xf numFmtId="167" fontId="1" fillId="0" borderId="0" xfId="64" applyNumberFormat="1" applyFont="1" applyFill="1" applyBorder="1" applyAlignment="1">
      <alignment horizontal="right"/>
    </xf>
    <xf numFmtId="43" fontId="1" fillId="0" borderId="0" xfId="1" applyFont="1" applyFill="1" applyBorder="1" applyAlignment="1">
      <alignment horizontal="right"/>
    </xf>
    <xf numFmtId="44" fontId="1" fillId="34" borderId="0" xfId="2" applyFill="1"/>
    <xf numFmtId="168" fontId="1" fillId="0" borderId="0" xfId="3" applyNumberFormat="1" applyFont="1" applyFill="1" applyBorder="1" applyAlignment="1">
      <alignment horizontal="right"/>
    </xf>
    <xf numFmtId="0" fontId="51" fillId="0" borderId="0" xfId="34" applyNumberFormat="1" applyFont="1" applyBorder="1"/>
    <xf numFmtId="0" fontId="1" fillId="0" borderId="0" xfId="5" applyAlignment="1">
      <alignment horizontal="right" wrapText="1"/>
    </xf>
    <xf numFmtId="0" fontId="1" fillId="0" borderId="0" xfId="153" applyNumberFormat="1" applyFont="1" applyFill="1" applyBorder="1" applyAlignment="1">
      <alignment horizontal="right"/>
    </xf>
    <xf numFmtId="165" fontId="1" fillId="0" borderId="0" xfId="1" applyNumberFormat="1" applyFont="1" applyFill="1" applyBorder="1" applyAlignment="1">
      <alignment horizontal="right"/>
    </xf>
    <xf numFmtId="10" fontId="1" fillId="0" borderId="0" xfId="3" applyNumberFormat="1" applyFont="1" applyFill="1" applyBorder="1" applyAlignment="1">
      <alignment horizontal="right"/>
    </xf>
    <xf numFmtId="43" fontId="1" fillId="0" borderId="0" xfId="1" applyFont="1" applyFill="1" applyBorder="1" applyAlignment="1">
      <alignment horizontal="left"/>
    </xf>
    <xf numFmtId="8" fontId="1" fillId="34" borderId="0" xfId="2" applyNumberFormat="1" applyFont="1" applyFill="1"/>
    <xf numFmtId="43" fontId="1" fillId="34" borderId="0" xfId="6" applyFill="1"/>
    <xf numFmtId="44" fontId="1" fillId="34" borderId="0" xfId="2" applyFont="1" applyFill="1" applyBorder="1"/>
    <xf numFmtId="8" fontId="1" fillId="0" borderId="0" xfId="2" applyNumberFormat="1" applyFill="1"/>
    <xf numFmtId="17" fontId="2" fillId="34" borderId="1" xfId="4" applyNumberFormat="1" applyFont="1" applyFill="1" applyBorder="1" applyAlignment="1">
      <alignment horizontal="center"/>
    </xf>
    <xf numFmtId="165" fontId="1" fillId="34" borderId="0" xfId="1" applyNumberFormat="1" applyFont="1" applyFill="1"/>
    <xf numFmtId="44" fontId="1" fillId="0" borderId="0" xfId="64" applyFont="1" applyFill="1"/>
    <xf numFmtId="0" fontId="51" fillId="0" borderId="0" xfId="34" applyNumberFormat="1" applyFont="1"/>
    <xf numFmtId="17" fontId="2" fillId="0" borderId="3" xfId="5" applyNumberFormat="1" applyFont="1" applyBorder="1" applyAlignment="1">
      <alignment horizontal="center"/>
    </xf>
    <xf numFmtId="167" fontId="1" fillId="0" borderId="0" xfId="64" applyNumberFormat="1" applyFont="1" applyFill="1"/>
    <xf numFmtId="167" fontId="1" fillId="0" borderId="3" xfId="64" applyNumberFormat="1" applyFont="1" applyFill="1" applyBorder="1"/>
    <xf numFmtId="0" fontId="1" fillId="0" borderId="0" xfId="153" applyNumberFormat="1" applyFont="1" applyFill="1" applyAlignment="1">
      <alignment horizontal="right"/>
    </xf>
    <xf numFmtId="167" fontId="1" fillId="0" borderId="0" xfId="64" applyNumberFormat="1" applyFont="1" applyFill="1" applyAlignment="1">
      <alignment horizontal="right"/>
    </xf>
    <xf numFmtId="43" fontId="2" fillId="0" borderId="0" xfId="4" applyNumberFormat="1" applyFont="1"/>
    <xf numFmtId="0" fontId="0" fillId="0" borderId="0" xfId="5" applyFont="1" applyAlignment="1">
      <alignment horizontal="center"/>
    </xf>
    <xf numFmtId="43" fontId="1" fillId="0" borderId="0" xfId="6" applyFill="1"/>
    <xf numFmtId="44" fontId="1" fillId="0" borderId="21" xfId="5" applyNumberFormat="1" applyBorder="1"/>
    <xf numFmtId="44" fontId="1" fillId="0" borderId="3" xfId="5" applyNumberFormat="1" applyBorder="1"/>
    <xf numFmtId="44" fontId="1" fillId="0" borderId="0" xfId="64" applyFont="1" applyFill="1" applyAlignment="1">
      <alignment horizontal="right"/>
    </xf>
    <xf numFmtId="0" fontId="54" fillId="0" borderId="0" xfId="4" applyFont="1"/>
    <xf numFmtId="43" fontId="1" fillId="35" borderId="0" xfId="1" applyFill="1"/>
    <xf numFmtId="44" fontId="1" fillId="35" borderId="0" xfId="4" applyNumberFormat="1" applyFill="1"/>
    <xf numFmtId="44" fontId="1" fillId="0" borderId="3" xfId="2" applyFont="1" applyFill="1" applyBorder="1" applyAlignment="1">
      <alignment horizontal="right"/>
    </xf>
    <xf numFmtId="44" fontId="1" fillId="0" borderId="0" xfId="2" applyFont="1" applyFill="1" applyBorder="1" applyAlignment="1">
      <alignment horizontal="right"/>
    </xf>
    <xf numFmtId="44" fontId="1" fillId="0" borderId="3" xfId="2" applyFill="1" applyBorder="1"/>
    <xf numFmtId="43" fontId="1" fillId="34" borderId="3" xfId="6" applyFill="1" applyBorder="1"/>
    <xf numFmtId="167" fontId="1" fillId="0" borderId="3" xfId="2" applyNumberFormat="1" applyFont="1" applyFill="1" applyBorder="1"/>
    <xf numFmtId="7" fontId="1" fillId="34" borderId="3" xfId="2" applyNumberFormat="1" applyFill="1" applyBorder="1"/>
    <xf numFmtId="44" fontId="1" fillId="34" borderId="3" xfId="2" applyFill="1" applyBorder="1"/>
    <xf numFmtId="165" fontId="0" fillId="0" borderId="0" xfId="1" applyNumberFormat="1" applyFont="1" applyFill="1" applyAlignment="1">
      <alignment horizontal="left"/>
    </xf>
    <xf numFmtId="165" fontId="1" fillId="0" borderId="0" xfId="1" applyNumberFormat="1" applyFont="1" applyFill="1" applyAlignment="1">
      <alignment horizontal="left"/>
    </xf>
    <xf numFmtId="10" fontId="0" fillId="0" borderId="0" xfId="3" applyNumberFormat="1" applyFont="1" applyFill="1" applyAlignment="1">
      <alignment horizontal="left"/>
    </xf>
    <xf numFmtId="8" fontId="1" fillId="0" borderId="0" xfId="64" applyNumberFormat="1" applyFont="1" applyFill="1"/>
    <xf numFmtId="8" fontId="1" fillId="0" borderId="0" xfId="2" applyNumberFormat="1" applyFont="1" applyFill="1"/>
    <xf numFmtId="0" fontId="55" fillId="0" borderId="0" xfId="4" applyFont="1"/>
    <xf numFmtId="170" fontId="1" fillId="0" borderId="0" xfId="4" applyNumberFormat="1"/>
    <xf numFmtId="43" fontId="1" fillId="0" borderId="0" xfId="1" applyFont="1" applyFill="1"/>
    <xf numFmtId="44" fontId="2" fillId="0" borderId="22" xfId="2" applyFont="1" applyFill="1" applyBorder="1"/>
    <xf numFmtId="0" fontId="2" fillId="0" borderId="16" xfId="4" applyFont="1" applyBorder="1"/>
    <xf numFmtId="167" fontId="2" fillId="0" borderId="16" xfId="2" applyNumberFormat="1" applyFont="1" applyFill="1" applyBorder="1"/>
    <xf numFmtId="167" fontId="2" fillId="0" borderId="22" xfId="2" applyNumberFormat="1" applyFont="1" applyFill="1" applyBorder="1"/>
    <xf numFmtId="8" fontId="1" fillId="34" borderId="0" xfId="64" applyNumberFormat="1" applyFont="1" applyFill="1"/>
    <xf numFmtId="165" fontId="1" fillId="0" borderId="0" xfId="1" applyNumberFormat="1"/>
    <xf numFmtId="167" fontId="1" fillId="0" borderId="0" xfId="2" applyNumberFormat="1"/>
    <xf numFmtId="167" fontId="2" fillId="0" borderId="0" xfId="4" applyNumberFormat="1" applyFont="1"/>
    <xf numFmtId="43" fontId="2" fillId="34" borderId="0" xfId="4" applyNumberFormat="1" applyFont="1" applyFill="1"/>
    <xf numFmtId="44" fontId="1" fillId="36" borderId="0" xfId="2" applyFill="1"/>
    <xf numFmtId="14" fontId="1" fillId="0" borderId="0" xfId="4" applyNumberFormat="1"/>
    <xf numFmtId="14" fontId="1" fillId="0" borderId="0" xfId="5" applyNumberFormat="1" applyAlignment="1">
      <alignment horizontal="center"/>
    </xf>
    <xf numFmtId="43" fontId="1" fillId="37" borderId="0" xfId="1" applyFill="1"/>
    <xf numFmtId="4" fontId="1" fillId="37" borderId="0" xfId="4" applyNumberFormat="1" applyFill="1"/>
    <xf numFmtId="165" fontId="1" fillId="37" borderId="0" xfId="4" applyNumberFormat="1" applyFill="1"/>
    <xf numFmtId="43" fontId="1" fillId="38" borderId="0" xfId="1" applyFill="1"/>
    <xf numFmtId="8" fontId="1" fillId="38" borderId="0" xfId="64" applyNumberFormat="1" applyFont="1" applyFill="1"/>
    <xf numFmtId="165" fontId="1" fillId="38" borderId="0" xfId="1" applyNumberFormat="1" applyFill="1"/>
    <xf numFmtId="44" fontId="1" fillId="38" borderId="0" xfId="2" applyFill="1"/>
    <xf numFmtId="43" fontId="1" fillId="38" borderId="0" xfId="6" applyFill="1"/>
    <xf numFmtId="43" fontId="1" fillId="38" borderId="0" xfId="4" applyNumberFormat="1" applyFill="1"/>
    <xf numFmtId="44" fontId="1" fillId="38" borderId="0" xfId="2" applyFont="1" applyFill="1" applyBorder="1"/>
    <xf numFmtId="165" fontId="1" fillId="38" borderId="0" xfId="4" applyNumberFormat="1" applyFill="1"/>
  </cellXfs>
  <cellStyles count="1510">
    <cellStyle name="20% - Accent1 2" xfId="9" xr:uid="{00000000-0005-0000-0000-000000000000}"/>
    <cellStyle name="20% - Accent1 3" xfId="132" xr:uid="{00000000-0005-0000-0000-000001000000}"/>
    <cellStyle name="20% - Accent2 2" xfId="133" xr:uid="{00000000-0005-0000-0000-000002000000}"/>
    <cellStyle name="20% - Accent3 2" xfId="134" xr:uid="{00000000-0005-0000-0000-000003000000}"/>
    <cellStyle name="20% - Accent4 2" xfId="10" xr:uid="{00000000-0005-0000-0000-000004000000}"/>
    <cellStyle name="20% - Accent4 3" xfId="135" xr:uid="{00000000-0005-0000-0000-000005000000}"/>
    <cellStyle name="20% - Accent5 2" xfId="136" xr:uid="{00000000-0005-0000-0000-000006000000}"/>
    <cellStyle name="20% - Accent6 2" xfId="137" xr:uid="{00000000-0005-0000-0000-000007000000}"/>
    <cellStyle name="40% - Accent1 2" xfId="11" xr:uid="{00000000-0005-0000-0000-000008000000}"/>
    <cellStyle name="40% - Accent1 3" xfId="138" xr:uid="{00000000-0005-0000-0000-000009000000}"/>
    <cellStyle name="40% - Accent2 2" xfId="139" xr:uid="{00000000-0005-0000-0000-00000A000000}"/>
    <cellStyle name="40% - Accent3 2" xfId="140" xr:uid="{00000000-0005-0000-0000-00000B000000}"/>
    <cellStyle name="40% - Accent4 2" xfId="12" xr:uid="{00000000-0005-0000-0000-00000C000000}"/>
    <cellStyle name="40% - Accent4 3" xfId="141" xr:uid="{00000000-0005-0000-0000-00000D000000}"/>
    <cellStyle name="40% - Accent5 2" xfId="13" xr:uid="{00000000-0005-0000-0000-00000E000000}"/>
    <cellStyle name="40% - Accent6 2" xfId="14" xr:uid="{00000000-0005-0000-0000-00000F000000}"/>
    <cellStyle name="40% - Accent6 3" xfId="142" xr:uid="{00000000-0005-0000-0000-000010000000}"/>
    <cellStyle name="60% - Accent1 2" xfId="15" xr:uid="{00000000-0005-0000-0000-000011000000}"/>
    <cellStyle name="60% - Accent1 3" xfId="143" xr:uid="{00000000-0005-0000-0000-000012000000}"/>
    <cellStyle name="60% - Accent2 2" xfId="16" xr:uid="{00000000-0005-0000-0000-000013000000}"/>
    <cellStyle name="60% - Accent3 2" xfId="17" xr:uid="{00000000-0005-0000-0000-000014000000}"/>
    <cellStyle name="60% - Accent3 3" xfId="144" xr:uid="{00000000-0005-0000-0000-000015000000}"/>
    <cellStyle name="60% - Accent4 2" xfId="18" xr:uid="{00000000-0005-0000-0000-000016000000}"/>
    <cellStyle name="60% - Accent4 3" xfId="145" xr:uid="{00000000-0005-0000-0000-000017000000}"/>
    <cellStyle name="60% - Accent5 2" xfId="19" xr:uid="{00000000-0005-0000-0000-000018000000}"/>
    <cellStyle name="60% - Accent6 2" xfId="146" xr:uid="{00000000-0005-0000-0000-000019000000}"/>
    <cellStyle name="Accent1 2" xfId="20" xr:uid="{00000000-0005-0000-0000-00001A000000}"/>
    <cellStyle name="Accent1 3" xfId="147" xr:uid="{00000000-0005-0000-0000-00001B000000}"/>
    <cellStyle name="Accent2 2" xfId="21" xr:uid="{00000000-0005-0000-0000-00001C000000}"/>
    <cellStyle name="Accent3 2" xfId="22" xr:uid="{00000000-0005-0000-0000-00001D000000}"/>
    <cellStyle name="Accent4 2" xfId="148" xr:uid="{00000000-0005-0000-0000-00001E000000}"/>
    <cellStyle name="Accent5 2" xfId="149" xr:uid="{00000000-0005-0000-0000-00001F000000}"/>
    <cellStyle name="Accent6 2" xfId="23" xr:uid="{00000000-0005-0000-0000-000020000000}"/>
    <cellStyle name="Accounting" xfId="24" xr:uid="{00000000-0005-0000-0000-000021000000}"/>
    <cellStyle name="Accounting 2" xfId="25" xr:uid="{00000000-0005-0000-0000-000022000000}"/>
    <cellStyle name="Accounting 3" xfId="26" xr:uid="{00000000-0005-0000-0000-000023000000}"/>
    <cellStyle name="Accounting_Thurston" xfId="27" xr:uid="{00000000-0005-0000-0000-000024000000}"/>
    <cellStyle name="Bad 2" xfId="28" xr:uid="{00000000-0005-0000-0000-000025000000}"/>
    <cellStyle name="Budget" xfId="29" xr:uid="{00000000-0005-0000-0000-000026000000}"/>
    <cellStyle name="Budget 2" xfId="30" xr:uid="{00000000-0005-0000-0000-000027000000}"/>
    <cellStyle name="Budget 3" xfId="31" xr:uid="{00000000-0005-0000-0000-000028000000}"/>
    <cellStyle name="Budget_Thurston" xfId="32" xr:uid="{00000000-0005-0000-0000-000029000000}"/>
    <cellStyle name="Calculation 2" xfId="33" xr:uid="{00000000-0005-0000-0000-00002A000000}"/>
    <cellStyle name="Calculation 3" xfId="150" xr:uid="{00000000-0005-0000-0000-00002B000000}"/>
    <cellStyle name="Check Cell 2" xfId="151" xr:uid="{00000000-0005-0000-0000-00002C000000}"/>
    <cellStyle name="Comma" xfId="1" builtinId="3"/>
    <cellStyle name="Comma 10" xfId="34" xr:uid="{00000000-0005-0000-0000-00002E000000}"/>
    <cellStyle name="Comma 10 2" xfId="1488" xr:uid="{00000000-0005-0000-0000-00002F000000}"/>
    <cellStyle name="Comma 11" xfId="35" xr:uid="{00000000-0005-0000-0000-000030000000}"/>
    <cellStyle name="Comma 12" xfId="36" xr:uid="{00000000-0005-0000-0000-000031000000}"/>
    <cellStyle name="Comma 13" xfId="37" xr:uid="{00000000-0005-0000-0000-000032000000}"/>
    <cellStyle name="Comma 14" xfId="38" xr:uid="{00000000-0005-0000-0000-000033000000}"/>
    <cellStyle name="Comma 15" xfId="39" xr:uid="{00000000-0005-0000-0000-000034000000}"/>
    <cellStyle name="Comma 16" xfId="40" xr:uid="{00000000-0005-0000-0000-000035000000}"/>
    <cellStyle name="Comma 17" xfId="152" xr:uid="{00000000-0005-0000-0000-000036000000}"/>
    <cellStyle name="Comma 17 2" xfId="153" xr:uid="{00000000-0005-0000-0000-000037000000}"/>
    <cellStyle name="Comma 17 3" xfId="154" xr:uid="{00000000-0005-0000-0000-000038000000}"/>
    <cellStyle name="Comma 17 4" xfId="155" xr:uid="{00000000-0005-0000-0000-000039000000}"/>
    <cellStyle name="Comma 18" xfId="156" xr:uid="{00000000-0005-0000-0000-00003A000000}"/>
    <cellStyle name="Comma 18 2" xfId="157" xr:uid="{00000000-0005-0000-0000-00003B000000}"/>
    <cellStyle name="Comma 18 3" xfId="158" xr:uid="{00000000-0005-0000-0000-00003C000000}"/>
    <cellStyle name="Comma 19" xfId="159" xr:uid="{00000000-0005-0000-0000-00003D000000}"/>
    <cellStyle name="Comma 19 2" xfId="160" xr:uid="{00000000-0005-0000-0000-00003E000000}"/>
    <cellStyle name="Comma 2" xfId="6" xr:uid="{00000000-0005-0000-0000-00003F000000}"/>
    <cellStyle name="Comma 2 2" xfId="41" xr:uid="{00000000-0005-0000-0000-000040000000}"/>
    <cellStyle name="Comma 2 2 2" xfId="161" xr:uid="{00000000-0005-0000-0000-000041000000}"/>
    <cellStyle name="Comma 2 2 3" xfId="162" xr:uid="{00000000-0005-0000-0000-000042000000}"/>
    <cellStyle name="Comma 2 3" xfId="42" xr:uid="{00000000-0005-0000-0000-000043000000}"/>
    <cellStyle name="Comma 2 3 2" xfId="163" xr:uid="{00000000-0005-0000-0000-000044000000}"/>
    <cellStyle name="Comma 2 4" xfId="164" xr:uid="{00000000-0005-0000-0000-000045000000}"/>
    <cellStyle name="Comma 3" xfId="43" xr:uid="{00000000-0005-0000-0000-000046000000}"/>
    <cellStyle name="Comma 3 2" xfId="44" xr:uid="{00000000-0005-0000-0000-000047000000}"/>
    <cellStyle name="Comma 3 2 2" xfId="45" xr:uid="{00000000-0005-0000-0000-000048000000}"/>
    <cellStyle name="Comma 3 3" xfId="46" xr:uid="{00000000-0005-0000-0000-000049000000}"/>
    <cellStyle name="Comma 3 3 2" xfId="165" xr:uid="{00000000-0005-0000-0000-00004A000000}"/>
    <cellStyle name="Comma 4" xfId="47" xr:uid="{00000000-0005-0000-0000-00004B000000}"/>
    <cellStyle name="Comma 4 2" xfId="48" xr:uid="{00000000-0005-0000-0000-00004C000000}"/>
    <cellStyle name="Comma 4 2 2" xfId="166" xr:uid="{00000000-0005-0000-0000-00004D000000}"/>
    <cellStyle name="Comma 4 2 2 2" xfId="167" xr:uid="{00000000-0005-0000-0000-00004E000000}"/>
    <cellStyle name="Comma 4 2 3" xfId="168" xr:uid="{00000000-0005-0000-0000-00004F000000}"/>
    <cellStyle name="Comma 4 2 3 2" xfId="169" xr:uid="{00000000-0005-0000-0000-000050000000}"/>
    <cellStyle name="Comma 4 2 3 3" xfId="170" xr:uid="{00000000-0005-0000-0000-000051000000}"/>
    <cellStyle name="Comma 4 2 4" xfId="171" xr:uid="{00000000-0005-0000-0000-000052000000}"/>
    <cellStyle name="Comma 4 2 4 2" xfId="172" xr:uid="{00000000-0005-0000-0000-000053000000}"/>
    <cellStyle name="Comma 4 2 4 3" xfId="173" xr:uid="{00000000-0005-0000-0000-000054000000}"/>
    <cellStyle name="Comma 4 2 5" xfId="174" xr:uid="{00000000-0005-0000-0000-000055000000}"/>
    <cellStyle name="Comma 4 2 5 2" xfId="175" xr:uid="{00000000-0005-0000-0000-000056000000}"/>
    <cellStyle name="Comma 4 2 5 3" xfId="176" xr:uid="{00000000-0005-0000-0000-000057000000}"/>
    <cellStyle name="Comma 4 2 6" xfId="177" xr:uid="{00000000-0005-0000-0000-000058000000}"/>
    <cellStyle name="Comma 4 2 6 2" xfId="178" xr:uid="{00000000-0005-0000-0000-000059000000}"/>
    <cellStyle name="Comma 4 2 6 3" xfId="179" xr:uid="{00000000-0005-0000-0000-00005A000000}"/>
    <cellStyle name="Comma 4 2 7" xfId="180" xr:uid="{00000000-0005-0000-0000-00005B000000}"/>
    <cellStyle name="Comma 4 2 7 2" xfId="181" xr:uid="{00000000-0005-0000-0000-00005C000000}"/>
    <cellStyle name="Comma 4 2 7 3" xfId="182" xr:uid="{00000000-0005-0000-0000-00005D000000}"/>
    <cellStyle name="Comma 4 2 8" xfId="183" xr:uid="{00000000-0005-0000-0000-00005E000000}"/>
    <cellStyle name="Comma 4 3" xfId="49" xr:uid="{00000000-0005-0000-0000-00005F000000}"/>
    <cellStyle name="Comma 4 3 2" xfId="184" xr:uid="{00000000-0005-0000-0000-000060000000}"/>
    <cellStyle name="Comma 4 3 2 2" xfId="185" xr:uid="{00000000-0005-0000-0000-000061000000}"/>
    <cellStyle name="Comma 4 3 3" xfId="186" xr:uid="{00000000-0005-0000-0000-000062000000}"/>
    <cellStyle name="Comma 4 3 3 2" xfId="187" xr:uid="{00000000-0005-0000-0000-000063000000}"/>
    <cellStyle name="Comma 4 3 3 3" xfId="188" xr:uid="{00000000-0005-0000-0000-000064000000}"/>
    <cellStyle name="Comma 4 3 4" xfId="189" xr:uid="{00000000-0005-0000-0000-000065000000}"/>
    <cellStyle name="Comma 4 3 4 2" xfId="190" xr:uid="{00000000-0005-0000-0000-000066000000}"/>
    <cellStyle name="Comma 4 3 4 3" xfId="191" xr:uid="{00000000-0005-0000-0000-000067000000}"/>
    <cellStyle name="Comma 4 3 5" xfId="192" xr:uid="{00000000-0005-0000-0000-000068000000}"/>
    <cellStyle name="Comma 4 4" xfId="50" xr:uid="{00000000-0005-0000-0000-000069000000}"/>
    <cellStyle name="Comma 4 4 2" xfId="193" xr:uid="{00000000-0005-0000-0000-00006A000000}"/>
    <cellStyle name="Comma 4 4 2 2" xfId="194" xr:uid="{00000000-0005-0000-0000-00006B000000}"/>
    <cellStyle name="Comma 4 4 3" xfId="195" xr:uid="{00000000-0005-0000-0000-00006C000000}"/>
    <cellStyle name="Comma 4 4 3 2" xfId="196" xr:uid="{00000000-0005-0000-0000-00006D000000}"/>
    <cellStyle name="Comma 4 4 3 3" xfId="197" xr:uid="{00000000-0005-0000-0000-00006E000000}"/>
    <cellStyle name="Comma 4 4 4" xfId="198" xr:uid="{00000000-0005-0000-0000-00006F000000}"/>
    <cellStyle name="Comma 4 4 4 2" xfId="199" xr:uid="{00000000-0005-0000-0000-000070000000}"/>
    <cellStyle name="Comma 4 4 4 3" xfId="200" xr:uid="{00000000-0005-0000-0000-000071000000}"/>
    <cellStyle name="Comma 4 4 5" xfId="201" xr:uid="{00000000-0005-0000-0000-000072000000}"/>
    <cellStyle name="Comma 4 5" xfId="51" xr:uid="{00000000-0005-0000-0000-000073000000}"/>
    <cellStyle name="Comma 4 5 2" xfId="202" xr:uid="{00000000-0005-0000-0000-000074000000}"/>
    <cellStyle name="Comma 4 6" xfId="203" xr:uid="{00000000-0005-0000-0000-000075000000}"/>
    <cellStyle name="Comma 4 6 2" xfId="204" xr:uid="{00000000-0005-0000-0000-000076000000}"/>
    <cellStyle name="Comma 4 6 3" xfId="205" xr:uid="{00000000-0005-0000-0000-000077000000}"/>
    <cellStyle name="Comma 4 7" xfId="206" xr:uid="{00000000-0005-0000-0000-000078000000}"/>
    <cellStyle name="Comma 4 8" xfId="207" xr:uid="{00000000-0005-0000-0000-000079000000}"/>
    <cellStyle name="Comma 5" xfId="52" xr:uid="{00000000-0005-0000-0000-00007A000000}"/>
    <cellStyle name="Comma 5 2" xfId="208" xr:uid="{00000000-0005-0000-0000-00007B000000}"/>
    <cellStyle name="Comma 5 2 2" xfId="209" xr:uid="{00000000-0005-0000-0000-00007C000000}"/>
    <cellStyle name="Comma 5 3" xfId="210" xr:uid="{00000000-0005-0000-0000-00007D000000}"/>
    <cellStyle name="Comma 5 3 2" xfId="211" xr:uid="{00000000-0005-0000-0000-00007E000000}"/>
    <cellStyle name="Comma 5 3 3" xfId="212" xr:uid="{00000000-0005-0000-0000-00007F000000}"/>
    <cellStyle name="Comma 5 4" xfId="213" xr:uid="{00000000-0005-0000-0000-000080000000}"/>
    <cellStyle name="Comma 5 4 2" xfId="214" xr:uid="{00000000-0005-0000-0000-000081000000}"/>
    <cellStyle name="Comma 5 4 3" xfId="215" xr:uid="{00000000-0005-0000-0000-000082000000}"/>
    <cellStyle name="Comma 5 5" xfId="216" xr:uid="{00000000-0005-0000-0000-000083000000}"/>
    <cellStyle name="Comma 6" xfId="53" xr:uid="{00000000-0005-0000-0000-000084000000}"/>
    <cellStyle name="Comma 6 2" xfId="217" xr:uid="{00000000-0005-0000-0000-000085000000}"/>
    <cellStyle name="Comma 6 3" xfId="218" xr:uid="{00000000-0005-0000-0000-000086000000}"/>
    <cellStyle name="Comma 6 3 2" xfId="219" xr:uid="{00000000-0005-0000-0000-000087000000}"/>
    <cellStyle name="Comma 6 3 3" xfId="220" xr:uid="{00000000-0005-0000-0000-000088000000}"/>
    <cellStyle name="Comma 6 4" xfId="221" xr:uid="{00000000-0005-0000-0000-000089000000}"/>
    <cellStyle name="Comma 6 4 2" xfId="222" xr:uid="{00000000-0005-0000-0000-00008A000000}"/>
    <cellStyle name="Comma 6 4 3" xfId="223" xr:uid="{00000000-0005-0000-0000-00008B000000}"/>
    <cellStyle name="Comma 6 5" xfId="224" xr:uid="{00000000-0005-0000-0000-00008C000000}"/>
    <cellStyle name="Comma 6 5 2" xfId="225" xr:uid="{00000000-0005-0000-0000-00008D000000}"/>
    <cellStyle name="Comma 6 5 3" xfId="226" xr:uid="{00000000-0005-0000-0000-00008E000000}"/>
    <cellStyle name="Comma 6 6" xfId="227" xr:uid="{00000000-0005-0000-0000-00008F000000}"/>
    <cellStyle name="Comma 7" xfId="54" xr:uid="{00000000-0005-0000-0000-000090000000}"/>
    <cellStyle name="Comma 7 2" xfId="228" xr:uid="{00000000-0005-0000-0000-000091000000}"/>
    <cellStyle name="Comma 8" xfId="55" xr:uid="{00000000-0005-0000-0000-000092000000}"/>
    <cellStyle name="Comma 9" xfId="56" xr:uid="{00000000-0005-0000-0000-000093000000}"/>
    <cellStyle name="Comma(2)" xfId="57" xr:uid="{00000000-0005-0000-0000-000094000000}"/>
    <cellStyle name="Comma(2) 2" xfId="229" xr:uid="{00000000-0005-0000-0000-000095000000}"/>
    <cellStyle name="Comma0 - Style2" xfId="58" xr:uid="{00000000-0005-0000-0000-000096000000}"/>
    <cellStyle name="Comma1 - Style1" xfId="59" xr:uid="{00000000-0005-0000-0000-000097000000}"/>
    <cellStyle name="Comments" xfId="60" xr:uid="{00000000-0005-0000-0000-000098000000}"/>
    <cellStyle name="Currency" xfId="2" builtinId="4"/>
    <cellStyle name="Currency 10" xfId="230" xr:uid="{00000000-0005-0000-0000-00009A000000}"/>
    <cellStyle name="Currency 10 2" xfId="231" xr:uid="{00000000-0005-0000-0000-00009B000000}"/>
    <cellStyle name="Currency 2" xfId="7" xr:uid="{00000000-0005-0000-0000-00009C000000}"/>
    <cellStyle name="Currency 2 2" xfId="61" xr:uid="{00000000-0005-0000-0000-00009D000000}"/>
    <cellStyle name="Currency 2 2 2" xfId="232" xr:uid="{00000000-0005-0000-0000-00009E000000}"/>
    <cellStyle name="Currency 2 3" xfId="233" xr:uid="{00000000-0005-0000-0000-00009F000000}"/>
    <cellStyle name="Currency 2 3 2" xfId="234" xr:uid="{00000000-0005-0000-0000-0000A0000000}"/>
    <cellStyle name="Currency 2 4" xfId="235" xr:uid="{00000000-0005-0000-0000-0000A1000000}"/>
    <cellStyle name="Currency 2 4 2" xfId="236" xr:uid="{00000000-0005-0000-0000-0000A2000000}"/>
    <cellStyle name="Currency 2 5" xfId="237" xr:uid="{00000000-0005-0000-0000-0000A3000000}"/>
    <cellStyle name="Currency 2 6" xfId="1487" xr:uid="{00000000-0005-0000-0000-0000A4000000}"/>
    <cellStyle name="Currency 3" xfId="62" xr:uid="{00000000-0005-0000-0000-0000A5000000}"/>
    <cellStyle name="Currency 3 2" xfId="238" xr:uid="{00000000-0005-0000-0000-0000A6000000}"/>
    <cellStyle name="Currency 3 2 2" xfId="239" xr:uid="{00000000-0005-0000-0000-0000A7000000}"/>
    <cellStyle name="Currency 3 2 2 2" xfId="240" xr:uid="{00000000-0005-0000-0000-0000A8000000}"/>
    <cellStyle name="Currency 3 2 2 2 2" xfId="241" xr:uid="{00000000-0005-0000-0000-0000A9000000}"/>
    <cellStyle name="Currency 3 2 2 2 3" xfId="242" xr:uid="{00000000-0005-0000-0000-0000AA000000}"/>
    <cellStyle name="Currency 3 2 2 3" xfId="243" xr:uid="{00000000-0005-0000-0000-0000AB000000}"/>
    <cellStyle name="Currency 3 2 2 3 2" xfId="244" xr:uid="{00000000-0005-0000-0000-0000AC000000}"/>
    <cellStyle name="Currency 3 2 2 3 3" xfId="245" xr:uid="{00000000-0005-0000-0000-0000AD000000}"/>
    <cellStyle name="Currency 3 2 2 4" xfId="246" xr:uid="{00000000-0005-0000-0000-0000AE000000}"/>
    <cellStyle name="Currency 3 2 2 5" xfId="247" xr:uid="{00000000-0005-0000-0000-0000AF000000}"/>
    <cellStyle name="Currency 3 2 3" xfId="248" xr:uid="{00000000-0005-0000-0000-0000B0000000}"/>
    <cellStyle name="Currency 3 2 3 2" xfId="249" xr:uid="{00000000-0005-0000-0000-0000B1000000}"/>
    <cellStyle name="Currency 3 2 3 3" xfId="250" xr:uid="{00000000-0005-0000-0000-0000B2000000}"/>
    <cellStyle name="Currency 3 2 4" xfId="251" xr:uid="{00000000-0005-0000-0000-0000B3000000}"/>
    <cellStyle name="Currency 3 2 4 2" xfId="252" xr:uid="{00000000-0005-0000-0000-0000B4000000}"/>
    <cellStyle name="Currency 3 2 4 3" xfId="253" xr:uid="{00000000-0005-0000-0000-0000B5000000}"/>
    <cellStyle name="Currency 3 2 5" xfId="254" xr:uid="{00000000-0005-0000-0000-0000B6000000}"/>
    <cellStyle name="Currency 3 2 6" xfId="255" xr:uid="{00000000-0005-0000-0000-0000B7000000}"/>
    <cellStyle name="Currency 3 3" xfId="256" xr:uid="{00000000-0005-0000-0000-0000B8000000}"/>
    <cellStyle name="Currency 3 3 2" xfId="257" xr:uid="{00000000-0005-0000-0000-0000B9000000}"/>
    <cellStyle name="Currency 3 3 2 2" xfId="258" xr:uid="{00000000-0005-0000-0000-0000BA000000}"/>
    <cellStyle name="Currency 3 3 2 3" xfId="259" xr:uid="{00000000-0005-0000-0000-0000BB000000}"/>
    <cellStyle name="Currency 3 3 3" xfId="260" xr:uid="{00000000-0005-0000-0000-0000BC000000}"/>
    <cellStyle name="Currency 3 3 3 2" xfId="261" xr:uid="{00000000-0005-0000-0000-0000BD000000}"/>
    <cellStyle name="Currency 3 3 3 3" xfId="262" xr:uid="{00000000-0005-0000-0000-0000BE000000}"/>
    <cellStyle name="Currency 3 3 4" xfId="263" xr:uid="{00000000-0005-0000-0000-0000BF000000}"/>
    <cellStyle name="Currency 3 3 5" xfId="264" xr:uid="{00000000-0005-0000-0000-0000C0000000}"/>
    <cellStyle name="Currency 3 4" xfId="265" xr:uid="{00000000-0005-0000-0000-0000C1000000}"/>
    <cellStyle name="Currency 3 4 2" xfId="266" xr:uid="{00000000-0005-0000-0000-0000C2000000}"/>
    <cellStyle name="Currency 3 5" xfId="267" xr:uid="{00000000-0005-0000-0000-0000C3000000}"/>
    <cellStyle name="Currency 3 6" xfId="268" xr:uid="{00000000-0005-0000-0000-0000C4000000}"/>
    <cellStyle name="Currency 3 7" xfId="269" xr:uid="{00000000-0005-0000-0000-0000C5000000}"/>
    <cellStyle name="Currency 4" xfId="63" xr:uid="{00000000-0005-0000-0000-0000C6000000}"/>
    <cellStyle name="Currency 4 2" xfId="270" xr:uid="{00000000-0005-0000-0000-0000C7000000}"/>
    <cellStyle name="Currency 4 3" xfId="271" xr:uid="{00000000-0005-0000-0000-0000C8000000}"/>
    <cellStyle name="Currency 4 3 2" xfId="272" xr:uid="{00000000-0005-0000-0000-0000C9000000}"/>
    <cellStyle name="Currency 5" xfId="64" xr:uid="{00000000-0005-0000-0000-0000CA000000}"/>
    <cellStyle name="Currency 5 2" xfId="273" xr:uid="{00000000-0005-0000-0000-0000CB000000}"/>
    <cellStyle name="Currency 5 2 2" xfId="274" xr:uid="{00000000-0005-0000-0000-0000CC000000}"/>
    <cellStyle name="Currency 5 3" xfId="275" xr:uid="{00000000-0005-0000-0000-0000CD000000}"/>
    <cellStyle name="Currency 5 3 2" xfId="276" xr:uid="{00000000-0005-0000-0000-0000CE000000}"/>
    <cellStyle name="Currency 5 3 3" xfId="277" xr:uid="{00000000-0005-0000-0000-0000CF000000}"/>
    <cellStyle name="Currency 5 3 4" xfId="278" xr:uid="{00000000-0005-0000-0000-0000D0000000}"/>
    <cellStyle name="Currency 5 4" xfId="279" xr:uid="{00000000-0005-0000-0000-0000D1000000}"/>
    <cellStyle name="Currency 5 4 2" xfId="280" xr:uid="{00000000-0005-0000-0000-0000D2000000}"/>
    <cellStyle name="Currency 5 4 3" xfId="281" xr:uid="{00000000-0005-0000-0000-0000D3000000}"/>
    <cellStyle name="Currency 5 5" xfId="282" xr:uid="{00000000-0005-0000-0000-0000D4000000}"/>
    <cellStyle name="Currency 5 5 2" xfId="283" xr:uid="{00000000-0005-0000-0000-0000D5000000}"/>
    <cellStyle name="Currency 5 5 3" xfId="284" xr:uid="{00000000-0005-0000-0000-0000D6000000}"/>
    <cellStyle name="Currency 5 6" xfId="285" xr:uid="{00000000-0005-0000-0000-0000D7000000}"/>
    <cellStyle name="Currency 6" xfId="65" xr:uid="{00000000-0005-0000-0000-0000D8000000}"/>
    <cellStyle name="Currency 6 2" xfId="286" xr:uid="{00000000-0005-0000-0000-0000D9000000}"/>
    <cellStyle name="Currency 6 3" xfId="287" xr:uid="{00000000-0005-0000-0000-0000DA000000}"/>
    <cellStyle name="Currency 6 3 2" xfId="288" xr:uid="{00000000-0005-0000-0000-0000DB000000}"/>
    <cellStyle name="Currency 7" xfId="66" xr:uid="{00000000-0005-0000-0000-0000DC000000}"/>
    <cellStyle name="Currency 8" xfId="289" xr:uid="{00000000-0005-0000-0000-0000DD000000}"/>
    <cellStyle name="Currency 8 2" xfId="290" xr:uid="{00000000-0005-0000-0000-0000DE000000}"/>
    <cellStyle name="Currency 8 3" xfId="291" xr:uid="{00000000-0005-0000-0000-0000DF000000}"/>
    <cellStyle name="Currency 9" xfId="292" xr:uid="{00000000-0005-0000-0000-0000E0000000}"/>
    <cellStyle name="Currency 9 2" xfId="293" xr:uid="{00000000-0005-0000-0000-0000E1000000}"/>
    <cellStyle name="Currency 9 3" xfId="294" xr:uid="{00000000-0005-0000-0000-0000E2000000}"/>
    <cellStyle name="Custom - Style1" xfId="295" xr:uid="{00000000-0005-0000-0000-0000E3000000}"/>
    <cellStyle name="Custom - Style8" xfId="296" xr:uid="{00000000-0005-0000-0000-0000E4000000}"/>
    <cellStyle name="Data   - Style2" xfId="297" xr:uid="{00000000-0005-0000-0000-0000E5000000}"/>
    <cellStyle name="Data Enter" xfId="67" xr:uid="{00000000-0005-0000-0000-0000E6000000}"/>
    <cellStyle name="Explanatory Text 2" xfId="298" xr:uid="{00000000-0005-0000-0000-0000E7000000}"/>
    <cellStyle name="F9ReportControlStyle_ctpInquire" xfId="299" xr:uid="{00000000-0005-0000-0000-0000E8000000}"/>
    <cellStyle name="FactSheet" xfId="68" xr:uid="{00000000-0005-0000-0000-0000E9000000}"/>
    <cellStyle name="Good 2" xfId="69" xr:uid="{00000000-0005-0000-0000-0000EA000000}"/>
    <cellStyle name="Heading 1 2" xfId="70" xr:uid="{00000000-0005-0000-0000-0000EB000000}"/>
    <cellStyle name="Heading 1 3" xfId="300" xr:uid="{00000000-0005-0000-0000-0000EC000000}"/>
    <cellStyle name="Heading 2 2" xfId="71" xr:uid="{00000000-0005-0000-0000-0000ED000000}"/>
    <cellStyle name="Heading 2 3" xfId="301" xr:uid="{00000000-0005-0000-0000-0000EE000000}"/>
    <cellStyle name="Heading 3 2" xfId="72" xr:uid="{00000000-0005-0000-0000-0000EF000000}"/>
    <cellStyle name="Heading 3 3" xfId="302" xr:uid="{00000000-0005-0000-0000-0000F0000000}"/>
    <cellStyle name="Heading 4 2" xfId="303" xr:uid="{00000000-0005-0000-0000-0000F1000000}"/>
    <cellStyle name="Hyperlink 2" xfId="73" xr:uid="{00000000-0005-0000-0000-0000F2000000}"/>
    <cellStyle name="Hyperlink 2 2" xfId="304" xr:uid="{00000000-0005-0000-0000-0000F3000000}"/>
    <cellStyle name="Hyperlink 3" xfId="74" xr:uid="{00000000-0005-0000-0000-0000F4000000}"/>
    <cellStyle name="Hyperlink 4" xfId="1486" xr:uid="{00000000-0005-0000-0000-0000F5000000}"/>
    <cellStyle name="Input 2" xfId="305" xr:uid="{00000000-0005-0000-0000-0000F6000000}"/>
    <cellStyle name="input(0)" xfId="75" xr:uid="{00000000-0005-0000-0000-0000F7000000}"/>
    <cellStyle name="Input(2)" xfId="76" xr:uid="{00000000-0005-0000-0000-0000F8000000}"/>
    <cellStyle name="INT Paramter" xfId="306" xr:uid="{00000000-0005-0000-0000-0000F9000000}"/>
    <cellStyle name="INT Paramter 2" xfId="307" xr:uid="{00000000-0005-0000-0000-0000FA000000}"/>
    <cellStyle name="INT Paramter 3" xfId="308" xr:uid="{00000000-0005-0000-0000-0000FB000000}"/>
    <cellStyle name="INT Paramter_13008" xfId="309" xr:uid="{00000000-0005-0000-0000-0000FC000000}"/>
    <cellStyle name="Labels - Style3" xfId="310" xr:uid="{00000000-0005-0000-0000-0000FD000000}"/>
    <cellStyle name="Linked Cell 2" xfId="77" xr:uid="{00000000-0005-0000-0000-0000FE000000}"/>
    <cellStyle name="Neutral 2" xfId="78" xr:uid="{00000000-0005-0000-0000-0000FF000000}"/>
    <cellStyle name="New_normal" xfId="79" xr:uid="{00000000-0005-0000-0000-000000010000}"/>
    <cellStyle name="Normal" xfId="0" builtinId="0"/>
    <cellStyle name="Normal - Style1" xfId="80" xr:uid="{00000000-0005-0000-0000-000002010000}"/>
    <cellStyle name="Normal - Style2" xfId="81" xr:uid="{00000000-0005-0000-0000-000003010000}"/>
    <cellStyle name="Normal - Style3" xfId="82" xr:uid="{00000000-0005-0000-0000-000004010000}"/>
    <cellStyle name="Normal - Style4" xfId="83" xr:uid="{00000000-0005-0000-0000-000005010000}"/>
    <cellStyle name="Normal - Style5" xfId="84" xr:uid="{00000000-0005-0000-0000-000006010000}"/>
    <cellStyle name="Normal - Style6" xfId="311" xr:uid="{00000000-0005-0000-0000-000007010000}"/>
    <cellStyle name="Normal - Style7" xfId="312" xr:uid="{00000000-0005-0000-0000-000008010000}"/>
    <cellStyle name="Normal - Style8" xfId="313" xr:uid="{00000000-0005-0000-0000-000009010000}"/>
    <cellStyle name="Normal 10" xfId="85" xr:uid="{00000000-0005-0000-0000-00000A010000}"/>
    <cellStyle name="Normal 10 2" xfId="314" xr:uid="{00000000-0005-0000-0000-00000B010000}"/>
    <cellStyle name="Normal 10 2 2" xfId="315" xr:uid="{00000000-0005-0000-0000-00000C010000}"/>
    <cellStyle name="Normal 10 2 2 2" xfId="316" xr:uid="{00000000-0005-0000-0000-00000D010000}"/>
    <cellStyle name="Normal 10 2 2 2 2" xfId="317" xr:uid="{00000000-0005-0000-0000-00000E010000}"/>
    <cellStyle name="Normal 10 2 2 2 2 2" xfId="318" xr:uid="{00000000-0005-0000-0000-00000F010000}"/>
    <cellStyle name="Normal 10 2 2 2 2 3" xfId="319" xr:uid="{00000000-0005-0000-0000-000010010000}"/>
    <cellStyle name="Normal 10 2 2 2 2_13008" xfId="320" xr:uid="{00000000-0005-0000-0000-000011010000}"/>
    <cellStyle name="Normal 10 2 2 2 3" xfId="321" xr:uid="{00000000-0005-0000-0000-000012010000}"/>
    <cellStyle name="Normal 10 2 2 2 3 2" xfId="322" xr:uid="{00000000-0005-0000-0000-000013010000}"/>
    <cellStyle name="Normal 10 2 2 2 3 3" xfId="323" xr:uid="{00000000-0005-0000-0000-000014010000}"/>
    <cellStyle name="Normal 10 2 2 2 3_13008" xfId="324" xr:uid="{00000000-0005-0000-0000-000015010000}"/>
    <cellStyle name="Normal 10 2 2 2 4" xfId="325" xr:uid="{00000000-0005-0000-0000-000016010000}"/>
    <cellStyle name="Normal 10 2 2 2 5" xfId="326" xr:uid="{00000000-0005-0000-0000-000017010000}"/>
    <cellStyle name="Normal 10 2 2 2_13008" xfId="327" xr:uid="{00000000-0005-0000-0000-000018010000}"/>
    <cellStyle name="Normal 10 2 2 3" xfId="328" xr:uid="{00000000-0005-0000-0000-000019010000}"/>
    <cellStyle name="Normal 10 2 2 3 2" xfId="329" xr:uid="{00000000-0005-0000-0000-00001A010000}"/>
    <cellStyle name="Normal 10 2 2 3 3" xfId="330" xr:uid="{00000000-0005-0000-0000-00001B010000}"/>
    <cellStyle name="Normal 10 2 2 3_13008" xfId="331" xr:uid="{00000000-0005-0000-0000-00001C010000}"/>
    <cellStyle name="Normal 10 2 2 4" xfId="332" xr:uid="{00000000-0005-0000-0000-00001D010000}"/>
    <cellStyle name="Normal 10 2 2 4 2" xfId="333" xr:uid="{00000000-0005-0000-0000-00001E010000}"/>
    <cellStyle name="Normal 10 2 2 4 3" xfId="334" xr:uid="{00000000-0005-0000-0000-00001F010000}"/>
    <cellStyle name="Normal 10 2 2 4_13008" xfId="335" xr:uid="{00000000-0005-0000-0000-000020010000}"/>
    <cellStyle name="Normal 10 2 2 5" xfId="336" xr:uid="{00000000-0005-0000-0000-000021010000}"/>
    <cellStyle name="Normal 10 2 2 5 2" xfId="337" xr:uid="{00000000-0005-0000-0000-000022010000}"/>
    <cellStyle name="Normal 10 2 2 5 3" xfId="338" xr:uid="{00000000-0005-0000-0000-000023010000}"/>
    <cellStyle name="Normal 10 2 2 5_13008" xfId="339" xr:uid="{00000000-0005-0000-0000-000024010000}"/>
    <cellStyle name="Normal 10 2 2 6" xfId="340" xr:uid="{00000000-0005-0000-0000-000025010000}"/>
    <cellStyle name="Normal 10 2 2 7" xfId="341" xr:uid="{00000000-0005-0000-0000-000026010000}"/>
    <cellStyle name="Normal 10 2 2_13008" xfId="342" xr:uid="{00000000-0005-0000-0000-000027010000}"/>
    <cellStyle name="Normal 10 2 3" xfId="343" xr:uid="{00000000-0005-0000-0000-000028010000}"/>
    <cellStyle name="Normal 10 2 3 2" xfId="344" xr:uid="{00000000-0005-0000-0000-000029010000}"/>
    <cellStyle name="Normal 10 2 3 2 2" xfId="345" xr:uid="{00000000-0005-0000-0000-00002A010000}"/>
    <cellStyle name="Normal 10 2 3 2 3" xfId="346" xr:uid="{00000000-0005-0000-0000-00002B010000}"/>
    <cellStyle name="Normal 10 2 3 2_13008" xfId="347" xr:uid="{00000000-0005-0000-0000-00002C010000}"/>
    <cellStyle name="Normal 10 2 3 3" xfId="348" xr:uid="{00000000-0005-0000-0000-00002D010000}"/>
    <cellStyle name="Normal 10 2 3 3 2" xfId="349" xr:uid="{00000000-0005-0000-0000-00002E010000}"/>
    <cellStyle name="Normal 10 2 3 3 3" xfId="350" xr:uid="{00000000-0005-0000-0000-00002F010000}"/>
    <cellStyle name="Normal 10 2 3 3_13008" xfId="351" xr:uid="{00000000-0005-0000-0000-000030010000}"/>
    <cellStyle name="Normal 10 2 3 4" xfId="352" xr:uid="{00000000-0005-0000-0000-000031010000}"/>
    <cellStyle name="Normal 10 2 3 5" xfId="353" xr:uid="{00000000-0005-0000-0000-000032010000}"/>
    <cellStyle name="Normal 10 2 3_13008" xfId="354" xr:uid="{00000000-0005-0000-0000-000033010000}"/>
    <cellStyle name="Normal 10 2 4" xfId="355" xr:uid="{00000000-0005-0000-0000-000034010000}"/>
    <cellStyle name="Normal 10 2 4 2" xfId="356" xr:uid="{00000000-0005-0000-0000-000035010000}"/>
    <cellStyle name="Normal 10 2 4 3" xfId="357" xr:uid="{00000000-0005-0000-0000-000036010000}"/>
    <cellStyle name="Normal 10 2 4_13008" xfId="358" xr:uid="{00000000-0005-0000-0000-000037010000}"/>
    <cellStyle name="Normal 10 2 5" xfId="359" xr:uid="{00000000-0005-0000-0000-000038010000}"/>
    <cellStyle name="Normal 10 2 5 2" xfId="360" xr:uid="{00000000-0005-0000-0000-000039010000}"/>
    <cellStyle name="Normal 10 2 5 3" xfId="361" xr:uid="{00000000-0005-0000-0000-00003A010000}"/>
    <cellStyle name="Normal 10 2 5_13008" xfId="362" xr:uid="{00000000-0005-0000-0000-00003B010000}"/>
    <cellStyle name="Normal 10 2 6" xfId="363" xr:uid="{00000000-0005-0000-0000-00003C010000}"/>
    <cellStyle name="Normal 10 2 6 2" xfId="364" xr:uid="{00000000-0005-0000-0000-00003D010000}"/>
    <cellStyle name="Normal 10 2 6 3" xfId="365" xr:uid="{00000000-0005-0000-0000-00003E010000}"/>
    <cellStyle name="Normal 10 2 6_13008" xfId="366" xr:uid="{00000000-0005-0000-0000-00003F010000}"/>
    <cellStyle name="Normal 10 2 7" xfId="367" xr:uid="{00000000-0005-0000-0000-000040010000}"/>
    <cellStyle name="Normal 10 2 8" xfId="368" xr:uid="{00000000-0005-0000-0000-000041010000}"/>
    <cellStyle name="Normal 10 2_13008" xfId="369" xr:uid="{00000000-0005-0000-0000-000042010000}"/>
    <cellStyle name="Normal 10 3" xfId="370" xr:uid="{00000000-0005-0000-0000-000043010000}"/>
    <cellStyle name="Normal 10 3 2" xfId="371" xr:uid="{00000000-0005-0000-0000-000044010000}"/>
    <cellStyle name="Normal 10 3 2 2" xfId="372" xr:uid="{00000000-0005-0000-0000-000045010000}"/>
    <cellStyle name="Normal 10 3 2 3" xfId="373" xr:uid="{00000000-0005-0000-0000-000046010000}"/>
    <cellStyle name="Normal 10 3 2_13008" xfId="374" xr:uid="{00000000-0005-0000-0000-000047010000}"/>
    <cellStyle name="Normal 10 3 3" xfId="375" xr:uid="{00000000-0005-0000-0000-000048010000}"/>
    <cellStyle name="Normal 10 3 3 2" xfId="376" xr:uid="{00000000-0005-0000-0000-000049010000}"/>
    <cellStyle name="Normal 10 3 3 3" xfId="377" xr:uid="{00000000-0005-0000-0000-00004A010000}"/>
    <cellStyle name="Normal 10 3 3_13008" xfId="378" xr:uid="{00000000-0005-0000-0000-00004B010000}"/>
    <cellStyle name="Normal 10 3 4" xfId="379" xr:uid="{00000000-0005-0000-0000-00004C010000}"/>
    <cellStyle name="Normal 10 3 5" xfId="380" xr:uid="{00000000-0005-0000-0000-00004D010000}"/>
    <cellStyle name="Normal 10 3_13008" xfId="381" xr:uid="{00000000-0005-0000-0000-00004E010000}"/>
    <cellStyle name="Normal 10 4" xfId="382" xr:uid="{00000000-0005-0000-0000-00004F010000}"/>
    <cellStyle name="Normal 10 4 2" xfId="383" xr:uid="{00000000-0005-0000-0000-000050010000}"/>
    <cellStyle name="Normal 10 4 3" xfId="384" xr:uid="{00000000-0005-0000-0000-000051010000}"/>
    <cellStyle name="Normal 10 4_13008" xfId="385" xr:uid="{00000000-0005-0000-0000-000052010000}"/>
    <cellStyle name="Normal 10 5" xfId="386" xr:uid="{00000000-0005-0000-0000-000053010000}"/>
    <cellStyle name="Normal 10 5 2" xfId="387" xr:uid="{00000000-0005-0000-0000-000054010000}"/>
    <cellStyle name="Normal 10 5 3" xfId="388" xr:uid="{00000000-0005-0000-0000-000055010000}"/>
    <cellStyle name="Normal 10 5_13008" xfId="389" xr:uid="{00000000-0005-0000-0000-000056010000}"/>
    <cellStyle name="Normal 10 6" xfId="390" xr:uid="{00000000-0005-0000-0000-000057010000}"/>
    <cellStyle name="Normal 10 6 2" xfId="391" xr:uid="{00000000-0005-0000-0000-000058010000}"/>
    <cellStyle name="Normal 10 6 3" xfId="392" xr:uid="{00000000-0005-0000-0000-000059010000}"/>
    <cellStyle name="Normal 10 6_13008" xfId="393" xr:uid="{00000000-0005-0000-0000-00005A010000}"/>
    <cellStyle name="Normal 10 7" xfId="394" xr:uid="{00000000-0005-0000-0000-00005B010000}"/>
    <cellStyle name="Normal 10 8" xfId="395" xr:uid="{00000000-0005-0000-0000-00005C010000}"/>
    <cellStyle name="Normal 10_13008" xfId="396" xr:uid="{00000000-0005-0000-0000-00005D010000}"/>
    <cellStyle name="Normal 11" xfId="86" xr:uid="{00000000-0005-0000-0000-00005E010000}"/>
    <cellStyle name="Normal 11 10" xfId="397" xr:uid="{00000000-0005-0000-0000-00005F010000}"/>
    <cellStyle name="Normal 11 11" xfId="398" xr:uid="{00000000-0005-0000-0000-000060010000}"/>
    <cellStyle name="Normal 11 2" xfId="399" xr:uid="{00000000-0005-0000-0000-000061010000}"/>
    <cellStyle name="Normal 11 2 2" xfId="400" xr:uid="{00000000-0005-0000-0000-000062010000}"/>
    <cellStyle name="Normal 11 2 2 2" xfId="401" xr:uid="{00000000-0005-0000-0000-000063010000}"/>
    <cellStyle name="Normal 11 2 2 2 2" xfId="402" xr:uid="{00000000-0005-0000-0000-000064010000}"/>
    <cellStyle name="Normal 11 2 2 2 3" xfId="403" xr:uid="{00000000-0005-0000-0000-000065010000}"/>
    <cellStyle name="Normal 11 2 2 2_13008" xfId="404" xr:uid="{00000000-0005-0000-0000-000066010000}"/>
    <cellStyle name="Normal 11 2 2 3" xfId="405" xr:uid="{00000000-0005-0000-0000-000067010000}"/>
    <cellStyle name="Normal 11 2 2 3 2" xfId="406" xr:uid="{00000000-0005-0000-0000-000068010000}"/>
    <cellStyle name="Normal 11 2 2 3 3" xfId="407" xr:uid="{00000000-0005-0000-0000-000069010000}"/>
    <cellStyle name="Normal 11 2 2 3_13008" xfId="408" xr:uid="{00000000-0005-0000-0000-00006A010000}"/>
    <cellStyle name="Normal 11 2 2 4" xfId="409" xr:uid="{00000000-0005-0000-0000-00006B010000}"/>
    <cellStyle name="Normal 11 2 2 5" xfId="410" xr:uid="{00000000-0005-0000-0000-00006C010000}"/>
    <cellStyle name="Normal 11 2 2_13008" xfId="411" xr:uid="{00000000-0005-0000-0000-00006D010000}"/>
    <cellStyle name="Normal 11 2 3" xfId="412" xr:uid="{00000000-0005-0000-0000-00006E010000}"/>
    <cellStyle name="Normal 11 2 3 2" xfId="413" xr:uid="{00000000-0005-0000-0000-00006F010000}"/>
    <cellStyle name="Normal 11 2 3 3" xfId="414" xr:uid="{00000000-0005-0000-0000-000070010000}"/>
    <cellStyle name="Normal 11 2 3_13008" xfId="415" xr:uid="{00000000-0005-0000-0000-000071010000}"/>
    <cellStyle name="Normal 11 2 4" xfId="416" xr:uid="{00000000-0005-0000-0000-000072010000}"/>
    <cellStyle name="Normal 11 2 4 2" xfId="417" xr:uid="{00000000-0005-0000-0000-000073010000}"/>
    <cellStyle name="Normal 11 2 4 3" xfId="418" xr:uid="{00000000-0005-0000-0000-000074010000}"/>
    <cellStyle name="Normal 11 2 4_13008" xfId="419" xr:uid="{00000000-0005-0000-0000-000075010000}"/>
    <cellStyle name="Normal 11 2 5" xfId="420" xr:uid="{00000000-0005-0000-0000-000076010000}"/>
    <cellStyle name="Normal 11 2 5 2" xfId="421" xr:uid="{00000000-0005-0000-0000-000077010000}"/>
    <cellStyle name="Normal 11 2 5 3" xfId="422" xr:uid="{00000000-0005-0000-0000-000078010000}"/>
    <cellStyle name="Normal 11 2 5_13008" xfId="423" xr:uid="{00000000-0005-0000-0000-000079010000}"/>
    <cellStyle name="Normal 11 2 6" xfId="424" xr:uid="{00000000-0005-0000-0000-00007A010000}"/>
    <cellStyle name="Normal 11 2 7" xfId="425" xr:uid="{00000000-0005-0000-0000-00007B010000}"/>
    <cellStyle name="Normal 11 2_13008" xfId="426" xr:uid="{00000000-0005-0000-0000-00007C010000}"/>
    <cellStyle name="Normal 11 3" xfId="427" xr:uid="{00000000-0005-0000-0000-00007D010000}"/>
    <cellStyle name="Normal 11 3 2" xfId="428" xr:uid="{00000000-0005-0000-0000-00007E010000}"/>
    <cellStyle name="Normal 11 3 2 2" xfId="429" xr:uid="{00000000-0005-0000-0000-00007F010000}"/>
    <cellStyle name="Normal 11 3 2 2 2" xfId="430" xr:uid="{00000000-0005-0000-0000-000080010000}"/>
    <cellStyle name="Normal 11 3 2 2 3" xfId="431" xr:uid="{00000000-0005-0000-0000-000081010000}"/>
    <cellStyle name="Normal 11 3 2 2_13008" xfId="432" xr:uid="{00000000-0005-0000-0000-000082010000}"/>
    <cellStyle name="Normal 11 3 2 3" xfId="433" xr:uid="{00000000-0005-0000-0000-000083010000}"/>
    <cellStyle name="Normal 11 3 2 3 2" xfId="434" xr:uid="{00000000-0005-0000-0000-000084010000}"/>
    <cellStyle name="Normal 11 3 2 3 3" xfId="435" xr:uid="{00000000-0005-0000-0000-000085010000}"/>
    <cellStyle name="Normal 11 3 2 3_13008" xfId="436" xr:uid="{00000000-0005-0000-0000-000086010000}"/>
    <cellStyle name="Normal 11 3 2 4" xfId="437" xr:uid="{00000000-0005-0000-0000-000087010000}"/>
    <cellStyle name="Normal 11 3 2 5" xfId="438" xr:uid="{00000000-0005-0000-0000-000088010000}"/>
    <cellStyle name="Normal 11 3 2_13008" xfId="439" xr:uid="{00000000-0005-0000-0000-000089010000}"/>
    <cellStyle name="Normal 11 3 3" xfId="440" xr:uid="{00000000-0005-0000-0000-00008A010000}"/>
    <cellStyle name="Normal 11 3 3 2" xfId="441" xr:uid="{00000000-0005-0000-0000-00008B010000}"/>
    <cellStyle name="Normal 11 3 3 3" xfId="442" xr:uid="{00000000-0005-0000-0000-00008C010000}"/>
    <cellStyle name="Normal 11 3 3_13008" xfId="443" xr:uid="{00000000-0005-0000-0000-00008D010000}"/>
    <cellStyle name="Normal 11 3 4" xfId="444" xr:uid="{00000000-0005-0000-0000-00008E010000}"/>
    <cellStyle name="Normal 11 3 4 2" xfId="445" xr:uid="{00000000-0005-0000-0000-00008F010000}"/>
    <cellStyle name="Normal 11 3 4 3" xfId="446" xr:uid="{00000000-0005-0000-0000-000090010000}"/>
    <cellStyle name="Normal 11 3 4_13008" xfId="447" xr:uid="{00000000-0005-0000-0000-000091010000}"/>
    <cellStyle name="Normal 11 3 5" xfId="448" xr:uid="{00000000-0005-0000-0000-000092010000}"/>
    <cellStyle name="Normal 11 3 5 2" xfId="449" xr:uid="{00000000-0005-0000-0000-000093010000}"/>
    <cellStyle name="Normal 11 3 5 3" xfId="450" xr:uid="{00000000-0005-0000-0000-000094010000}"/>
    <cellStyle name="Normal 11 3 5_13008" xfId="451" xr:uid="{00000000-0005-0000-0000-000095010000}"/>
    <cellStyle name="Normal 11 3 6" xfId="452" xr:uid="{00000000-0005-0000-0000-000096010000}"/>
    <cellStyle name="Normal 11 3 7" xfId="453" xr:uid="{00000000-0005-0000-0000-000097010000}"/>
    <cellStyle name="Normal 11 3_13008" xfId="454" xr:uid="{00000000-0005-0000-0000-000098010000}"/>
    <cellStyle name="Normal 11 4" xfId="455" xr:uid="{00000000-0005-0000-0000-000099010000}"/>
    <cellStyle name="Normal 11 4 2" xfId="456" xr:uid="{00000000-0005-0000-0000-00009A010000}"/>
    <cellStyle name="Normal 11 4 2 2" xfId="457" xr:uid="{00000000-0005-0000-0000-00009B010000}"/>
    <cellStyle name="Normal 11 4 2 2 2" xfId="458" xr:uid="{00000000-0005-0000-0000-00009C010000}"/>
    <cellStyle name="Normal 11 4 2 2 2 2" xfId="459" xr:uid="{00000000-0005-0000-0000-00009D010000}"/>
    <cellStyle name="Normal 11 4 2 2 2 3" xfId="460" xr:uid="{00000000-0005-0000-0000-00009E010000}"/>
    <cellStyle name="Normal 11 4 2 2 2_13008" xfId="461" xr:uid="{00000000-0005-0000-0000-00009F010000}"/>
    <cellStyle name="Normal 11 4 2 2 3" xfId="462" xr:uid="{00000000-0005-0000-0000-0000A0010000}"/>
    <cellStyle name="Normal 11 4 2 2 3 2" xfId="463" xr:uid="{00000000-0005-0000-0000-0000A1010000}"/>
    <cellStyle name="Normal 11 4 2 2 3 3" xfId="464" xr:uid="{00000000-0005-0000-0000-0000A2010000}"/>
    <cellStyle name="Normal 11 4 2 2 3_13008" xfId="465" xr:uid="{00000000-0005-0000-0000-0000A3010000}"/>
    <cellStyle name="Normal 11 4 2 2 4" xfId="466" xr:uid="{00000000-0005-0000-0000-0000A4010000}"/>
    <cellStyle name="Normal 11 4 2 2 5" xfId="467" xr:uid="{00000000-0005-0000-0000-0000A5010000}"/>
    <cellStyle name="Normal 11 4 2 2_13008" xfId="468" xr:uid="{00000000-0005-0000-0000-0000A6010000}"/>
    <cellStyle name="Normal 11 4 2 3" xfId="469" xr:uid="{00000000-0005-0000-0000-0000A7010000}"/>
    <cellStyle name="Normal 11 4 2 3 2" xfId="470" xr:uid="{00000000-0005-0000-0000-0000A8010000}"/>
    <cellStyle name="Normal 11 4 2 3 3" xfId="471" xr:uid="{00000000-0005-0000-0000-0000A9010000}"/>
    <cellStyle name="Normal 11 4 2 3_13008" xfId="472" xr:uid="{00000000-0005-0000-0000-0000AA010000}"/>
    <cellStyle name="Normal 11 4 2 4" xfId="473" xr:uid="{00000000-0005-0000-0000-0000AB010000}"/>
    <cellStyle name="Normal 11 4 2 4 2" xfId="474" xr:uid="{00000000-0005-0000-0000-0000AC010000}"/>
    <cellStyle name="Normal 11 4 2 4 3" xfId="475" xr:uid="{00000000-0005-0000-0000-0000AD010000}"/>
    <cellStyle name="Normal 11 4 2 4_13008" xfId="476" xr:uid="{00000000-0005-0000-0000-0000AE010000}"/>
    <cellStyle name="Normal 11 4 2 5" xfId="477" xr:uid="{00000000-0005-0000-0000-0000AF010000}"/>
    <cellStyle name="Normal 11 4 2 5 2" xfId="478" xr:uid="{00000000-0005-0000-0000-0000B0010000}"/>
    <cellStyle name="Normal 11 4 2 5 3" xfId="479" xr:uid="{00000000-0005-0000-0000-0000B1010000}"/>
    <cellStyle name="Normal 11 4 2 5_13008" xfId="480" xr:uid="{00000000-0005-0000-0000-0000B2010000}"/>
    <cellStyle name="Normal 11 4 2 6" xfId="481" xr:uid="{00000000-0005-0000-0000-0000B3010000}"/>
    <cellStyle name="Normal 11 4 2 7" xfId="482" xr:uid="{00000000-0005-0000-0000-0000B4010000}"/>
    <cellStyle name="Normal 11 4 2_13008" xfId="483" xr:uid="{00000000-0005-0000-0000-0000B5010000}"/>
    <cellStyle name="Normal 11 4 3" xfId="484" xr:uid="{00000000-0005-0000-0000-0000B6010000}"/>
    <cellStyle name="Normal 11 4 3 10" xfId="485" xr:uid="{00000000-0005-0000-0000-0000B7010000}"/>
    <cellStyle name="Normal 11 4 3 10 2" xfId="486" xr:uid="{00000000-0005-0000-0000-0000B8010000}"/>
    <cellStyle name="Normal 11 4 3 10 3" xfId="487" xr:uid="{00000000-0005-0000-0000-0000B9010000}"/>
    <cellStyle name="Normal 11 4 3 10_13008" xfId="488" xr:uid="{00000000-0005-0000-0000-0000BA010000}"/>
    <cellStyle name="Normal 11 4 3 11" xfId="489" xr:uid="{00000000-0005-0000-0000-0000BB010000}"/>
    <cellStyle name="Normal 11 4 3 11 2" xfId="490" xr:uid="{00000000-0005-0000-0000-0000BC010000}"/>
    <cellStyle name="Normal 11 4 3 11 3" xfId="491" xr:uid="{00000000-0005-0000-0000-0000BD010000}"/>
    <cellStyle name="Normal 11 4 3 11_13008" xfId="492" xr:uid="{00000000-0005-0000-0000-0000BE010000}"/>
    <cellStyle name="Normal 11 4 3 12" xfId="493" xr:uid="{00000000-0005-0000-0000-0000BF010000}"/>
    <cellStyle name="Normal 11 4 3 13" xfId="494" xr:uid="{00000000-0005-0000-0000-0000C0010000}"/>
    <cellStyle name="Normal 11 4 3 14" xfId="495" xr:uid="{00000000-0005-0000-0000-0000C1010000}"/>
    <cellStyle name="Normal 11 4 3 15" xfId="496" xr:uid="{00000000-0005-0000-0000-0000C2010000}"/>
    <cellStyle name="Normal 11 4 3 2" xfId="497" xr:uid="{00000000-0005-0000-0000-0000C3010000}"/>
    <cellStyle name="Normal 11 4 3 2 2" xfId="498" xr:uid="{00000000-0005-0000-0000-0000C4010000}"/>
    <cellStyle name="Normal 11 4 3 2 2 2" xfId="499" xr:uid="{00000000-0005-0000-0000-0000C5010000}"/>
    <cellStyle name="Normal 11 4 3 2 2 3" xfId="500" xr:uid="{00000000-0005-0000-0000-0000C6010000}"/>
    <cellStyle name="Normal 11 4 3 2 2_13008" xfId="501" xr:uid="{00000000-0005-0000-0000-0000C7010000}"/>
    <cellStyle name="Normal 11 4 3 2 3" xfId="502" xr:uid="{00000000-0005-0000-0000-0000C8010000}"/>
    <cellStyle name="Normal 11 4 3 2 3 2" xfId="503" xr:uid="{00000000-0005-0000-0000-0000C9010000}"/>
    <cellStyle name="Normal 11 4 3 2 3 3" xfId="504" xr:uid="{00000000-0005-0000-0000-0000CA010000}"/>
    <cellStyle name="Normal 11 4 3 2 3_13008" xfId="505" xr:uid="{00000000-0005-0000-0000-0000CB010000}"/>
    <cellStyle name="Normal 11 4 3 2 4" xfId="506" xr:uid="{00000000-0005-0000-0000-0000CC010000}"/>
    <cellStyle name="Normal 11 4 3 2 5" xfId="507" xr:uid="{00000000-0005-0000-0000-0000CD010000}"/>
    <cellStyle name="Normal 11 4 3 2_13008" xfId="508" xr:uid="{00000000-0005-0000-0000-0000CE010000}"/>
    <cellStyle name="Normal 11 4 3 3" xfId="509" xr:uid="{00000000-0005-0000-0000-0000CF010000}"/>
    <cellStyle name="Normal 11 4 3 3 2" xfId="510" xr:uid="{00000000-0005-0000-0000-0000D0010000}"/>
    <cellStyle name="Normal 11 4 3 3 2 2" xfId="511" xr:uid="{00000000-0005-0000-0000-0000D1010000}"/>
    <cellStyle name="Normal 11 4 3 3 2 3" xfId="512" xr:uid="{00000000-0005-0000-0000-0000D2010000}"/>
    <cellStyle name="Normal 11 4 3 3 2_13008" xfId="513" xr:uid="{00000000-0005-0000-0000-0000D3010000}"/>
    <cellStyle name="Normal 11 4 3 3 3" xfId="514" xr:uid="{00000000-0005-0000-0000-0000D4010000}"/>
    <cellStyle name="Normal 11 4 3 3 3 2" xfId="515" xr:uid="{00000000-0005-0000-0000-0000D5010000}"/>
    <cellStyle name="Normal 11 4 3 3 3 3" xfId="516" xr:uid="{00000000-0005-0000-0000-0000D6010000}"/>
    <cellStyle name="Normal 11 4 3 3 3_13008" xfId="517" xr:uid="{00000000-0005-0000-0000-0000D7010000}"/>
    <cellStyle name="Normal 11 4 3 3 4" xfId="518" xr:uid="{00000000-0005-0000-0000-0000D8010000}"/>
    <cellStyle name="Normal 11 4 3 3 5" xfId="519" xr:uid="{00000000-0005-0000-0000-0000D9010000}"/>
    <cellStyle name="Normal 11 4 3 3_13008" xfId="520" xr:uid="{00000000-0005-0000-0000-0000DA010000}"/>
    <cellStyle name="Normal 11 4 3 4" xfId="521" xr:uid="{00000000-0005-0000-0000-0000DB010000}"/>
    <cellStyle name="Normal 11 4 3 4 2" xfId="522" xr:uid="{00000000-0005-0000-0000-0000DC010000}"/>
    <cellStyle name="Normal 11 4 3 4 3" xfId="523" xr:uid="{00000000-0005-0000-0000-0000DD010000}"/>
    <cellStyle name="Normal 11 4 3 4_13008" xfId="524" xr:uid="{00000000-0005-0000-0000-0000DE010000}"/>
    <cellStyle name="Normal 11 4 3 5" xfId="525" xr:uid="{00000000-0005-0000-0000-0000DF010000}"/>
    <cellStyle name="Normal 11 4 3 5 2" xfId="526" xr:uid="{00000000-0005-0000-0000-0000E0010000}"/>
    <cellStyle name="Normal 11 4 3 5 3" xfId="527" xr:uid="{00000000-0005-0000-0000-0000E1010000}"/>
    <cellStyle name="Normal 11 4 3 5_13008" xfId="528" xr:uid="{00000000-0005-0000-0000-0000E2010000}"/>
    <cellStyle name="Normal 11 4 3 6" xfId="529" xr:uid="{00000000-0005-0000-0000-0000E3010000}"/>
    <cellStyle name="Normal 11 4 3 6 2" xfId="530" xr:uid="{00000000-0005-0000-0000-0000E4010000}"/>
    <cellStyle name="Normal 11 4 3 6 3" xfId="531" xr:uid="{00000000-0005-0000-0000-0000E5010000}"/>
    <cellStyle name="Normal 11 4 3 6_13008" xfId="532" xr:uid="{00000000-0005-0000-0000-0000E6010000}"/>
    <cellStyle name="Normal 11 4 3 7" xfId="533" xr:uid="{00000000-0005-0000-0000-0000E7010000}"/>
    <cellStyle name="Normal 11 4 3 7 2" xfId="534" xr:uid="{00000000-0005-0000-0000-0000E8010000}"/>
    <cellStyle name="Normal 11 4 3 7 3" xfId="535" xr:uid="{00000000-0005-0000-0000-0000E9010000}"/>
    <cellStyle name="Normal 11 4 3 7_13008" xfId="536" xr:uid="{00000000-0005-0000-0000-0000EA010000}"/>
    <cellStyle name="Normal 11 4 3 8" xfId="537" xr:uid="{00000000-0005-0000-0000-0000EB010000}"/>
    <cellStyle name="Normal 11 4 3 8 2" xfId="538" xr:uid="{00000000-0005-0000-0000-0000EC010000}"/>
    <cellStyle name="Normal 11 4 3 8 3" xfId="539" xr:uid="{00000000-0005-0000-0000-0000ED010000}"/>
    <cellStyle name="Normal 11 4 3 8_13008" xfId="540" xr:uid="{00000000-0005-0000-0000-0000EE010000}"/>
    <cellStyle name="Normal 11 4 3 9" xfId="541" xr:uid="{00000000-0005-0000-0000-0000EF010000}"/>
    <cellStyle name="Normal 11 4 3 9 2" xfId="542" xr:uid="{00000000-0005-0000-0000-0000F0010000}"/>
    <cellStyle name="Normal 11 4 3 9 3" xfId="543" xr:uid="{00000000-0005-0000-0000-0000F1010000}"/>
    <cellStyle name="Normal 11 4 3 9_13008" xfId="544" xr:uid="{00000000-0005-0000-0000-0000F2010000}"/>
    <cellStyle name="Normal 11 4 3_13008" xfId="545" xr:uid="{00000000-0005-0000-0000-0000F3010000}"/>
    <cellStyle name="Normal 11 4 4" xfId="546" xr:uid="{00000000-0005-0000-0000-0000F4010000}"/>
    <cellStyle name="Normal 11 4 4 2" xfId="547" xr:uid="{00000000-0005-0000-0000-0000F5010000}"/>
    <cellStyle name="Normal 11 4 4 2 2" xfId="548" xr:uid="{00000000-0005-0000-0000-0000F6010000}"/>
    <cellStyle name="Normal 11 4 4 2 3" xfId="549" xr:uid="{00000000-0005-0000-0000-0000F7010000}"/>
    <cellStyle name="Normal 11 4 4 2_13008" xfId="550" xr:uid="{00000000-0005-0000-0000-0000F8010000}"/>
    <cellStyle name="Normal 11 4 4 3" xfId="551" xr:uid="{00000000-0005-0000-0000-0000F9010000}"/>
    <cellStyle name="Normal 11 4 4 3 2" xfId="552" xr:uid="{00000000-0005-0000-0000-0000FA010000}"/>
    <cellStyle name="Normal 11 4 4 3 3" xfId="553" xr:uid="{00000000-0005-0000-0000-0000FB010000}"/>
    <cellStyle name="Normal 11 4 4 3_13008" xfId="554" xr:uid="{00000000-0005-0000-0000-0000FC010000}"/>
    <cellStyle name="Normal 11 4 4 4" xfId="555" xr:uid="{00000000-0005-0000-0000-0000FD010000}"/>
    <cellStyle name="Normal 11 4 4 5" xfId="556" xr:uid="{00000000-0005-0000-0000-0000FE010000}"/>
    <cellStyle name="Normal 11 4 4_13008" xfId="557" xr:uid="{00000000-0005-0000-0000-0000FF010000}"/>
    <cellStyle name="Normal 11 4 5" xfId="558" xr:uid="{00000000-0005-0000-0000-000000020000}"/>
    <cellStyle name="Normal 11 4 5 2" xfId="559" xr:uid="{00000000-0005-0000-0000-000001020000}"/>
    <cellStyle name="Normal 11 4 5 3" xfId="560" xr:uid="{00000000-0005-0000-0000-000002020000}"/>
    <cellStyle name="Normal 11 4 5_13008" xfId="561" xr:uid="{00000000-0005-0000-0000-000003020000}"/>
    <cellStyle name="Normal 11 4 6" xfId="562" xr:uid="{00000000-0005-0000-0000-000004020000}"/>
    <cellStyle name="Normal 11 4 6 2" xfId="563" xr:uid="{00000000-0005-0000-0000-000005020000}"/>
    <cellStyle name="Normal 11 4 6 3" xfId="564" xr:uid="{00000000-0005-0000-0000-000006020000}"/>
    <cellStyle name="Normal 11 4 6_13008" xfId="565" xr:uid="{00000000-0005-0000-0000-000007020000}"/>
    <cellStyle name="Normal 11 4 7" xfId="566" xr:uid="{00000000-0005-0000-0000-000008020000}"/>
    <cellStyle name="Normal 11 4 7 2" xfId="567" xr:uid="{00000000-0005-0000-0000-000009020000}"/>
    <cellStyle name="Normal 11 4 7 3" xfId="568" xr:uid="{00000000-0005-0000-0000-00000A020000}"/>
    <cellStyle name="Normal 11 4 7_13008" xfId="569" xr:uid="{00000000-0005-0000-0000-00000B020000}"/>
    <cellStyle name="Normal 11 4 8" xfId="570" xr:uid="{00000000-0005-0000-0000-00000C020000}"/>
    <cellStyle name="Normal 11 4 9" xfId="571" xr:uid="{00000000-0005-0000-0000-00000D020000}"/>
    <cellStyle name="Normal 11 4_13008" xfId="572" xr:uid="{00000000-0005-0000-0000-00000E020000}"/>
    <cellStyle name="Normal 11 5" xfId="573" xr:uid="{00000000-0005-0000-0000-00000F020000}"/>
    <cellStyle name="Normal 11 5 10" xfId="574" xr:uid="{00000000-0005-0000-0000-000010020000}"/>
    <cellStyle name="Normal 11 5 10 2" xfId="575" xr:uid="{00000000-0005-0000-0000-000011020000}"/>
    <cellStyle name="Normal 11 5 10 3" xfId="576" xr:uid="{00000000-0005-0000-0000-000012020000}"/>
    <cellStyle name="Normal 11 5 10_13008" xfId="577" xr:uid="{00000000-0005-0000-0000-000013020000}"/>
    <cellStyle name="Normal 11 5 11" xfId="578" xr:uid="{00000000-0005-0000-0000-000014020000}"/>
    <cellStyle name="Normal 11 5 11 2" xfId="579" xr:uid="{00000000-0005-0000-0000-000015020000}"/>
    <cellStyle name="Normal 11 5 11 3" xfId="580" xr:uid="{00000000-0005-0000-0000-000016020000}"/>
    <cellStyle name="Normal 11 5 11_13008" xfId="581" xr:uid="{00000000-0005-0000-0000-000017020000}"/>
    <cellStyle name="Normal 11 5 12" xfId="582" xr:uid="{00000000-0005-0000-0000-000018020000}"/>
    <cellStyle name="Normal 11 5 13" xfId="583" xr:uid="{00000000-0005-0000-0000-000019020000}"/>
    <cellStyle name="Normal 11 5 14" xfId="1494" xr:uid="{00000000-0005-0000-0000-00001A020000}"/>
    <cellStyle name="Normal 11 5 19" xfId="584" xr:uid="{00000000-0005-0000-0000-00001B020000}"/>
    <cellStyle name="Normal 11 5 19 2" xfId="585" xr:uid="{00000000-0005-0000-0000-00001C020000}"/>
    <cellStyle name="Normal 11 5 19_13008" xfId="586" xr:uid="{00000000-0005-0000-0000-00001D020000}"/>
    <cellStyle name="Normal 11 5 2" xfId="587" xr:uid="{00000000-0005-0000-0000-00001E020000}"/>
    <cellStyle name="Normal 11 5 2 2" xfId="588" xr:uid="{00000000-0005-0000-0000-00001F020000}"/>
    <cellStyle name="Normal 11 5 2 2 2" xfId="589" xr:uid="{00000000-0005-0000-0000-000020020000}"/>
    <cellStyle name="Normal 11 5 2 2 2 2" xfId="590" xr:uid="{00000000-0005-0000-0000-000021020000}"/>
    <cellStyle name="Normal 11 5 2 2 2 3" xfId="591" xr:uid="{00000000-0005-0000-0000-000022020000}"/>
    <cellStyle name="Normal 11 5 2 2 2_13008" xfId="592" xr:uid="{00000000-0005-0000-0000-000023020000}"/>
    <cellStyle name="Normal 11 5 2 2 3" xfId="593" xr:uid="{00000000-0005-0000-0000-000024020000}"/>
    <cellStyle name="Normal 11 5 2 2 3 2" xfId="594" xr:uid="{00000000-0005-0000-0000-000025020000}"/>
    <cellStyle name="Normal 11 5 2 2 3 3" xfId="595" xr:uid="{00000000-0005-0000-0000-000026020000}"/>
    <cellStyle name="Normal 11 5 2 2 3_13008" xfId="596" xr:uid="{00000000-0005-0000-0000-000027020000}"/>
    <cellStyle name="Normal 11 5 2 2 4" xfId="597" xr:uid="{00000000-0005-0000-0000-000028020000}"/>
    <cellStyle name="Normal 11 5 2 2 5" xfId="598" xr:uid="{00000000-0005-0000-0000-000029020000}"/>
    <cellStyle name="Normal 11 5 2 2_13008" xfId="599" xr:uid="{00000000-0005-0000-0000-00002A020000}"/>
    <cellStyle name="Normal 11 5 2 3" xfId="600" xr:uid="{00000000-0005-0000-0000-00002B020000}"/>
    <cellStyle name="Normal 11 5 2 3 2" xfId="601" xr:uid="{00000000-0005-0000-0000-00002C020000}"/>
    <cellStyle name="Normal 11 5 2 3 3" xfId="602" xr:uid="{00000000-0005-0000-0000-00002D020000}"/>
    <cellStyle name="Normal 11 5 2 3_13008" xfId="603" xr:uid="{00000000-0005-0000-0000-00002E020000}"/>
    <cellStyle name="Normal 11 5 2 4" xfId="604" xr:uid="{00000000-0005-0000-0000-00002F020000}"/>
    <cellStyle name="Normal 11 5 2 4 2" xfId="605" xr:uid="{00000000-0005-0000-0000-000030020000}"/>
    <cellStyle name="Normal 11 5 2 4 3" xfId="606" xr:uid="{00000000-0005-0000-0000-000031020000}"/>
    <cellStyle name="Normal 11 5 2 4_13008" xfId="607" xr:uid="{00000000-0005-0000-0000-000032020000}"/>
    <cellStyle name="Normal 11 5 2 5" xfId="608" xr:uid="{00000000-0005-0000-0000-000033020000}"/>
    <cellStyle name="Normal 11 5 2 5 2" xfId="609" xr:uid="{00000000-0005-0000-0000-000034020000}"/>
    <cellStyle name="Normal 11 5 2 5 3" xfId="610" xr:uid="{00000000-0005-0000-0000-000035020000}"/>
    <cellStyle name="Normal 11 5 2 5_13008" xfId="611" xr:uid="{00000000-0005-0000-0000-000036020000}"/>
    <cellStyle name="Normal 11 5 2 6" xfId="612" xr:uid="{00000000-0005-0000-0000-000037020000}"/>
    <cellStyle name="Normal 11 5 2 7" xfId="613" xr:uid="{00000000-0005-0000-0000-000038020000}"/>
    <cellStyle name="Normal 11 5 2_13008" xfId="614" xr:uid="{00000000-0005-0000-0000-000039020000}"/>
    <cellStyle name="Normal 11 5 3" xfId="615" xr:uid="{00000000-0005-0000-0000-00003A020000}"/>
    <cellStyle name="Normal 11 5 3 2" xfId="616" xr:uid="{00000000-0005-0000-0000-00003B020000}"/>
    <cellStyle name="Normal 11 5 3 2 2" xfId="617" xr:uid="{00000000-0005-0000-0000-00003C020000}"/>
    <cellStyle name="Normal 11 5 3 2 3" xfId="618" xr:uid="{00000000-0005-0000-0000-00003D020000}"/>
    <cellStyle name="Normal 11 5 3 2_13008" xfId="619" xr:uid="{00000000-0005-0000-0000-00003E020000}"/>
    <cellStyle name="Normal 11 5 3 3" xfId="620" xr:uid="{00000000-0005-0000-0000-00003F020000}"/>
    <cellStyle name="Normal 11 5 3 3 2" xfId="621" xr:uid="{00000000-0005-0000-0000-000040020000}"/>
    <cellStyle name="Normal 11 5 3 3 3" xfId="622" xr:uid="{00000000-0005-0000-0000-000041020000}"/>
    <cellStyle name="Normal 11 5 3 3_13008" xfId="623" xr:uid="{00000000-0005-0000-0000-000042020000}"/>
    <cellStyle name="Normal 11 5 3 4" xfId="624" xr:uid="{00000000-0005-0000-0000-000043020000}"/>
    <cellStyle name="Normal 11 5 3 5" xfId="625" xr:uid="{00000000-0005-0000-0000-000044020000}"/>
    <cellStyle name="Normal 11 5 3_13008" xfId="626" xr:uid="{00000000-0005-0000-0000-000045020000}"/>
    <cellStyle name="Normal 11 5 4" xfId="627" xr:uid="{00000000-0005-0000-0000-000046020000}"/>
    <cellStyle name="Normal 11 5 4 2" xfId="628" xr:uid="{00000000-0005-0000-0000-000047020000}"/>
    <cellStyle name="Normal 11 5 4 3" xfId="629" xr:uid="{00000000-0005-0000-0000-000048020000}"/>
    <cellStyle name="Normal 11 5 4_13008" xfId="630" xr:uid="{00000000-0005-0000-0000-000049020000}"/>
    <cellStyle name="Normal 11 5 5" xfId="631" xr:uid="{00000000-0005-0000-0000-00004A020000}"/>
    <cellStyle name="Normal 11 5 5 2" xfId="632" xr:uid="{00000000-0005-0000-0000-00004B020000}"/>
    <cellStyle name="Normal 11 5 5 3" xfId="633" xr:uid="{00000000-0005-0000-0000-00004C020000}"/>
    <cellStyle name="Normal 11 5 5_13008" xfId="634" xr:uid="{00000000-0005-0000-0000-00004D020000}"/>
    <cellStyle name="Normal 11 5 6" xfId="635" xr:uid="{00000000-0005-0000-0000-00004E020000}"/>
    <cellStyle name="Normal 11 5 6 2" xfId="636" xr:uid="{00000000-0005-0000-0000-00004F020000}"/>
    <cellStyle name="Normal 11 5 6 3" xfId="637" xr:uid="{00000000-0005-0000-0000-000050020000}"/>
    <cellStyle name="Normal 11 5 6_13008" xfId="638" xr:uid="{00000000-0005-0000-0000-000051020000}"/>
    <cellStyle name="Normal 11 5 7" xfId="639" xr:uid="{00000000-0005-0000-0000-000052020000}"/>
    <cellStyle name="Normal 11 5 7 2" xfId="640" xr:uid="{00000000-0005-0000-0000-000053020000}"/>
    <cellStyle name="Normal 11 5 7 3" xfId="641" xr:uid="{00000000-0005-0000-0000-000054020000}"/>
    <cellStyle name="Normal 11 5 7_13008" xfId="642" xr:uid="{00000000-0005-0000-0000-000055020000}"/>
    <cellStyle name="Normal 11 5 8" xfId="643" xr:uid="{00000000-0005-0000-0000-000056020000}"/>
    <cellStyle name="Normal 11 5 8 2" xfId="644" xr:uid="{00000000-0005-0000-0000-000057020000}"/>
    <cellStyle name="Normal 11 5 8 3" xfId="645" xr:uid="{00000000-0005-0000-0000-000058020000}"/>
    <cellStyle name="Normal 11 5 8_13008" xfId="646" xr:uid="{00000000-0005-0000-0000-000059020000}"/>
    <cellStyle name="Normal 11 5 9" xfId="647" xr:uid="{00000000-0005-0000-0000-00005A020000}"/>
    <cellStyle name="Normal 11 5 9 2" xfId="648" xr:uid="{00000000-0005-0000-0000-00005B020000}"/>
    <cellStyle name="Normal 11 5 9 3" xfId="649" xr:uid="{00000000-0005-0000-0000-00005C020000}"/>
    <cellStyle name="Normal 11 5 9_13008" xfId="650" xr:uid="{00000000-0005-0000-0000-00005D020000}"/>
    <cellStyle name="Normal 11 5_13008" xfId="651" xr:uid="{00000000-0005-0000-0000-00005E020000}"/>
    <cellStyle name="Normal 11 6" xfId="652" xr:uid="{00000000-0005-0000-0000-00005F020000}"/>
    <cellStyle name="Normal 11 6 2" xfId="653" xr:uid="{00000000-0005-0000-0000-000060020000}"/>
    <cellStyle name="Normal 11 6 2 2" xfId="654" xr:uid="{00000000-0005-0000-0000-000061020000}"/>
    <cellStyle name="Normal 11 6 2 3" xfId="655" xr:uid="{00000000-0005-0000-0000-000062020000}"/>
    <cellStyle name="Normal 11 6 2_13008" xfId="656" xr:uid="{00000000-0005-0000-0000-000063020000}"/>
    <cellStyle name="Normal 11 6 3" xfId="657" xr:uid="{00000000-0005-0000-0000-000064020000}"/>
    <cellStyle name="Normal 11 6 3 2" xfId="658" xr:uid="{00000000-0005-0000-0000-000065020000}"/>
    <cellStyle name="Normal 11 6 3 3" xfId="659" xr:uid="{00000000-0005-0000-0000-000066020000}"/>
    <cellStyle name="Normal 11 6 3_13008" xfId="660" xr:uid="{00000000-0005-0000-0000-000067020000}"/>
    <cellStyle name="Normal 11 6 4" xfId="661" xr:uid="{00000000-0005-0000-0000-000068020000}"/>
    <cellStyle name="Normal 11 6 5" xfId="662" xr:uid="{00000000-0005-0000-0000-000069020000}"/>
    <cellStyle name="Normal 11 6_13008" xfId="663" xr:uid="{00000000-0005-0000-0000-00006A020000}"/>
    <cellStyle name="Normal 11 7" xfId="664" xr:uid="{00000000-0005-0000-0000-00006B020000}"/>
    <cellStyle name="Normal 11 7 2" xfId="665" xr:uid="{00000000-0005-0000-0000-00006C020000}"/>
    <cellStyle name="Normal 11 7 3" xfId="666" xr:uid="{00000000-0005-0000-0000-00006D020000}"/>
    <cellStyle name="Normal 11 7_13008" xfId="667" xr:uid="{00000000-0005-0000-0000-00006E020000}"/>
    <cellStyle name="Normal 11 8" xfId="668" xr:uid="{00000000-0005-0000-0000-00006F020000}"/>
    <cellStyle name="Normal 11 8 2" xfId="669" xr:uid="{00000000-0005-0000-0000-000070020000}"/>
    <cellStyle name="Normal 11 8 3" xfId="670" xr:uid="{00000000-0005-0000-0000-000071020000}"/>
    <cellStyle name="Normal 11 8_13008" xfId="671" xr:uid="{00000000-0005-0000-0000-000072020000}"/>
    <cellStyle name="Normal 11 9" xfId="672" xr:uid="{00000000-0005-0000-0000-000073020000}"/>
    <cellStyle name="Normal 11 9 2" xfId="673" xr:uid="{00000000-0005-0000-0000-000074020000}"/>
    <cellStyle name="Normal 11 9 3" xfId="674" xr:uid="{00000000-0005-0000-0000-000075020000}"/>
    <cellStyle name="Normal 11 9_13008" xfId="675" xr:uid="{00000000-0005-0000-0000-000076020000}"/>
    <cellStyle name="Normal 11_13008" xfId="676" xr:uid="{00000000-0005-0000-0000-000077020000}"/>
    <cellStyle name="Normal 12" xfId="87" xr:uid="{00000000-0005-0000-0000-000078020000}"/>
    <cellStyle name="Normal 12 2" xfId="677" xr:uid="{00000000-0005-0000-0000-000079020000}"/>
    <cellStyle name="Normal 12 2 2" xfId="678" xr:uid="{00000000-0005-0000-0000-00007A020000}"/>
    <cellStyle name="Normal 12 2 3" xfId="679" xr:uid="{00000000-0005-0000-0000-00007B020000}"/>
    <cellStyle name="Normal 12 2_13008" xfId="680" xr:uid="{00000000-0005-0000-0000-00007C020000}"/>
    <cellStyle name="Normal 12 3" xfId="681" xr:uid="{00000000-0005-0000-0000-00007D020000}"/>
    <cellStyle name="Normal 12 3 2" xfId="682" xr:uid="{00000000-0005-0000-0000-00007E020000}"/>
    <cellStyle name="Normal 12 3 3" xfId="683" xr:uid="{00000000-0005-0000-0000-00007F020000}"/>
    <cellStyle name="Normal 12 3_13008" xfId="684" xr:uid="{00000000-0005-0000-0000-000080020000}"/>
    <cellStyle name="Normal 12 4" xfId="685" xr:uid="{00000000-0005-0000-0000-000081020000}"/>
    <cellStyle name="Normal 12 4 2" xfId="686" xr:uid="{00000000-0005-0000-0000-000082020000}"/>
    <cellStyle name="Normal 12 4 3" xfId="687" xr:uid="{00000000-0005-0000-0000-000083020000}"/>
    <cellStyle name="Normal 12 4_13008" xfId="688" xr:uid="{00000000-0005-0000-0000-000084020000}"/>
    <cellStyle name="Normal 12 5" xfId="689" xr:uid="{00000000-0005-0000-0000-000085020000}"/>
    <cellStyle name="Normal 12 5 2" xfId="690" xr:uid="{00000000-0005-0000-0000-000086020000}"/>
    <cellStyle name="Normal 12 5 3" xfId="691" xr:uid="{00000000-0005-0000-0000-000087020000}"/>
    <cellStyle name="Normal 12 5_13008" xfId="692" xr:uid="{00000000-0005-0000-0000-000088020000}"/>
    <cellStyle name="Normal 12 6" xfId="693" xr:uid="{00000000-0005-0000-0000-000089020000}"/>
    <cellStyle name="Normal 12 6 2" xfId="694" xr:uid="{00000000-0005-0000-0000-00008A020000}"/>
    <cellStyle name="Normal 12 6 3" xfId="695" xr:uid="{00000000-0005-0000-0000-00008B020000}"/>
    <cellStyle name="Normal 12 6_13008" xfId="696" xr:uid="{00000000-0005-0000-0000-00008C020000}"/>
    <cellStyle name="Normal 12 7" xfId="697" xr:uid="{00000000-0005-0000-0000-00008D020000}"/>
    <cellStyle name="Normal 12 7 2" xfId="698" xr:uid="{00000000-0005-0000-0000-00008E020000}"/>
    <cellStyle name="Normal 12 7_13008" xfId="699" xr:uid="{00000000-0005-0000-0000-00008F020000}"/>
    <cellStyle name="Normal 12 8" xfId="700" xr:uid="{00000000-0005-0000-0000-000090020000}"/>
    <cellStyle name="Normal 12 9" xfId="1485" xr:uid="{00000000-0005-0000-0000-000091020000}"/>
    <cellStyle name="Normal 13" xfId="88" xr:uid="{00000000-0005-0000-0000-000092020000}"/>
    <cellStyle name="Normal 13 2" xfId="701" xr:uid="{00000000-0005-0000-0000-000093020000}"/>
    <cellStyle name="Normal 13 2 2" xfId="702" xr:uid="{00000000-0005-0000-0000-000094020000}"/>
    <cellStyle name="Normal 13 2 2 2" xfId="703" xr:uid="{00000000-0005-0000-0000-000095020000}"/>
    <cellStyle name="Normal 13 2 2 3" xfId="704" xr:uid="{00000000-0005-0000-0000-000096020000}"/>
    <cellStyle name="Normal 13 2 2_13008" xfId="705" xr:uid="{00000000-0005-0000-0000-000097020000}"/>
    <cellStyle name="Normal 13 2 3" xfId="706" xr:uid="{00000000-0005-0000-0000-000098020000}"/>
    <cellStyle name="Normal 13 2 3 2" xfId="707" xr:uid="{00000000-0005-0000-0000-000099020000}"/>
    <cellStyle name="Normal 13 2 3 3" xfId="708" xr:uid="{00000000-0005-0000-0000-00009A020000}"/>
    <cellStyle name="Normal 13 2 3_13008" xfId="709" xr:uid="{00000000-0005-0000-0000-00009B020000}"/>
    <cellStyle name="Normal 13 2 4" xfId="710" xr:uid="{00000000-0005-0000-0000-00009C020000}"/>
    <cellStyle name="Normal 13 2 5" xfId="711" xr:uid="{00000000-0005-0000-0000-00009D020000}"/>
    <cellStyle name="Normal 13 2_13008" xfId="712" xr:uid="{00000000-0005-0000-0000-00009E020000}"/>
    <cellStyle name="Normal 13 3" xfId="713" xr:uid="{00000000-0005-0000-0000-00009F020000}"/>
    <cellStyle name="Normal 13 3 2" xfId="714" xr:uid="{00000000-0005-0000-0000-0000A0020000}"/>
    <cellStyle name="Normal 13 3 3" xfId="715" xr:uid="{00000000-0005-0000-0000-0000A1020000}"/>
    <cellStyle name="Normal 13 3_13008" xfId="716" xr:uid="{00000000-0005-0000-0000-0000A2020000}"/>
    <cellStyle name="Normal 13 4" xfId="717" xr:uid="{00000000-0005-0000-0000-0000A3020000}"/>
    <cellStyle name="Normal 13 4 2" xfId="718" xr:uid="{00000000-0005-0000-0000-0000A4020000}"/>
    <cellStyle name="Normal 13 4 3" xfId="719" xr:uid="{00000000-0005-0000-0000-0000A5020000}"/>
    <cellStyle name="Normal 13 4_13008" xfId="720" xr:uid="{00000000-0005-0000-0000-0000A6020000}"/>
    <cellStyle name="Normal 13 5" xfId="721" xr:uid="{00000000-0005-0000-0000-0000A7020000}"/>
    <cellStyle name="Normal 13 5 2" xfId="722" xr:uid="{00000000-0005-0000-0000-0000A8020000}"/>
    <cellStyle name="Normal 13 5 3" xfId="723" xr:uid="{00000000-0005-0000-0000-0000A9020000}"/>
    <cellStyle name="Normal 13 5_13008" xfId="724" xr:uid="{00000000-0005-0000-0000-0000AA020000}"/>
    <cellStyle name="Normal 13 6" xfId="725" xr:uid="{00000000-0005-0000-0000-0000AB020000}"/>
    <cellStyle name="Normal 13 6 2" xfId="726" xr:uid="{00000000-0005-0000-0000-0000AC020000}"/>
    <cellStyle name="Normal 13 6 3" xfId="727" xr:uid="{00000000-0005-0000-0000-0000AD020000}"/>
    <cellStyle name="Normal 13 6_13008" xfId="728" xr:uid="{00000000-0005-0000-0000-0000AE020000}"/>
    <cellStyle name="Normal 13 7" xfId="729" xr:uid="{00000000-0005-0000-0000-0000AF020000}"/>
    <cellStyle name="Normal 13 7 2" xfId="730" xr:uid="{00000000-0005-0000-0000-0000B0020000}"/>
    <cellStyle name="Normal 13 7_13008" xfId="731" xr:uid="{00000000-0005-0000-0000-0000B1020000}"/>
    <cellStyle name="Normal 13 8" xfId="732" xr:uid="{00000000-0005-0000-0000-0000B2020000}"/>
    <cellStyle name="Normal 13 9" xfId="733" xr:uid="{00000000-0005-0000-0000-0000B3020000}"/>
    <cellStyle name="Normal 13_13008" xfId="734" xr:uid="{00000000-0005-0000-0000-0000B4020000}"/>
    <cellStyle name="Normal 14" xfId="89" xr:uid="{00000000-0005-0000-0000-0000B5020000}"/>
    <cellStyle name="Normal 14 2" xfId="735" xr:uid="{00000000-0005-0000-0000-0000B6020000}"/>
    <cellStyle name="Normal 14 2 2" xfId="736" xr:uid="{00000000-0005-0000-0000-0000B7020000}"/>
    <cellStyle name="Normal 14 2 2 2" xfId="737" xr:uid="{00000000-0005-0000-0000-0000B8020000}"/>
    <cellStyle name="Normal 14 2 2 3" xfId="738" xr:uid="{00000000-0005-0000-0000-0000B9020000}"/>
    <cellStyle name="Normal 14 2 2_13008" xfId="739" xr:uid="{00000000-0005-0000-0000-0000BA020000}"/>
    <cellStyle name="Normal 14 2 3" xfId="740" xr:uid="{00000000-0005-0000-0000-0000BB020000}"/>
    <cellStyle name="Normal 14 2 3 2" xfId="741" xr:uid="{00000000-0005-0000-0000-0000BC020000}"/>
    <cellStyle name="Normal 14 2 3 3" xfId="742" xr:uid="{00000000-0005-0000-0000-0000BD020000}"/>
    <cellStyle name="Normal 14 2 3_13008" xfId="743" xr:uid="{00000000-0005-0000-0000-0000BE020000}"/>
    <cellStyle name="Normal 14 2 4" xfId="744" xr:uid="{00000000-0005-0000-0000-0000BF020000}"/>
    <cellStyle name="Normal 14 2 5" xfId="745" xr:uid="{00000000-0005-0000-0000-0000C0020000}"/>
    <cellStyle name="Normal 14 2_13008" xfId="746" xr:uid="{00000000-0005-0000-0000-0000C1020000}"/>
    <cellStyle name="Normal 14 3" xfId="747" xr:uid="{00000000-0005-0000-0000-0000C2020000}"/>
    <cellStyle name="Normal 14 3 2" xfId="748" xr:uid="{00000000-0005-0000-0000-0000C3020000}"/>
    <cellStyle name="Normal 14 3 3" xfId="749" xr:uid="{00000000-0005-0000-0000-0000C4020000}"/>
    <cellStyle name="Normal 14 3_13008" xfId="750" xr:uid="{00000000-0005-0000-0000-0000C5020000}"/>
    <cellStyle name="Normal 14 4" xfId="751" xr:uid="{00000000-0005-0000-0000-0000C6020000}"/>
    <cellStyle name="Normal 14 4 2" xfId="752" xr:uid="{00000000-0005-0000-0000-0000C7020000}"/>
    <cellStyle name="Normal 14 4 3" xfId="753" xr:uid="{00000000-0005-0000-0000-0000C8020000}"/>
    <cellStyle name="Normal 14 4_13008" xfId="754" xr:uid="{00000000-0005-0000-0000-0000C9020000}"/>
    <cellStyle name="Normal 14 5" xfId="755" xr:uid="{00000000-0005-0000-0000-0000CA020000}"/>
    <cellStyle name="Normal 14 5 2" xfId="756" xr:uid="{00000000-0005-0000-0000-0000CB020000}"/>
    <cellStyle name="Normal 14 5 3" xfId="757" xr:uid="{00000000-0005-0000-0000-0000CC020000}"/>
    <cellStyle name="Normal 14 5_13008" xfId="758" xr:uid="{00000000-0005-0000-0000-0000CD020000}"/>
    <cellStyle name="Normal 14 6" xfId="759" xr:uid="{00000000-0005-0000-0000-0000CE020000}"/>
    <cellStyle name="Normal 14 6 2" xfId="760" xr:uid="{00000000-0005-0000-0000-0000CF020000}"/>
    <cellStyle name="Normal 14 6 3" xfId="761" xr:uid="{00000000-0005-0000-0000-0000D0020000}"/>
    <cellStyle name="Normal 14 6_13008" xfId="762" xr:uid="{00000000-0005-0000-0000-0000D1020000}"/>
    <cellStyle name="Normal 14 7" xfId="763" xr:uid="{00000000-0005-0000-0000-0000D2020000}"/>
    <cellStyle name="Normal 14 8" xfId="764" xr:uid="{00000000-0005-0000-0000-0000D3020000}"/>
    <cellStyle name="Normal 14 9" xfId="765" xr:uid="{00000000-0005-0000-0000-0000D4020000}"/>
    <cellStyle name="Normal 14_13008" xfId="766" xr:uid="{00000000-0005-0000-0000-0000D5020000}"/>
    <cellStyle name="Normal 15" xfId="90" xr:uid="{00000000-0005-0000-0000-0000D6020000}"/>
    <cellStyle name="Normal 15 2" xfId="768" xr:uid="{00000000-0005-0000-0000-0000D7020000}"/>
    <cellStyle name="Normal 15 2 2" xfId="769" xr:uid="{00000000-0005-0000-0000-0000D8020000}"/>
    <cellStyle name="Normal 15 2 2 2" xfId="770" xr:uid="{00000000-0005-0000-0000-0000D9020000}"/>
    <cellStyle name="Normal 15 2 2 3" xfId="771" xr:uid="{00000000-0005-0000-0000-0000DA020000}"/>
    <cellStyle name="Normal 15 2 2_13008" xfId="772" xr:uid="{00000000-0005-0000-0000-0000DB020000}"/>
    <cellStyle name="Normal 15 2 3" xfId="773" xr:uid="{00000000-0005-0000-0000-0000DC020000}"/>
    <cellStyle name="Normal 15 2 4" xfId="774" xr:uid="{00000000-0005-0000-0000-0000DD020000}"/>
    <cellStyle name="Normal 15 2_13008" xfId="775" xr:uid="{00000000-0005-0000-0000-0000DE020000}"/>
    <cellStyle name="Normal 15 3" xfId="776" xr:uid="{00000000-0005-0000-0000-0000DF020000}"/>
    <cellStyle name="Normal 15 4" xfId="777" xr:uid="{00000000-0005-0000-0000-0000E0020000}"/>
    <cellStyle name="Normal 15 4 2" xfId="778" xr:uid="{00000000-0005-0000-0000-0000E1020000}"/>
    <cellStyle name="Normal 15 4 3" xfId="779" xr:uid="{00000000-0005-0000-0000-0000E2020000}"/>
    <cellStyle name="Normal 15 4_13008" xfId="780" xr:uid="{00000000-0005-0000-0000-0000E3020000}"/>
    <cellStyle name="Normal 15 5" xfId="781" xr:uid="{00000000-0005-0000-0000-0000E4020000}"/>
    <cellStyle name="Normal 15 5 2" xfId="782" xr:uid="{00000000-0005-0000-0000-0000E5020000}"/>
    <cellStyle name="Normal 15 5 3" xfId="783" xr:uid="{00000000-0005-0000-0000-0000E6020000}"/>
    <cellStyle name="Normal 15 5_13008" xfId="784" xr:uid="{00000000-0005-0000-0000-0000E7020000}"/>
    <cellStyle name="Normal 15 6" xfId="785" xr:uid="{00000000-0005-0000-0000-0000E8020000}"/>
    <cellStyle name="Normal 15 6 2" xfId="786" xr:uid="{00000000-0005-0000-0000-0000E9020000}"/>
    <cellStyle name="Normal 15 6 3" xfId="787" xr:uid="{00000000-0005-0000-0000-0000EA020000}"/>
    <cellStyle name="Normal 15 6_13008" xfId="788" xr:uid="{00000000-0005-0000-0000-0000EB020000}"/>
    <cellStyle name="Normal 15 7" xfId="789" xr:uid="{00000000-0005-0000-0000-0000EC020000}"/>
    <cellStyle name="Normal 15 7 2" xfId="790" xr:uid="{00000000-0005-0000-0000-0000ED020000}"/>
    <cellStyle name="Normal 15 7_13008" xfId="791" xr:uid="{00000000-0005-0000-0000-0000EE020000}"/>
    <cellStyle name="Normal 15 8" xfId="792" xr:uid="{00000000-0005-0000-0000-0000EF020000}"/>
    <cellStyle name="Normal 15 9" xfId="793" xr:uid="{00000000-0005-0000-0000-0000F0020000}"/>
    <cellStyle name="Normal 15_13008" xfId="794" xr:uid="{00000000-0005-0000-0000-0000F1020000}"/>
    <cellStyle name="Normal 16" xfId="91" xr:uid="{00000000-0005-0000-0000-0000F2020000}"/>
    <cellStyle name="Normal 16 2" xfId="795" xr:uid="{00000000-0005-0000-0000-0000F3020000}"/>
    <cellStyle name="Normal 16 3" xfId="796" xr:uid="{00000000-0005-0000-0000-0000F4020000}"/>
    <cellStyle name="Normal 16 4" xfId="797" xr:uid="{00000000-0005-0000-0000-0000F5020000}"/>
    <cellStyle name="Normal 16 5" xfId="798" xr:uid="{00000000-0005-0000-0000-0000F6020000}"/>
    <cellStyle name="Normal 17" xfId="92" xr:uid="{00000000-0005-0000-0000-0000F7020000}"/>
    <cellStyle name="Normal 17 2" xfId="799" xr:uid="{00000000-0005-0000-0000-0000F8020000}"/>
    <cellStyle name="Normal 17 3" xfId="800" xr:uid="{00000000-0005-0000-0000-0000F9020000}"/>
    <cellStyle name="Normal 17 4" xfId="801" xr:uid="{00000000-0005-0000-0000-0000FA020000}"/>
    <cellStyle name="Normal 18" xfId="93" xr:uid="{00000000-0005-0000-0000-0000FB020000}"/>
    <cellStyle name="Normal 18 2" xfId="802" xr:uid="{00000000-0005-0000-0000-0000FC020000}"/>
    <cellStyle name="Normal 18 3" xfId="1495" xr:uid="{00000000-0005-0000-0000-0000FD020000}"/>
    <cellStyle name="Normal 19" xfId="94" xr:uid="{00000000-0005-0000-0000-0000FE020000}"/>
    <cellStyle name="Normal 19 2" xfId="803" xr:uid="{00000000-0005-0000-0000-0000FF020000}"/>
    <cellStyle name="Normal 2" xfId="95" xr:uid="{00000000-0005-0000-0000-000000030000}"/>
    <cellStyle name="Normal 2 10" xfId="804" xr:uid="{00000000-0005-0000-0000-000001030000}"/>
    <cellStyle name="Normal 2 10 2" xfId="1493" xr:uid="{00000000-0005-0000-0000-000002030000}"/>
    <cellStyle name="Normal 2 11" xfId="805" xr:uid="{00000000-0005-0000-0000-000003030000}"/>
    <cellStyle name="Normal 2 11 2" xfId="806" xr:uid="{00000000-0005-0000-0000-000004030000}"/>
    <cellStyle name="Normal 2 11 3" xfId="807" xr:uid="{00000000-0005-0000-0000-000005030000}"/>
    <cellStyle name="Normal 2 11_13008" xfId="808" xr:uid="{00000000-0005-0000-0000-000006030000}"/>
    <cellStyle name="Normal 2 12" xfId="809" xr:uid="{00000000-0005-0000-0000-000007030000}"/>
    <cellStyle name="Normal 2 12 2" xfId="810" xr:uid="{00000000-0005-0000-0000-000008030000}"/>
    <cellStyle name="Normal 2 12 3" xfId="811" xr:uid="{00000000-0005-0000-0000-000009030000}"/>
    <cellStyle name="Normal 2 12_13008" xfId="812" xr:uid="{00000000-0005-0000-0000-00000A030000}"/>
    <cellStyle name="Normal 2 13" xfId="813" xr:uid="{00000000-0005-0000-0000-00000B030000}"/>
    <cellStyle name="Normal 2 13 2" xfId="814" xr:uid="{00000000-0005-0000-0000-00000C030000}"/>
    <cellStyle name="Normal 2 13 3" xfId="815" xr:uid="{00000000-0005-0000-0000-00000D030000}"/>
    <cellStyle name="Normal 2 13_13008" xfId="816" xr:uid="{00000000-0005-0000-0000-00000E030000}"/>
    <cellStyle name="Normal 2 14" xfId="817" xr:uid="{00000000-0005-0000-0000-00000F030000}"/>
    <cellStyle name="Normal 2 14 2" xfId="1490" xr:uid="{00000000-0005-0000-0000-000010030000}"/>
    <cellStyle name="Normal 2 15" xfId="818" xr:uid="{00000000-0005-0000-0000-000011030000}"/>
    <cellStyle name="Normal 2 15 2" xfId="819" xr:uid="{00000000-0005-0000-0000-000012030000}"/>
    <cellStyle name="Normal 2 15 3" xfId="820" xr:uid="{00000000-0005-0000-0000-000013030000}"/>
    <cellStyle name="Normal 2 15_13008" xfId="821" xr:uid="{00000000-0005-0000-0000-000014030000}"/>
    <cellStyle name="Normal 2 16" xfId="822" xr:uid="{00000000-0005-0000-0000-000015030000}"/>
    <cellStyle name="Normal 2 16 2" xfId="823" xr:uid="{00000000-0005-0000-0000-000016030000}"/>
    <cellStyle name="Normal 2 16 3" xfId="824" xr:uid="{00000000-0005-0000-0000-000017030000}"/>
    <cellStyle name="Normal 2 16_13008" xfId="825" xr:uid="{00000000-0005-0000-0000-000018030000}"/>
    <cellStyle name="Normal 2 17" xfId="826" xr:uid="{00000000-0005-0000-0000-000019030000}"/>
    <cellStyle name="Normal 2 17 2" xfId="827" xr:uid="{00000000-0005-0000-0000-00001A030000}"/>
    <cellStyle name="Normal 2 17 3" xfId="828" xr:uid="{00000000-0005-0000-0000-00001B030000}"/>
    <cellStyle name="Normal 2 17_13008" xfId="829" xr:uid="{00000000-0005-0000-0000-00001C030000}"/>
    <cellStyle name="Normal 2 18" xfId="830" xr:uid="{00000000-0005-0000-0000-00001D030000}"/>
    <cellStyle name="Normal 2 18 2" xfId="831" xr:uid="{00000000-0005-0000-0000-00001E030000}"/>
    <cellStyle name="Normal 2 18 3" xfId="832" xr:uid="{00000000-0005-0000-0000-00001F030000}"/>
    <cellStyle name="Normal 2 18_13008" xfId="833" xr:uid="{00000000-0005-0000-0000-000020030000}"/>
    <cellStyle name="Normal 2 19" xfId="834" xr:uid="{00000000-0005-0000-0000-000021030000}"/>
    <cellStyle name="Normal 2 2" xfId="96" xr:uid="{00000000-0005-0000-0000-000022030000}"/>
    <cellStyle name="Normal 2 2 2" xfId="97" xr:uid="{00000000-0005-0000-0000-000023030000}"/>
    <cellStyle name="Normal 2 2 2 2" xfId="835" xr:uid="{00000000-0005-0000-0000-000024030000}"/>
    <cellStyle name="Normal 2 2 2 2 2" xfId="836" xr:uid="{00000000-0005-0000-0000-000025030000}"/>
    <cellStyle name="Normal 2 2 2 2 2 2" xfId="837" xr:uid="{00000000-0005-0000-0000-000026030000}"/>
    <cellStyle name="Normal 2 2 2 2 2 2 2" xfId="838" xr:uid="{00000000-0005-0000-0000-000027030000}"/>
    <cellStyle name="Normal 2 2 2 2 2 2 3" xfId="839" xr:uid="{00000000-0005-0000-0000-000028030000}"/>
    <cellStyle name="Normal 2 2 2 2 2 2_13008" xfId="840" xr:uid="{00000000-0005-0000-0000-000029030000}"/>
    <cellStyle name="Normal 2 2 2 2 2 3" xfId="841" xr:uid="{00000000-0005-0000-0000-00002A030000}"/>
    <cellStyle name="Normal 2 2 2 2 2 3 2" xfId="842" xr:uid="{00000000-0005-0000-0000-00002B030000}"/>
    <cellStyle name="Normal 2 2 2 2 2 3 3" xfId="843" xr:uid="{00000000-0005-0000-0000-00002C030000}"/>
    <cellStyle name="Normal 2 2 2 2 2 3_13008" xfId="844" xr:uid="{00000000-0005-0000-0000-00002D030000}"/>
    <cellStyle name="Normal 2 2 2 2 2 4" xfId="845" xr:uid="{00000000-0005-0000-0000-00002E030000}"/>
    <cellStyle name="Normal 2 2 2 2 2 5" xfId="846" xr:uid="{00000000-0005-0000-0000-00002F030000}"/>
    <cellStyle name="Normal 2 2 2 2 2_13008" xfId="847" xr:uid="{00000000-0005-0000-0000-000030030000}"/>
    <cellStyle name="Normal 2 2 2 2 3" xfId="848" xr:uid="{00000000-0005-0000-0000-000031030000}"/>
    <cellStyle name="Normal 2 2 2 2 3 2" xfId="849" xr:uid="{00000000-0005-0000-0000-000032030000}"/>
    <cellStyle name="Normal 2 2 2 2 3 3" xfId="850" xr:uid="{00000000-0005-0000-0000-000033030000}"/>
    <cellStyle name="Normal 2 2 2 2 3_13008" xfId="851" xr:uid="{00000000-0005-0000-0000-000034030000}"/>
    <cellStyle name="Normal 2 2 2 2 4" xfId="852" xr:uid="{00000000-0005-0000-0000-000035030000}"/>
    <cellStyle name="Normal 2 2 2 2 4 2" xfId="853" xr:uid="{00000000-0005-0000-0000-000036030000}"/>
    <cellStyle name="Normal 2 2 2 2 4 3" xfId="854" xr:uid="{00000000-0005-0000-0000-000037030000}"/>
    <cellStyle name="Normal 2 2 2 2 4_13008" xfId="855" xr:uid="{00000000-0005-0000-0000-000038030000}"/>
    <cellStyle name="Normal 2 2 2 2 5" xfId="856" xr:uid="{00000000-0005-0000-0000-000039030000}"/>
    <cellStyle name="Normal 2 2 2 2 6" xfId="857" xr:uid="{00000000-0005-0000-0000-00003A030000}"/>
    <cellStyle name="Normal 2 2 2 2_13008" xfId="858" xr:uid="{00000000-0005-0000-0000-00003B030000}"/>
    <cellStyle name="Normal 2 2 2 3" xfId="859" xr:uid="{00000000-0005-0000-0000-00003C030000}"/>
    <cellStyle name="Normal 2 2 2 4" xfId="860" xr:uid="{00000000-0005-0000-0000-00003D030000}"/>
    <cellStyle name="Normal 2 2 2 4 2" xfId="861" xr:uid="{00000000-0005-0000-0000-00003E030000}"/>
    <cellStyle name="Normal 2 2 2 4 2 2" xfId="862" xr:uid="{00000000-0005-0000-0000-00003F030000}"/>
    <cellStyle name="Normal 2 2 2 4 2 3" xfId="863" xr:uid="{00000000-0005-0000-0000-000040030000}"/>
    <cellStyle name="Normal 2 2 2 4 2_13008" xfId="864" xr:uid="{00000000-0005-0000-0000-000041030000}"/>
    <cellStyle name="Normal 2 2 2 4 3" xfId="865" xr:uid="{00000000-0005-0000-0000-000042030000}"/>
    <cellStyle name="Normal 2 2 2 4 3 2" xfId="866" xr:uid="{00000000-0005-0000-0000-000043030000}"/>
    <cellStyle name="Normal 2 2 2 4 3 3" xfId="867" xr:uid="{00000000-0005-0000-0000-000044030000}"/>
    <cellStyle name="Normal 2 2 2 4 3_13008" xfId="868" xr:uid="{00000000-0005-0000-0000-000045030000}"/>
    <cellStyle name="Normal 2 2 2 4 4" xfId="869" xr:uid="{00000000-0005-0000-0000-000046030000}"/>
    <cellStyle name="Normal 2 2 2 4 5" xfId="870" xr:uid="{00000000-0005-0000-0000-000047030000}"/>
    <cellStyle name="Normal 2 2 2 4_13008" xfId="871" xr:uid="{00000000-0005-0000-0000-000048030000}"/>
    <cellStyle name="Normal 2 2 2 5" xfId="872" xr:uid="{00000000-0005-0000-0000-000049030000}"/>
    <cellStyle name="Normal 2 2 2 6" xfId="873" xr:uid="{00000000-0005-0000-0000-00004A030000}"/>
    <cellStyle name="Normal 2 2 2_11599" xfId="874" xr:uid="{00000000-0005-0000-0000-00004B030000}"/>
    <cellStyle name="Normal 2 2 3" xfId="98" xr:uid="{00000000-0005-0000-0000-00004C030000}"/>
    <cellStyle name="Normal 2 2 3 2" xfId="875" xr:uid="{00000000-0005-0000-0000-00004D030000}"/>
    <cellStyle name="Normal 2 2 3 2 2" xfId="876" xr:uid="{00000000-0005-0000-0000-00004E030000}"/>
    <cellStyle name="Normal 2 2 3 2 2 2" xfId="877" xr:uid="{00000000-0005-0000-0000-00004F030000}"/>
    <cellStyle name="Normal 2 2 3 2 2 3" xfId="878" xr:uid="{00000000-0005-0000-0000-000050030000}"/>
    <cellStyle name="Normal 2 2 3 2 2_13008" xfId="879" xr:uid="{00000000-0005-0000-0000-000051030000}"/>
    <cellStyle name="Normal 2 2 3 2 3" xfId="880" xr:uid="{00000000-0005-0000-0000-000052030000}"/>
    <cellStyle name="Normal 2 2 3 2 3 2" xfId="881" xr:uid="{00000000-0005-0000-0000-000053030000}"/>
    <cellStyle name="Normal 2 2 3 2 3 3" xfId="882" xr:uid="{00000000-0005-0000-0000-000054030000}"/>
    <cellStyle name="Normal 2 2 3 2 3_13008" xfId="883" xr:uid="{00000000-0005-0000-0000-000055030000}"/>
    <cellStyle name="Normal 2 2 3 2 4" xfId="884" xr:uid="{00000000-0005-0000-0000-000056030000}"/>
    <cellStyle name="Normal 2 2 3 2 5" xfId="885" xr:uid="{00000000-0005-0000-0000-000057030000}"/>
    <cellStyle name="Normal 2 2 3 2_13008" xfId="886" xr:uid="{00000000-0005-0000-0000-000058030000}"/>
    <cellStyle name="Normal 2 2 3 3" xfId="887" xr:uid="{00000000-0005-0000-0000-000059030000}"/>
    <cellStyle name="Normal 2 2 3 3 2" xfId="888" xr:uid="{00000000-0005-0000-0000-00005A030000}"/>
    <cellStyle name="Normal 2 2 3 3 3" xfId="889" xr:uid="{00000000-0005-0000-0000-00005B030000}"/>
    <cellStyle name="Normal 2 2 3 3_13008" xfId="890" xr:uid="{00000000-0005-0000-0000-00005C030000}"/>
    <cellStyle name="Normal 2 2 3 4" xfId="891" xr:uid="{00000000-0005-0000-0000-00005D030000}"/>
    <cellStyle name="Normal 2 2 3 4 2" xfId="892" xr:uid="{00000000-0005-0000-0000-00005E030000}"/>
    <cellStyle name="Normal 2 2 3 4 3" xfId="893" xr:uid="{00000000-0005-0000-0000-00005F030000}"/>
    <cellStyle name="Normal 2 2 3 4_13008" xfId="894" xr:uid="{00000000-0005-0000-0000-000060030000}"/>
    <cellStyle name="Normal 2 2 3 5" xfId="895" xr:uid="{00000000-0005-0000-0000-000061030000}"/>
    <cellStyle name="Normal 2 2 3 6" xfId="896" xr:uid="{00000000-0005-0000-0000-000062030000}"/>
    <cellStyle name="Normal 2 2 3_13008" xfId="897" xr:uid="{00000000-0005-0000-0000-000063030000}"/>
    <cellStyle name="Normal 2 2 4" xfId="898" xr:uid="{00000000-0005-0000-0000-000064030000}"/>
    <cellStyle name="Normal 2 2 4 2" xfId="899" xr:uid="{00000000-0005-0000-0000-000065030000}"/>
    <cellStyle name="Normal 2 2 4 2 2" xfId="900" xr:uid="{00000000-0005-0000-0000-000066030000}"/>
    <cellStyle name="Normal 2 2 4 2 3" xfId="901" xr:uid="{00000000-0005-0000-0000-000067030000}"/>
    <cellStyle name="Normal 2 2 4 2_13008" xfId="902" xr:uid="{00000000-0005-0000-0000-000068030000}"/>
    <cellStyle name="Normal 2 2 4 3" xfId="903" xr:uid="{00000000-0005-0000-0000-000069030000}"/>
    <cellStyle name="Normal 2 2 4 3 2" xfId="904" xr:uid="{00000000-0005-0000-0000-00006A030000}"/>
    <cellStyle name="Normal 2 2 4 3 3" xfId="905" xr:uid="{00000000-0005-0000-0000-00006B030000}"/>
    <cellStyle name="Normal 2 2 4 3_13008" xfId="906" xr:uid="{00000000-0005-0000-0000-00006C030000}"/>
    <cellStyle name="Normal 2 2 4 4" xfId="907" xr:uid="{00000000-0005-0000-0000-00006D030000}"/>
    <cellStyle name="Normal 2 2 4 5" xfId="908" xr:uid="{00000000-0005-0000-0000-00006E030000}"/>
    <cellStyle name="Normal 2 2 4_13008" xfId="909" xr:uid="{00000000-0005-0000-0000-00006F030000}"/>
    <cellStyle name="Normal 2 2 5" xfId="910" xr:uid="{00000000-0005-0000-0000-000070030000}"/>
    <cellStyle name="Normal 2 2 5 2" xfId="911" xr:uid="{00000000-0005-0000-0000-000071030000}"/>
    <cellStyle name="Normal 2 2 5 3" xfId="912" xr:uid="{00000000-0005-0000-0000-000072030000}"/>
    <cellStyle name="Normal 2 2 5_13008" xfId="913" xr:uid="{00000000-0005-0000-0000-000073030000}"/>
    <cellStyle name="Normal 2 2 6" xfId="914" xr:uid="{00000000-0005-0000-0000-000074030000}"/>
    <cellStyle name="Normal 2 2 6 2" xfId="915" xr:uid="{00000000-0005-0000-0000-000075030000}"/>
    <cellStyle name="Normal 2 2 6 3" xfId="916" xr:uid="{00000000-0005-0000-0000-000076030000}"/>
    <cellStyle name="Normal 2 2 6_13008" xfId="917" xr:uid="{00000000-0005-0000-0000-000077030000}"/>
    <cellStyle name="Normal 2 2 7" xfId="918" xr:uid="{00000000-0005-0000-0000-000078030000}"/>
    <cellStyle name="Normal 2 2 7 2" xfId="919" xr:uid="{00000000-0005-0000-0000-000079030000}"/>
    <cellStyle name="Normal 2 2 7 3" xfId="920" xr:uid="{00000000-0005-0000-0000-00007A030000}"/>
    <cellStyle name="Normal 2 2 7_13008" xfId="921" xr:uid="{00000000-0005-0000-0000-00007B030000}"/>
    <cellStyle name="Normal 2 2 8" xfId="922" xr:uid="{00000000-0005-0000-0000-00007C030000}"/>
    <cellStyle name="Normal 2 2 9" xfId="923" xr:uid="{00000000-0005-0000-0000-00007D030000}"/>
    <cellStyle name="Normal 2 2_11599" xfId="924" xr:uid="{00000000-0005-0000-0000-00007E030000}"/>
    <cellStyle name="Normal 2 20" xfId="1496" xr:uid="{00000000-0005-0000-0000-00007F030000}"/>
    <cellStyle name="Normal 2 3" xfId="99" xr:uid="{00000000-0005-0000-0000-000080030000}"/>
    <cellStyle name="Normal 2 3 2" xfId="100" xr:uid="{00000000-0005-0000-0000-000081030000}"/>
    <cellStyle name="Normal 2 3 3" xfId="101" xr:uid="{00000000-0005-0000-0000-000082030000}"/>
    <cellStyle name="Normal 2 3 4" xfId="925" xr:uid="{00000000-0005-0000-0000-000083030000}"/>
    <cellStyle name="Normal 2 3 4 2" xfId="926" xr:uid="{00000000-0005-0000-0000-000084030000}"/>
    <cellStyle name="Normal 2 3 4 3" xfId="927" xr:uid="{00000000-0005-0000-0000-000085030000}"/>
    <cellStyle name="Normal 2 3 4_13008" xfId="928" xr:uid="{00000000-0005-0000-0000-000086030000}"/>
    <cellStyle name="Normal 2 3 5" xfId="929" xr:uid="{00000000-0005-0000-0000-000087030000}"/>
    <cellStyle name="Normal 2 3_CloseManagement" xfId="930" xr:uid="{00000000-0005-0000-0000-000088030000}"/>
    <cellStyle name="Normal 2 4" xfId="102" xr:uid="{00000000-0005-0000-0000-000089030000}"/>
    <cellStyle name="Normal 2 4 2" xfId="931" xr:uid="{00000000-0005-0000-0000-00008A030000}"/>
    <cellStyle name="Normal 2 5" xfId="103" xr:uid="{00000000-0005-0000-0000-00008B030000}"/>
    <cellStyle name="Normal 2 5 2" xfId="932" xr:uid="{00000000-0005-0000-0000-00008C030000}"/>
    <cellStyle name="Normal 2 6" xfId="933" xr:uid="{00000000-0005-0000-0000-00008D030000}"/>
    <cellStyle name="Normal 2 6 2" xfId="934" xr:uid="{00000000-0005-0000-0000-00008E030000}"/>
    <cellStyle name="Normal 2 6 2 2" xfId="935" xr:uid="{00000000-0005-0000-0000-00008F030000}"/>
    <cellStyle name="Normal 2 6 2 3" xfId="936" xr:uid="{00000000-0005-0000-0000-000090030000}"/>
    <cellStyle name="Normal 2 6 2_13008" xfId="937" xr:uid="{00000000-0005-0000-0000-000091030000}"/>
    <cellStyle name="Normal 2 6 3" xfId="938" xr:uid="{00000000-0005-0000-0000-000092030000}"/>
    <cellStyle name="Normal 2 6 3 2" xfId="939" xr:uid="{00000000-0005-0000-0000-000093030000}"/>
    <cellStyle name="Normal 2 6 3 3" xfId="940" xr:uid="{00000000-0005-0000-0000-000094030000}"/>
    <cellStyle name="Normal 2 6 3_13008" xfId="941" xr:uid="{00000000-0005-0000-0000-000095030000}"/>
    <cellStyle name="Normal 2 6 4" xfId="942" xr:uid="{00000000-0005-0000-0000-000096030000}"/>
    <cellStyle name="Normal 2 6 5" xfId="943" xr:uid="{00000000-0005-0000-0000-000097030000}"/>
    <cellStyle name="Normal 2 6 6" xfId="1491" xr:uid="{00000000-0005-0000-0000-000098030000}"/>
    <cellStyle name="Normal 2 6_13008" xfId="944" xr:uid="{00000000-0005-0000-0000-000099030000}"/>
    <cellStyle name="Normal 2 7" xfId="945" xr:uid="{00000000-0005-0000-0000-00009A030000}"/>
    <cellStyle name="Normal 2 7 2" xfId="946" xr:uid="{00000000-0005-0000-0000-00009B030000}"/>
    <cellStyle name="Normal 2 8" xfId="947" xr:uid="{00000000-0005-0000-0000-00009C030000}"/>
    <cellStyle name="Normal 2 8 2" xfId="948" xr:uid="{00000000-0005-0000-0000-00009D030000}"/>
    <cellStyle name="Normal 2 9" xfId="949" xr:uid="{00000000-0005-0000-0000-00009E030000}"/>
    <cellStyle name="Normal 2 9 2" xfId="950" xr:uid="{00000000-0005-0000-0000-00009F030000}"/>
    <cellStyle name="Normal 2_20140" xfId="951" xr:uid="{00000000-0005-0000-0000-0000A0030000}"/>
    <cellStyle name="Normal 20" xfId="952" xr:uid="{00000000-0005-0000-0000-0000A1030000}"/>
    <cellStyle name="Normal 20 2" xfId="953" xr:uid="{00000000-0005-0000-0000-0000A2030000}"/>
    <cellStyle name="Normal 20_20325" xfId="1497" xr:uid="{00000000-0005-0000-0000-0000A3030000}"/>
    <cellStyle name="Normal 21" xfId="954" xr:uid="{00000000-0005-0000-0000-0000A4030000}"/>
    <cellStyle name="Normal 21 2" xfId="955" xr:uid="{00000000-0005-0000-0000-0000A5030000}"/>
    <cellStyle name="Normal 21_20325" xfId="1498" xr:uid="{00000000-0005-0000-0000-0000A6030000}"/>
    <cellStyle name="Normal 22" xfId="956" xr:uid="{00000000-0005-0000-0000-0000A7030000}"/>
    <cellStyle name="Normal 22 2" xfId="957" xr:uid="{00000000-0005-0000-0000-0000A8030000}"/>
    <cellStyle name="Normal 22 3" xfId="958" xr:uid="{00000000-0005-0000-0000-0000A9030000}"/>
    <cellStyle name="Normal 22_20325" xfId="1499" xr:uid="{00000000-0005-0000-0000-0000AA030000}"/>
    <cellStyle name="Normal 23" xfId="959" xr:uid="{00000000-0005-0000-0000-0000AB030000}"/>
    <cellStyle name="Normal 23 2" xfId="960" xr:uid="{00000000-0005-0000-0000-0000AC030000}"/>
    <cellStyle name="Normal 24" xfId="961" xr:uid="{00000000-0005-0000-0000-0000AD030000}"/>
    <cellStyle name="Normal 24 2" xfId="962" xr:uid="{00000000-0005-0000-0000-0000AE030000}"/>
    <cellStyle name="Normal 24 3" xfId="963" xr:uid="{00000000-0005-0000-0000-0000AF030000}"/>
    <cellStyle name="Normal 24_13008" xfId="964" xr:uid="{00000000-0005-0000-0000-0000B0030000}"/>
    <cellStyle name="Normal 25" xfId="965" xr:uid="{00000000-0005-0000-0000-0000B1030000}"/>
    <cellStyle name="Normal 25 2" xfId="966" xr:uid="{00000000-0005-0000-0000-0000B2030000}"/>
    <cellStyle name="Normal 25 3" xfId="967" xr:uid="{00000000-0005-0000-0000-0000B3030000}"/>
    <cellStyle name="Normal 25_13008" xfId="968" xr:uid="{00000000-0005-0000-0000-0000B4030000}"/>
    <cellStyle name="Normal 26" xfId="969" xr:uid="{00000000-0005-0000-0000-0000B5030000}"/>
    <cellStyle name="Normal 26 2" xfId="970" xr:uid="{00000000-0005-0000-0000-0000B6030000}"/>
    <cellStyle name="Normal 27" xfId="971" xr:uid="{00000000-0005-0000-0000-0000B7030000}"/>
    <cellStyle name="Normal 27 2" xfId="972" xr:uid="{00000000-0005-0000-0000-0000B8030000}"/>
    <cellStyle name="Normal 27 3" xfId="973" xr:uid="{00000000-0005-0000-0000-0000B9030000}"/>
    <cellStyle name="Normal 27_20325" xfId="1500" xr:uid="{00000000-0005-0000-0000-0000BA030000}"/>
    <cellStyle name="Normal 28" xfId="974" xr:uid="{00000000-0005-0000-0000-0000BB030000}"/>
    <cellStyle name="Normal 29" xfId="975" xr:uid="{00000000-0005-0000-0000-0000BC030000}"/>
    <cellStyle name="Normal 3" xfId="104" xr:uid="{00000000-0005-0000-0000-0000BD030000}"/>
    <cellStyle name="Normal 3 2" xfId="105" xr:uid="{00000000-0005-0000-0000-0000BE030000}"/>
    <cellStyle name="Normal 3 2 2" xfId="976" xr:uid="{00000000-0005-0000-0000-0000BF030000}"/>
    <cellStyle name="Normal 3 2 2 2" xfId="977" xr:uid="{00000000-0005-0000-0000-0000C0030000}"/>
    <cellStyle name="Normal 3 2 2 2 2" xfId="978" xr:uid="{00000000-0005-0000-0000-0000C1030000}"/>
    <cellStyle name="Normal 3 2 2 2 3" xfId="979" xr:uid="{00000000-0005-0000-0000-0000C2030000}"/>
    <cellStyle name="Normal 3 2 2 2_13008" xfId="980" xr:uid="{00000000-0005-0000-0000-0000C3030000}"/>
    <cellStyle name="Normal 3 2 2 3" xfId="981" xr:uid="{00000000-0005-0000-0000-0000C4030000}"/>
    <cellStyle name="Normal 3 2 2 3 2" xfId="982" xr:uid="{00000000-0005-0000-0000-0000C5030000}"/>
    <cellStyle name="Normal 3 2 2 3 3" xfId="983" xr:uid="{00000000-0005-0000-0000-0000C6030000}"/>
    <cellStyle name="Normal 3 2 2 3_13008" xfId="984" xr:uid="{00000000-0005-0000-0000-0000C7030000}"/>
    <cellStyle name="Normal 3 2 2 4" xfId="985" xr:uid="{00000000-0005-0000-0000-0000C8030000}"/>
    <cellStyle name="Normal 3 2 2 5" xfId="986" xr:uid="{00000000-0005-0000-0000-0000C9030000}"/>
    <cellStyle name="Normal 3 2 2_13008" xfId="987" xr:uid="{00000000-0005-0000-0000-0000CA030000}"/>
    <cellStyle name="Normal 3 2 3" xfId="988" xr:uid="{00000000-0005-0000-0000-0000CB030000}"/>
    <cellStyle name="Normal 3 2 3 2" xfId="989" xr:uid="{00000000-0005-0000-0000-0000CC030000}"/>
    <cellStyle name="Normal 3 2 3 3" xfId="990" xr:uid="{00000000-0005-0000-0000-0000CD030000}"/>
    <cellStyle name="Normal 3 2 3_13008" xfId="991" xr:uid="{00000000-0005-0000-0000-0000CE030000}"/>
    <cellStyle name="Normal 3 2 4" xfId="992" xr:uid="{00000000-0005-0000-0000-0000CF030000}"/>
    <cellStyle name="Normal 3 2 4 2" xfId="993" xr:uid="{00000000-0005-0000-0000-0000D0030000}"/>
    <cellStyle name="Normal 3 2 4 3" xfId="994" xr:uid="{00000000-0005-0000-0000-0000D1030000}"/>
    <cellStyle name="Normal 3 2 4_13008" xfId="995" xr:uid="{00000000-0005-0000-0000-0000D2030000}"/>
    <cellStyle name="Normal 3 2 5" xfId="996" xr:uid="{00000000-0005-0000-0000-0000D3030000}"/>
    <cellStyle name="Normal 3 2 5 2" xfId="997" xr:uid="{00000000-0005-0000-0000-0000D4030000}"/>
    <cellStyle name="Normal 3 2 5 3" xfId="998" xr:uid="{00000000-0005-0000-0000-0000D5030000}"/>
    <cellStyle name="Normal 3 2 5_13008" xfId="999" xr:uid="{00000000-0005-0000-0000-0000D6030000}"/>
    <cellStyle name="Normal 3 2 6" xfId="1000" xr:uid="{00000000-0005-0000-0000-0000D7030000}"/>
    <cellStyle name="Normal 3 2 7" xfId="1001" xr:uid="{00000000-0005-0000-0000-0000D8030000}"/>
    <cellStyle name="Normal 3 2_13008" xfId="1002" xr:uid="{00000000-0005-0000-0000-0000D9030000}"/>
    <cellStyle name="Normal 3 3" xfId="1003" xr:uid="{00000000-0005-0000-0000-0000DA030000}"/>
    <cellStyle name="Normal 3 3 2" xfId="1004" xr:uid="{00000000-0005-0000-0000-0000DB030000}"/>
    <cellStyle name="Normal 3 4" xfId="1005" xr:uid="{00000000-0005-0000-0000-0000DC030000}"/>
    <cellStyle name="Normal 3 4 2" xfId="1006" xr:uid="{00000000-0005-0000-0000-0000DD030000}"/>
    <cellStyle name="Normal 3 4 3" xfId="1007" xr:uid="{00000000-0005-0000-0000-0000DE030000}"/>
    <cellStyle name="Normal 3 4_13008" xfId="1008" xr:uid="{00000000-0005-0000-0000-0000DF030000}"/>
    <cellStyle name="Normal 3 5" xfId="1009" xr:uid="{00000000-0005-0000-0000-0000E0030000}"/>
    <cellStyle name="Normal 3 5 2" xfId="1010" xr:uid="{00000000-0005-0000-0000-0000E1030000}"/>
    <cellStyle name="Normal 3 5 3" xfId="1011" xr:uid="{00000000-0005-0000-0000-0000E2030000}"/>
    <cellStyle name="Normal 3 5_13008" xfId="1012" xr:uid="{00000000-0005-0000-0000-0000E3030000}"/>
    <cellStyle name="Normal 3 6" xfId="1013" xr:uid="{00000000-0005-0000-0000-0000E4030000}"/>
    <cellStyle name="Normal 3 6 2" xfId="1014" xr:uid="{00000000-0005-0000-0000-0000E5030000}"/>
    <cellStyle name="Normal 3 6 3" xfId="1015" xr:uid="{00000000-0005-0000-0000-0000E6030000}"/>
    <cellStyle name="Normal 3 6_13008" xfId="1016" xr:uid="{00000000-0005-0000-0000-0000E7030000}"/>
    <cellStyle name="Normal 3 7" xfId="1017" xr:uid="{00000000-0005-0000-0000-0000E8030000}"/>
    <cellStyle name="Normal 3_11599" xfId="1018" xr:uid="{00000000-0005-0000-0000-0000E9030000}"/>
    <cellStyle name="Normal 30" xfId="1019" xr:uid="{00000000-0005-0000-0000-0000EA030000}"/>
    <cellStyle name="Normal 30 2" xfId="1020" xr:uid="{00000000-0005-0000-0000-0000EB030000}"/>
    <cellStyle name="Normal 30_20325" xfId="1501" xr:uid="{00000000-0005-0000-0000-0000EC030000}"/>
    <cellStyle name="Normal 31" xfId="1021" xr:uid="{00000000-0005-0000-0000-0000ED030000}"/>
    <cellStyle name="Normal 31 2" xfId="1022" xr:uid="{00000000-0005-0000-0000-0000EE030000}"/>
    <cellStyle name="Normal 31_20325" xfId="1502" xr:uid="{00000000-0005-0000-0000-0000EF030000}"/>
    <cellStyle name="Normal 32" xfId="1023" xr:uid="{00000000-0005-0000-0000-0000F0030000}"/>
    <cellStyle name="Normal 32 2" xfId="1024" xr:uid="{00000000-0005-0000-0000-0000F1030000}"/>
    <cellStyle name="Normal 32_20325" xfId="1503" xr:uid="{00000000-0005-0000-0000-0000F2030000}"/>
    <cellStyle name="Normal 33" xfId="1025" xr:uid="{00000000-0005-0000-0000-0000F3030000}"/>
    <cellStyle name="Normal 33 2" xfId="1026" xr:uid="{00000000-0005-0000-0000-0000F4030000}"/>
    <cellStyle name="Normal 33_20325" xfId="1504" xr:uid="{00000000-0005-0000-0000-0000F5030000}"/>
    <cellStyle name="Normal 34" xfId="1027" xr:uid="{00000000-0005-0000-0000-0000F6030000}"/>
    <cellStyle name="Normal 34 2" xfId="1028" xr:uid="{00000000-0005-0000-0000-0000F7030000}"/>
    <cellStyle name="Normal 34_20325" xfId="1505" xr:uid="{00000000-0005-0000-0000-0000F8030000}"/>
    <cellStyle name="Normal 35" xfId="1029" xr:uid="{00000000-0005-0000-0000-0000F9030000}"/>
    <cellStyle name="Normal 36" xfId="1030" xr:uid="{00000000-0005-0000-0000-0000FA030000}"/>
    <cellStyle name="Normal 37" xfId="1031" xr:uid="{00000000-0005-0000-0000-0000FB030000}"/>
    <cellStyle name="Normal 38" xfId="1032" xr:uid="{00000000-0005-0000-0000-0000FC030000}"/>
    <cellStyle name="Normal 38 2" xfId="1033" xr:uid="{00000000-0005-0000-0000-0000FD030000}"/>
    <cellStyle name="Normal 38_13008" xfId="1034" xr:uid="{00000000-0005-0000-0000-0000FE030000}"/>
    <cellStyle name="Normal 39" xfId="1035" xr:uid="{00000000-0005-0000-0000-0000FF030000}"/>
    <cellStyle name="Normal 4" xfId="106" xr:uid="{00000000-0005-0000-0000-000000040000}"/>
    <cellStyle name="Normal 4 2" xfId="1036" xr:uid="{00000000-0005-0000-0000-000001040000}"/>
    <cellStyle name="Normal 4 2 2" xfId="1037" xr:uid="{00000000-0005-0000-0000-000002040000}"/>
    <cellStyle name="Normal 4 2 3" xfId="1038" xr:uid="{00000000-0005-0000-0000-000003040000}"/>
    <cellStyle name="Normal 4 3" xfId="1039" xr:uid="{00000000-0005-0000-0000-000004040000}"/>
    <cellStyle name="Normal 4 3 2" xfId="1040" xr:uid="{00000000-0005-0000-0000-000005040000}"/>
    <cellStyle name="Normal 4 3 3" xfId="1041" xr:uid="{00000000-0005-0000-0000-000006040000}"/>
    <cellStyle name="Normal 4 3_13008" xfId="1042" xr:uid="{00000000-0005-0000-0000-000007040000}"/>
    <cellStyle name="Normal 4 4" xfId="1043" xr:uid="{00000000-0005-0000-0000-000008040000}"/>
    <cellStyle name="Normal 4 4 2" xfId="1044" xr:uid="{00000000-0005-0000-0000-000009040000}"/>
    <cellStyle name="Normal 4 4 3" xfId="1045" xr:uid="{00000000-0005-0000-0000-00000A040000}"/>
    <cellStyle name="Normal 4 4_13008" xfId="1046" xr:uid="{00000000-0005-0000-0000-00000B040000}"/>
    <cellStyle name="Normal 4 5" xfId="1047" xr:uid="{00000000-0005-0000-0000-00000C040000}"/>
    <cellStyle name="Normal 4_Support" xfId="1048" xr:uid="{00000000-0005-0000-0000-00000D040000}"/>
    <cellStyle name="Normal 40" xfId="1049" xr:uid="{00000000-0005-0000-0000-00000E040000}"/>
    <cellStyle name="Normal 41" xfId="1050" xr:uid="{00000000-0005-0000-0000-00000F040000}"/>
    <cellStyle name="Normal 42" xfId="1051" xr:uid="{00000000-0005-0000-0000-000010040000}"/>
    <cellStyle name="Normal 43" xfId="1052" xr:uid="{00000000-0005-0000-0000-000011040000}"/>
    <cellStyle name="Normal 44" xfId="131" xr:uid="{00000000-0005-0000-0000-000012040000}"/>
    <cellStyle name="Normal 45" xfId="1478" xr:uid="{00000000-0005-0000-0000-000013040000}"/>
    <cellStyle name="Normal 46" xfId="1509" xr:uid="{00000000-0005-0000-0000-000014040000}"/>
    <cellStyle name="Normal 47" xfId="1400" xr:uid="{00000000-0005-0000-0000-000015040000}"/>
    <cellStyle name="Normal 48" xfId="1508" xr:uid="{00000000-0005-0000-0000-000016040000}"/>
    <cellStyle name="Normal 49" xfId="767" xr:uid="{00000000-0005-0000-0000-000017040000}"/>
    <cellStyle name="Normal 5" xfId="107" xr:uid="{00000000-0005-0000-0000-000018040000}"/>
    <cellStyle name="Normal 5 2" xfId="108" xr:uid="{00000000-0005-0000-0000-000019040000}"/>
    <cellStyle name="Normal 5 2 10" xfId="1053" xr:uid="{00000000-0005-0000-0000-00001A040000}"/>
    <cellStyle name="Normal 5 2 2" xfId="1054" xr:uid="{00000000-0005-0000-0000-00001B040000}"/>
    <cellStyle name="Normal 5 2 2 2" xfId="1055" xr:uid="{00000000-0005-0000-0000-00001C040000}"/>
    <cellStyle name="Normal 5 2 2 2 2" xfId="1056" xr:uid="{00000000-0005-0000-0000-00001D040000}"/>
    <cellStyle name="Normal 5 2 2 2 2 2" xfId="1057" xr:uid="{00000000-0005-0000-0000-00001E040000}"/>
    <cellStyle name="Normal 5 2 2 2 2 3" xfId="1058" xr:uid="{00000000-0005-0000-0000-00001F040000}"/>
    <cellStyle name="Normal 5 2 2 2 2_13008" xfId="1059" xr:uid="{00000000-0005-0000-0000-000020040000}"/>
    <cellStyle name="Normal 5 2 2 2 3" xfId="1060" xr:uid="{00000000-0005-0000-0000-000021040000}"/>
    <cellStyle name="Normal 5 2 2 2 3 2" xfId="1061" xr:uid="{00000000-0005-0000-0000-000022040000}"/>
    <cellStyle name="Normal 5 2 2 2 3 3" xfId="1062" xr:uid="{00000000-0005-0000-0000-000023040000}"/>
    <cellStyle name="Normal 5 2 2 2 3_13008" xfId="1063" xr:uid="{00000000-0005-0000-0000-000024040000}"/>
    <cellStyle name="Normal 5 2 2 2 4" xfId="1064" xr:uid="{00000000-0005-0000-0000-000025040000}"/>
    <cellStyle name="Normal 5 2 2 2 5" xfId="1065" xr:uid="{00000000-0005-0000-0000-000026040000}"/>
    <cellStyle name="Normal 5 2 2 2_13008" xfId="1066" xr:uid="{00000000-0005-0000-0000-000027040000}"/>
    <cellStyle name="Normal 5 2 2 3" xfId="1067" xr:uid="{00000000-0005-0000-0000-000028040000}"/>
    <cellStyle name="Normal 5 2 2 3 2" xfId="1068" xr:uid="{00000000-0005-0000-0000-000029040000}"/>
    <cellStyle name="Normal 5 2 2 3 3" xfId="1069" xr:uid="{00000000-0005-0000-0000-00002A040000}"/>
    <cellStyle name="Normal 5 2 2 3_13008" xfId="1070" xr:uid="{00000000-0005-0000-0000-00002B040000}"/>
    <cellStyle name="Normal 5 2 2 4" xfId="1071" xr:uid="{00000000-0005-0000-0000-00002C040000}"/>
    <cellStyle name="Normal 5 2 2 4 2" xfId="1072" xr:uid="{00000000-0005-0000-0000-00002D040000}"/>
    <cellStyle name="Normal 5 2 2 4 3" xfId="1073" xr:uid="{00000000-0005-0000-0000-00002E040000}"/>
    <cellStyle name="Normal 5 2 2 4_13008" xfId="1074" xr:uid="{00000000-0005-0000-0000-00002F040000}"/>
    <cellStyle name="Normal 5 2 2 5" xfId="1075" xr:uid="{00000000-0005-0000-0000-000030040000}"/>
    <cellStyle name="Normal 5 2 2 5 2" xfId="1076" xr:uid="{00000000-0005-0000-0000-000031040000}"/>
    <cellStyle name="Normal 5 2 2 5 3" xfId="1077" xr:uid="{00000000-0005-0000-0000-000032040000}"/>
    <cellStyle name="Normal 5 2 2 5_13008" xfId="1078" xr:uid="{00000000-0005-0000-0000-000033040000}"/>
    <cellStyle name="Normal 5 2 2 6" xfId="1079" xr:uid="{00000000-0005-0000-0000-000034040000}"/>
    <cellStyle name="Normal 5 2 2 7" xfId="1080" xr:uid="{00000000-0005-0000-0000-000035040000}"/>
    <cellStyle name="Normal 5 2 2_13008" xfId="1081" xr:uid="{00000000-0005-0000-0000-000036040000}"/>
    <cellStyle name="Normal 5 2 3" xfId="1082" xr:uid="{00000000-0005-0000-0000-000037040000}"/>
    <cellStyle name="Normal 5 2 3 2" xfId="1083" xr:uid="{00000000-0005-0000-0000-000038040000}"/>
    <cellStyle name="Normal 5 2 3 2 2" xfId="1084" xr:uid="{00000000-0005-0000-0000-000039040000}"/>
    <cellStyle name="Normal 5 2 3 2 2 2" xfId="1085" xr:uid="{00000000-0005-0000-0000-00003A040000}"/>
    <cellStyle name="Normal 5 2 3 2 2 3" xfId="1086" xr:uid="{00000000-0005-0000-0000-00003B040000}"/>
    <cellStyle name="Normal 5 2 3 2 2_13008" xfId="1087" xr:uid="{00000000-0005-0000-0000-00003C040000}"/>
    <cellStyle name="Normal 5 2 3 2 3" xfId="1088" xr:uid="{00000000-0005-0000-0000-00003D040000}"/>
    <cellStyle name="Normal 5 2 3 2 3 2" xfId="1089" xr:uid="{00000000-0005-0000-0000-00003E040000}"/>
    <cellStyle name="Normal 5 2 3 2 3 3" xfId="1090" xr:uid="{00000000-0005-0000-0000-00003F040000}"/>
    <cellStyle name="Normal 5 2 3 2 3_13008" xfId="1091" xr:uid="{00000000-0005-0000-0000-000040040000}"/>
    <cellStyle name="Normal 5 2 3 2 4" xfId="1092" xr:uid="{00000000-0005-0000-0000-000041040000}"/>
    <cellStyle name="Normal 5 2 3 2 5" xfId="1093" xr:uid="{00000000-0005-0000-0000-000042040000}"/>
    <cellStyle name="Normal 5 2 3 2_13008" xfId="1094" xr:uid="{00000000-0005-0000-0000-000043040000}"/>
    <cellStyle name="Normal 5 2 3 3" xfId="1095" xr:uid="{00000000-0005-0000-0000-000044040000}"/>
    <cellStyle name="Normal 5 2 3 3 2" xfId="1096" xr:uid="{00000000-0005-0000-0000-000045040000}"/>
    <cellStyle name="Normal 5 2 3 3 3" xfId="1097" xr:uid="{00000000-0005-0000-0000-000046040000}"/>
    <cellStyle name="Normal 5 2 3 3_13008" xfId="1098" xr:uid="{00000000-0005-0000-0000-000047040000}"/>
    <cellStyle name="Normal 5 2 3 4" xfId="1099" xr:uid="{00000000-0005-0000-0000-000048040000}"/>
    <cellStyle name="Normal 5 2 3 4 2" xfId="1100" xr:uid="{00000000-0005-0000-0000-000049040000}"/>
    <cellStyle name="Normal 5 2 3 4 3" xfId="1101" xr:uid="{00000000-0005-0000-0000-00004A040000}"/>
    <cellStyle name="Normal 5 2 3 4_13008" xfId="1102" xr:uid="{00000000-0005-0000-0000-00004B040000}"/>
    <cellStyle name="Normal 5 2 3 5" xfId="1103" xr:uid="{00000000-0005-0000-0000-00004C040000}"/>
    <cellStyle name="Normal 5 2 3 5 2" xfId="1104" xr:uid="{00000000-0005-0000-0000-00004D040000}"/>
    <cellStyle name="Normal 5 2 3 5 3" xfId="1105" xr:uid="{00000000-0005-0000-0000-00004E040000}"/>
    <cellStyle name="Normal 5 2 3 5_13008" xfId="1106" xr:uid="{00000000-0005-0000-0000-00004F040000}"/>
    <cellStyle name="Normal 5 2 3 6" xfId="1107" xr:uid="{00000000-0005-0000-0000-000050040000}"/>
    <cellStyle name="Normal 5 2 3 7" xfId="1108" xr:uid="{00000000-0005-0000-0000-000051040000}"/>
    <cellStyle name="Normal 5 2 3_13008" xfId="1109" xr:uid="{00000000-0005-0000-0000-000052040000}"/>
    <cellStyle name="Normal 5 2 4" xfId="1110" xr:uid="{00000000-0005-0000-0000-000053040000}"/>
    <cellStyle name="Normal 5 2 4 2" xfId="1111" xr:uid="{00000000-0005-0000-0000-000054040000}"/>
    <cellStyle name="Normal 5 2 4 2 2" xfId="1112" xr:uid="{00000000-0005-0000-0000-000055040000}"/>
    <cellStyle name="Normal 5 2 4 2 2 2" xfId="1113" xr:uid="{00000000-0005-0000-0000-000056040000}"/>
    <cellStyle name="Normal 5 2 4 2 2 3" xfId="1114" xr:uid="{00000000-0005-0000-0000-000057040000}"/>
    <cellStyle name="Normal 5 2 4 2 2_13008" xfId="1115" xr:uid="{00000000-0005-0000-0000-000058040000}"/>
    <cellStyle name="Normal 5 2 4 2 3" xfId="1116" xr:uid="{00000000-0005-0000-0000-000059040000}"/>
    <cellStyle name="Normal 5 2 4 2 3 2" xfId="1117" xr:uid="{00000000-0005-0000-0000-00005A040000}"/>
    <cellStyle name="Normal 5 2 4 2 3 3" xfId="1118" xr:uid="{00000000-0005-0000-0000-00005B040000}"/>
    <cellStyle name="Normal 5 2 4 2 3_13008" xfId="1119" xr:uid="{00000000-0005-0000-0000-00005C040000}"/>
    <cellStyle name="Normal 5 2 4 2 4" xfId="1120" xr:uid="{00000000-0005-0000-0000-00005D040000}"/>
    <cellStyle name="Normal 5 2 4 2 5" xfId="1121" xr:uid="{00000000-0005-0000-0000-00005E040000}"/>
    <cellStyle name="Normal 5 2 4 2_13008" xfId="1122" xr:uid="{00000000-0005-0000-0000-00005F040000}"/>
    <cellStyle name="Normal 5 2 4 3" xfId="1123" xr:uid="{00000000-0005-0000-0000-000060040000}"/>
    <cellStyle name="Normal 5 2 4 3 2" xfId="1124" xr:uid="{00000000-0005-0000-0000-000061040000}"/>
    <cellStyle name="Normal 5 2 4 3 3" xfId="1125" xr:uid="{00000000-0005-0000-0000-000062040000}"/>
    <cellStyle name="Normal 5 2 4 3_13008" xfId="1126" xr:uid="{00000000-0005-0000-0000-000063040000}"/>
    <cellStyle name="Normal 5 2 4 4" xfId="1127" xr:uid="{00000000-0005-0000-0000-000064040000}"/>
    <cellStyle name="Normal 5 2 4 4 2" xfId="1128" xr:uid="{00000000-0005-0000-0000-000065040000}"/>
    <cellStyle name="Normal 5 2 4 4 3" xfId="1129" xr:uid="{00000000-0005-0000-0000-000066040000}"/>
    <cellStyle name="Normal 5 2 4 4_13008" xfId="1130" xr:uid="{00000000-0005-0000-0000-000067040000}"/>
    <cellStyle name="Normal 5 2 4 5" xfId="1131" xr:uid="{00000000-0005-0000-0000-000068040000}"/>
    <cellStyle name="Normal 5 2 4 5 2" xfId="1132" xr:uid="{00000000-0005-0000-0000-000069040000}"/>
    <cellStyle name="Normal 5 2 4 5 3" xfId="1133" xr:uid="{00000000-0005-0000-0000-00006A040000}"/>
    <cellStyle name="Normal 5 2 4 5_13008" xfId="1134" xr:uid="{00000000-0005-0000-0000-00006B040000}"/>
    <cellStyle name="Normal 5 2 4 6" xfId="1135" xr:uid="{00000000-0005-0000-0000-00006C040000}"/>
    <cellStyle name="Normal 5 2 4 7" xfId="1136" xr:uid="{00000000-0005-0000-0000-00006D040000}"/>
    <cellStyle name="Normal 5 2 4_13008" xfId="1137" xr:uid="{00000000-0005-0000-0000-00006E040000}"/>
    <cellStyle name="Normal 5 2 5" xfId="1138" xr:uid="{00000000-0005-0000-0000-00006F040000}"/>
    <cellStyle name="Normal 5 2 5 10" xfId="1139" xr:uid="{00000000-0005-0000-0000-000070040000}"/>
    <cellStyle name="Normal 5 2 5 19" xfId="1140" xr:uid="{00000000-0005-0000-0000-000071040000}"/>
    <cellStyle name="Normal 5 2 5 19 2" xfId="1141" xr:uid="{00000000-0005-0000-0000-000072040000}"/>
    <cellStyle name="Normal 5 2 5 19_13008" xfId="1142" xr:uid="{00000000-0005-0000-0000-000073040000}"/>
    <cellStyle name="Normal 5 2 5 2" xfId="1143" xr:uid="{00000000-0005-0000-0000-000074040000}"/>
    <cellStyle name="Normal 5 2 5 2 2" xfId="1144" xr:uid="{00000000-0005-0000-0000-000075040000}"/>
    <cellStyle name="Normal 5 2 5 2 2 2" xfId="1145" xr:uid="{00000000-0005-0000-0000-000076040000}"/>
    <cellStyle name="Normal 5 2 5 2 2 2 2" xfId="1146" xr:uid="{00000000-0005-0000-0000-000077040000}"/>
    <cellStyle name="Normal 5 2 5 2 2 2 3" xfId="1147" xr:uid="{00000000-0005-0000-0000-000078040000}"/>
    <cellStyle name="Normal 5 2 5 2 2 2_13008" xfId="1148" xr:uid="{00000000-0005-0000-0000-000079040000}"/>
    <cellStyle name="Normal 5 2 5 2 2 3" xfId="1149" xr:uid="{00000000-0005-0000-0000-00007A040000}"/>
    <cellStyle name="Normal 5 2 5 2 2 3 2" xfId="1150" xr:uid="{00000000-0005-0000-0000-00007B040000}"/>
    <cellStyle name="Normal 5 2 5 2 2 3 3" xfId="1151" xr:uid="{00000000-0005-0000-0000-00007C040000}"/>
    <cellStyle name="Normal 5 2 5 2 2 3_13008" xfId="1152" xr:uid="{00000000-0005-0000-0000-00007D040000}"/>
    <cellStyle name="Normal 5 2 5 2 2 4" xfId="1153" xr:uid="{00000000-0005-0000-0000-00007E040000}"/>
    <cellStyle name="Normal 5 2 5 2 2 5" xfId="1154" xr:uid="{00000000-0005-0000-0000-00007F040000}"/>
    <cellStyle name="Normal 5 2 5 2 2_13008" xfId="1155" xr:uid="{00000000-0005-0000-0000-000080040000}"/>
    <cellStyle name="Normal 5 2 5 2 3" xfId="1156" xr:uid="{00000000-0005-0000-0000-000081040000}"/>
    <cellStyle name="Normal 5 2 5 2 3 2" xfId="1157" xr:uid="{00000000-0005-0000-0000-000082040000}"/>
    <cellStyle name="Normal 5 2 5 2 3 3" xfId="1158" xr:uid="{00000000-0005-0000-0000-000083040000}"/>
    <cellStyle name="Normal 5 2 5 2 3_13008" xfId="1159" xr:uid="{00000000-0005-0000-0000-000084040000}"/>
    <cellStyle name="Normal 5 2 5 2 4" xfId="1160" xr:uid="{00000000-0005-0000-0000-000085040000}"/>
    <cellStyle name="Normal 5 2 5 2 4 2" xfId="1161" xr:uid="{00000000-0005-0000-0000-000086040000}"/>
    <cellStyle name="Normal 5 2 5 2 4 3" xfId="1162" xr:uid="{00000000-0005-0000-0000-000087040000}"/>
    <cellStyle name="Normal 5 2 5 2 4_13008" xfId="1163" xr:uid="{00000000-0005-0000-0000-000088040000}"/>
    <cellStyle name="Normal 5 2 5 2 5" xfId="1164" xr:uid="{00000000-0005-0000-0000-000089040000}"/>
    <cellStyle name="Normal 5 2 5 2 5 2" xfId="1165" xr:uid="{00000000-0005-0000-0000-00008A040000}"/>
    <cellStyle name="Normal 5 2 5 2 5 3" xfId="1166" xr:uid="{00000000-0005-0000-0000-00008B040000}"/>
    <cellStyle name="Normal 5 2 5 2 5_13008" xfId="1167" xr:uid="{00000000-0005-0000-0000-00008C040000}"/>
    <cellStyle name="Normal 5 2 5 2 6" xfId="1168" xr:uid="{00000000-0005-0000-0000-00008D040000}"/>
    <cellStyle name="Normal 5 2 5 2 7" xfId="1169" xr:uid="{00000000-0005-0000-0000-00008E040000}"/>
    <cellStyle name="Normal 5 2 5 2_13008" xfId="1170" xr:uid="{00000000-0005-0000-0000-00008F040000}"/>
    <cellStyle name="Normal 5 2 5 3" xfId="1171" xr:uid="{00000000-0005-0000-0000-000090040000}"/>
    <cellStyle name="Normal 5 2 5 3 10" xfId="1172" xr:uid="{00000000-0005-0000-0000-000091040000}"/>
    <cellStyle name="Normal 5 2 5 3 10 2" xfId="1173" xr:uid="{00000000-0005-0000-0000-000092040000}"/>
    <cellStyle name="Normal 5 2 5 3 10 3" xfId="1174" xr:uid="{00000000-0005-0000-0000-000093040000}"/>
    <cellStyle name="Normal 5 2 5 3 10_13008" xfId="1175" xr:uid="{00000000-0005-0000-0000-000094040000}"/>
    <cellStyle name="Normal 5 2 5 3 11" xfId="1176" xr:uid="{00000000-0005-0000-0000-000095040000}"/>
    <cellStyle name="Normal 5 2 5 3 11 2" xfId="1177" xr:uid="{00000000-0005-0000-0000-000096040000}"/>
    <cellStyle name="Normal 5 2 5 3 11 3" xfId="1178" xr:uid="{00000000-0005-0000-0000-000097040000}"/>
    <cellStyle name="Normal 5 2 5 3 11_13008" xfId="1179" xr:uid="{00000000-0005-0000-0000-000098040000}"/>
    <cellStyle name="Normal 5 2 5 3 12" xfId="1180" xr:uid="{00000000-0005-0000-0000-000099040000}"/>
    <cellStyle name="Normal 5 2 5 3 12 2" xfId="1181" xr:uid="{00000000-0005-0000-0000-00009A040000}"/>
    <cellStyle name="Normal 5 2 5 3 12 3" xfId="1182" xr:uid="{00000000-0005-0000-0000-00009B040000}"/>
    <cellStyle name="Normal 5 2 5 3 12_13008" xfId="1183" xr:uid="{00000000-0005-0000-0000-00009C040000}"/>
    <cellStyle name="Normal 5 2 5 3 13" xfId="1184" xr:uid="{00000000-0005-0000-0000-00009D040000}"/>
    <cellStyle name="Normal 5 2 5 3 13 2" xfId="1489" xr:uid="{00000000-0005-0000-0000-00009E040000}"/>
    <cellStyle name="Normal 5 2 5 3 14" xfId="1185" xr:uid="{00000000-0005-0000-0000-00009F040000}"/>
    <cellStyle name="Normal 5 2 5 3 15" xfId="1186" xr:uid="{00000000-0005-0000-0000-0000A0040000}"/>
    <cellStyle name="Normal 5 2 5 3 16" xfId="1187" xr:uid="{00000000-0005-0000-0000-0000A1040000}"/>
    <cellStyle name="Normal 5 2 5 3 17" xfId="1506" xr:uid="{00000000-0005-0000-0000-0000A2040000}"/>
    <cellStyle name="Normal 5 2 5 3 2" xfId="1188" xr:uid="{00000000-0005-0000-0000-0000A3040000}"/>
    <cellStyle name="Normal 5 2 5 3 2 2" xfId="1189" xr:uid="{00000000-0005-0000-0000-0000A4040000}"/>
    <cellStyle name="Normal 5 2 5 3 2 2 2" xfId="1190" xr:uid="{00000000-0005-0000-0000-0000A5040000}"/>
    <cellStyle name="Normal 5 2 5 3 2 2 2 2" xfId="1191" xr:uid="{00000000-0005-0000-0000-0000A6040000}"/>
    <cellStyle name="Normal 5 2 5 3 2 2 2 3" xfId="1192" xr:uid="{00000000-0005-0000-0000-0000A7040000}"/>
    <cellStyle name="Normal 5 2 5 3 2 2 2_13008" xfId="1193" xr:uid="{00000000-0005-0000-0000-0000A8040000}"/>
    <cellStyle name="Normal 5 2 5 3 2 2 3" xfId="1194" xr:uid="{00000000-0005-0000-0000-0000A9040000}"/>
    <cellStyle name="Normal 5 2 5 3 2 2 3 2" xfId="1195" xr:uid="{00000000-0005-0000-0000-0000AA040000}"/>
    <cellStyle name="Normal 5 2 5 3 2 2 3 3" xfId="1196" xr:uid="{00000000-0005-0000-0000-0000AB040000}"/>
    <cellStyle name="Normal 5 2 5 3 2 2 3_13008" xfId="1197" xr:uid="{00000000-0005-0000-0000-0000AC040000}"/>
    <cellStyle name="Normal 5 2 5 3 2 2 4" xfId="1198" xr:uid="{00000000-0005-0000-0000-0000AD040000}"/>
    <cellStyle name="Normal 5 2 5 3 2 2 5" xfId="1199" xr:uid="{00000000-0005-0000-0000-0000AE040000}"/>
    <cellStyle name="Normal 5 2 5 3 2 2_13008" xfId="1200" xr:uid="{00000000-0005-0000-0000-0000AF040000}"/>
    <cellStyle name="Normal 5 2 5 3 2 3" xfId="1201" xr:uid="{00000000-0005-0000-0000-0000B0040000}"/>
    <cellStyle name="Normal 5 2 5 3 2 3 2" xfId="1202" xr:uid="{00000000-0005-0000-0000-0000B1040000}"/>
    <cellStyle name="Normal 5 2 5 3 2 3 3" xfId="1203" xr:uid="{00000000-0005-0000-0000-0000B2040000}"/>
    <cellStyle name="Normal 5 2 5 3 2 3_13008" xfId="1204" xr:uid="{00000000-0005-0000-0000-0000B3040000}"/>
    <cellStyle name="Normal 5 2 5 3 2 4" xfId="1205" xr:uid="{00000000-0005-0000-0000-0000B4040000}"/>
    <cellStyle name="Normal 5 2 5 3 2 4 2" xfId="1206" xr:uid="{00000000-0005-0000-0000-0000B5040000}"/>
    <cellStyle name="Normal 5 2 5 3 2 4 3" xfId="1207" xr:uid="{00000000-0005-0000-0000-0000B6040000}"/>
    <cellStyle name="Normal 5 2 5 3 2 4_13008" xfId="1208" xr:uid="{00000000-0005-0000-0000-0000B7040000}"/>
    <cellStyle name="Normal 5 2 5 3 2 5" xfId="1209" xr:uid="{00000000-0005-0000-0000-0000B8040000}"/>
    <cellStyle name="Normal 5 2 5 3 2 5 2" xfId="1210" xr:uid="{00000000-0005-0000-0000-0000B9040000}"/>
    <cellStyle name="Normal 5 2 5 3 2 5 3" xfId="1211" xr:uid="{00000000-0005-0000-0000-0000BA040000}"/>
    <cellStyle name="Normal 5 2 5 3 2 5_13008" xfId="1212" xr:uid="{00000000-0005-0000-0000-0000BB040000}"/>
    <cellStyle name="Normal 5 2 5 3 2 6" xfId="1213" xr:uid="{00000000-0005-0000-0000-0000BC040000}"/>
    <cellStyle name="Normal 5 2 5 3 2 7" xfId="1214" xr:uid="{00000000-0005-0000-0000-0000BD040000}"/>
    <cellStyle name="Normal 5 2 5 3 2_13008" xfId="1215" xr:uid="{00000000-0005-0000-0000-0000BE040000}"/>
    <cellStyle name="Normal 5 2 5 3 3" xfId="1216" xr:uid="{00000000-0005-0000-0000-0000BF040000}"/>
    <cellStyle name="Normal 5 2 5 3 3 2" xfId="1217" xr:uid="{00000000-0005-0000-0000-0000C0040000}"/>
    <cellStyle name="Normal 5 2 5 3 3 2 2" xfId="1218" xr:uid="{00000000-0005-0000-0000-0000C1040000}"/>
    <cellStyle name="Normal 5 2 5 3 3 2 3" xfId="1219" xr:uid="{00000000-0005-0000-0000-0000C2040000}"/>
    <cellStyle name="Normal 5 2 5 3 3 2_13008" xfId="1220" xr:uid="{00000000-0005-0000-0000-0000C3040000}"/>
    <cellStyle name="Normal 5 2 5 3 3 3" xfId="1221" xr:uid="{00000000-0005-0000-0000-0000C4040000}"/>
    <cellStyle name="Normal 5 2 5 3 3 3 2" xfId="1222" xr:uid="{00000000-0005-0000-0000-0000C5040000}"/>
    <cellStyle name="Normal 5 2 5 3 3 3 3" xfId="1223" xr:uid="{00000000-0005-0000-0000-0000C6040000}"/>
    <cellStyle name="Normal 5 2 5 3 3 3_13008" xfId="1224" xr:uid="{00000000-0005-0000-0000-0000C7040000}"/>
    <cellStyle name="Normal 5 2 5 3 3 4" xfId="1225" xr:uid="{00000000-0005-0000-0000-0000C8040000}"/>
    <cellStyle name="Normal 5 2 5 3 3 5" xfId="1226" xr:uid="{00000000-0005-0000-0000-0000C9040000}"/>
    <cellStyle name="Normal 5 2 5 3 3_13008" xfId="1227" xr:uid="{00000000-0005-0000-0000-0000CA040000}"/>
    <cellStyle name="Normal 5 2 5 3 4" xfId="1228" xr:uid="{00000000-0005-0000-0000-0000CB040000}"/>
    <cellStyle name="Normal 5 2 5 3 4 2" xfId="1229" xr:uid="{00000000-0005-0000-0000-0000CC040000}"/>
    <cellStyle name="Normal 5 2 5 3 4 3" xfId="1230" xr:uid="{00000000-0005-0000-0000-0000CD040000}"/>
    <cellStyle name="Normal 5 2 5 3 4_13008" xfId="1231" xr:uid="{00000000-0005-0000-0000-0000CE040000}"/>
    <cellStyle name="Normal 5 2 5 3 5" xfId="1232" xr:uid="{00000000-0005-0000-0000-0000CF040000}"/>
    <cellStyle name="Normal 5 2 5 3 5 2" xfId="1233" xr:uid="{00000000-0005-0000-0000-0000D0040000}"/>
    <cellStyle name="Normal 5 2 5 3 5 3" xfId="1234" xr:uid="{00000000-0005-0000-0000-0000D1040000}"/>
    <cellStyle name="Normal 5 2 5 3 5_13008" xfId="1235" xr:uid="{00000000-0005-0000-0000-0000D2040000}"/>
    <cellStyle name="Normal 5 2 5 3 6" xfId="1236" xr:uid="{00000000-0005-0000-0000-0000D3040000}"/>
    <cellStyle name="Normal 5 2 5 3 6 2" xfId="1237" xr:uid="{00000000-0005-0000-0000-0000D4040000}"/>
    <cellStyle name="Normal 5 2 5 3 6 3" xfId="1238" xr:uid="{00000000-0005-0000-0000-0000D5040000}"/>
    <cellStyle name="Normal 5 2 5 3 6_13008" xfId="1239" xr:uid="{00000000-0005-0000-0000-0000D6040000}"/>
    <cellStyle name="Normal 5 2 5 3 7" xfId="1240" xr:uid="{00000000-0005-0000-0000-0000D7040000}"/>
    <cellStyle name="Normal 5 2 5 3 7 2" xfId="1241" xr:uid="{00000000-0005-0000-0000-0000D8040000}"/>
    <cellStyle name="Normal 5 2 5 3 7 3" xfId="1242" xr:uid="{00000000-0005-0000-0000-0000D9040000}"/>
    <cellStyle name="Normal 5 2 5 3 7_13008" xfId="1243" xr:uid="{00000000-0005-0000-0000-0000DA040000}"/>
    <cellStyle name="Normal 5 2 5 3 8" xfId="1244" xr:uid="{00000000-0005-0000-0000-0000DB040000}"/>
    <cellStyle name="Normal 5 2 5 3 8 2" xfId="1245" xr:uid="{00000000-0005-0000-0000-0000DC040000}"/>
    <cellStyle name="Normal 5 2 5 3 8 3" xfId="1246" xr:uid="{00000000-0005-0000-0000-0000DD040000}"/>
    <cellStyle name="Normal 5 2 5 3 8_13008" xfId="1247" xr:uid="{00000000-0005-0000-0000-0000DE040000}"/>
    <cellStyle name="Normal 5 2 5 3 9" xfId="1248" xr:uid="{00000000-0005-0000-0000-0000DF040000}"/>
    <cellStyle name="Normal 5 2 5 3 9 2" xfId="1249" xr:uid="{00000000-0005-0000-0000-0000E0040000}"/>
    <cellStyle name="Normal 5 2 5 3 9 3" xfId="1250" xr:uid="{00000000-0005-0000-0000-0000E1040000}"/>
    <cellStyle name="Normal 5 2 5 3 9_13008" xfId="1251" xr:uid="{00000000-0005-0000-0000-0000E2040000}"/>
    <cellStyle name="Normal 5 2 5 3_13008" xfId="1252" xr:uid="{00000000-0005-0000-0000-0000E3040000}"/>
    <cellStyle name="Normal 5 2 5 4" xfId="1253" xr:uid="{00000000-0005-0000-0000-0000E4040000}"/>
    <cellStyle name="Normal 5 2 5 4 2" xfId="1254" xr:uid="{00000000-0005-0000-0000-0000E5040000}"/>
    <cellStyle name="Normal 5 2 5 4 2 2" xfId="1255" xr:uid="{00000000-0005-0000-0000-0000E6040000}"/>
    <cellStyle name="Normal 5 2 5 4 2 3" xfId="1256" xr:uid="{00000000-0005-0000-0000-0000E7040000}"/>
    <cellStyle name="Normal 5 2 5 4 2_13008" xfId="1257" xr:uid="{00000000-0005-0000-0000-0000E8040000}"/>
    <cellStyle name="Normal 5 2 5 4 3" xfId="1258" xr:uid="{00000000-0005-0000-0000-0000E9040000}"/>
    <cellStyle name="Normal 5 2 5 4 3 2" xfId="1259" xr:uid="{00000000-0005-0000-0000-0000EA040000}"/>
    <cellStyle name="Normal 5 2 5 4 3 3" xfId="1260" xr:uid="{00000000-0005-0000-0000-0000EB040000}"/>
    <cellStyle name="Normal 5 2 5 4 3_13008" xfId="1261" xr:uid="{00000000-0005-0000-0000-0000EC040000}"/>
    <cellStyle name="Normal 5 2 5 4 4" xfId="1262" xr:uid="{00000000-0005-0000-0000-0000ED040000}"/>
    <cellStyle name="Normal 5 2 5 4 5" xfId="1263" xr:uid="{00000000-0005-0000-0000-0000EE040000}"/>
    <cellStyle name="Normal 5 2 5 4_13008" xfId="1264" xr:uid="{00000000-0005-0000-0000-0000EF040000}"/>
    <cellStyle name="Normal 5 2 5 5" xfId="1265" xr:uid="{00000000-0005-0000-0000-0000F0040000}"/>
    <cellStyle name="Normal 5 2 5 5 2" xfId="1266" xr:uid="{00000000-0005-0000-0000-0000F1040000}"/>
    <cellStyle name="Normal 5 2 5 5 3" xfId="1267" xr:uid="{00000000-0005-0000-0000-0000F2040000}"/>
    <cellStyle name="Normal 5 2 5 5_13008" xfId="1268" xr:uid="{00000000-0005-0000-0000-0000F3040000}"/>
    <cellStyle name="Normal 5 2 5 6" xfId="1269" xr:uid="{00000000-0005-0000-0000-0000F4040000}"/>
    <cellStyle name="Normal 5 2 5 6 2" xfId="1270" xr:uid="{00000000-0005-0000-0000-0000F5040000}"/>
    <cellStyle name="Normal 5 2 5 6 3" xfId="1271" xr:uid="{00000000-0005-0000-0000-0000F6040000}"/>
    <cellStyle name="Normal 5 2 5 6_13008" xfId="1272" xr:uid="{00000000-0005-0000-0000-0000F7040000}"/>
    <cellStyle name="Normal 5 2 5 7" xfId="1273" xr:uid="{00000000-0005-0000-0000-0000F8040000}"/>
    <cellStyle name="Normal 5 2 5 7 2" xfId="1274" xr:uid="{00000000-0005-0000-0000-0000F9040000}"/>
    <cellStyle name="Normal 5 2 5 7 3" xfId="1275" xr:uid="{00000000-0005-0000-0000-0000FA040000}"/>
    <cellStyle name="Normal 5 2 5 7_13008" xfId="1276" xr:uid="{00000000-0005-0000-0000-0000FB040000}"/>
    <cellStyle name="Normal 5 2 5 8" xfId="1277" xr:uid="{00000000-0005-0000-0000-0000FC040000}"/>
    <cellStyle name="Normal 5 2 5 8 2" xfId="1278" xr:uid="{00000000-0005-0000-0000-0000FD040000}"/>
    <cellStyle name="Normal 5 2 5 8 3" xfId="1279" xr:uid="{00000000-0005-0000-0000-0000FE040000}"/>
    <cellStyle name="Normal 5 2 5 8_13008" xfId="1280" xr:uid="{00000000-0005-0000-0000-0000FF040000}"/>
    <cellStyle name="Normal 5 2 5 9" xfId="1281" xr:uid="{00000000-0005-0000-0000-000000050000}"/>
    <cellStyle name="Normal 5 2 5_13008" xfId="1282" xr:uid="{00000000-0005-0000-0000-000001050000}"/>
    <cellStyle name="Normal 5 2 6" xfId="1283" xr:uid="{00000000-0005-0000-0000-000002050000}"/>
    <cellStyle name="Normal 5 2 7" xfId="1284" xr:uid="{00000000-0005-0000-0000-000003050000}"/>
    <cellStyle name="Normal 5 2 7 2" xfId="1285" xr:uid="{00000000-0005-0000-0000-000004050000}"/>
    <cellStyle name="Normal 5 2 7 3" xfId="1286" xr:uid="{00000000-0005-0000-0000-000005050000}"/>
    <cellStyle name="Normal 5 2 7_13008" xfId="1287" xr:uid="{00000000-0005-0000-0000-000006050000}"/>
    <cellStyle name="Normal 5 2 8" xfId="1288" xr:uid="{00000000-0005-0000-0000-000007050000}"/>
    <cellStyle name="Normal 5 2 8 2" xfId="1289" xr:uid="{00000000-0005-0000-0000-000008050000}"/>
    <cellStyle name="Normal 5 2 8 3" xfId="1290" xr:uid="{00000000-0005-0000-0000-000009050000}"/>
    <cellStyle name="Normal 5 2 8_13008" xfId="1291" xr:uid="{00000000-0005-0000-0000-00000A050000}"/>
    <cellStyle name="Normal 5 2 9" xfId="1292" xr:uid="{00000000-0005-0000-0000-00000B050000}"/>
    <cellStyle name="Normal 5 2 9 2" xfId="1293" xr:uid="{00000000-0005-0000-0000-00000C050000}"/>
    <cellStyle name="Normal 5 2 9 3" xfId="1294" xr:uid="{00000000-0005-0000-0000-00000D050000}"/>
    <cellStyle name="Normal 5 2 9_13008" xfId="1295" xr:uid="{00000000-0005-0000-0000-00000E050000}"/>
    <cellStyle name="Normal 5 2_13008" xfId="1296" xr:uid="{00000000-0005-0000-0000-00000F050000}"/>
    <cellStyle name="Normal 5 3" xfId="1297" xr:uid="{00000000-0005-0000-0000-000010050000}"/>
    <cellStyle name="Normal 5 3 2" xfId="1298" xr:uid="{00000000-0005-0000-0000-000011050000}"/>
    <cellStyle name="Normal 5 4" xfId="1299" xr:uid="{00000000-0005-0000-0000-000012050000}"/>
    <cellStyle name="Normal 5 4 2" xfId="1300" xr:uid="{00000000-0005-0000-0000-000013050000}"/>
    <cellStyle name="Normal 5 4 2 2" xfId="1301" xr:uid="{00000000-0005-0000-0000-000014050000}"/>
    <cellStyle name="Normal 5 4 2 3" xfId="1302" xr:uid="{00000000-0005-0000-0000-000015050000}"/>
    <cellStyle name="Normal 5 4 2_13008" xfId="1303" xr:uid="{00000000-0005-0000-0000-000016050000}"/>
    <cellStyle name="Normal 5 4 3" xfId="1304" xr:uid="{00000000-0005-0000-0000-000017050000}"/>
    <cellStyle name="Normal 5 4 3 2" xfId="1305" xr:uid="{00000000-0005-0000-0000-000018050000}"/>
    <cellStyle name="Normal 5 4 3 3" xfId="1306" xr:uid="{00000000-0005-0000-0000-000019050000}"/>
    <cellStyle name="Normal 5 4 3_13008" xfId="1307" xr:uid="{00000000-0005-0000-0000-00001A050000}"/>
    <cellStyle name="Normal 5 4 4" xfId="1308" xr:uid="{00000000-0005-0000-0000-00001B050000}"/>
    <cellStyle name="Normal 5 4 5" xfId="1309" xr:uid="{00000000-0005-0000-0000-00001C050000}"/>
    <cellStyle name="Normal 5 4_13008" xfId="1310" xr:uid="{00000000-0005-0000-0000-00001D050000}"/>
    <cellStyle name="Normal 5 5" xfId="1311" xr:uid="{00000000-0005-0000-0000-00001E050000}"/>
    <cellStyle name="Normal 5 5 2" xfId="1312" xr:uid="{00000000-0005-0000-0000-00001F050000}"/>
    <cellStyle name="Normal 5 5 3" xfId="1313" xr:uid="{00000000-0005-0000-0000-000020050000}"/>
    <cellStyle name="Normal 5 5_13008" xfId="1314" xr:uid="{00000000-0005-0000-0000-000021050000}"/>
    <cellStyle name="Normal 5 6" xfId="1315" xr:uid="{00000000-0005-0000-0000-000022050000}"/>
    <cellStyle name="Normal 5 6 2" xfId="1316" xr:uid="{00000000-0005-0000-0000-000023050000}"/>
    <cellStyle name="Normal 5 6 3" xfId="1317" xr:uid="{00000000-0005-0000-0000-000024050000}"/>
    <cellStyle name="Normal 5 6_13008" xfId="1318" xr:uid="{00000000-0005-0000-0000-000025050000}"/>
    <cellStyle name="Normal 5 7" xfId="1319" xr:uid="{00000000-0005-0000-0000-000026050000}"/>
    <cellStyle name="Normal 5 8" xfId="1320" xr:uid="{00000000-0005-0000-0000-000027050000}"/>
    <cellStyle name="Normal 5_13008" xfId="1321" xr:uid="{00000000-0005-0000-0000-000028050000}"/>
    <cellStyle name="Normal 50" xfId="1507" xr:uid="{00000000-0005-0000-0000-000029050000}"/>
    <cellStyle name="Normal 6" xfId="109" xr:uid="{00000000-0005-0000-0000-00002A050000}"/>
    <cellStyle name="Normal 6 2" xfId="1322" xr:uid="{00000000-0005-0000-0000-00002B050000}"/>
    <cellStyle name="Normal 6 2 2" xfId="1323" xr:uid="{00000000-0005-0000-0000-00002C050000}"/>
    <cellStyle name="Normal 6 2 2 2" xfId="1324" xr:uid="{00000000-0005-0000-0000-00002D050000}"/>
    <cellStyle name="Normal 6 2 2 3" xfId="1325" xr:uid="{00000000-0005-0000-0000-00002E050000}"/>
    <cellStyle name="Normal 6 2 2_13008" xfId="1326" xr:uid="{00000000-0005-0000-0000-00002F050000}"/>
    <cellStyle name="Normal 6 2 3" xfId="1327" xr:uid="{00000000-0005-0000-0000-000030050000}"/>
    <cellStyle name="Normal 6 2 3 2" xfId="1328" xr:uid="{00000000-0005-0000-0000-000031050000}"/>
    <cellStyle name="Normal 6 2 3 3" xfId="1329" xr:uid="{00000000-0005-0000-0000-000032050000}"/>
    <cellStyle name="Normal 6 2 3_13008" xfId="1330" xr:uid="{00000000-0005-0000-0000-000033050000}"/>
    <cellStyle name="Normal 6 2 4" xfId="1331" xr:uid="{00000000-0005-0000-0000-000034050000}"/>
    <cellStyle name="Normal 6 2 5" xfId="1332" xr:uid="{00000000-0005-0000-0000-000035050000}"/>
    <cellStyle name="Normal 6 2_13008" xfId="1333" xr:uid="{00000000-0005-0000-0000-000036050000}"/>
    <cellStyle name="Normal 6 3" xfId="1334" xr:uid="{00000000-0005-0000-0000-000037050000}"/>
    <cellStyle name="Normal 6 3 2" xfId="1335" xr:uid="{00000000-0005-0000-0000-000038050000}"/>
    <cellStyle name="Normal 6 3 3" xfId="1336" xr:uid="{00000000-0005-0000-0000-000039050000}"/>
    <cellStyle name="Normal 6 3_13008" xfId="1337" xr:uid="{00000000-0005-0000-0000-00003A050000}"/>
    <cellStyle name="Normal 6 4" xfId="1338" xr:uid="{00000000-0005-0000-0000-00003B050000}"/>
    <cellStyle name="Normal 6 4 2" xfId="1339" xr:uid="{00000000-0005-0000-0000-00003C050000}"/>
    <cellStyle name="Normal 6 4 3" xfId="1340" xr:uid="{00000000-0005-0000-0000-00003D050000}"/>
    <cellStyle name="Normal 6 4_13008" xfId="1341" xr:uid="{00000000-0005-0000-0000-00003E050000}"/>
    <cellStyle name="Normal 6 5" xfId="1342" xr:uid="{00000000-0005-0000-0000-00003F050000}"/>
    <cellStyle name="Normal 6 5 2" xfId="1343" xr:uid="{00000000-0005-0000-0000-000040050000}"/>
    <cellStyle name="Normal 6 5 3" xfId="1344" xr:uid="{00000000-0005-0000-0000-000041050000}"/>
    <cellStyle name="Normal 6 5_13008" xfId="1345" xr:uid="{00000000-0005-0000-0000-000042050000}"/>
    <cellStyle name="Normal 6 6" xfId="1346" xr:uid="{00000000-0005-0000-0000-000043050000}"/>
    <cellStyle name="Normal 6 7" xfId="1347" xr:uid="{00000000-0005-0000-0000-000044050000}"/>
    <cellStyle name="Normal 6_13008" xfId="1348" xr:uid="{00000000-0005-0000-0000-000045050000}"/>
    <cellStyle name="Normal 7" xfId="110" xr:uid="{00000000-0005-0000-0000-000046050000}"/>
    <cellStyle name="Normal 7 2" xfId="1349" xr:uid="{00000000-0005-0000-0000-000047050000}"/>
    <cellStyle name="Normal 7 2 2" xfId="1350" xr:uid="{00000000-0005-0000-0000-000048050000}"/>
    <cellStyle name="Normal 7 2 2 2" xfId="1351" xr:uid="{00000000-0005-0000-0000-000049050000}"/>
    <cellStyle name="Normal 7 2 2 3" xfId="1352" xr:uid="{00000000-0005-0000-0000-00004A050000}"/>
    <cellStyle name="Normal 7 2 2_13008" xfId="1353" xr:uid="{00000000-0005-0000-0000-00004B050000}"/>
    <cellStyle name="Normal 7 2 3" xfId="1354" xr:uid="{00000000-0005-0000-0000-00004C050000}"/>
    <cellStyle name="Normal 7 2 3 2" xfId="1355" xr:uid="{00000000-0005-0000-0000-00004D050000}"/>
    <cellStyle name="Normal 7 2 3 3" xfId="1356" xr:uid="{00000000-0005-0000-0000-00004E050000}"/>
    <cellStyle name="Normal 7 2 3_13008" xfId="1357" xr:uid="{00000000-0005-0000-0000-00004F050000}"/>
    <cellStyle name="Normal 7 2 4" xfId="1358" xr:uid="{00000000-0005-0000-0000-000050050000}"/>
    <cellStyle name="Normal 7 2 5" xfId="1359" xr:uid="{00000000-0005-0000-0000-000051050000}"/>
    <cellStyle name="Normal 7 2_13008" xfId="1360" xr:uid="{00000000-0005-0000-0000-000052050000}"/>
    <cellStyle name="Normal 7 3" xfId="1361" xr:uid="{00000000-0005-0000-0000-000053050000}"/>
    <cellStyle name="Normal 7 3 2" xfId="1362" xr:uid="{00000000-0005-0000-0000-000054050000}"/>
    <cellStyle name="Normal 7 3 3" xfId="1363" xr:uid="{00000000-0005-0000-0000-000055050000}"/>
    <cellStyle name="Normal 7 3_13008" xfId="1364" xr:uid="{00000000-0005-0000-0000-000056050000}"/>
    <cellStyle name="Normal 7 4" xfId="1365" xr:uid="{00000000-0005-0000-0000-000057050000}"/>
    <cellStyle name="Normal 7 4 2" xfId="1366" xr:uid="{00000000-0005-0000-0000-000058050000}"/>
    <cellStyle name="Normal 7 4 3" xfId="1367" xr:uid="{00000000-0005-0000-0000-000059050000}"/>
    <cellStyle name="Normal 7 4_13008" xfId="1368" xr:uid="{00000000-0005-0000-0000-00005A050000}"/>
    <cellStyle name="Normal 7 5" xfId="1369" xr:uid="{00000000-0005-0000-0000-00005B050000}"/>
    <cellStyle name="Normal 7 6" xfId="1370" xr:uid="{00000000-0005-0000-0000-00005C050000}"/>
    <cellStyle name="Normal 7 7" xfId="1371" xr:uid="{00000000-0005-0000-0000-00005D050000}"/>
    <cellStyle name="Normal 7_13008" xfId="1372" xr:uid="{00000000-0005-0000-0000-00005E050000}"/>
    <cellStyle name="Normal 8" xfId="111" xr:uid="{00000000-0005-0000-0000-00005F050000}"/>
    <cellStyle name="Normal 8 2" xfId="1373" xr:uid="{00000000-0005-0000-0000-000060050000}"/>
    <cellStyle name="Normal 8 2 2" xfId="1374" xr:uid="{00000000-0005-0000-0000-000061050000}"/>
    <cellStyle name="Normal 8 2 2 2" xfId="1375" xr:uid="{00000000-0005-0000-0000-000062050000}"/>
    <cellStyle name="Normal 8 2 2 3" xfId="1376" xr:uid="{00000000-0005-0000-0000-000063050000}"/>
    <cellStyle name="Normal 8 2 2_13008" xfId="1377" xr:uid="{00000000-0005-0000-0000-000064050000}"/>
    <cellStyle name="Normal 8 2 3" xfId="1378" xr:uid="{00000000-0005-0000-0000-000065050000}"/>
    <cellStyle name="Normal 8 2 3 2" xfId="1379" xr:uid="{00000000-0005-0000-0000-000066050000}"/>
    <cellStyle name="Normal 8 2 3 3" xfId="1380" xr:uid="{00000000-0005-0000-0000-000067050000}"/>
    <cellStyle name="Normal 8 2 3_13008" xfId="1381" xr:uid="{00000000-0005-0000-0000-000068050000}"/>
    <cellStyle name="Normal 8 2 4" xfId="1382" xr:uid="{00000000-0005-0000-0000-000069050000}"/>
    <cellStyle name="Normal 8 2 5" xfId="1383" xr:uid="{00000000-0005-0000-0000-00006A050000}"/>
    <cellStyle name="Normal 8 2_13008" xfId="1384" xr:uid="{00000000-0005-0000-0000-00006B050000}"/>
    <cellStyle name="Normal 8 3" xfId="1385" xr:uid="{00000000-0005-0000-0000-00006C050000}"/>
    <cellStyle name="Normal 8 3 2" xfId="1386" xr:uid="{00000000-0005-0000-0000-00006D050000}"/>
    <cellStyle name="Normal 8 3 3" xfId="1387" xr:uid="{00000000-0005-0000-0000-00006E050000}"/>
    <cellStyle name="Normal 8 3_13008" xfId="1388" xr:uid="{00000000-0005-0000-0000-00006F050000}"/>
    <cellStyle name="Normal 8 4" xfId="1389" xr:uid="{00000000-0005-0000-0000-000070050000}"/>
    <cellStyle name="Normal 8 4 2" xfId="1390" xr:uid="{00000000-0005-0000-0000-000071050000}"/>
    <cellStyle name="Normal 8 4 3" xfId="1391" xr:uid="{00000000-0005-0000-0000-000072050000}"/>
    <cellStyle name="Normal 8 4_13008" xfId="1392" xr:uid="{00000000-0005-0000-0000-000073050000}"/>
    <cellStyle name="Normal 8 5" xfId="1393" xr:uid="{00000000-0005-0000-0000-000074050000}"/>
    <cellStyle name="Normal 8 5 2" xfId="1394" xr:uid="{00000000-0005-0000-0000-000075050000}"/>
    <cellStyle name="Normal 8 5 3" xfId="1395" xr:uid="{00000000-0005-0000-0000-000076050000}"/>
    <cellStyle name="Normal 8 5_13008" xfId="1396" xr:uid="{00000000-0005-0000-0000-000077050000}"/>
    <cellStyle name="Normal 8 6" xfId="1397" xr:uid="{00000000-0005-0000-0000-000078050000}"/>
    <cellStyle name="Normal 8 7" xfId="1398" xr:uid="{00000000-0005-0000-0000-000079050000}"/>
    <cellStyle name="Normal 8_13008" xfId="1399" xr:uid="{00000000-0005-0000-0000-00007A050000}"/>
    <cellStyle name="Normal 9" xfId="112" xr:uid="{00000000-0005-0000-0000-00007B050000}"/>
    <cellStyle name="Normal 9 2" xfId="1401" xr:uid="{00000000-0005-0000-0000-00007C050000}"/>
    <cellStyle name="Normal 9 2 2" xfId="1402" xr:uid="{00000000-0005-0000-0000-00007D050000}"/>
    <cellStyle name="Normal 9 2 2 2" xfId="1403" xr:uid="{00000000-0005-0000-0000-00007E050000}"/>
    <cellStyle name="Normal 9 2 2 3" xfId="1404" xr:uid="{00000000-0005-0000-0000-00007F050000}"/>
    <cellStyle name="Normal 9 2 2_13008" xfId="1405" xr:uid="{00000000-0005-0000-0000-000080050000}"/>
    <cellStyle name="Normal 9 2 3" xfId="1406" xr:uid="{00000000-0005-0000-0000-000081050000}"/>
    <cellStyle name="Normal 9 2 3 2" xfId="1407" xr:uid="{00000000-0005-0000-0000-000082050000}"/>
    <cellStyle name="Normal 9 2 3 3" xfId="1408" xr:uid="{00000000-0005-0000-0000-000083050000}"/>
    <cellStyle name="Normal 9 2 3_13008" xfId="1409" xr:uid="{00000000-0005-0000-0000-000084050000}"/>
    <cellStyle name="Normal 9 2 4" xfId="1410" xr:uid="{00000000-0005-0000-0000-000085050000}"/>
    <cellStyle name="Normal 9 2 4 2" xfId="1411" xr:uid="{00000000-0005-0000-0000-000086050000}"/>
    <cellStyle name="Normal 9 2 4_13008" xfId="1412" xr:uid="{00000000-0005-0000-0000-000087050000}"/>
    <cellStyle name="Normal 9 2 5" xfId="1413" xr:uid="{00000000-0005-0000-0000-000088050000}"/>
    <cellStyle name="Normal 9 2 5 2" xfId="1414" xr:uid="{00000000-0005-0000-0000-000089050000}"/>
    <cellStyle name="Normal 9 2 5_13008" xfId="1415" xr:uid="{00000000-0005-0000-0000-00008A050000}"/>
    <cellStyle name="Normal 9 2 6" xfId="1416" xr:uid="{00000000-0005-0000-0000-00008B050000}"/>
    <cellStyle name="Normal 9 2_13008" xfId="1417" xr:uid="{00000000-0005-0000-0000-00008C050000}"/>
    <cellStyle name="Normal 9 3" xfId="1418" xr:uid="{00000000-0005-0000-0000-00008D050000}"/>
    <cellStyle name="Normal 9 3 2" xfId="1419" xr:uid="{00000000-0005-0000-0000-00008E050000}"/>
    <cellStyle name="Normal 9 3 3" xfId="1420" xr:uid="{00000000-0005-0000-0000-00008F050000}"/>
    <cellStyle name="Normal 9 3_13008" xfId="1421" xr:uid="{00000000-0005-0000-0000-000090050000}"/>
    <cellStyle name="Normal 9 4" xfId="1422" xr:uid="{00000000-0005-0000-0000-000091050000}"/>
    <cellStyle name="Normal 9 4 2" xfId="1423" xr:uid="{00000000-0005-0000-0000-000092050000}"/>
    <cellStyle name="Normal 9 4 3" xfId="1424" xr:uid="{00000000-0005-0000-0000-000093050000}"/>
    <cellStyle name="Normal 9 4_13008" xfId="1425" xr:uid="{00000000-0005-0000-0000-000094050000}"/>
    <cellStyle name="Normal 9 5" xfId="1426" xr:uid="{00000000-0005-0000-0000-000095050000}"/>
    <cellStyle name="Normal 9 5 2" xfId="1427" xr:uid="{00000000-0005-0000-0000-000096050000}"/>
    <cellStyle name="Normal 9 6" xfId="1428" xr:uid="{00000000-0005-0000-0000-000097050000}"/>
    <cellStyle name="Normal 9 7" xfId="1429" xr:uid="{00000000-0005-0000-0000-000098050000}"/>
    <cellStyle name="Normal 9_13008" xfId="1430" xr:uid="{00000000-0005-0000-0000-000099050000}"/>
    <cellStyle name="Normal 98" xfId="1431" xr:uid="{00000000-0005-0000-0000-00009A050000}"/>
    <cellStyle name="Normal_Joe's 1-1-2004" xfId="4" xr:uid="{00000000-0005-0000-0000-00009B050000}"/>
    <cellStyle name="Normal_Pacific 1-1-06" xfId="5" xr:uid="{00000000-0005-0000-0000-00009C050000}"/>
    <cellStyle name="Note 2" xfId="113" xr:uid="{00000000-0005-0000-0000-00009D050000}"/>
    <cellStyle name="Note 2 2" xfId="1432" xr:uid="{00000000-0005-0000-0000-00009E050000}"/>
    <cellStyle name="Note 2 3" xfId="1433" xr:uid="{00000000-0005-0000-0000-00009F050000}"/>
    <cellStyle name="Note 3" xfId="1434" xr:uid="{00000000-0005-0000-0000-0000A0050000}"/>
    <cellStyle name="Notes" xfId="114" xr:uid="{00000000-0005-0000-0000-0000A1050000}"/>
    <cellStyle name="NotIncluded1" xfId="1435" xr:uid="{00000000-0005-0000-0000-0000A2050000}"/>
    <cellStyle name="OptionalGood" xfId="1436" xr:uid="{00000000-0005-0000-0000-0000A3050000}"/>
    <cellStyle name="Output 2" xfId="1437" xr:uid="{00000000-0005-0000-0000-0000A4050000}"/>
    <cellStyle name="Percent" xfId="3" builtinId="5"/>
    <cellStyle name="Percent 2" xfId="115" xr:uid="{00000000-0005-0000-0000-0000A6050000}"/>
    <cellStyle name="Percent 2 2" xfId="116" xr:uid="{00000000-0005-0000-0000-0000A7050000}"/>
    <cellStyle name="Percent 2 2 2" xfId="1438" xr:uid="{00000000-0005-0000-0000-0000A8050000}"/>
    <cellStyle name="Percent 2 2 2 2" xfId="1439" xr:uid="{00000000-0005-0000-0000-0000A9050000}"/>
    <cellStyle name="Percent 2 2 2 3" xfId="1440" xr:uid="{00000000-0005-0000-0000-0000AA050000}"/>
    <cellStyle name="Percent 2 2 3" xfId="1441" xr:uid="{00000000-0005-0000-0000-0000AB050000}"/>
    <cellStyle name="Percent 2 2 3 2" xfId="1442" xr:uid="{00000000-0005-0000-0000-0000AC050000}"/>
    <cellStyle name="Percent 2 2 3 3" xfId="1443" xr:uid="{00000000-0005-0000-0000-0000AD050000}"/>
    <cellStyle name="Percent 2 2 4" xfId="1444" xr:uid="{00000000-0005-0000-0000-0000AE050000}"/>
    <cellStyle name="Percent 2 2 4 2" xfId="1445" xr:uid="{00000000-0005-0000-0000-0000AF050000}"/>
    <cellStyle name="Percent 2 2 4 3" xfId="1446" xr:uid="{00000000-0005-0000-0000-0000B0050000}"/>
    <cellStyle name="Percent 2 2 5" xfId="1447" xr:uid="{00000000-0005-0000-0000-0000B1050000}"/>
    <cellStyle name="Percent 2 2 5 2" xfId="1448" xr:uid="{00000000-0005-0000-0000-0000B2050000}"/>
    <cellStyle name="Percent 2 2 5 3" xfId="1449" xr:uid="{00000000-0005-0000-0000-0000B3050000}"/>
    <cellStyle name="Percent 2 2 6" xfId="1450" xr:uid="{00000000-0005-0000-0000-0000B4050000}"/>
    <cellStyle name="Percent 2 2 6 2" xfId="1451" xr:uid="{00000000-0005-0000-0000-0000B5050000}"/>
    <cellStyle name="Percent 2 2 6 3" xfId="1452" xr:uid="{00000000-0005-0000-0000-0000B6050000}"/>
    <cellStyle name="Percent 2 2 7" xfId="1453" xr:uid="{00000000-0005-0000-0000-0000B7050000}"/>
    <cellStyle name="Percent 2 2 7 2" xfId="1454" xr:uid="{00000000-0005-0000-0000-0000B8050000}"/>
    <cellStyle name="Percent 2 2 7 3" xfId="1455" xr:uid="{00000000-0005-0000-0000-0000B9050000}"/>
    <cellStyle name="Percent 2 2 8" xfId="1456" xr:uid="{00000000-0005-0000-0000-0000BA050000}"/>
    <cellStyle name="Percent 2 2 9" xfId="1457" xr:uid="{00000000-0005-0000-0000-0000BB050000}"/>
    <cellStyle name="Percent 3" xfId="117" xr:uid="{00000000-0005-0000-0000-0000BC050000}"/>
    <cellStyle name="Percent 3 2" xfId="1458" xr:uid="{00000000-0005-0000-0000-0000BD050000}"/>
    <cellStyle name="Percent 4" xfId="118" xr:uid="{00000000-0005-0000-0000-0000BE050000}"/>
    <cellStyle name="Percent 4 2" xfId="1459" xr:uid="{00000000-0005-0000-0000-0000BF050000}"/>
    <cellStyle name="Percent 4 3" xfId="1460" xr:uid="{00000000-0005-0000-0000-0000C0050000}"/>
    <cellStyle name="Percent 4 3 2" xfId="1461" xr:uid="{00000000-0005-0000-0000-0000C1050000}"/>
    <cellStyle name="Percent 4 3 3" xfId="1462" xr:uid="{00000000-0005-0000-0000-0000C2050000}"/>
    <cellStyle name="Percent 5" xfId="1463" xr:uid="{00000000-0005-0000-0000-0000C3050000}"/>
    <cellStyle name="Percent 5 2" xfId="1464" xr:uid="{00000000-0005-0000-0000-0000C4050000}"/>
    <cellStyle name="Percent 6" xfId="1465" xr:uid="{00000000-0005-0000-0000-0000C5050000}"/>
    <cellStyle name="Percent 7" xfId="1466" xr:uid="{00000000-0005-0000-0000-0000C6050000}"/>
    <cellStyle name="Percent 7 2" xfId="1492" xr:uid="{00000000-0005-0000-0000-0000C7050000}"/>
    <cellStyle name="Percent(1)" xfId="119" xr:uid="{00000000-0005-0000-0000-0000C8050000}"/>
    <cellStyle name="Percent(2)" xfId="120" xr:uid="{00000000-0005-0000-0000-0000C9050000}"/>
    <cellStyle name="PRM" xfId="121" xr:uid="{00000000-0005-0000-0000-0000CA050000}"/>
    <cellStyle name="PRM 2" xfId="122" xr:uid="{00000000-0005-0000-0000-0000CB050000}"/>
    <cellStyle name="PRM 3" xfId="123" xr:uid="{00000000-0005-0000-0000-0000CC050000}"/>
    <cellStyle name="PRM_Thurston" xfId="124" xr:uid="{00000000-0005-0000-0000-0000CD050000}"/>
    <cellStyle name="PSChar" xfId="125" xr:uid="{00000000-0005-0000-0000-0000CE050000}"/>
    <cellStyle name="PSHeading" xfId="126" xr:uid="{00000000-0005-0000-0000-0000CF050000}"/>
    <cellStyle name="Reset  - Style4" xfId="1467" xr:uid="{00000000-0005-0000-0000-0000D0050000}"/>
    <cellStyle name="Reset  - Style7" xfId="1468" xr:uid="{00000000-0005-0000-0000-0000D1050000}"/>
    <cellStyle name="Style 1" xfId="127" xr:uid="{00000000-0005-0000-0000-0000D2050000}"/>
    <cellStyle name="Style 1 2" xfId="128" xr:uid="{00000000-0005-0000-0000-0000D3050000}"/>
    <cellStyle name="Style 1 2 2" xfId="1469" xr:uid="{00000000-0005-0000-0000-0000D4050000}"/>
    <cellStyle name="Style 1 3" xfId="1470" xr:uid="{00000000-0005-0000-0000-0000D5050000}"/>
    <cellStyle name="Style 1_Recycle Center Commodities MRF" xfId="129" xr:uid="{00000000-0005-0000-0000-0000D6050000}"/>
    <cellStyle name="STYLE1" xfId="8" xr:uid="{00000000-0005-0000-0000-0000D7050000}"/>
    <cellStyle name="STYLE1 2" xfId="1471" xr:uid="{00000000-0005-0000-0000-0000D8050000}"/>
    <cellStyle name="STYLE1 3" xfId="1472" xr:uid="{00000000-0005-0000-0000-0000D9050000}"/>
    <cellStyle name="Table  - Style5" xfId="1473" xr:uid="{00000000-0005-0000-0000-0000DA050000}"/>
    <cellStyle name="Table  - Style6" xfId="1474" xr:uid="{00000000-0005-0000-0000-0000DB050000}"/>
    <cellStyle name="Title  - Style1" xfId="1475" xr:uid="{00000000-0005-0000-0000-0000DC050000}"/>
    <cellStyle name="Title  - Style6" xfId="1476" xr:uid="{00000000-0005-0000-0000-0000DD050000}"/>
    <cellStyle name="Title 2" xfId="1477" xr:uid="{00000000-0005-0000-0000-0000DE050000}"/>
    <cellStyle name="Total 2" xfId="130" xr:uid="{00000000-0005-0000-0000-0000DF050000}"/>
    <cellStyle name="Total 3" xfId="1479" xr:uid="{00000000-0005-0000-0000-0000E0050000}"/>
    <cellStyle name="TotCol - Style5" xfId="1480" xr:uid="{00000000-0005-0000-0000-0000E1050000}"/>
    <cellStyle name="TotCol - Style7" xfId="1481" xr:uid="{00000000-0005-0000-0000-0000E2050000}"/>
    <cellStyle name="TotRow - Style4" xfId="1482" xr:uid="{00000000-0005-0000-0000-0000E3050000}"/>
    <cellStyle name="TotRow - Style8" xfId="1483" xr:uid="{00000000-0005-0000-0000-0000E4050000}"/>
    <cellStyle name="Warning Text 2" xfId="1484" xr:uid="{00000000-0005-0000-0000-0000E5050000}"/>
  </cellStyles>
  <dxfs count="0"/>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estern%20Region/2000%20Western%20Region%20Office/WUTC/WIP%20Files/Commodity%20Credit/2024%20Accrual%20Spreadsheets/2024.01%20S%20LeMay%20Comm%20Credits/Lewis%20County%20RSA-1,%20Joe's%20Commodity%20Accrual%20Calc%202024.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est-file01\Regions\Western%20Region\WUTC\WUTC-LeMay\Commodity%20Credit\2188%20Joe's,%20RSA-1\Commodity%20Filing%207-1-2017\City%20Sanitary,%20Joe's%20Refuse,%20White%20Pass%20Garbage%20Commodity%20Credit%207-1-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2000%20Western%20Region%20Office\WUTC\WUTC-LeMay\Commodity%20Credit\2188%20Joe's,%20RSA-1\Commodity%20Price%20Adjust%201-1-2023%20Joes\Lewis%20County%20RSA-1,%20Joe's%20Commodity%20Accrual%20Calc%202023.01-Fiel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2000%20Western%20Region%20Office\WUTC\WUTC-LeMay\Commodity%20Credit\2188%20Joe's,%20RSA-1\Commodity%20Price%20Adjust%201-1-2023%20Joes\GL%20Query%20Test%20for%20RSA%20Joes%20CPA%201-1-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st-file01\Regions\Western%20Region\2000%20Western%20Region%20Office\WUTC\WUTC-LeMay\Commodity%20Credit\2188%20Joe's,%20RSA-1\Commodity%20Price%20Adjust%201-1-2023%20Joes\Lewis%20County%20RSA-1,%20Joe's%20Commodity%20Accrual%20Calc%20202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estern%20Region/WUTC/WUTC-LeMay/Commodity%20Credit/2188%20Joe's,%20RSA-1/Commodity%20Price%20Adjust%201-1-2022/Lewis%20County%20RSA-1,%20Joe's%20Commodity%20Accrual%20Calc%202021.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est-file01\Regions\Western%20Region\WUTC\WUTC-LeMay\Commodity%20Credit\2188%20Joe's,%20RSA-1\Commodity%20Price%20Adjust%201-1-2021\Lewis%20County%20RSA-1,%20Joe's%20Commodity%20Accrual%20Calc%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est-file01\Regions\Western%20Region\WUTC\WUTC-LeMay\Commodity%20Credit\2188%20Joe's,%20RSA-1\Commodity%20Price%20Adjust%201-1-19\Lewis%20County,%20Joe's%20Commodity%20Credit%20Calc%201-1-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est-file01\Regions\Western%20Region\WUTC\WUTC-LeMay\Commodity%20Credit\2188%20Joe's,%20RSA-1\Commodity%20Filing%207-1-2018\Lewis%20County%20RSA-1,%20Joe's%20Commodity%20Accrual%20Calc%202017-201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est-file01\Regions\Western%20Region\WUTC\WUTC-LeMay\Commodity%20Credit\2183%20Pacific\Commodities%207-1-2018\Pacific%20Disposal,%20Commodity%20Credit%20Calculation,%207-1-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customer count"/>
      <sheetName val="Landfill Cost - Oct 23"/>
      <sheetName val="Landfill Cost - Sept 23"/>
      <sheetName val="Landfill Cost - August 23"/>
      <sheetName val="Landfill Cost - July 23"/>
      <sheetName val="Landfill Cost - June 23"/>
      <sheetName val="Landfill Cost -May 23"/>
      <sheetName val="Landfill Cost - Apr 23"/>
      <sheetName val="Landfill Cost - Mar 23"/>
      <sheetName val="Landfill Cost - Feb 23"/>
      <sheetName val="Landfill Cost - January 23"/>
      <sheetName val="Landfill Cost - December 22"/>
      <sheetName val="Landfill Cost - November 22"/>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Pioneer Pricing"/>
      <sheetName val="MF Cust Count"/>
    </sheetNames>
    <sheetDataSet>
      <sheetData sheetId="0">
        <row r="9">
          <cell r="B9">
            <v>162.29999999999995</v>
          </cell>
          <cell r="C9">
            <v>158.68</v>
          </cell>
          <cell r="D9">
            <v>163.41999999999999</v>
          </cell>
          <cell r="E9">
            <v>127.61999999999999</v>
          </cell>
          <cell r="F9">
            <v>149.49000000000004</v>
          </cell>
          <cell r="G9">
            <v>126.35999999999999</v>
          </cell>
          <cell r="H9">
            <v>144.54000000000002</v>
          </cell>
          <cell r="I9">
            <v>142.48000000000002</v>
          </cell>
          <cell r="J9">
            <v>143.63</v>
          </cell>
          <cell r="K9">
            <v>146.26999999999998</v>
          </cell>
          <cell r="L9">
            <v>134.03000000000003</v>
          </cell>
          <cell r="M9">
            <v>141.91</v>
          </cell>
          <cell r="N9">
            <v>1740.73</v>
          </cell>
        </row>
        <row r="13">
          <cell r="B13">
            <v>-117.39685000000004</v>
          </cell>
          <cell r="C13">
            <v>-131.00376</v>
          </cell>
          <cell r="D13">
            <v>-130.912564</v>
          </cell>
          <cell r="E13">
            <v>-114.59896399999998</v>
          </cell>
          <cell r="F13">
            <v>-115.28181599999996</v>
          </cell>
          <cell r="G13">
            <v>-111.80251600000003</v>
          </cell>
          <cell r="H13">
            <v>-106.30761599999997</v>
          </cell>
          <cell r="I13">
            <v>-109.36141599999999</v>
          </cell>
          <cell r="J13">
            <v>-122.21801600000001</v>
          </cell>
          <cell r="K13">
            <v>-124.96461600000004</v>
          </cell>
          <cell r="L13">
            <v>-116.22791600000001</v>
          </cell>
          <cell r="M13">
            <v>-105.89291600000003</v>
          </cell>
        </row>
        <row r="18">
          <cell r="B18">
            <v>11108</v>
          </cell>
          <cell r="C18">
            <v>11083</v>
          </cell>
          <cell r="D18">
            <v>11090</v>
          </cell>
          <cell r="E18">
            <v>10962</v>
          </cell>
          <cell r="F18">
            <v>11120</v>
          </cell>
          <cell r="G18">
            <v>11092</v>
          </cell>
          <cell r="H18">
            <v>11242</v>
          </cell>
          <cell r="I18">
            <v>11288</v>
          </cell>
          <cell r="J18">
            <v>11342</v>
          </cell>
          <cell r="K18">
            <v>11377</v>
          </cell>
          <cell r="L18">
            <v>11363</v>
          </cell>
          <cell r="M18">
            <v>11194</v>
          </cell>
          <cell r="N18">
            <v>134261</v>
          </cell>
        </row>
        <row r="22">
          <cell r="N22">
            <v>-108571.79766172</v>
          </cell>
        </row>
      </sheetData>
      <sheetData sheetId="1"/>
      <sheetData sheetId="2">
        <row r="9">
          <cell r="B9">
            <v>60.977740945365241</v>
          </cell>
          <cell r="C9">
            <v>56.616906032006554</v>
          </cell>
          <cell r="D9">
            <v>106.34170012290042</v>
          </cell>
          <cell r="E9">
            <v>58.328832026413529</v>
          </cell>
          <cell r="F9">
            <v>83.738008163265306</v>
          </cell>
          <cell r="G9">
            <v>64.131546688605511</v>
          </cell>
          <cell r="H9">
            <v>60.841573583367293</v>
          </cell>
          <cell r="I9">
            <v>62.923614604462479</v>
          </cell>
          <cell r="J9">
            <v>67.064543973941369</v>
          </cell>
          <cell r="K9">
            <v>77.33281135902638</v>
          </cell>
          <cell r="L9">
            <v>71.23254678600486</v>
          </cell>
          <cell r="M9">
            <v>62.943743842364512</v>
          </cell>
        </row>
        <row r="10">
          <cell r="B10">
            <v>8.31</v>
          </cell>
          <cell r="C10">
            <v>8.51</v>
          </cell>
          <cell r="D10">
            <v>10.66</v>
          </cell>
          <cell r="E10">
            <v>6.62</v>
          </cell>
          <cell r="F10">
            <v>8.6</v>
          </cell>
          <cell r="G10">
            <v>6.79</v>
          </cell>
          <cell r="H10">
            <v>8.94</v>
          </cell>
          <cell r="I10">
            <v>7.02</v>
          </cell>
          <cell r="J10">
            <v>7.1</v>
          </cell>
          <cell r="K10">
            <v>9.32</v>
          </cell>
          <cell r="L10">
            <v>8.0299999999999994</v>
          </cell>
          <cell r="M10">
            <v>6</v>
          </cell>
        </row>
        <row r="11">
          <cell r="N11">
            <v>928.3735681277235</v>
          </cell>
        </row>
        <row r="16">
          <cell r="B16">
            <v>-33</v>
          </cell>
          <cell r="C16">
            <v>-33</v>
          </cell>
          <cell r="D16">
            <v>-33</v>
          </cell>
          <cell r="E16">
            <v>-33</v>
          </cell>
          <cell r="F16">
            <v>-33</v>
          </cell>
          <cell r="G16">
            <v>-33</v>
          </cell>
          <cell r="H16">
            <v>-33</v>
          </cell>
          <cell r="I16">
            <v>-33</v>
          </cell>
          <cell r="J16">
            <v>-33</v>
          </cell>
          <cell r="K16">
            <v>-33</v>
          </cell>
          <cell r="L16">
            <v>-33</v>
          </cell>
          <cell r="M16">
            <v>-33</v>
          </cell>
        </row>
        <row r="23">
          <cell r="B23">
            <v>4603</v>
          </cell>
          <cell r="C23">
            <v>4590</v>
          </cell>
          <cell r="D23">
            <v>4598</v>
          </cell>
          <cell r="E23">
            <v>4562</v>
          </cell>
          <cell r="F23">
            <v>4616</v>
          </cell>
          <cell r="G23">
            <v>4578</v>
          </cell>
          <cell r="H23">
            <v>4622</v>
          </cell>
          <cell r="I23">
            <v>4646</v>
          </cell>
          <cell r="J23">
            <v>4628</v>
          </cell>
          <cell r="K23">
            <v>4646</v>
          </cell>
          <cell r="L23">
            <v>4632</v>
          </cell>
          <cell r="M23">
            <v>4588</v>
          </cell>
          <cell r="N23">
            <v>55309</v>
          </cell>
        </row>
        <row r="27">
          <cell r="N27">
            <v>-54487.61440784263</v>
          </cell>
        </row>
        <row r="39">
          <cell r="B39">
            <v>3.7622590546347481</v>
          </cell>
          <cell r="C39">
            <v>3.5030939679934354</v>
          </cell>
          <cell r="D39">
            <v>6.5682998770995473</v>
          </cell>
          <cell r="E39">
            <v>3.6311679735864648</v>
          </cell>
          <cell r="F39">
            <v>5.1519918367346946</v>
          </cell>
          <cell r="G39">
            <v>3.9784533113944889</v>
          </cell>
          <cell r="H39">
            <v>3.738426416632691</v>
          </cell>
          <cell r="I39">
            <v>3.8463853955375242</v>
          </cell>
          <cell r="J39">
            <v>4.1154560260586237</v>
          </cell>
          <cell r="K39">
            <v>4.7271886409736217</v>
          </cell>
          <cell r="L39">
            <v>4.3674532139951197</v>
          </cell>
          <cell r="M39">
            <v>3.8962561576354702</v>
          </cell>
        </row>
        <row r="40">
          <cell r="B40">
            <v>0.46</v>
          </cell>
          <cell r="C40">
            <v>0.46</v>
          </cell>
          <cell r="D40">
            <v>0.57999999999999996</v>
          </cell>
          <cell r="E40">
            <v>0.36</v>
          </cell>
          <cell r="F40">
            <v>0.47</v>
          </cell>
          <cell r="G40">
            <v>0.37</v>
          </cell>
          <cell r="H40">
            <v>0.47</v>
          </cell>
          <cell r="I40">
            <v>0.38</v>
          </cell>
          <cell r="J40">
            <v>0.38</v>
          </cell>
          <cell r="K40">
            <v>0.5</v>
          </cell>
          <cell r="L40">
            <v>0.43</v>
          </cell>
          <cell r="M40">
            <v>0.32</v>
          </cell>
        </row>
        <row r="41">
          <cell r="N41">
            <v>56.466431872276438</v>
          </cell>
        </row>
        <row r="51">
          <cell r="N51">
            <v>-6218.2624525920046</v>
          </cell>
        </row>
        <row r="53">
          <cell r="B53">
            <v>284</v>
          </cell>
          <cell r="C53">
            <v>284</v>
          </cell>
          <cell r="D53">
            <v>284</v>
          </cell>
          <cell r="E53">
            <v>284</v>
          </cell>
          <cell r="F53">
            <v>284</v>
          </cell>
          <cell r="G53">
            <v>284</v>
          </cell>
          <cell r="H53">
            <v>284</v>
          </cell>
          <cell r="I53">
            <v>284</v>
          </cell>
          <cell r="J53">
            <v>284</v>
          </cell>
          <cell r="K53">
            <v>284</v>
          </cell>
          <cell r="L53">
            <v>284</v>
          </cell>
          <cell r="M53">
            <v>284</v>
          </cell>
          <cell r="N53">
            <v>3408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t"/>
      <sheetName val="Joe's Comm Credit"/>
    </sheetNames>
    <sheetDataSet>
      <sheetData sheetId="0">
        <row r="19">
          <cell r="D19">
            <v>0.71</v>
          </cell>
        </row>
        <row r="23">
          <cell r="N23">
            <v>1.18</v>
          </cell>
        </row>
      </sheetData>
      <sheetData sheetId="1">
        <row r="25">
          <cell r="D25">
            <v>0.82</v>
          </cell>
        </row>
        <row r="29">
          <cell r="N29">
            <v>1.31</v>
          </cell>
        </row>
        <row r="56">
          <cell r="D56">
            <v>0.82</v>
          </cell>
        </row>
        <row r="60">
          <cell r="N60">
            <v>1.31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customer count"/>
      <sheetName val="Landfill Cost - October 22"/>
      <sheetName val="Landfill Cost - September 22"/>
      <sheetName val="Landfill Cost - August 22"/>
      <sheetName val="Landfill Cost - July 22"/>
      <sheetName val="Landfill Cost - June 22"/>
      <sheetName val="Landfill Cost - May 22"/>
      <sheetName val="Landfill Cost - Apr 22 "/>
      <sheetName val="Landfill Cost - Mar 22"/>
      <sheetName val="Landfill Cost - Feb 22"/>
      <sheetName val="Landfill Cost - Jan 22"/>
      <sheetName val="Landfill Cost - Dec 21"/>
      <sheetName val="Landfill Cost - Nov 21"/>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Pioneer Pricing"/>
      <sheetName val="MF Cust Count"/>
    </sheetNames>
    <sheetDataSet>
      <sheetData sheetId="0" refreshError="1">
        <row r="9">
          <cell r="B9">
            <v>167.55999999999997</v>
          </cell>
          <cell r="C9">
            <v>143.56</v>
          </cell>
          <cell r="D9">
            <v>211.52999999999997</v>
          </cell>
          <cell r="E9">
            <v>144.15</v>
          </cell>
          <cell r="F9">
            <v>182.29</v>
          </cell>
          <cell r="G9">
            <v>157.68000000000004</v>
          </cell>
          <cell r="H9">
            <v>171.44999999999996</v>
          </cell>
          <cell r="I9">
            <v>165.42000000000004</v>
          </cell>
          <cell r="J9">
            <v>171.76999999999998</v>
          </cell>
          <cell r="K9">
            <v>167.76000000000005</v>
          </cell>
          <cell r="L9">
            <v>177.18000000000004</v>
          </cell>
          <cell r="M9">
            <v>143.01000000000002</v>
          </cell>
          <cell r="N9">
            <v>2003.3600000000001</v>
          </cell>
        </row>
        <row r="13">
          <cell r="B13">
            <v>-1.0219340000000019</v>
          </cell>
          <cell r="C13">
            <v>-27.709968999999997</v>
          </cell>
          <cell r="D13">
            <v>-40.545234000000001</v>
          </cell>
          <cell r="E13">
            <v>-41.559449999999998</v>
          </cell>
          <cell r="F13">
            <v>-29.144149999999993</v>
          </cell>
          <cell r="G13">
            <v>-25.152250000000006</v>
          </cell>
          <cell r="H13">
            <v>-28.64445000000001</v>
          </cell>
          <cell r="I13">
            <v>-35.214649999999985</v>
          </cell>
          <cell r="J13">
            <v>-49.875250000000015</v>
          </cell>
          <cell r="K13">
            <v>-65.193149999999989</v>
          </cell>
          <cell r="L13">
            <v>-115.70665</v>
          </cell>
          <cell r="M13">
            <v>-144.03354999999999</v>
          </cell>
        </row>
        <row r="16">
          <cell r="N16">
            <v>-99334.615484200011</v>
          </cell>
        </row>
        <row r="18">
          <cell r="B18">
            <v>10658</v>
          </cell>
          <cell r="C18">
            <v>10753</v>
          </cell>
          <cell r="D18">
            <v>10684</v>
          </cell>
          <cell r="E18">
            <v>10695</v>
          </cell>
          <cell r="F18">
            <v>10823</v>
          </cell>
          <cell r="G18">
            <v>10854</v>
          </cell>
          <cell r="H18">
            <v>10894</v>
          </cell>
          <cell r="I18">
            <v>10965</v>
          </cell>
          <cell r="J18">
            <v>11029</v>
          </cell>
          <cell r="K18">
            <v>11180</v>
          </cell>
          <cell r="L18">
            <v>11170</v>
          </cell>
          <cell r="M18">
            <v>11131</v>
          </cell>
          <cell r="N18">
            <v>130836</v>
          </cell>
        </row>
        <row r="22">
          <cell r="N22">
            <v>-11649.175484200008</v>
          </cell>
        </row>
      </sheetData>
      <sheetData sheetId="1" refreshError="1"/>
      <sheetData sheetId="2" refreshError="1">
        <row r="9">
          <cell r="B9">
            <v>77.625291622481441</v>
          </cell>
          <cell r="C9">
            <v>75.053718592964842</v>
          </cell>
          <cell r="D9">
            <v>102.07746672300868</v>
          </cell>
          <cell r="E9">
            <v>80.036608236536452</v>
          </cell>
          <cell r="F9">
            <v>92.84850188837602</v>
          </cell>
          <cell r="G9">
            <v>81.488908634748057</v>
          </cell>
          <cell r="H9">
            <v>82.614029380902394</v>
          </cell>
          <cell r="I9">
            <v>64.299506998119909</v>
          </cell>
          <cell r="J9">
            <v>67.96283572767021</v>
          </cell>
          <cell r="K9">
            <v>77.000102901831653</v>
          </cell>
          <cell r="L9">
            <v>80.175976185588155</v>
          </cell>
          <cell r="M9">
            <v>62.148023780237821</v>
          </cell>
        </row>
        <row r="10">
          <cell r="B10">
            <v>8.3000000000000007</v>
          </cell>
          <cell r="C10">
            <v>5.93</v>
          </cell>
          <cell r="D10">
            <v>11.63</v>
          </cell>
          <cell r="E10">
            <v>7.94</v>
          </cell>
          <cell r="F10">
            <v>10.1</v>
          </cell>
          <cell r="G10">
            <v>7.64</v>
          </cell>
          <cell r="H10">
            <v>8.61</v>
          </cell>
          <cell r="I10">
            <v>10.050000000000001</v>
          </cell>
          <cell r="J10">
            <v>7.93</v>
          </cell>
          <cell r="K10">
            <v>8.86</v>
          </cell>
          <cell r="L10">
            <v>8.2899999999999991</v>
          </cell>
          <cell r="M10">
            <v>8.43</v>
          </cell>
        </row>
        <row r="11">
          <cell r="N11">
            <v>1047.0409706724656</v>
          </cell>
        </row>
        <row r="21">
          <cell r="N21">
            <v>-49070.701256019114</v>
          </cell>
        </row>
        <row r="23">
          <cell r="B23">
            <v>4423</v>
          </cell>
          <cell r="C23">
            <v>4488</v>
          </cell>
          <cell r="D23">
            <v>4459</v>
          </cell>
          <cell r="E23">
            <v>4447</v>
          </cell>
          <cell r="F23">
            <v>4478</v>
          </cell>
          <cell r="G23">
            <v>4495</v>
          </cell>
          <cell r="H23">
            <v>4481</v>
          </cell>
          <cell r="I23">
            <v>4502</v>
          </cell>
          <cell r="J23">
            <v>4518</v>
          </cell>
          <cell r="K23">
            <v>4575</v>
          </cell>
          <cell r="L23">
            <v>4587</v>
          </cell>
          <cell r="M23">
            <v>4594</v>
          </cell>
          <cell r="N23">
            <v>54047</v>
          </cell>
        </row>
        <row r="39">
          <cell r="B39">
            <v>5.1247083775185605</v>
          </cell>
          <cell r="C39">
            <v>4.8162814070351772</v>
          </cell>
          <cell r="D39">
            <v>6.2725332769913393</v>
          </cell>
          <cell r="E39">
            <v>5.183391763463562</v>
          </cell>
          <cell r="F39">
            <v>5.9714981116240011</v>
          </cell>
          <cell r="G39">
            <v>5.2210913652519224</v>
          </cell>
          <cell r="H39">
            <v>5.2359706190975857</v>
          </cell>
          <cell r="I39">
            <v>4.0704930018800951</v>
          </cell>
          <cell r="J39">
            <v>4.2871642723297896</v>
          </cell>
          <cell r="K39">
            <v>4.7798970981683482</v>
          </cell>
          <cell r="L39">
            <v>4.9640238144118314</v>
          </cell>
          <cell r="M39">
            <v>3.8419762197621949</v>
          </cell>
        </row>
        <row r="40">
          <cell r="B40">
            <v>0.47</v>
          </cell>
          <cell r="C40">
            <v>0.34</v>
          </cell>
          <cell r="D40">
            <v>0.65</v>
          </cell>
          <cell r="E40">
            <v>0.45</v>
          </cell>
          <cell r="F40">
            <v>0.56000000000000005</v>
          </cell>
          <cell r="G40">
            <v>0.42</v>
          </cell>
          <cell r="H40">
            <v>0.47</v>
          </cell>
          <cell r="I40">
            <v>0.55000000000000004</v>
          </cell>
          <cell r="J40">
            <v>0.44</v>
          </cell>
          <cell r="K40">
            <v>0.48</v>
          </cell>
          <cell r="L40">
            <v>0.45</v>
          </cell>
          <cell r="M40">
            <v>0.46</v>
          </cell>
        </row>
        <row r="41">
          <cell r="N41">
            <v>65.509029327534407</v>
          </cell>
        </row>
        <row r="51">
          <cell r="N51">
            <v>-3049.7252308097272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Note"/>
      <sheetName val="JE Query"/>
      <sheetName val="JE Lookup"/>
      <sheetName val="ControlPanel"/>
    </sheetNames>
    <sheetDataSet>
      <sheetData sheetId="0" refreshError="1"/>
      <sheetData sheetId="1">
        <row r="115">
          <cell r="L115" t="str">
            <v>Row Labels</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2021 AH051"/>
      <sheetName val="May 2021 AH051"/>
      <sheetName val="Apr 2021 AH051"/>
      <sheetName val="Mar 2021 AH051"/>
      <sheetName val="Feb 2021 AH051"/>
      <sheetName val="Jan 2021 AH051"/>
      <sheetName val="Dec 2020 AH051"/>
      <sheetName val="Nov 2020 AH051"/>
      <sheetName val="Landfill Cost - Oct 21"/>
      <sheetName val="Landfill Cost - Sep 21"/>
      <sheetName val="Landfill Cost - Aug 21"/>
      <sheetName val="Landfill Cost - July 21"/>
      <sheetName val="Landfill Cost - June 21"/>
      <sheetName val="Landfill Cost - May 21"/>
      <sheetName val="Landfill Cost - Apr 21"/>
      <sheetName val="Landfill Cost - Mar 21"/>
      <sheetName val="Landfill Cost - Feb 21"/>
      <sheetName val="Landfill Cost - Jan 21"/>
      <sheetName val="Landfill Cost - Dec 20"/>
      <sheetName val="Landfill Cost - Nov 20"/>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Pioneer Pricing"/>
      <sheetName val="MF Cust Count"/>
    </sheetNames>
    <sheetDataSet>
      <sheetData sheetId="0">
        <row r="9">
          <cell r="B9">
            <v>166.68</v>
          </cell>
          <cell r="C9">
            <v>169.69000000000011</v>
          </cell>
          <cell r="D9">
            <v>190.78000000000003</v>
          </cell>
          <cell r="E9">
            <v>132.33000000000004</v>
          </cell>
          <cell r="F9">
            <v>167.64</v>
          </cell>
          <cell r="G9">
            <v>153.04000000000002</v>
          </cell>
          <cell r="H9">
            <v>158.83000000000001</v>
          </cell>
          <cell r="I9">
            <v>142.24999999999994</v>
          </cell>
          <cell r="J9">
            <v>154.55999999999997</v>
          </cell>
          <cell r="K9">
            <v>122.88000000000001</v>
          </cell>
          <cell r="L9">
            <v>165.93000000000006</v>
          </cell>
          <cell r="M9">
            <v>150.65999999999997</v>
          </cell>
          <cell r="N9">
            <v>1875.27</v>
          </cell>
        </row>
        <row r="13">
          <cell r="B13">
            <v>-72.580631999999994</v>
          </cell>
          <cell r="C13">
            <v>-63.204141999999969</v>
          </cell>
          <cell r="D13">
            <v>-60.236732000000011</v>
          </cell>
          <cell r="E13">
            <v>-69.997131999999993</v>
          </cell>
          <cell r="F13">
            <v>-64.593232</v>
          </cell>
          <cell r="G13">
            <v>-47.949631999999994</v>
          </cell>
          <cell r="H13">
            <v>-41.422732000000003</v>
          </cell>
          <cell r="I13">
            <v>-19.477295999999996</v>
          </cell>
          <cell r="J13">
            <v>0.85818400000000883</v>
          </cell>
          <cell r="K13">
            <v>14.16164400000001</v>
          </cell>
          <cell r="L13">
            <v>19.965324000000006</v>
          </cell>
          <cell r="M13">
            <v>17.212044000000009</v>
          </cell>
        </row>
        <row r="16">
          <cell r="N16">
            <v>-63315.137285459976</v>
          </cell>
        </row>
        <row r="18">
          <cell r="B18">
            <v>10373</v>
          </cell>
          <cell r="C18">
            <v>10369</v>
          </cell>
          <cell r="D18">
            <v>10369</v>
          </cell>
          <cell r="E18">
            <v>10378</v>
          </cell>
          <cell r="F18">
            <v>10429</v>
          </cell>
          <cell r="G18">
            <v>10591</v>
          </cell>
          <cell r="H18">
            <v>10540</v>
          </cell>
          <cell r="I18">
            <v>10705</v>
          </cell>
          <cell r="J18">
            <v>10706</v>
          </cell>
          <cell r="K18">
            <v>10832</v>
          </cell>
          <cell r="L18">
            <v>10819</v>
          </cell>
          <cell r="M18">
            <v>10778</v>
          </cell>
          <cell r="N18">
            <v>126889</v>
          </cell>
        </row>
        <row r="22">
          <cell r="N22">
            <v>133131.02271454001</v>
          </cell>
        </row>
      </sheetData>
      <sheetData sheetId="1" refreshError="1"/>
      <sheetData sheetId="2">
        <row r="9">
          <cell r="B9">
            <v>64.975363695229888</v>
          </cell>
          <cell r="C9">
            <v>68.42223870967743</v>
          </cell>
          <cell r="D9">
            <v>75.536166917616697</v>
          </cell>
          <cell r="E9">
            <v>61.702168597168615</v>
          </cell>
          <cell r="F9">
            <v>86.401736334405143</v>
          </cell>
          <cell r="G9">
            <v>75.837104648694577</v>
          </cell>
          <cell r="H9">
            <v>68.54918232280103</v>
          </cell>
          <cell r="I9">
            <v>68.522133220910632</v>
          </cell>
          <cell r="J9">
            <v>68.82439949431101</v>
          </cell>
          <cell r="K9">
            <v>89.252640402347041</v>
          </cell>
          <cell r="L9">
            <v>91.882944514501858</v>
          </cell>
          <cell r="M9">
            <v>81.580335429769363</v>
          </cell>
        </row>
        <row r="10">
          <cell r="B10">
            <v>9.52</v>
          </cell>
          <cell r="C10">
            <v>11.08</v>
          </cell>
          <cell r="D10">
            <v>10.85</v>
          </cell>
          <cell r="E10">
            <v>9.1</v>
          </cell>
          <cell r="F10">
            <v>9.73</v>
          </cell>
          <cell r="G10">
            <v>9.8800000000000008</v>
          </cell>
          <cell r="H10">
            <v>9.1999999999999993</v>
          </cell>
          <cell r="I10">
            <v>9.15</v>
          </cell>
          <cell r="J10">
            <v>10.72</v>
          </cell>
          <cell r="K10">
            <v>9.51</v>
          </cell>
          <cell r="L10">
            <v>8.2200000000000006</v>
          </cell>
          <cell r="M10">
            <v>8.43</v>
          </cell>
        </row>
        <row r="11">
          <cell r="N11">
            <v>1016.8764142874334</v>
          </cell>
        </row>
        <row r="16">
          <cell r="B16">
            <v>-33</v>
          </cell>
          <cell r="C16">
            <v>-33</v>
          </cell>
          <cell r="D16">
            <v>-33</v>
          </cell>
          <cell r="E16">
            <v>-33</v>
          </cell>
          <cell r="F16">
            <v>-33</v>
          </cell>
          <cell r="G16">
            <v>-33</v>
          </cell>
          <cell r="H16">
            <v>-33</v>
          </cell>
          <cell r="I16">
            <v>-33</v>
          </cell>
          <cell r="J16">
            <v>-33</v>
          </cell>
          <cell r="K16">
            <v>-33</v>
          </cell>
          <cell r="L16">
            <v>-33</v>
          </cell>
          <cell r="M16">
            <v>-33</v>
          </cell>
        </row>
        <row r="21">
          <cell r="N21">
            <v>-30547.202277121407</v>
          </cell>
        </row>
        <row r="23">
          <cell r="B23">
            <v>4342</v>
          </cell>
          <cell r="C23">
            <v>4359</v>
          </cell>
          <cell r="D23">
            <v>4358</v>
          </cell>
          <cell r="E23">
            <v>4371</v>
          </cell>
          <cell r="F23">
            <v>4374</v>
          </cell>
          <cell r="G23">
            <v>4420</v>
          </cell>
          <cell r="H23">
            <v>4393</v>
          </cell>
          <cell r="I23">
            <v>4453</v>
          </cell>
          <cell r="J23">
            <v>4455</v>
          </cell>
          <cell r="K23">
            <v>4480</v>
          </cell>
          <cell r="L23">
            <v>4477</v>
          </cell>
          <cell r="M23">
            <v>4478</v>
          </cell>
          <cell r="N23">
            <v>52960</v>
          </cell>
        </row>
        <row r="27">
          <cell r="N27">
            <v>61588.117722878596</v>
          </cell>
        </row>
        <row r="39">
          <cell r="B39">
            <v>4.3546363047701258</v>
          </cell>
          <cell r="C39">
            <v>4.5677612903225802</v>
          </cell>
          <cell r="D39">
            <v>5.0438330823833155</v>
          </cell>
          <cell r="E39">
            <v>4.1078314028314011</v>
          </cell>
          <cell r="F39">
            <v>5.7482636655948491</v>
          </cell>
          <cell r="G39">
            <v>4.9928953513054486</v>
          </cell>
          <cell r="H39">
            <v>4.540817677198973</v>
          </cell>
          <cell r="I39">
            <v>4.4778667790893678</v>
          </cell>
          <cell r="J39">
            <v>4.4956005056889987</v>
          </cell>
          <cell r="K39">
            <v>5.8173595976529819</v>
          </cell>
          <cell r="L39">
            <v>5.7670554854981058</v>
          </cell>
          <cell r="M39">
            <v>5.3196645702306142</v>
          </cell>
        </row>
        <row r="40">
          <cell r="B40">
            <v>0.56000000000000005</v>
          </cell>
          <cell r="C40">
            <v>0.64</v>
          </cell>
          <cell r="D40">
            <v>0.62</v>
          </cell>
          <cell r="E40">
            <v>0.53</v>
          </cell>
          <cell r="F40">
            <v>0.55000000000000004</v>
          </cell>
          <cell r="G40">
            <v>0.56000000000000005</v>
          </cell>
          <cell r="H40">
            <v>0.53</v>
          </cell>
          <cell r="I40">
            <v>0.51</v>
          </cell>
          <cell r="J40">
            <v>0.6</v>
          </cell>
          <cell r="K40">
            <v>0.53</v>
          </cell>
          <cell r="L40">
            <v>0.46</v>
          </cell>
          <cell r="M40">
            <v>0.47</v>
          </cell>
        </row>
        <row r="41">
          <cell r="N41">
            <v>65.793585712566767</v>
          </cell>
        </row>
        <row r="51">
          <cell r="N51">
            <v>-2005.6895418312308</v>
          </cell>
        </row>
        <row r="53">
          <cell r="B53">
            <v>291</v>
          </cell>
          <cell r="C53">
            <v>291</v>
          </cell>
          <cell r="D53">
            <v>291</v>
          </cell>
          <cell r="E53">
            <v>291</v>
          </cell>
          <cell r="F53">
            <v>291</v>
          </cell>
          <cell r="G53">
            <v>291</v>
          </cell>
          <cell r="H53">
            <v>291</v>
          </cell>
          <cell r="I53">
            <v>291</v>
          </cell>
          <cell r="J53">
            <v>291</v>
          </cell>
          <cell r="K53">
            <v>292</v>
          </cell>
          <cell r="L53">
            <v>281</v>
          </cell>
          <cell r="M53">
            <v>292</v>
          </cell>
          <cell r="N53">
            <v>3484</v>
          </cell>
        </row>
        <row r="57">
          <cell r="N57">
            <v>4021.7904581687699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Landfill Cost - Oct 20"/>
      <sheetName val="Landfill Cost - Sep 20"/>
      <sheetName val="Landfill Cost - Aug 20"/>
      <sheetName val="Landfill Cost - July 20"/>
      <sheetName val="Landfill Cost - June 20"/>
      <sheetName val="Landfill Cost - May 20"/>
      <sheetName val="Landfill Cost - Apr 20"/>
      <sheetName val="Landfill Cost - Mar 20"/>
      <sheetName val="Landfill Cost - Feb 20"/>
      <sheetName val="Landfill Cost - Jan 20"/>
      <sheetName val="Landfill Cost - Dec 19"/>
      <sheetName val="Landfill Cost - Nov 19"/>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Oct 2020 AH051"/>
      <sheetName val="Sep 2020 AH051"/>
      <sheetName val="Aug 2020 AH051"/>
      <sheetName val="July 2020 AH051"/>
      <sheetName val="June 2020 AH051"/>
      <sheetName val="May 2020 AH051"/>
      <sheetName val="Apr 2020 AH051"/>
      <sheetName val="Mar 2020 AH051"/>
      <sheetName val="Feb 2020 AH051"/>
      <sheetName val="Jan 2020 AH051"/>
      <sheetName val="Dec 2019 AH051"/>
      <sheetName val="Nov 2019 AH051"/>
      <sheetName val="Pioneer Pricing"/>
      <sheetName val="MF Cust Count"/>
    </sheetNames>
    <sheetDataSet>
      <sheetData sheetId="0">
        <row r="9">
          <cell r="B9">
            <v>135.32000000000002</v>
          </cell>
          <cell r="C9">
            <v>158.05000000000004</v>
          </cell>
          <cell r="D9">
            <v>174.72000000000006</v>
          </cell>
          <cell r="E9">
            <v>136.07</v>
          </cell>
          <cell r="F9">
            <v>144.13999999999996</v>
          </cell>
          <cell r="G9">
            <v>165.45999999999998</v>
          </cell>
          <cell r="H9">
            <v>153.18</v>
          </cell>
          <cell r="I9">
            <v>171.43999999999997</v>
          </cell>
          <cell r="J9">
            <v>178.31</v>
          </cell>
          <cell r="K9">
            <v>158.47999999999996</v>
          </cell>
          <cell r="L9">
            <v>164.29</v>
          </cell>
          <cell r="M9">
            <v>169.93000000000004</v>
          </cell>
        </row>
        <row r="13">
          <cell r="B13">
            <v>-112.07739999999998</v>
          </cell>
          <cell r="C13">
            <v>-111.72239999999998</v>
          </cell>
          <cell r="D13">
            <v>-105.466292</v>
          </cell>
          <cell r="E13">
            <v>-103.51889199999999</v>
          </cell>
          <cell r="F13">
            <v>-102.62899200000001</v>
          </cell>
          <cell r="G13">
            <v>-103.82879199999999</v>
          </cell>
          <cell r="H13">
            <v>-87.989891999999998</v>
          </cell>
          <cell r="I13">
            <v>-99.692811999999989</v>
          </cell>
          <cell r="J13">
            <v>-101.05185199999997</v>
          </cell>
          <cell r="K13">
            <v>-94.481131999999988</v>
          </cell>
          <cell r="L13">
            <v>-87.155441999999994</v>
          </cell>
          <cell r="M13">
            <v>-83.977722</v>
          </cell>
        </row>
        <row r="18">
          <cell r="B18">
            <v>10185</v>
          </cell>
          <cell r="C18">
            <v>10184</v>
          </cell>
          <cell r="D18">
            <v>10202</v>
          </cell>
          <cell r="E18">
            <v>10216</v>
          </cell>
          <cell r="F18">
            <v>10274</v>
          </cell>
          <cell r="G18">
            <v>10432</v>
          </cell>
          <cell r="H18">
            <v>10177</v>
          </cell>
          <cell r="I18">
            <v>10208</v>
          </cell>
          <cell r="J18">
            <v>10261</v>
          </cell>
          <cell r="K18">
            <v>10340</v>
          </cell>
          <cell r="L18">
            <v>10374</v>
          </cell>
          <cell r="M18">
            <v>10360</v>
          </cell>
        </row>
      </sheetData>
      <sheetData sheetId="1"/>
      <sheetData sheetId="2">
        <row r="9">
          <cell r="B9">
            <v>59.907750336775926</v>
          </cell>
          <cell r="C9">
            <v>60.073245908989023</v>
          </cell>
          <cell r="D9">
            <v>69.494715118887399</v>
          </cell>
          <cell r="E9">
            <v>61.050224416517047</v>
          </cell>
          <cell r="F9">
            <v>72.914936284372914</v>
          </cell>
          <cell r="G9">
            <v>76.927226760874376</v>
          </cell>
          <cell r="H9">
            <v>75.202772255356763</v>
          </cell>
          <cell r="I9">
            <v>68.609576345984124</v>
          </cell>
          <cell r="J9">
            <v>64.290792642872773</v>
          </cell>
          <cell r="K9">
            <v>72.020540540540551</v>
          </cell>
          <cell r="L9">
            <v>88.765140004341191</v>
          </cell>
          <cell r="M9">
            <v>73.426473388143677</v>
          </cell>
        </row>
        <row r="10">
          <cell r="B10">
            <v>6.97</v>
          </cell>
          <cell r="C10">
            <v>11.83</v>
          </cell>
          <cell r="D10">
            <v>9.66</v>
          </cell>
          <cell r="E10">
            <v>7.81</v>
          </cell>
          <cell r="F10">
            <v>8.41</v>
          </cell>
          <cell r="G10">
            <v>13.42</v>
          </cell>
          <cell r="H10">
            <v>16.02</v>
          </cell>
          <cell r="I10">
            <v>12.07</v>
          </cell>
          <cell r="J10">
            <v>11.62</v>
          </cell>
          <cell r="K10">
            <v>10.79</v>
          </cell>
          <cell r="L10">
            <v>11.29</v>
          </cell>
          <cell r="M10">
            <v>9.51</v>
          </cell>
        </row>
        <row r="16">
          <cell r="B16">
            <v>-30</v>
          </cell>
          <cell r="C16">
            <v>-30</v>
          </cell>
          <cell r="D16">
            <v>-33</v>
          </cell>
          <cell r="E16">
            <v>-33</v>
          </cell>
          <cell r="F16">
            <v>-33</v>
          </cell>
          <cell r="G16">
            <v>-33</v>
          </cell>
          <cell r="H16">
            <v>-33</v>
          </cell>
          <cell r="I16">
            <v>-33</v>
          </cell>
          <cell r="J16">
            <v>-33</v>
          </cell>
          <cell r="K16">
            <v>-33</v>
          </cell>
          <cell r="L16">
            <v>-33</v>
          </cell>
          <cell r="M16">
            <v>-33</v>
          </cell>
        </row>
        <row r="23">
          <cell r="B23">
            <v>4164</v>
          </cell>
          <cell r="C23">
            <v>4171</v>
          </cell>
          <cell r="D23">
            <v>4168</v>
          </cell>
          <cell r="E23">
            <v>4166</v>
          </cell>
          <cell r="F23">
            <v>4183</v>
          </cell>
          <cell r="G23">
            <v>4239</v>
          </cell>
          <cell r="H23">
            <v>4237</v>
          </cell>
          <cell r="I23">
            <v>4242</v>
          </cell>
          <cell r="J23">
            <v>4277</v>
          </cell>
          <cell r="K23">
            <v>4298</v>
          </cell>
          <cell r="L23">
            <v>4316</v>
          </cell>
          <cell r="M23">
            <v>4331</v>
          </cell>
        </row>
        <row r="39">
          <cell r="B39">
            <v>4.1722496632240711</v>
          </cell>
          <cell r="C39">
            <v>4.1767540910109844</v>
          </cell>
          <cell r="D39">
            <v>4.8352848811126004</v>
          </cell>
          <cell r="E39">
            <v>4.2497755834829505</v>
          </cell>
          <cell r="F39">
            <v>5.0550637156270977</v>
          </cell>
          <cell r="G39">
            <v>5.2627732391256368</v>
          </cell>
          <cell r="H39">
            <v>5.1472277446432457</v>
          </cell>
          <cell r="I39">
            <v>4.6904236540158877</v>
          </cell>
          <cell r="J39">
            <v>4.3592073571272172</v>
          </cell>
          <cell r="K39">
            <v>4.8594594594594591</v>
          </cell>
          <cell r="L39">
            <v>5.9848599956587805</v>
          </cell>
          <cell r="M39">
            <v>4.9335266118563359</v>
          </cell>
        </row>
        <row r="40">
          <cell r="B40">
            <v>0.41</v>
          </cell>
          <cell r="C40">
            <v>0.69</v>
          </cell>
          <cell r="D40">
            <v>0.56000000000000005</v>
          </cell>
          <cell r="E40">
            <v>0.46</v>
          </cell>
          <cell r="F40">
            <v>0.49</v>
          </cell>
          <cell r="G40">
            <v>0.77</v>
          </cell>
          <cell r="H40">
            <v>0.92</v>
          </cell>
          <cell r="I40">
            <v>0.69</v>
          </cell>
          <cell r="J40">
            <v>0.67</v>
          </cell>
          <cell r="K40">
            <v>0.6099999999999568</v>
          </cell>
          <cell r="L40">
            <v>0.64</v>
          </cell>
          <cell r="M40">
            <v>0.53</v>
          </cell>
        </row>
        <row r="53">
          <cell r="B53">
            <v>290</v>
          </cell>
          <cell r="C53">
            <v>290</v>
          </cell>
          <cell r="D53">
            <v>290</v>
          </cell>
          <cell r="E53">
            <v>290</v>
          </cell>
          <cell r="F53">
            <v>290</v>
          </cell>
          <cell r="G53">
            <v>290</v>
          </cell>
          <cell r="H53">
            <v>290</v>
          </cell>
          <cell r="I53">
            <v>290</v>
          </cell>
          <cell r="J53">
            <v>290</v>
          </cell>
          <cell r="K53">
            <v>290</v>
          </cell>
          <cell r="L53">
            <v>291</v>
          </cell>
          <cell r="M53">
            <v>291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Landfill Cost - Apr 19"/>
      <sheetName val="Landfill Cost - Mar 19"/>
      <sheetName val="Landfill Cost - Feb 19"/>
      <sheetName val="Landfill Cost - Jan 19"/>
      <sheetName val="Landfill Cost - Dec 18"/>
      <sheetName val="Landfill Cost - Nov 18"/>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Apr 2019 AH051"/>
      <sheetName val="Mar 2019 AH051"/>
      <sheetName val="Feb 2019 AH051"/>
      <sheetName val="Jan 2019 AH051"/>
      <sheetName val="Dec 2018 AH051"/>
      <sheetName val="Nov 2018 AH051"/>
      <sheetName val="Pioneer Pricing"/>
      <sheetName val="MF Cust Count"/>
    </sheetNames>
    <sheetDataSet>
      <sheetData sheetId="0">
        <row r="9">
          <cell r="B9">
            <v>148.71500000000003</v>
          </cell>
          <cell r="C9">
            <v>168.37000000000003</v>
          </cell>
          <cell r="D9">
            <v>186.19</v>
          </cell>
          <cell r="E9">
            <v>134.09999999999997</v>
          </cell>
          <cell r="F9">
            <v>151.87999999999997</v>
          </cell>
          <cell r="G9">
            <v>157.41999999999999</v>
          </cell>
        </row>
        <row r="13">
          <cell r="B13">
            <v>-75.002049999999997</v>
          </cell>
          <cell r="C13">
            <v>-79.117449999999991</v>
          </cell>
          <cell r="D13">
            <v>-87.291550000000001</v>
          </cell>
          <cell r="E13">
            <v>-98.354200000000006</v>
          </cell>
          <cell r="F13">
            <v>-100.63680000000002</v>
          </cell>
          <cell r="G13">
            <v>-106.56740000000001</v>
          </cell>
        </row>
        <row r="18">
          <cell r="B18">
            <v>9995</v>
          </cell>
          <cell r="C18">
            <v>9963</v>
          </cell>
          <cell r="D18">
            <v>9959</v>
          </cell>
          <cell r="E18">
            <v>9960</v>
          </cell>
          <cell r="F18">
            <v>9968</v>
          </cell>
          <cell r="G18">
            <v>10058</v>
          </cell>
        </row>
        <row r="21">
          <cell r="B21">
            <v>-0.98</v>
          </cell>
          <cell r="C21">
            <v>-0.98</v>
          </cell>
          <cell r="D21">
            <v>-1.06</v>
          </cell>
          <cell r="E21">
            <v>-1.06</v>
          </cell>
          <cell r="F21">
            <v>-1.06</v>
          </cell>
          <cell r="G21">
            <v>-1.06</v>
          </cell>
        </row>
      </sheetData>
      <sheetData sheetId="1"/>
      <sheetData sheetId="2">
        <row r="9">
          <cell r="B9">
            <v>74.368845019287505</v>
          </cell>
          <cell r="C9">
            <v>50.59163085274826</v>
          </cell>
          <cell r="D9">
            <v>58.924795335010288</v>
          </cell>
          <cell r="E9">
            <v>58.925752171925005</v>
          </cell>
          <cell r="F9">
            <v>47.103936775073912</v>
          </cell>
          <cell r="G9">
            <v>62.714810298102961</v>
          </cell>
        </row>
        <row r="10">
          <cell r="B10">
            <v>11.68</v>
          </cell>
          <cell r="C10">
            <v>7.77</v>
          </cell>
          <cell r="D10">
            <v>11.79</v>
          </cell>
          <cell r="E10">
            <v>8.1300000000000008</v>
          </cell>
          <cell r="F10">
            <v>10.08</v>
          </cell>
          <cell r="G10">
            <v>9.84</v>
          </cell>
        </row>
        <row r="15">
          <cell r="B15">
            <v>-75.002049999999983</v>
          </cell>
          <cell r="C15">
            <v>-79.117449999999977</v>
          </cell>
          <cell r="D15">
            <v>-87.291550000000001</v>
          </cell>
          <cell r="E15">
            <v>-98.354200000000034</v>
          </cell>
          <cell r="F15">
            <v>-100.63679999999999</v>
          </cell>
          <cell r="G15">
            <v>-106.56739999999998</v>
          </cell>
        </row>
        <row r="16">
          <cell r="B16">
            <v>-30</v>
          </cell>
          <cell r="C16">
            <v>-30</v>
          </cell>
          <cell r="D16">
            <v>-30</v>
          </cell>
          <cell r="E16">
            <v>-30</v>
          </cell>
          <cell r="F16">
            <v>-30</v>
          </cell>
          <cell r="G16">
            <v>-30</v>
          </cell>
        </row>
        <row r="23">
          <cell r="B23">
            <v>4060</v>
          </cell>
          <cell r="C23">
            <v>4080</v>
          </cell>
          <cell r="D23">
            <v>4083</v>
          </cell>
          <cell r="E23">
            <v>4084</v>
          </cell>
          <cell r="F23">
            <v>4107</v>
          </cell>
          <cell r="G23">
            <v>4138</v>
          </cell>
        </row>
        <row r="26">
          <cell r="B26">
            <v>-0.99</v>
          </cell>
          <cell r="C26">
            <v>-0.99</v>
          </cell>
          <cell r="D26">
            <v>-1.26</v>
          </cell>
          <cell r="E26">
            <v>-1.26</v>
          </cell>
          <cell r="F26">
            <v>-1.26</v>
          </cell>
          <cell r="G26">
            <v>-1.26</v>
          </cell>
        </row>
        <row r="39">
          <cell r="B39">
            <v>6.3561549807125033</v>
          </cell>
          <cell r="C39">
            <v>4.2283691472517546</v>
          </cell>
          <cell r="D39">
            <v>4.1852046649897128</v>
          </cell>
          <cell r="E39">
            <v>4.1842478280749873</v>
          </cell>
          <cell r="F39">
            <v>3.3260632249260884</v>
          </cell>
          <cell r="G39">
            <v>4.3951897018970261</v>
          </cell>
        </row>
        <row r="40">
          <cell r="B40">
            <v>0.7</v>
          </cell>
          <cell r="C40">
            <v>0.47</v>
          </cell>
          <cell r="D40">
            <v>0.69</v>
          </cell>
          <cell r="E40">
            <v>0.48</v>
          </cell>
          <cell r="F40">
            <v>0.59</v>
          </cell>
          <cell r="G40">
            <v>0.56999999999999995</v>
          </cell>
        </row>
        <row r="53">
          <cell r="B53">
            <v>347</v>
          </cell>
          <cell r="C53">
            <v>341</v>
          </cell>
          <cell r="D53">
            <v>290</v>
          </cell>
          <cell r="E53">
            <v>290</v>
          </cell>
          <cell r="F53">
            <v>290</v>
          </cell>
          <cell r="G53">
            <v>290</v>
          </cell>
        </row>
        <row r="56">
          <cell r="B56">
            <v>-0.99</v>
          </cell>
          <cell r="C56">
            <v>-0.99</v>
          </cell>
          <cell r="D56">
            <v>-1.24</v>
          </cell>
          <cell r="E56">
            <v>-1.24</v>
          </cell>
          <cell r="F56">
            <v>-1.24</v>
          </cell>
          <cell r="G56">
            <v>-1.24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ing &amp; Mailing"/>
      <sheetName val="Designated RSA-1 Comm Credit"/>
      <sheetName val="Joe's Comm Credit"/>
    </sheetNames>
    <sheetDataSet>
      <sheetData sheetId="0"/>
      <sheetData sheetId="1">
        <row r="25">
          <cell r="G25">
            <v>-1.9430046563665688</v>
          </cell>
        </row>
      </sheetData>
      <sheetData sheetId="2">
        <row r="31">
          <cell r="H31">
            <v>-2.3817294607580517</v>
          </cell>
        </row>
        <row r="63">
          <cell r="H63">
            <v>-2.3297388564075976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Pioneer Pricing"/>
      <sheetName val="Landfill Cost - Apr 18"/>
      <sheetName val="Landfill Cost - Mar 18"/>
      <sheetName val="Landfill Cost - Feb 18"/>
      <sheetName val="Landfill Cost - Jan 18"/>
      <sheetName val="Landfill Cost - Dec 17"/>
      <sheetName val="Landfill Cost - Nov 17"/>
      <sheetName val="Landfill Cost - Oct 17"/>
      <sheetName val="Landfill Cost - Sep 17"/>
      <sheetName val="Landfill Cost - Aug 17"/>
      <sheetName val="Landfill Cost - July 17"/>
      <sheetName val="Landfill Cost - June 17"/>
      <sheetName val="Landfill Cost - May 17"/>
      <sheetName val="Apr 2018 AH051"/>
      <sheetName val="Mar 2018 AH051"/>
      <sheetName val="Feb 2018 AH051"/>
      <sheetName val="Jan 2018 AH051"/>
      <sheetName val="Dec 2017 AH051"/>
      <sheetName val="Nov 2017 AH051"/>
      <sheetName val="Oct 2017 AH051"/>
      <sheetName val="Sept 2017 AH051"/>
      <sheetName val="Aug 2017 AH051"/>
      <sheetName val="July 2017 AH051"/>
      <sheetName val="June 2017 AH051"/>
      <sheetName val="May 2017 AH051"/>
      <sheetName val="Apr 2017 AH051 "/>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MF Cust Count"/>
    </sheetNames>
    <sheetDataSet>
      <sheetData sheetId="0">
        <row r="9">
          <cell r="B9">
            <v>149.89499999999998</v>
          </cell>
          <cell r="C9">
            <v>162.245</v>
          </cell>
          <cell r="D9">
            <v>141.29</v>
          </cell>
          <cell r="E9">
            <v>168.65499999999997</v>
          </cell>
          <cell r="F9">
            <v>168.39750000000001</v>
          </cell>
          <cell r="G9">
            <v>160.35999999999999</v>
          </cell>
          <cell r="H9">
            <v>188.32499999999999</v>
          </cell>
          <cell r="I9">
            <v>161.37000000000006</v>
          </cell>
          <cell r="J9">
            <v>192.49696800000001</v>
          </cell>
          <cell r="K9">
            <v>147.66904399999993</v>
          </cell>
          <cell r="L9">
            <v>178.84150799999992</v>
          </cell>
          <cell r="M9">
            <v>158.48244099999997</v>
          </cell>
        </row>
        <row r="18">
          <cell r="B18">
            <v>9631</v>
          </cell>
          <cell r="C18">
            <v>9656</v>
          </cell>
          <cell r="D18">
            <v>9656</v>
          </cell>
          <cell r="E18">
            <v>9734</v>
          </cell>
          <cell r="F18">
            <v>9747</v>
          </cell>
          <cell r="G18">
            <v>9732</v>
          </cell>
          <cell r="H18">
            <v>9707</v>
          </cell>
          <cell r="I18">
            <v>9718</v>
          </cell>
          <cell r="J18">
            <v>9707</v>
          </cell>
          <cell r="K18">
            <v>9743</v>
          </cell>
          <cell r="L18">
            <v>9798</v>
          </cell>
          <cell r="M18">
            <v>9873</v>
          </cell>
        </row>
      </sheetData>
      <sheetData sheetId="1" refreshError="1"/>
      <sheetData sheetId="2">
        <row r="9">
          <cell r="B9">
            <v>83.405583491461101</v>
          </cell>
          <cell r="C9">
            <v>69.039794242567226</v>
          </cell>
          <cell r="D9">
            <v>65.666514393581906</v>
          </cell>
          <cell r="E9">
            <v>69.978814710705095</v>
          </cell>
          <cell r="F9">
            <v>68.779129251700667</v>
          </cell>
          <cell r="G9">
            <v>79.94561960326719</v>
          </cell>
          <cell r="H9">
            <v>88.871662011173186</v>
          </cell>
          <cell r="I9">
            <v>74.715202278539891</v>
          </cell>
          <cell r="J9">
            <v>72.483155501742957</v>
          </cell>
          <cell r="K9">
            <v>59.258543407132947</v>
          </cell>
          <cell r="L9">
            <v>65.473923267605642</v>
          </cell>
          <cell r="M9">
            <v>69.768464418444594</v>
          </cell>
        </row>
        <row r="10">
          <cell r="B10">
            <v>11.67</v>
          </cell>
          <cell r="C10">
            <v>10.32</v>
          </cell>
          <cell r="D10">
            <v>11.77</v>
          </cell>
          <cell r="E10">
            <v>12.16</v>
          </cell>
          <cell r="F10">
            <v>10.77</v>
          </cell>
          <cell r="G10">
            <v>10.58</v>
          </cell>
          <cell r="H10">
            <v>9.16</v>
          </cell>
          <cell r="I10">
            <v>10.3</v>
          </cell>
          <cell r="J10">
            <v>11.81</v>
          </cell>
          <cell r="K10">
            <v>7.84</v>
          </cell>
          <cell r="L10">
            <v>9.5399999999999991</v>
          </cell>
          <cell r="M10">
            <v>9.07</v>
          </cell>
        </row>
        <row r="23">
          <cell r="B23">
            <v>3884</v>
          </cell>
          <cell r="C23">
            <v>3906</v>
          </cell>
          <cell r="D23">
            <v>3906</v>
          </cell>
          <cell r="E23">
            <v>3937</v>
          </cell>
          <cell r="F23">
            <v>3931</v>
          </cell>
          <cell r="G23">
            <v>3953</v>
          </cell>
          <cell r="H23">
            <v>3964</v>
          </cell>
          <cell r="I23">
            <v>3969</v>
          </cell>
          <cell r="J23">
            <v>3961</v>
          </cell>
          <cell r="K23">
            <v>3976</v>
          </cell>
          <cell r="L23">
            <v>3994</v>
          </cell>
          <cell r="M23">
            <v>4016</v>
          </cell>
        </row>
        <row r="39">
          <cell r="B39">
            <v>7.1294165085388954</v>
          </cell>
          <cell r="C39">
            <v>5.8682057574327464</v>
          </cell>
          <cell r="D39">
            <v>5.5814856064181129</v>
          </cell>
          <cell r="E39">
            <v>5.901185289294915</v>
          </cell>
          <cell r="F39">
            <v>5.8088707482993129</v>
          </cell>
          <cell r="G39">
            <v>6.7143803967327935</v>
          </cell>
          <cell r="H39">
            <v>7.4433379888268121</v>
          </cell>
          <cell r="I39">
            <v>6.2497977214601272</v>
          </cell>
          <cell r="J39">
            <v>6.258328498257022</v>
          </cell>
          <cell r="K39">
            <v>5.0971885928670648</v>
          </cell>
          <cell r="L39">
            <v>5.5244647323943594</v>
          </cell>
          <cell r="M39">
            <v>5.9588105815554053</v>
          </cell>
        </row>
        <row r="40">
          <cell r="B40">
            <v>0.71000000000003638</v>
          </cell>
          <cell r="C40">
            <v>0.62999999999996703</v>
          </cell>
          <cell r="D40">
            <v>0.71999999999997044</v>
          </cell>
          <cell r="E40">
            <v>0.75</v>
          </cell>
          <cell r="F40">
            <v>0.65000000000000568</v>
          </cell>
          <cell r="G40">
            <v>0.63999999999998636</v>
          </cell>
          <cell r="H40">
            <v>0.55000000000003979</v>
          </cell>
          <cell r="I40">
            <v>0.63</v>
          </cell>
          <cell r="J40">
            <v>0.71</v>
          </cell>
          <cell r="K40">
            <v>0.46</v>
          </cell>
          <cell r="L40">
            <v>0.56999999999999995</v>
          </cell>
          <cell r="M40">
            <v>0.54</v>
          </cell>
        </row>
        <row r="53">
          <cell r="B53">
            <v>332</v>
          </cell>
          <cell r="C53">
            <v>332</v>
          </cell>
          <cell r="D53">
            <v>332</v>
          </cell>
          <cell r="E53">
            <v>332</v>
          </cell>
          <cell r="F53">
            <v>332</v>
          </cell>
          <cell r="G53">
            <v>332</v>
          </cell>
          <cell r="H53">
            <v>332</v>
          </cell>
          <cell r="I53">
            <v>332</v>
          </cell>
          <cell r="J53">
            <v>342</v>
          </cell>
          <cell r="K53">
            <v>342</v>
          </cell>
          <cell r="L53">
            <v>337</v>
          </cell>
          <cell r="M53">
            <v>343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s>
    <sheetDataSet>
      <sheetData sheetId="0">
        <row r="17">
          <cell r="B17">
            <v>62.714999999999996</v>
          </cell>
          <cell r="C17">
            <v>85.117999999999995</v>
          </cell>
          <cell r="D17">
            <v>94.094999999999999</v>
          </cell>
          <cell r="E17">
            <v>80.64</v>
          </cell>
          <cell r="F17">
            <v>61.322000000000017</v>
          </cell>
          <cell r="G17">
            <v>22.388999999999996</v>
          </cell>
          <cell r="H17">
            <v>35.187000000000005</v>
          </cell>
          <cell r="I17">
            <v>32.935000000000024</v>
          </cell>
          <cell r="J17">
            <v>-18.190220000000004</v>
          </cell>
          <cell r="K17">
            <v>-33.529720000000005</v>
          </cell>
          <cell r="L17">
            <v>-38.297619999999981</v>
          </cell>
          <cell r="M17">
            <v>-50.726408000000006</v>
          </cell>
        </row>
        <row r="18">
          <cell r="B18">
            <v>30</v>
          </cell>
          <cell r="C18">
            <v>30</v>
          </cell>
          <cell r="D18">
            <v>30</v>
          </cell>
          <cell r="E18">
            <v>30</v>
          </cell>
          <cell r="F18">
            <v>30</v>
          </cell>
          <cell r="G18">
            <v>30</v>
          </cell>
          <cell r="H18">
            <v>30</v>
          </cell>
          <cell r="I18">
            <v>30</v>
          </cell>
          <cell r="J18">
            <v>-30</v>
          </cell>
          <cell r="K18">
            <v>-30</v>
          </cell>
          <cell r="L18">
            <v>-30</v>
          </cell>
          <cell r="M18">
            <v>-30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607CB-D250-473C-ADF7-45F9D2B9EBB2}">
  <sheetPr>
    <tabColor rgb="FF00B050"/>
    <pageSetUpPr fitToPage="1"/>
  </sheetPr>
  <dimension ref="A1:AI36"/>
  <sheetViews>
    <sheetView showGridLines="0" zoomScale="115" zoomScaleNormal="115" zoomScaleSheetLayoutView="100" workbookViewId="0">
      <pane xSplit="1" ySplit="6" topLeftCell="E7" activePane="bottomRight" state="frozen"/>
      <selection activeCell="B40" sqref="B40"/>
      <selection pane="topRight" activeCell="B40" sqref="B40"/>
      <selection pane="bottomLeft" activeCell="B40" sqref="B40"/>
      <selection pane="bottomRight" activeCell="J29" sqref="J29"/>
    </sheetView>
  </sheetViews>
  <sheetFormatPr defaultRowHeight="12.75" x14ac:dyDescent="0.2"/>
  <cols>
    <col min="1" max="1" width="37.85546875" style="1" customWidth="1"/>
    <col min="2" max="12" width="11.85546875" style="1" bestFit="1" customWidth="1"/>
    <col min="13" max="13" width="12.85546875" style="1" customWidth="1"/>
    <col min="14" max="14" width="12.85546875" style="1" bestFit="1" customWidth="1"/>
    <col min="15" max="15" width="2.140625" style="2" customWidth="1"/>
    <col min="16" max="16" width="9.140625" style="1"/>
    <col min="17" max="17" width="12" style="1" customWidth="1"/>
    <col min="18" max="18" width="9.140625" style="1"/>
    <col min="19" max="19" width="11.85546875" style="1" bestFit="1" customWidth="1"/>
    <col min="20" max="20" width="10.28515625" style="1" bestFit="1" customWidth="1"/>
    <col min="21" max="16384" width="9.140625" style="1"/>
  </cols>
  <sheetData>
    <row r="1" spans="1:35" x14ac:dyDescent="0.2">
      <c r="A1" s="3" t="s">
        <v>15</v>
      </c>
    </row>
    <row r="2" spans="1:35" x14ac:dyDescent="0.2">
      <c r="A2" s="39" t="s">
        <v>0</v>
      </c>
      <c r="K2" s="143"/>
    </row>
    <row r="3" spans="1:35" x14ac:dyDescent="0.2">
      <c r="A3" s="3" t="s">
        <v>16</v>
      </c>
      <c r="K3" s="143"/>
    </row>
    <row r="4" spans="1:35" x14ac:dyDescent="0.2">
      <c r="A4" s="3" t="s">
        <v>66</v>
      </c>
      <c r="N4" s="6"/>
    </row>
    <row r="5" spans="1:35" x14ac:dyDescent="0.2">
      <c r="B5" s="3"/>
      <c r="C5" s="3"/>
      <c r="D5" s="3"/>
      <c r="E5" s="3"/>
      <c r="F5" s="3"/>
      <c r="G5" s="3"/>
      <c r="H5" s="3"/>
      <c r="I5" s="3"/>
      <c r="J5" s="3"/>
      <c r="K5" s="3"/>
      <c r="L5" s="3"/>
      <c r="M5" s="3"/>
      <c r="N5" s="40" t="s">
        <v>27</v>
      </c>
      <c r="P5" s="41"/>
      <c r="Q5" s="41"/>
      <c r="R5" s="41"/>
      <c r="S5" s="41"/>
      <c r="T5" s="41"/>
      <c r="U5" s="41"/>
      <c r="V5" s="41"/>
      <c r="W5" s="41"/>
      <c r="X5" s="41"/>
      <c r="Y5" s="41"/>
      <c r="Z5" s="41"/>
      <c r="AA5" s="41"/>
      <c r="AB5" s="41"/>
      <c r="AC5" s="41"/>
    </row>
    <row r="6" spans="1:35" ht="13.5" thickBot="1" x14ac:dyDescent="0.25">
      <c r="A6" s="6"/>
      <c r="B6" s="28">
        <v>44866</v>
      </c>
      <c r="C6" s="28">
        <f>+B6+31</f>
        <v>44897</v>
      </c>
      <c r="D6" s="28">
        <f t="shared" ref="D6:M6" si="0">+C6+31</f>
        <v>44928</v>
      </c>
      <c r="E6" s="28">
        <f t="shared" si="0"/>
        <v>44959</v>
      </c>
      <c r="F6" s="28">
        <f t="shared" si="0"/>
        <v>44990</v>
      </c>
      <c r="G6" s="28">
        <f t="shared" si="0"/>
        <v>45021</v>
      </c>
      <c r="H6" s="28">
        <f t="shared" si="0"/>
        <v>45052</v>
      </c>
      <c r="I6" s="28">
        <f t="shared" si="0"/>
        <v>45083</v>
      </c>
      <c r="J6" s="28">
        <f t="shared" si="0"/>
        <v>45114</v>
      </c>
      <c r="K6" s="28">
        <f t="shared" si="0"/>
        <v>45145</v>
      </c>
      <c r="L6" s="28">
        <f t="shared" si="0"/>
        <v>45176</v>
      </c>
      <c r="M6" s="28">
        <f t="shared" si="0"/>
        <v>45207</v>
      </c>
      <c r="N6" s="40" t="s">
        <v>1</v>
      </c>
      <c r="P6" s="41"/>
      <c r="Q6" s="41"/>
      <c r="R6" s="41"/>
      <c r="S6" s="41"/>
      <c r="T6" s="41"/>
      <c r="U6" s="41"/>
      <c r="V6" s="41"/>
      <c r="W6" s="41"/>
      <c r="X6" s="41"/>
      <c r="Y6" s="41"/>
      <c r="Z6" s="41"/>
      <c r="AA6" s="41"/>
      <c r="AB6" s="41"/>
      <c r="AC6" s="41"/>
    </row>
    <row r="7" spans="1:35" ht="12.75" customHeight="1" x14ac:dyDescent="0.2">
      <c r="A7" s="42"/>
      <c r="B7" s="2"/>
      <c r="C7" s="2"/>
      <c r="D7" s="2"/>
      <c r="E7" s="2"/>
      <c r="F7" s="2"/>
      <c r="G7" s="2"/>
      <c r="H7" s="2"/>
      <c r="I7" s="2"/>
      <c r="J7" s="2"/>
      <c r="K7" s="2"/>
      <c r="L7" s="2"/>
      <c r="M7" s="2"/>
      <c r="N7" s="6"/>
    </row>
    <row r="8" spans="1:35" ht="12.75" customHeight="1" x14ac:dyDescent="0.2">
      <c r="A8" s="3" t="s">
        <v>2</v>
      </c>
    </row>
    <row r="9" spans="1:35" x14ac:dyDescent="0.2">
      <c r="A9" s="1" t="s">
        <v>51</v>
      </c>
      <c r="B9" s="148">
        <f>+'[1]Designated RSA-1 Comm Credi'!B9</f>
        <v>162.29999999999995</v>
      </c>
      <c r="C9" s="148">
        <f>+'[1]Designated RSA-1 Comm Credi'!C9</f>
        <v>158.68</v>
      </c>
      <c r="D9" s="148">
        <f>+'[1]Designated RSA-1 Comm Credi'!D9</f>
        <v>163.41999999999999</v>
      </c>
      <c r="E9" s="148">
        <f>+'[1]Designated RSA-1 Comm Credi'!E9</f>
        <v>127.61999999999999</v>
      </c>
      <c r="F9" s="148">
        <f>+'[1]Designated RSA-1 Comm Credi'!F9</f>
        <v>149.49000000000004</v>
      </c>
      <c r="G9" s="148">
        <f>+'[1]Designated RSA-1 Comm Credi'!G9</f>
        <v>126.35999999999999</v>
      </c>
      <c r="H9" s="148">
        <f>+'[1]Designated RSA-1 Comm Credi'!H9</f>
        <v>144.54000000000002</v>
      </c>
      <c r="I9" s="148">
        <f>+'[1]Designated RSA-1 Comm Credi'!I9</f>
        <v>142.48000000000002</v>
      </c>
      <c r="J9" s="148">
        <f>+'[1]Designated RSA-1 Comm Credi'!J9</f>
        <v>143.63</v>
      </c>
      <c r="K9" s="148">
        <f>+'[1]Designated RSA-1 Comm Credi'!K9</f>
        <v>146.26999999999998</v>
      </c>
      <c r="L9" s="148">
        <f>+'[1]Designated RSA-1 Comm Credi'!L9</f>
        <v>134.03000000000003</v>
      </c>
      <c r="M9" s="148">
        <f>+'[1]Designated RSA-1 Comm Credi'!M9</f>
        <v>141.91</v>
      </c>
      <c r="N9" s="27">
        <f>SUM(B9:M9)</f>
        <v>1740.73</v>
      </c>
      <c r="P9" s="23"/>
      <c r="Q9" s="148">
        <f>+'[1]Designated RSA-1 Comm Credi'!$N$9-N9</f>
        <v>0</v>
      </c>
      <c r="R9" s="23"/>
      <c r="S9" s="23"/>
      <c r="T9" s="23"/>
      <c r="U9" s="23"/>
      <c r="V9" s="23"/>
      <c r="W9" s="23"/>
      <c r="X9" s="23"/>
      <c r="Y9" s="23"/>
      <c r="Z9" s="23"/>
      <c r="AA9" s="23"/>
      <c r="AB9" s="23"/>
      <c r="AC9" s="23"/>
      <c r="AD9" s="23"/>
      <c r="AE9" s="23"/>
      <c r="AF9" s="23"/>
      <c r="AG9" s="23"/>
      <c r="AH9" s="23"/>
      <c r="AI9" s="23"/>
    </row>
    <row r="10" spans="1:35" x14ac:dyDescent="0.2">
      <c r="B10" s="2"/>
      <c r="C10" s="2"/>
      <c r="D10" s="2"/>
      <c r="E10" s="2"/>
      <c r="F10" s="2"/>
      <c r="G10" s="2"/>
      <c r="H10" s="2"/>
      <c r="I10" s="2"/>
      <c r="J10" s="2"/>
      <c r="K10" s="2"/>
      <c r="L10" s="2"/>
      <c r="M10" s="2"/>
      <c r="N10" s="7"/>
    </row>
    <row r="11" spans="1:35" x14ac:dyDescent="0.2">
      <c r="N11" s="8"/>
    </row>
    <row r="12" spans="1:35" x14ac:dyDescent="0.2">
      <c r="A12" s="3" t="s">
        <v>52</v>
      </c>
      <c r="B12" s="149">
        <f>+'[1]Designated RSA-1 Comm Credi'!B$13</f>
        <v>-117.39685000000004</v>
      </c>
      <c r="C12" s="149">
        <f>+'[1]Designated RSA-1 Comm Credi'!C$13</f>
        <v>-131.00376</v>
      </c>
      <c r="D12" s="149">
        <f>+'[1]Designated RSA-1 Comm Credi'!D$13</f>
        <v>-130.912564</v>
      </c>
      <c r="E12" s="149">
        <f>+'[1]Designated RSA-1 Comm Credi'!E$13</f>
        <v>-114.59896399999998</v>
      </c>
      <c r="F12" s="149">
        <f>+'[1]Designated RSA-1 Comm Credi'!F$13</f>
        <v>-115.28181599999996</v>
      </c>
      <c r="G12" s="149">
        <f>+'[1]Designated RSA-1 Comm Credi'!G$13</f>
        <v>-111.80251600000003</v>
      </c>
      <c r="H12" s="149">
        <f>+'[1]Designated RSA-1 Comm Credi'!H$13</f>
        <v>-106.30761599999997</v>
      </c>
      <c r="I12" s="149">
        <f>+'[1]Designated RSA-1 Comm Credi'!I$13</f>
        <v>-109.36141599999999</v>
      </c>
      <c r="J12" s="149">
        <f>+'[1]Designated RSA-1 Comm Credi'!J$13</f>
        <v>-122.21801600000001</v>
      </c>
      <c r="K12" s="149">
        <f>+'[1]Designated RSA-1 Comm Credi'!K$13</f>
        <v>-124.96461600000004</v>
      </c>
      <c r="L12" s="149">
        <f>+'[1]Designated RSA-1 Comm Credi'!L$13</f>
        <v>-116.22791600000001</v>
      </c>
      <c r="M12" s="149">
        <f>+'[1]Designated RSA-1 Comm Credi'!M$13</f>
        <v>-105.89291600000003</v>
      </c>
      <c r="N12" s="17"/>
      <c r="P12" s="18"/>
      <c r="U12" s="23"/>
      <c r="V12" s="23"/>
      <c r="W12" s="23"/>
      <c r="X12" s="23"/>
      <c r="Y12" s="23"/>
      <c r="Z12" s="23"/>
      <c r="AA12" s="23"/>
      <c r="AB12" s="23"/>
      <c r="AC12" s="23"/>
      <c r="AD12" s="23"/>
    </row>
    <row r="13" spans="1:35" x14ac:dyDescent="0.2">
      <c r="N13" s="8"/>
    </row>
    <row r="14" spans="1:35" x14ac:dyDescent="0.2">
      <c r="A14" s="134" t="s">
        <v>53</v>
      </c>
      <c r="B14" s="135">
        <f>+B9*B12</f>
        <v>-19053.508755000003</v>
      </c>
      <c r="C14" s="135">
        <f t="shared" ref="C14:J14" si="1">+C9*C12</f>
        <v>-20787.676636800003</v>
      </c>
      <c r="D14" s="135">
        <f t="shared" si="1"/>
        <v>-21393.731208879999</v>
      </c>
      <c r="E14" s="135">
        <f t="shared" si="1"/>
        <v>-14625.119785679997</v>
      </c>
      <c r="F14" s="135">
        <f t="shared" si="1"/>
        <v>-17233.47867384</v>
      </c>
      <c r="G14" s="135">
        <f t="shared" si="1"/>
        <v>-14127.365921760002</v>
      </c>
      <c r="H14" s="135">
        <f t="shared" si="1"/>
        <v>-15365.702816639998</v>
      </c>
      <c r="I14" s="135">
        <f t="shared" si="1"/>
        <v>-15581.814551680001</v>
      </c>
      <c r="J14" s="135">
        <f t="shared" si="1"/>
        <v>-17554.173638079999</v>
      </c>
      <c r="K14" s="135">
        <f>+K9*K12</f>
        <v>-18278.574382320003</v>
      </c>
      <c r="L14" s="135">
        <f>+L9*L12</f>
        <v>-15578.027581480004</v>
      </c>
      <c r="M14" s="135">
        <f>+M9*M12</f>
        <v>-15027.263709560004</v>
      </c>
      <c r="N14" s="135">
        <f>SUM(B14:M14)</f>
        <v>-204606.43766172003</v>
      </c>
      <c r="O14" s="132"/>
      <c r="P14" s="43"/>
    </row>
    <row r="15" spans="1:35" x14ac:dyDescent="0.2">
      <c r="N15" s="8"/>
    </row>
    <row r="16" spans="1:35" s="5" customFormat="1" x14ac:dyDescent="0.2">
      <c r="A16" s="3" t="s">
        <v>6</v>
      </c>
      <c r="B16" s="150">
        <f>+'[1]Designated RSA-1 Comm Credi'!B$18</f>
        <v>11108</v>
      </c>
      <c r="C16" s="150">
        <f>+'[1]Designated RSA-1 Comm Credi'!C$18</f>
        <v>11083</v>
      </c>
      <c r="D16" s="150">
        <f>+'[1]Designated RSA-1 Comm Credi'!D$18</f>
        <v>11090</v>
      </c>
      <c r="E16" s="150">
        <f>+'[1]Designated RSA-1 Comm Credi'!E$18</f>
        <v>10962</v>
      </c>
      <c r="F16" s="150">
        <f>+'[1]Designated RSA-1 Comm Credi'!F$18</f>
        <v>11120</v>
      </c>
      <c r="G16" s="150">
        <f>+'[1]Designated RSA-1 Comm Credi'!G$18</f>
        <v>11092</v>
      </c>
      <c r="H16" s="150">
        <f>+'[1]Designated RSA-1 Comm Credi'!H$18</f>
        <v>11242</v>
      </c>
      <c r="I16" s="150">
        <f>+'[1]Designated RSA-1 Comm Credi'!I$18</f>
        <v>11288</v>
      </c>
      <c r="J16" s="150">
        <f>+'[1]Designated RSA-1 Comm Credi'!J$18</f>
        <v>11342</v>
      </c>
      <c r="K16" s="150">
        <f>+'[1]Designated RSA-1 Comm Credi'!K$18</f>
        <v>11377</v>
      </c>
      <c r="L16" s="150">
        <f>+'[1]Designated RSA-1 Comm Credi'!L$18</f>
        <v>11363</v>
      </c>
      <c r="M16" s="150">
        <f>+'[1]Designated RSA-1 Comm Credi'!M$18</f>
        <v>11194</v>
      </c>
      <c r="N16" s="21">
        <f>SUM(B16:M16)</f>
        <v>134261</v>
      </c>
      <c r="O16" s="2"/>
      <c r="P16" s="13"/>
      <c r="Q16" s="12">
        <f>+'[1]Designated RSA-1 Comm Credi'!$N$18-N16</f>
        <v>0</v>
      </c>
      <c r="R16" s="14"/>
    </row>
    <row r="17" spans="1:19" s="5" customFormat="1" x14ac:dyDescent="0.2">
      <c r="A17" s="15"/>
      <c r="B17" s="2">
        <f>+B14/B16</f>
        <v>-1.7152960708498382</v>
      </c>
      <c r="N17" s="7"/>
      <c r="O17" s="2"/>
      <c r="P17" s="13"/>
      <c r="Q17" s="12"/>
      <c r="R17" s="14"/>
    </row>
    <row r="18" spans="1:19" x14ac:dyDescent="0.2">
      <c r="A18" s="1" t="s">
        <v>54</v>
      </c>
      <c r="B18" s="16">
        <f>+IFERROR(B14/B16,0)</f>
        <v>-1.7152960708498382</v>
      </c>
      <c r="C18" s="16">
        <f t="shared" ref="C18:M18" si="2">+IFERROR(C14/C16,0)</f>
        <v>-1.8756362570423173</v>
      </c>
      <c r="D18" s="16">
        <f t="shared" si="2"/>
        <v>-1.9291011008908927</v>
      </c>
      <c r="E18" s="16">
        <f t="shared" si="2"/>
        <v>-1.3341652787520524</v>
      </c>
      <c r="F18" s="16">
        <f t="shared" si="2"/>
        <v>-1.5497732620359712</v>
      </c>
      <c r="G18" s="16">
        <f t="shared" si="2"/>
        <v>-1.2736536171799497</v>
      </c>
      <c r="H18" s="16">
        <f t="shared" si="2"/>
        <v>-1.3668122057142855</v>
      </c>
      <c r="I18" s="16">
        <f t="shared" si="2"/>
        <v>-1.3803875400141745</v>
      </c>
      <c r="J18" s="16">
        <f t="shared" si="2"/>
        <v>-1.5477141278504671</v>
      </c>
      <c r="K18" s="16">
        <f t="shared" si="2"/>
        <v>-1.6066251544625123</v>
      </c>
      <c r="L18" s="16">
        <f t="shared" si="2"/>
        <v>-1.3709431999894397</v>
      </c>
      <c r="M18" s="16">
        <f t="shared" si="2"/>
        <v>-1.342439137891728</v>
      </c>
      <c r="N18" s="17"/>
      <c r="P18" s="18"/>
    </row>
    <row r="19" spans="1:19" x14ac:dyDescent="0.2">
      <c r="A19" s="1" t="s">
        <v>55</v>
      </c>
      <c r="B19" s="151">
        <f>+'RSA-1 CPA Eff. 1.1.2023'!M19</f>
        <v>-0.5</v>
      </c>
      <c r="C19" s="151">
        <f>+'RSA-1 CPA Eff. 1.1.2023'!M19</f>
        <v>-0.5</v>
      </c>
      <c r="D19" s="151">
        <f>-'RSA-1 CPA Eff. 1.1.2023'!$N$24</f>
        <v>-0.76</v>
      </c>
      <c r="E19" s="151">
        <f>-'RSA-1 CPA Eff. 1.1.2023'!$N$24</f>
        <v>-0.76</v>
      </c>
      <c r="F19" s="151">
        <f>-'RSA-1 CPA Eff. 1.1.2023'!$N$24</f>
        <v>-0.76</v>
      </c>
      <c r="G19" s="151">
        <f>-'RSA-1 CPA Eff. 1.1.2023'!$N$24</f>
        <v>-0.76</v>
      </c>
      <c r="H19" s="151">
        <f>-'RSA-1 CPA Eff. 1.1.2023'!$N$24</f>
        <v>-0.76</v>
      </c>
      <c r="I19" s="151">
        <f>-'RSA-1 CPA Eff. 1.1.2023'!$N$24</f>
        <v>-0.76</v>
      </c>
      <c r="J19" s="151">
        <f>-'RSA-1 CPA Eff. 1.1.2023'!$N$24</f>
        <v>-0.76</v>
      </c>
      <c r="K19" s="151">
        <f>-'RSA-1 CPA Eff. 1.1.2023'!$N$24</f>
        <v>-0.76</v>
      </c>
      <c r="L19" s="151">
        <f>-'RSA-1 CPA Eff. 1.1.2023'!$N$24</f>
        <v>-0.76</v>
      </c>
      <c r="M19" s="151">
        <f>-'RSA-1 CPA Eff. 1.1.2023'!$N$24</f>
        <v>-0.76</v>
      </c>
      <c r="N19" s="17"/>
      <c r="P19" s="19"/>
    </row>
    <row r="20" spans="1:19" x14ac:dyDescent="0.2">
      <c r="A20" s="1" t="s">
        <v>56</v>
      </c>
      <c r="B20" s="10">
        <f>+B19*B16</f>
        <v>-5554</v>
      </c>
      <c r="C20" s="10">
        <f t="shared" ref="C20:M20" si="3">+C19*C16</f>
        <v>-5541.5</v>
      </c>
      <c r="D20" s="10">
        <f t="shared" si="3"/>
        <v>-8428.4</v>
      </c>
      <c r="E20" s="10">
        <f t="shared" si="3"/>
        <v>-8331.1200000000008</v>
      </c>
      <c r="F20" s="10">
        <f t="shared" si="3"/>
        <v>-8451.2000000000007</v>
      </c>
      <c r="G20" s="10">
        <f t="shared" si="3"/>
        <v>-8429.92</v>
      </c>
      <c r="H20" s="10">
        <f t="shared" si="3"/>
        <v>-8543.92</v>
      </c>
      <c r="I20" s="10">
        <f t="shared" si="3"/>
        <v>-8578.8799999999992</v>
      </c>
      <c r="J20" s="10">
        <f t="shared" si="3"/>
        <v>-8619.92</v>
      </c>
      <c r="K20" s="10">
        <f t="shared" si="3"/>
        <v>-8646.52</v>
      </c>
      <c r="L20" s="10">
        <f t="shared" si="3"/>
        <v>-8635.8799999999992</v>
      </c>
      <c r="M20" s="10">
        <f t="shared" si="3"/>
        <v>-8507.44</v>
      </c>
      <c r="N20" s="17"/>
      <c r="P20" s="19"/>
    </row>
    <row r="21" spans="1:19" ht="13.5" thickBot="1" x14ac:dyDescent="0.25">
      <c r="A21" s="133" t="s">
        <v>57</v>
      </c>
      <c r="B21" s="136">
        <f>+B20-B14</f>
        <v>13499.508755000003</v>
      </c>
      <c r="C21" s="136">
        <f t="shared" ref="C21:M21" si="4">+C20-C14</f>
        <v>15246.176636800003</v>
      </c>
      <c r="D21" s="136">
        <f>+D20-D14</f>
        <v>12965.331208879999</v>
      </c>
      <c r="E21" s="136">
        <f t="shared" si="4"/>
        <v>6293.9997856799964</v>
      </c>
      <c r="F21" s="136">
        <f t="shared" si="4"/>
        <v>8782.2786738399991</v>
      </c>
      <c r="G21" s="136">
        <f t="shared" si="4"/>
        <v>5697.4459217600015</v>
      </c>
      <c r="H21" s="136">
        <f t="shared" si="4"/>
        <v>6821.7828166399977</v>
      </c>
      <c r="I21" s="136">
        <f t="shared" si="4"/>
        <v>7002.9345516800022</v>
      </c>
      <c r="J21" s="136">
        <f t="shared" si="4"/>
        <v>8934.2536380799993</v>
      </c>
      <c r="K21" s="136">
        <f t="shared" si="4"/>
        <v>9632.0543823200023</v>
      </c>
      <c r="L21" s="136">
        <f t="shared" si="4"/>
        <v>6942.1475814800051</v>
      </c>
      <c r="M21" s="136">
        <f t="shared" si="4"/>
        <v>6519.8237095600034</v>
      </c>
      <c r="N21" s="136">
        <f>SUM(B21:M21)</f>
        <v>108337.73766172002</v>
      </c>
      <c r="P21" s="5"/>
      <c r="Q21" s="155">
        <f>+'[1]Designated RSA-1 Comm Credi'!$N$22+N21</f>
        <v>-234.05999999998312</v>
      </c>
      <c r="R21" s="1" t="s">
        <v>43</v>
      </c>
    </row>
    <row r="22" spans="1:19" x14ac:dyDescent="0.2">
      <c r="B22" s="5"/>
      <c r="C22" s="5"/>
      <c r="D22" s="5"/>
      <c r="E22" s="5"/>
      <c r="F22" s="5"/>
      <c r="G22" s="5"/>
      <c r="H22" s="5"/>
      <c r="I22" s="5"/>
      <c r="J22" s="5"/>
      <c r="K22" s="5"/>
      <c r="L22" s="5"/>
      <c r="M22" s="5"/>
      <c r="N22" s="21"/>
    </row>
    <row r="23" spans="1:19" ht="15" x14ac:dyDescent="0.25">
      <c r="A23" s="55"/>
      <c r="B23" s="45"/>
      <c r="C23" s="45"/>
      <c r="D23" s="45"/>
      <c r="E23" s="45"/>
      <c r="F23" s="45"/>
      <c r="G23" s="45"/>
      <c r="H23" s="45"/>
      <c r="I23" s="45"/>
      <c r="J23" s="45"/>
      <c r="K23" s="45"/>
      <c r="L23" s="45"/>
      <c r="M23" s="72" t="s">
        <v>19</v>
      </c>
      <c r="N23" s="52">
        <f>ROUND(N21/N16,2)</f>
        <v>0.81</v>
      </c>
      <c r="O23" s="22"/>
      <c r="Q23" s="46"/>
    </row>
    <row r="24" spans="1:19" x14ac:dyDescent="0.2">
      <c r="B24" s="49"/>
      <c r="C24" s="49"/>
      <c r="D24" s="49"/>
      <c r="E24" s="49"/>
      <c r="F24" s="49"/>
      <c r="G24" s="49"/>
      <c r="H24" s="49"/>
      <c r="I24" s="49"/>
      <c r="J24" s="49"/>
      <c r="K24" s="49"/>
      <c r="L24" s="22"/>
      <c r="M24" s="72" t="s">
        <v>60</v>
      </c>
      <c r="N24" s="118">
        <f>-ROUND(N14/N16,2)</f>
        <v>1.52</v>
      </c>
      <c r="O24" s="22"/>
      <c r="Q24" s="18"/>
    </row>
    <row r="25" spans="1:19" x14ac:dyDescent="0.2">
      <c r="B25" s="22"/>
      <c r="C25" s="22"/>
      <c r="D25" s="22"/>
      <c r="E25" s="22"/>
      <c r="F25" s="22"/>
      <c r="G25" s="22"/>
      <c r="H25" s="22"/>
      <c r="I25" s="22"/>
      <c r="J25" s="22"/>
      <c r="K25" s="22"/>
      <c r="L25" s="22"/>
      <c r="M25" s="73" t="s">
        <v>41</v>
      </c>
      <c r="N25" s="53">
        <f>+N23+N24</f>
        <v>2.33</v>
      </c>
      <c r="O25" s="22"/>
      <c r="Q25" s="46"/>
    </row>
    <row r="26" spans="1:19" ht="15" x14ac:dyDescent="0.25">
      <c r="B26" s="125"/>
      <c r="C26" s="22"/>
      <c r="D26" s="22"/>
      <c r="E26" s="22"/>
      <c r="F26" s="22"/>
      <c r="G26" s="22"/>
      <c r="H26" s="22"/>
      <c r="I26" s="22"/>
      <c r="J26" s="22"/>
      <c r="K26" s="22"/>
      <c r="L26" s="22"/>
      <c r="M26" s="22"/>
      <c r="N26" s="52"/>
      <c r="O26" s="22"/>
    </row>
    <row r="27" spans="1:19" x14ac:dyDescent="0.2">
      <c r="A27" s="3"/>
      <c r="B27" s="126"/>
      <c r="C27" s="22"/>
      <c r="D27" s="22"/>
      <c r="E27" s="22"/>
      <c r="F27" s="22"/>
      <c r="G27" s="22"/>
      <c r="H27" s="22"/>
      <c r="I27" s="22"/>
      <c r="J27" s="22"/>
      <c r="K27" s="22"/>
      <c r="L27" s="22"/>
      <c r="M27" s="72" t="s">
        <v>42</v>
      </c>
      <c r="N27" s="151">
        <f>+'RSA-1 CPA Eff. 1.1.2023'!N25</f>
        <v>0.85</v>
      </c>
      <c r="O27" s="1"/>
      <c r="P27" s="47"/>
      <c r="Q27" s="48"/>
    </row>
    <row r="28" spans="1:19" x14ac:dyDescent="0.2">
      <c r="A28" s="3"/>
      <c r="B28" s="22"/>
      <c r="C28" s="22"/>
      <c r="D28" s="22"/>
      <c r="E28" s="22"/>
      <c r="F28" s="22"/>
      <c r="G28" s="22"/>
      <c r="H28" s="22"/>
      <c r="I28" s="22"/>
      <c r="J28" s="22"/>
      <c r="K28" s="22"/>
      <c r="L28" s="22"/>
      <c r="M28" s="72" t="s">
        <v>9</v>
      </c>
      <c r="N28" s="9">
        <f>+N25-N27</f>
        <v>1.48</v>
      </c>
      <c r="O28" s="1"/>
      <c r="P28" s="71">
        <f>N28/N27</f>
        <v>1.7411764705882353</v>
      </c>
    </row>
    <row r="29" spans="1:19" x14ac:dyDescent="0.2">
      <c r="B29" s="49"/>
      <c r="C29" s="49"/>
      <c r="D29" s="49"/>
      <c r="E29" s="49"/>
      <c r="F29" s="49"/>
      <c r="G29" s="49"/>
      <c r="H29" s="49"/>
      <c r="I29" s="49"/>
      <c r="J29" s="49"/>
      <c r="K29" s="49"/>
      <c r="L29" s="22"/>
      <c r="M29" s="72" t="s">
        <v>34</v>
      </c>
      <c r="N29" s="34">
        <f>N28*N16</f>
        <v>198706.28</v>
      </c>
      <c r="O29" s="1"/>
      <c r="P29" s="50"/>
    </row>
    <row r="30" spans="1:19" x14ac:dyDescent="0.2">
      <c r="B30" s="22"/>
      <c r="C30" s="22"/>
      <c r="D30" s="22"/>
      <c r="E30" s="22"/>
      <c r="F30" s="22"/>
      <c r="G30" s="22"/>
      <c r="H30" s="22"/>
      <c r="I30" s="22"/>
      <c r="J30" s="22"/>
      <c r="K30" s="22"/>
      <c r="L30" s="22"/>
      <c r="M30" s="22"/>
      <c r="N30" s="109"/>
      <c r="P30" s="33"/>
    </row>
    <row r="31" spans="1:19" x14ac:dyDescent="0.2">
      <c r="N31" s="31"/>
      <c r="P31" s="19"/>
    </row>
    <row r="32" spans="1:19" x14ac:dyDescent="0.2">
      <c r="P32" s="5"/>
      <c r="Q32" s="12"/>
      <c r="R32" s="1" t="s">
        <v>63</v>
      </c>
      <c r="S32" s="139">
        <f>+N14</f>
        <v>-204606.43766172003</v>
      </c>
    </row>
    <row r="33" spans="13:19" x14ac:dyDescent="0.2">
      <c r="M33" s="54"/>
      <c r="N33" s="30"/>
      <c r="Q33" s="46"/>
      <c r="R33" s="1" t="s">
        <v>64</v>
      </c>
      <c r="S33" s="139">
        <f>+'Joe''s CPA Eff. 1.1.2023'!N20</f>
        <v>-49070.701256019107</v>
      </c>
    </row>
    <row r="34" spans="13:19" x14ac:dyDescent="0.2">
      <c r="M34" s="54"/>
      <c r="N34" s="51"/>
      <c r="Q34" s="18"/>
      <c r="R34" s="1" t="s">
        <v>65</v>
      </c>
      <c r="S34" s="139">
        <f>+'Joe''s CPA Eff. 1.1.2023'!N52</f>
        <v>-3049.7192579108937</v>
      </c>
    </row>
    <row r="35" spans="13:19" ht="15" x14ac:dyDescent="0.25">
      <c r="M35" s="55"/>
      <c r="N35" s="27"/>
      <c r="Q35" s="46"/>
      <c r="S35" s="139">
        <f>SUM(S32:S34)</f>
        <v>-256726.85817565004</v>
      </c>
    </row>
    <row r="36" spans="13:19" ht="15" x14ac:dyDescent="0.25">
      <c r="M36" s="55"/>
      <c r="N36" s="56"/>
      <c r="S36" s="139"/>
    </row>
  </sheetData>
  <pageMargins left="0.25" right="0.25" top="0.75" bottom="0.75" header="0.3" footer="0.3"/>
  <pageSetup scale="55"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BB102"/>
  <sheetViews>
    <sheetView showGridLines="0" zoomScaleNormal="100" workbookViewId="0">
      <selection activeCell="H29" sqref="H29"/>
    </sheetView>
  </sheetViews>
  <sheetFormatPr defaultRowHeight="12.75" x14ac:dyDescent="0.2"/>
  <cols>
    <col min="1" max="1" width="35.85546875" style="1" customWidth="1"/>
    <col min="2" max="8" width="12.5703125" style="1" customWidth="1"/>
    <col min="9" max="9" width="11.85546875" style="1" bestFit="1" customWidth="1"/>
    <col min="10" max="10" width="11.28515625" style="1" bestFit="1" customWidth="1"/>
    <col min="11" max="16384" width="9.140625" style="1"/>
  </cols>
  <sheetData>
    <row r="1" spans="1:23" x14ac:dyDescent="0.2">
      <c r="A1" s="3" t="s">
        <v>15</v>
      </c>
      <c r="B1" s="26"/>
      <c r="C1" s="26"/>
      <c r="D1" s="26"/>
      <c r="E1" s="26"/>
      <c r="F1" s="26"/>
      <c r="G1" s="26"/>
      <c r="H1" s="6"/>
    </row>
    <row r="2" spans="1:23" x14ac:dyDescent="0.2">
      <c r="A2" s="3" t="s">
        <v>10</v>
      </c>
      <c r="B2" s="26"/>
      <c r="C2" s="26"/>
      <c r="D2" s="26"/>
      <c r="E2" s="26"/>
      <c r="F2" s="26"/>
      <c r="G2" s="26"/>
      <c r="H2" s="6"/>
    </row>
    <row r="3" spans="1:23" x14ac:dyDescent="0.2">
      <c r="A3" s="3" t="s">
        <v>16</v>
      </c>
      <c r="B3" s="26"/>
      <c r="C3" s="26"/>
      <c r="D3" s="26"/>
      <c r="E3" s="26"/>
      <c r="F3" s="26"/>
      <c r="G3" s="26"/>
      <c r="H3" s="6"/>
    </row>
    <row r="4" spans="1:23" x14ac:dyDescent="0.2">
      <c r="A4" s="3" t="str">
        <f>'RSA-1 CPA Eff. 1.1.2020'!A4</f>
        <v>Effective January 1, 2020</v>
      </c>
      <c r="B4" s="26"/>
      <c r="C4" s="26"/>
      <c r="D4" s="26"/>
      <c r="E4" s="26"/>
      <c r="F4" s="26"/>
      <c r="G4" s="26"/>
      <c r="H4" s="6"/>
    </row>
    <row r="5" spans="1:23" x14ac:dyDescent="0.2">
      <c r="A5" s="3"/>
      <c r="B5" s="26"/>
      <c r="C5" s="26"/>
      <c r="D5" s="26"/>
      <c r="E5" s="26"/>
      <c r="F5" s="26"/>
      <c r="G5" s="26"/>
      <c r="H5" s="40" t="s">
        <v>24</v>
      </c>
    </row>
    <row r="6" spans="1:23" ht="13.5" thickBot="1" x14ac:dyDescent="0.25">
      <c r="A6" s="60" t="s">
        <v>18</v>
      </c>
      <c r="B6" s="28">
        <f>'RSA-1 CPA Eff. 1.1.2020'!B6</f>
        <v>43586</v>
      </c>
      <c r="C6" s="28">
        <f>'RSA-1 CPA Eff. 1.1.2020'!C6</f>
        <v>43617</v>
      </c>
      <c r="D6" s="28">
        <f>'RSA-1 CPA Eff. 1.1.2020'!D6</f>
        <v>43647</v>
      </c>
      <c r="E6" s="28">
        <f>'RSA-1 CPA Eff. 1.1.2020'!E6</f>
        <v>43678</v>
      </c>
      <c r="F6" s="28">
        <f>'RSA-1 CPA Eff. 1.1.2020'!F6</f>
        <v>43709</v>
      </c>
      <c r="G6" s="28">
        <f>'RSA-1 CPA Eff. 1.1.2020'!G6</f>
        <v>43739</v>
      </c>
      <c r="H6" s="58" t="s">
        <v>1</v>
      </c>
      <c r="I6" s="59"/>
      <c r="J6" s="59"/>
      <c r="K6" s="59"/>
    </row>
    <row r="7" spans="1:23" x14ac:dyDescent="0.2">
      <c r="B7" s="4"/>
      <c r="C7" s="4"/>
      <c r="D7" s="4"/>
      <c r="E7" s="61"/>
      <c r="F7" s="4"/>
      <c r="G7" s="4"/>
      <c r="H7" s="40"/>
      <c r="I7" s="59"/>
      <c r="J7" s="59"/>
      <c r="K7" s="59"/>
    </row>
    <row r="8" spans="1:23" x14ac:dyDescent="0.2">
      <c r="A8" s="3" t="s">
        <v>2</v>
      </c>
      <c r="B8" s="31"/>
      <c r="C8" s="31"/>
      <c r="D8" s="31"/>
      <c r="E8" s="31"/>
      <c r="F8" s="31"/>
      <c r="G8" s="31"/>
    </row>
    <row r="9" spans="1:23" x14ac:dyDescent="0.2">
      <c r="A9" s="1" t="s">
        <v>3</v>
      </c>
      <c r="B9" s="97">
        <v>75.084124293785337</v>
      </c>
      <c r="C9" s="97">
        <v>61.532455347049506</v>
      </c>
      <c r="D9" s="97">
        <v>66.144509803921579</v>
      </c>
      <c r="E9" s="97">
        <v>60.70050763701709</v>
      </c>
      <c r="F9" s="97">
        <v>67.570829596412565</v>
      </c>
      <c r="G9" s="97">
        <v>76.07080844374579</v>
      </c>
      <c r="H9" s="27">
        <f>SUM(B9:G9)</f>
        <v>407.1032351219319</v>
      </c>
      <c r="I9" s="23"/>
      <c r="J9" s="23"/>
      <c r="K9" s="23"/>
      <c r="L9" s="23"/>
      <c r="M9" s="23"/>
      <c r="N9" s="23"/>
      <c r="O9" s="23"/>
      <c r="P9" s="23"/>
      <c r="Q9" s="23"/>
      <c r="R9" s="23"/>
      <c r="S9" s="23"/>
      <c r="T9" s="23"/>
      <c r="U9" s="23"/>
      <c r="V9" s="23"/>
      <c r="W9" s="23"/>
    </row>
    <row r="10" spans="1:23" x14ac:dyDescent="0.2">
      <c r="A10" s="1" t="s">
        <v>11</v>
      </c>
      <c r="B10" s="121">
        <v>8.76</v>
      </c>
      <c r="C10" s="121">
        <v>9.26</v>
      </c>
      <c r="D10" s="121">
        <v>10.99</v>
      </c>
      <c r="E10" s="121">
        <v>8.33</v>
      </c>
      <c r="F10" s="121">
        <v>8.3699999999999992</v>
      </c>
      <c r="G10" s="121">
        <v>7.86</v>
      </c>
      <c r="H10" s="27">
        <f>SUM(B10:G10)</f>
        <v>53.569999999999993</v>
      </c>
      <c r="I10" s="23"/>
      <c r="K10" s="23"/>
    </row>
    <row r="11" spans="1:23" s="3" customFormat="1" x14ac:dyDescent="0.2">
      <c r="A11" s="3" t="s">
        <v>12</v>
      </c>
      <c r="B11" s="29">
        <f>SUM(B9:B10)</f>
        <v>83.844124293785342</v>
      </c>
      <c r="C11" s="29">
        <f>SUM(C9:C10)</f>
        <v>70.792455347049511</v>
      </c>
      <c r="D11" s="29">
        <f t="shared" ref="D11" si="0">SUM(D9:D10)</f>
        <v>77.134509803921574</v>
      </c>
      <c r="E11" s="29">
        <f>SUM(E9:E10)</f>
        <v>69.030507637017095</v>
      </c>
      <c r="F11" s="29">
        <f>SUM(F9:F10)</f>
        <v>75.94082959641257</v>
      </c>
      <c r="G11" s="29">
        <f>SUM(G9:G10)</f>
        <v>83.930808443745789</v>
      </c>
      <c r="H11" s="30">
        <f>SUM(B11:G11)</f>
        <v>460.67323512193184</v>
      </c>
      <c r="I11" s="30"/>
    </row>
    <row r="12" spans="1:23" x14ac:dyDescent="0.2">
      <c r="B12" s="2"/>
      <c r="C12" s="2"/>
      <c r="D12" s="2"/>
      <c r="E12" s="2"/>
      <c r="F12" s="2"/>
      <c r="G12" s="2"/>
      <c r="H12" s="27"/>
      <c r="I12" s="62"/>
    </row>
    <row r="13" spans="1:23" x14ac:dyDescent="0.2">
      <c r="A13" s="3" t="s">
        <v>4</v>
      </c>
      <c r="B13" s="31"/>
      <c r="C13" s="31"/>
      <c r="D13" s="31"/>
      <c r="E13" s="31"/>
      <c r="F13" s="31"/>
      <c r="G13" s="31"/>
    </row>
    <row r="14" spans="1:23" s="23" customFormat="1" x14ac:dyDescent="0.2">
      <c r="A14" s="23" t="s">
        <v>3</v>
      </c>
      <c r="B14" s="96">
        <v>-108.96529999999997</v>
      </c>
      <c r="C14" s="96">
        <v>-107.60560000000002</v>
      </c>
      <c r="D14" s="96">
        <v>-105.66559999999997</v>
      </c>
      <c r="E14" s="96">
        <v>-105.90089999999996</v>
      </c>
      <c r="F14" s="96">
        <v>-109.95339999999997</v>
      </c>
      <c r="G14" s="96">
        <v>-111.92589999999994</v>
      </c>
      <c r="H14" s="32"/>
    </row>
    <row r="15" spans="1:23" x14ac:dyDescent="0.2">
      <c r="A15" s="1" t="s">
        <v>11</v>
      </c>
      <c r="B15" s="96">
        <v>-30</v>
      </c>
      <c r="C15" s="96">
        <v>-30</v>
      </c>
      <c r="D15" s="96">
        <v>-30</v>
      </c>
      <c r="E15" s="96">
        <v>-30</v>
      </c>
      <c r="F15" s="96">
        <v>-30</v>
      </c>
      <c r="G15" s="96">
        <v>-30</v>
      </c>
      <c r="H15" s="17"/>
      <c r="I15" s="24"/>
    </row>
    <row r="17" spans="1:11" x14ac:dyDescent="0.2">
      <c r="A17" s="3" t="s">
        <v>5</v>
      </c>
    </row>
    <row r="18" spans="1:11" x14ac:dyDescent="0.2">
      <c r="A18" s="68" t="s">
        <v>3</v>
      </c>
      <c r="B18" s="34">
        <f t="shared" ref="B18:G18" si="1">B9*B14</f>
        <v>-8181.5641289096047</v>
      </c>
      <c r="C18" s="34">
        <f t="shared" si="1"/>
        <v>-6621.236777092472</v>
      </c>
      <c r="D18" s="34">
        <f t="shared" si="1"/>
        <v>-6989.1993151372544</v>
      </c>
      <c r="E18" s="34">
        <f t="shared" si="1"/>
        <v>-6428.238389216981</v>
      </c>
      <c r="F18" s="34">
        <f t="shared" si="1"/>
        <v>-7429.6424549461872</v>
      </c>
      <c r="G18" s="34">
        <f t="shared" si="1"/>
        <v>-8514.2936987938429</v>
      </c>
      <c r="H18" s="11">
        <f>SUM(B18:G18)</f>
        <v>-44164.174764096344</v>
      </c>
      <c r="I18" s="14"/>
    </row>
    <row r="19" spans="1:11" x14ac:dyDescent="0.2">
      <c r="A19" s="1" t="s">
        <v>11</v>
      </c>
      <c r="B19" s="122">
        <f>+B15*B10</f>
        <v>-262.8</v>
      </c>
      <c r="C19" s="122">
        <f>+C15*C10</f>
        <v>-277.8</v>
      </c>
      <c r="D19" s="122">
        <f t="shared" ref="D19:G19" si="2">+D15*D10</f>
        <v>-329.7</v>
      </c>
      <c r="E19" s="122">
        <f t="shared" si="2"/>
        <v>-249.9</v>
      </c>
      <c r="F19" s="122">
        <f>+F15*F10</f>
        <v>-251.09999999999997</v>
      </c>
      <c r="G19" s="122">
        <f t="shared" si="2"/>
        <v>-235.8</v>
      </c>
      <c r="H19" s="11">
        <f>SUM(B19:G19)</f>
        <v>-1607.1</v>
      </c>
      <c r="I19" s="38"/>
    </row>
    <row r="20" spans="1:11" s="3" customFormat="1" x14ac:dyDescent="0.2">
      <c r="A20" s="3" t="s">
        <v>14</v>
      </c>
      <c r="B20" s="35">
        <f t="shared" ref="B20:C20" si="3">+B18+B19</f>
        <v>-8444.3641289096049</v>
      </c>
      <c r="C20" s="35">
        <f t="shared" si="3"/>
        <v>-6899.0367770924722</v>
      </c>
      <c r="D20" s="35">
        <f>+D18+D19</f>
        <v>-7318.8993151372542</v>
      </c>
      <c r="E20" s="35">
        <f>+E18+E19</f>
        <v>-6678.1383892169806</v>
      </c>
      <c r="F20" s="35">
        <f>+F18+F19</f>
        <v>-7680.7424549461875</v>
      </c>
      <c r="G20" s="35">
        <f>+G18+G19</f>
        <v>-8750.0936987938421</v>
      </c>
      <c r="H20" s="36">
        <f>SUM(H18:H19)</f>
        <v>-45771.274764096343</v>
      </c>
      <c r="I20" s="63"/>
      <c r="J20" s="64"/>
    </row>
    <row r="21" spans="1:11" x14ac:dyDescent="0.2">
      <c r="B21" s="12"/>
      <c r="C21" s="12"/>
      <c r="D21" s="12"/>
      <c r="E21" s="12"/>
      <c r="F21" s="12"/>
      <c r="G21" s="12"/>
      <c r="H21" s="12"/>
    </row>
    <row r="22" spans="1:11" s="5" customFormat="1" x14ac:dyDescent="0.2">
      <c r="A22" s="3" t="s">
        <v>6</v>
      </c>
      <c r="B22" s="101">
        <v>4135</v>
      </c>
      <c r="C22" s="101">
        <v>4133</v>
      </c>
      <c r="D22" s="101">
        <v>4147</v>
      </c>
      <c r="E22" s="101">
        <v>4162</v>
      </c>
      <c r="F22" s="101">
        <v>4170</v>
      </c>
      <c r="G22" s="101">
        <v>4163</v>
      </c>
      <c r="H22" s="7">
        <f>SUM(B22:G22)</f>
        <v>24910</v>
      </c>
      <c r="K22" s="14"/>
    </row>
    <row r="23" spans="1:11" s="5" customFormat="1" x14ac:dyDescent="0.2">
      <c r="H23" s="7"/>
      <c r="K23" s="14"/>
    </row>
    <row r="24" spans="1:11" x14ac:dyDescent="0.2">
      <c r="A24" s="1" t="s">
        <v>7</v>
      </c>
      <c r="B24" s="16">
        <f>+IFERROR(B20/B22,0)</f>
        <v>-2.0421678667254182</v>
      </c>
      <c r="C24" s="16">
        <f t="shared" ref="C24:G24" si="4">+IFERROR(C20/C22,0)</f>
        <v>-1.6692564183625629</v>
      </c>
      <c r="D24" s="16">
        <f t="shared" si="4"/>
        <v>-1.7648660031678935</v>
      </c>
      <c r="E24" s="16">
        <f t="shared" si="4"/>
        <v>-1.6045503097590055</v>
      </c>
      <c r="F24" s="16">
        <f t="shared" si="4"/>
        <v>-1.8419046654547213</v>
      </c>
      <c r="G24" s="16">
        <f t="shared" si="4"/>
        <v>-2.1018721351894887</v>
      </c>
      <c r="H24" s="17"/>
      <c r="I24" s="37"/>
    </row>
    <row r="25" spans="1:11" x14ac:dyDescent="0.2">
      <c r="A25" s="1" t="s">
        <v>8</v>
      </c>
      <c r="B25" s="123">
        <f>'Joe''s CPA Eff 7.1.19'!$G$25</f>
        <v>-1.26</v>
      </c>
      <c r="C25" s="123">
        <f>'Joe''s CPA Eff 7.1.19'!$G$25</f>
        <v>-1.26</v>
      </c>
      <c r="D25" s="124">
        <f>'Joe''s CPA Eff 7.1.19'!$H$29</f>
        <v>-1.3735000133956987</v>
      </c>
      <c r="E25" s="124">
        <f>'Joe''s CPA Eff 7.1.19'!$H$29</f>
        <v>-1.3735000133956987</v>
      </c>
      <c r="F25" s="124">
        <f>'Joe''s CPA Eff 7.1.19'!$H$29</f>
        <v>-1.3735000133956987</v>
      </c>
      <c r="G25" s="124">
        <f>'Joe''s CPA Eff 7.1.19'!$H$29</f>
        <v>-1.3735000133956987</v>
      </c>
      <c r="H25" s="17"/>
      <c r="I25" s="19"/>
    </row>
    <row r="26" spans="1:11" x14ac:dyDescent="0.2">
      <c r="A26" s="20" t="s">
        <v>17</v>
      </c>
      <c r="B26" s="20">
        <f t="shared" ref="B26:C26" si="5">+(B24-B25)*B22</f>
        <v>-3234.2641289096041</v>
      </c>
      <c r="C26" s="20">
        <f t="shared" si="5"/>
        <v>-1691.4567770924723</v>
      </c>
      <c r="D26" s="20">
        <f>+(D24-D25)*D22</f>
        <v>-1622.9947595852921</v>
      </c>
      <c r="E26" s="20">
        <f>+(E24-E25)*E22</f>
        <v>-961.63133346408279</v>
      </c>
      <c r="F26" s="20">
        <f>+(F24-F25)*F22</f>
        <v>-1953.2473990861242</v>
      </c>
      <c r="G26" s="20">
        <f>+(G24-G25)*G22</f>
        <v>-3032.2131430275476</v>
      </c>
      <c r="H26" s="44">
        <f>SUM(B26:G26)</f>
        <v>-12495.807541165123</v>
      </c>
      <c r="I26" s="5"/>
      <c r="J26" s="31"/>
    </row>
    <row r="27" spans="1:11" x14ac:dyDescent="0.2">
      <c r="B27" s="5"/>
      <c r="C27" s="5"/>
      <c r="D27" s="5"/>
      <c r="E27" s="5"/>
      <c r="F27" s="5"/>
      <c r="G27" s="5"/>
      <c r="H27" s="21"/>
    </row>
    <row r="28" spans="1:11" x14ac:dyDescent="0.2">
      <c r="B28" s="45"/>
      <c r="C28" s="45"/>
      <c r="D28" s="45"/>
      <c r="E28" s="45"/>
      <c r="F28" s="45"/>
      <c r="G28" s="72" t="s">
        <v>19</v>
      </c>
      <c r="H28" s="119">
        <f>ROUND(H26/H22/2,2)</f>
        <v>-0.25</v>
      </c>
      <c r="J28" s="31"/>
    </row>
    <row r="29" spans="1:11" x14ac:dyDescent="0.2">
      <c r="A29" s="90"/>
      <c r="B29" s="22"/>
      <c r="C29" s="22"/>
      <c r="D29" s="22"/>
      <c r="E29" s="22"/>
      <c r="F29" s="22"/>
      <c r="G29" s="72" t="s">
        <v>20</v>
      </c>
      <c r="H29" s="120">
        <f>SUM(B20:G20)/SUM(B22:G22)</f>
        <v>-1.8374658676875288</v>
      </c>
      <c r="J29" s="31"/>
    </row>
    <row r="30" spans="1:11" x14ac:dyDescent="0.2">
      <c r="A30" s="91"/>
      <c r="B30" s="22"/>
      <c r="C30" s="22"/>
      <c r="D30" s="22"/>
      <c r="E30" s="22"/>
      <c r="F30" s="22"/>
      <c r="G30" s="73" t="s">
        <v>21</v>
      </c>
      <c r="H30" s="44">
        <f>SUM(H28:H29)</f>
        <v>-2.0874658676875288</v>
      </c>
    </row>
    <row r="31" spans="1:11" x14ac:dyDescent="0.2">
      <c r="A31" s="91"/>
      <c r="B31" s="22"/>
      <c r="C31" s="22"/>
      <c r="G31" s="72"/>
      <c r="H31" s="44"/>
      <c r="J31" s="8"/>
    </row>
    <row r="32" spans="1:11" x14ac:dyDescent="0.2">
      <c r="A32" s="92"/>
      <c r="G32" s="72" t="s">
        <v>22</v>
      </c>
      <c r="H32" s="98">
        <f>'Joe''s CPA Eff 7.1.19'!H31</f>
        <v>-2.1924432633595705</v>
      </c>
      <c r="I32" s="13"/>
    </row>
    <row r="33" spans="1:10" x14ac:dyDescent="0.2">
      <c r="G33" s="72" t="s">
        <v>9</v>
      </c>
      <c r="H33" s="17">
        <f>H32-H30</f>
        <v>-0.10497739567204167</v>
      </c>
      <c r="I33" s="71">
        <f>H33/H32</f>
        <v>4.7881465133642963E-2</v>
      </c>
      <c r="J33" s="8"/>
    </row>
    <row r="34" spans="1:10" x14ac:dyDescent="0.2">
      <c r="A34" s="65"/>
      <c r="G34" s="72" t="s">
        <v>23</v>
      </c>
      <c r="H34" s="17">
        <f>H33*H22</f>
        <v>-2614.9869261905583</v>
      </c>
      <c r="I34" s="13"/>
    </row>
    <row r="35" spans="1:10" x14ac:dyDescent="0.2">
      <c r="A35" s="65"/>
      <c r="H35" s="23"/>
    </row>
    <row r="36" spans="1:10" x14ac:dyDescent="0.2">
      <c r="A36" s="65"/>
      <c r="B36" s="3"/>
      <c r="C36" s="3"/>
      <c r="D36" s="3"/>
      <c r="E36" s="3"/>
      <c r="F36" s="3"/>
      <c r="G36" s="3"/>
      <c r="H36" s="40" t="s">
        <v>24</v>
      </c>
      <c r="I36" s="33"/>
    </row>
    <row r="37" spans="1:10" ht="13.5" thickBot="1" x14ac:dyDescent="0.25">
      <c r="A37" s="60" t="s">
        <v>13</v>
      </c>
      <c r="B37" s="28">
        <f t="shared" ref="B37:G37" si="6">B6</f>
        <v>43586</v>
      </c>
      <c r="C37" s="28">
        <f t="shared" si="6"/>
        <v>43617</v>
      </c>
      <c r="D37" s="28">
        <f t="shared" si="6"/>
        <v>43647</v>
      </c>
      <c r="E37" s="28">
        <f t="shared" si="6"/>
        <v>43678</v>
      </c>
      <c r="F37" s="28">
        <f t="shared" si="6"/>
        <v>43709</v>
      </c>
      <c r="G37" s="28">
        <f t="shared" si="6"/>
        <v>43739</v>
      </c>
      <c r="H37" s="58" t="s">
        <v>1</v>
      </c>
      <c r="I37" s="38"/>
      <c r="J37" s="67"/>
    </row>
    <row r="38" spans="1:10" x14ac:dyDescent="0.2">
      <c r="A38" s="60"/>
      <c r="B38" s="4"/>
      <c r="C38" s="4"/>
      <c r="D38" s="4"/>
      <c r="E38" s="4"/>
      <c r="F38" s="4"/>
      <c r="G38" s="4"/>
      <c r="H38" s="40"/>
      <c r="I38" s="38"/>
      <c r="J38" s="67"/>
    </row>
    <row r="39" spans="1:10" x14ac:dyDescent="0.2">
      <c r="A39" s="3" t="s">
        <v>2</v>
      </c>
      <c r="H39" s="23"/>
    </row>
    <row r="40" spans="1:10" x14ac:dyDescent="0.2">
      <c r="A40" s="68" t="s">
        <v>3</v>
      </c>
      <c r="B40" s="79">
        <v>5.2658757062146861</v>
      </c>
      <c r="C40" s="79">
        <v>4.3175446529504882</v>
      </c>
      <c r="D40" s="79">
        <v>4.6254901960784309</v>
      </c>
      <c r="E40" s="79">
        <v>4.2294923629829251</v>
      </c>
      <c r="F40" s="79">
        <v>4.6991704035874449</v>
      </c>
      <c r="G40" s="79">
        <v>5.2991915562542147</v>
      </c>
      <c r="H40" s="27">
        <f>SUM(B40:G40)</f>
        <v>28.436764878068189</v>
      </c>
      <c r="J40" s="31"/>
    </row>
    <row r="41" spans="1:10" x14ac:dyDescent="0.2">
      <c r="A41" s="68" t="s">
        <v>11</v>
      </c>
      <c r="B41" s="79">
        <v>0.52</v>
      </c>
      <c r="C41" s="79">
        <v>0.53</v>
      </c>
      <c r="D41" s="79">
        <v>0.64</v>
      </c>
      <c r="E41" s="79">
        <v>0.49</v>
      </c>
      <c r="F41" s="79">
        <v>0.49</v>
      </c>
      <c r="G41" s="79">
        <v>0.48</v>
      </c>
      <c r="H41" s="27">
        <f>SUM(B41:G41)</f>
        <v>3.15</v>
      </c>
      <c r="I41" s="69"/>
      <c r="J41" s="31"/>
    </row>
    <row r="42" spans="1:10" x14ac:dyDescent="0.2">
      <c r="A42" s="66" t="s">
        <v>12</v>
      </c>
      <c r="B42" s="29">
        <f t="shared" ref="B42:G42" si="7">SUM(B40:B41)</f>
        <v>5.7858757062146857</v>
      </c>
      <c r="C42" s="29">
        <f t="shared" si="7"/>
        <v>4.8475446529504884</v>
      </c>
      <c r="D42" s="29">
        <f t="shared" si="7"/>
        <v>5.2654901960784306</v>
      </c>
      <c r="E42" s="29">
        <f t="shared" si="7"/>
        <v>4.7194923629829253</v>
      </c>
      <c r="F42" s="29">
        <f>SUM(F40:F41)</f>
        <v>5.1891704035874451</v>
      </c>
      <c r="G42" s="29">
        <f t="shared" si="7"/>
        <v>5.7791915562542151</v>
      </c>
      <c r="H42" s="30">
        <f>SUM(H40:H41)</f>
        <v>31.586764878068188</v>
      </c>
    </row>
    <row r="43" spans="1:10" x14ac:dyDescent="0.2">
      <c r="A43" s="68"/>
      <c r="B43" s="2"/>
      <c r="C43" s="2"/>
      <c r="D43" s="2"/>
      <c r="E43" s="2"/>
      <c r="F43" s="2"/>
      <c r="G43" s="2"/>
      <c r="H43" s="31"/>
    </row>
    <row r="44" spans="1:10" x14ac:dyDescent="0.2">
      <c r="A44" s="66" t="s">
        <v>4</v>
      </c>
    </row>
    <row r="45" spans="1:10" x14ac:dyDescent="0.2">
      <c r="A45" s="68" t="s">
        <v>3</v>
      </c>
      <c r="B45" s="99">
        <f t="shared" ref="B45:G46" si="8">+B14</f>
        <v>-108.96529999999997</v>
      </c>
      <c r="C45" s="99">
        <f t="shared" si="8"/>
        <v>-107.60560000000002</v>
      </c>
      <c r="D45" s="99">
        <f t="shared" si="8"/>
        <v>-105.66559999999997</v>
      </c>
      <c r="E45" s="99">
        <f t="shared" si="8"/>
        <v>-105.90089999999996</v>
      </c>
      <c r="F45" s="99">
        <f t="shared" si="8"/>
        <v>-109.95339999999997</v>
      </c>
      <c r="G45" s="99">
        <f t="shared" si="8"/>
        <v>-111.92589999999994</v>
      </c>
    </row>
    <row r="46" spans="1:10" x14ac:dyDescent="0.2">
      <c r="A46" s="68" t="s">
        <v>11</v>
      </c>
      <c r="B46" s="99">
        <f t="shared" si="8"/>
        <v>-30</v>
      </c>
      <c r="C46" s="99">
        <f t="shared" si="8"/>
        <v>-30</v>
      </c>
      <c r="D46" s="99">
        <f t="shared" si="8"/>
        <v>-30</v>
      </c>
      <c r="E46" s="99">
        <f t="shared" si="8"/>
        <v>-30</v>
      </c>
      <c r="F46" s="99">
        <f t="shared" si="8"/>
        <v>-30</v>
      </c>
      <c r="G46" s="99">
        <f t="shared" si="8"/>
        <v>-30</v>
      </c>
    </row>
    <row r="47" spans="1:10" x14ac:dyDescent="0.2">
      <c r="A47" s="68"/>
      <c r="B47" s="2"/>
      <c r="C47" s="2"/>
      <c r="D47" s="2"/>
      <c r="E47" s="2"/>
      <c r="F47" s="2"/>
      <c r="G47" s="2"/>
    </row>
    <row r="48" spans="1:10" x14ac:dyDescent="0.2">
      <c r="A48" s="3" t="s">
        <v>5</v>
      </c>
      <c r="B48" s="2"/>
      <c r="C48" s="2"/>
      <c r="D48" s="2"/>
      <c r="E48" s="2"/>
      <c r="F48" s="2"/>
      <c r="G48" s="2"/>
    </row>
    <row r="49" spans="1:9" x14ac:dyDescent="0.2">
      <c r="A49" s="68" t="s">
        <v>3</v>
      </c>
      <c r="B49" s="10">
        <f t="shared" ref="B49:G49" si="9">+B40*B45</f>
        <v>-573.79772609039503</v>
      </c>
      <c r="C49" s="10">
        <f t="shared" si="9"/>
        <v>-464.59198290752914</v>
      </c>
      <c r="D49" s="10">
        <f t="shared" si="9"/>
        <v>-488.75519686274492</v>
      </c>
      <c r="E49" s="10">
        <f t="shared" si="9"/>
        <v>-447.9070477830183</v>
      </c>
      <c r="F49" s="10">
        <f>+F40*F45</f>
        <v>-516.68976305381159</v>
      </c>
      <c r="G49" s="10">
        <f t="shared" si="9"/>
        <v>-593.11678420615328</v>
      </c>
      <c r="H49" s="11">
        <f>SUM(B49:G49)</f>
        <v>-3084.8585009036519</v>
      </c>
    </row>
    <row r="50" spans="1:9" x14ac:dyDescent="0.2">
      <c r="A50" s="68" t="s">
        <v>11</v>
      </c>
      <c r="B50" s="10">
        <f t="shared" ref="B50:G50" si="10">+B46*B41</f>
        <v>-15.600000000000001</v>
      </c>
      <c r="C50" s="10">
        <f t="shared" si="10"/>
        <v>-15.9</v>
      </c>
      <c r="D50" s="10">
        <f t="shared" si="10"/>
        <v>-19.2</v>
      </c>
      <c r="E50" s="10">
        <f t="shared" si="10"/>
        <v>-14.7</v>
      </c>
      <c r="F50" s="10">
        <f>+F46*F41</f>
        <v>-14.7</v>
      </c>
      <c r="G50" s="10">
        <f t="shared" si="10"/>
        <v>-14.399999999999999</v>
      </c>
      <c r="H50" s="11">
        <f>SUM(B50:G50)</f>
        <v>-94.5</v>
      </c>
    </row>
    <row r="51" spans="1:9" x14ac:dyDescent="0.2">
      <c r="A51" s="3" t="s">
        <v>14</v>
      </c>
      <c r="B51" s="35">
        <f t="shared" ref="B51:C51" si="11">+B49+B50</f>
        <v>-589.39772609039505</v>
      </c>
      <c r="C51" s="35">
        <f t="shared" si="11"/>
        <v>-480.49198290752912</v>
      </c>
      <c r="D51" s="35">
        <f>+D49+D50</f>
        <v>-507.95519686274491</v>
      </c>
      <c r="E51" s="35">
        <f>+E49+E50</f>
        <v>-462.60704778301829</v>
      </c>
      <c r="F51" s="35">
        <f>+F49+F50</f>
        <v>-531.38976305381163</v>
      </c>
      <c r="G51" s="35">
        <f>+G49+G50</f>
        <v>-607.51678420615326</v>
      </c>
      <c r="H51" s="36">
        <f>SUM(H49:H50)</f>
        <v>-3179.3585009036519</v>
      </c>
    </row>
    <row r="52" spans="1:9" x14ac:dyDescent="0.2">
      <c r="B52" s="5"/>
      <c r="C52" s="5"/>
      <c r="D52" s="5"/>
      <c r="E52" s="5"/>
      <c r="F52" s="5"/>
      <c r="G52" s="5"/>
      <c r="H52" s="8"/>
    </row>
    <row r="53" spans="1:9" x14ac:dyDescent="0.2">
      <c r="A53" s="66" t="s">
        <v>6</v>
      </c>
      <c r="B53" s="81">
        <v>290</v>
      </c>
      <c r="C53" s="81">
        <v>290</v>
      </c>
      <c r="D53" s="81">
        <v>290</v>
      </c>
      <c r="E53" s="81">
        <v>290</v>
      </c>
      <c r="F53" s="81">
        <v>290</v>
      </c>
      <c r="G53" s="81">
        <v>290</v>
      </c>
      <c r="H53" s="7">
        <f>SUM(B53:G53)</f>
        <v>1740</v>
      </c>
    </row>
    <row r="54" spans="1:9" x14ac:dyDescent="0.2">
      <c r="A54" s="68"/>
      <c r="H54" s="8"/>
    </row>
    <row r="55" spans="1:9" x14ac:dyDescent="0.2">
      <c r="A55" s="1" t="s">
        <v>7</v>
      </c>
      <c r="B55" s="16">
        <f t="shared" ref="B55:G55" si="12">IFERROR(B51/B53,0)</f>
        <v>-2.0324059520358451</v>
      </c>
      <c r="C55" s="16">
        <f t="shared" si="12"/>
        <v>-1.6568689065776867</v>
      </c>
      <c r="D55" s="16">
        <f t="shared" si="12"/>
        <v>-1.7515696443542927</v>
      </c>
      <c r="E55" s="16">
        <f t="shared" si="12"/>
        <v>-1.5951967164931664</v>
      </c>
      <c r="F55" s="16">
        <f t="shared" si="12"/>
        <v>-1.8323784932890057</v>
      </c>
      <c r="G55" s="16">
        <f t="shared" si="12"/>
        <v>-2.094885462779839</v>
      </c>
      <c r="H55" s="17"/>
    </row>
    <row r="56" spans="1:9" x14ac:dyDescent="0.2">
      <c r="A56" s="1" t="s">
        <v>8</v>
      </c>
      <c r="B56" s="82">
        <f>'Joe''s CPA Eff 7.1.19'!$G$57</f>
        <v>-1.24</v>
      </c>
      <c r="C56" s="82">
        <f>'Joe''s CPA Eff 7.1.19'!$G$57</f>
        <v>-1.24</v>
      </c>
      <c r="D56" s="88">
        <f>'Joe''s CPA Eff 7.1.19'!$H$61</f>
        <v>-1.3507803500318183</v>
      </c>
      <c r="E56" s="88">
        <f>'Joe''s CPA Eff 7.1.19'!$H$61</f>
        <v>-1.3507803500318183</v>
      </c>
      <c r="F56" s="88">
        <f>'Joe''s CPA Eff 7.1.19'!$H$61</f>
        <v>-1.3507803500318183</v>
      </c>
      <c r="G56" s="88">
        <f>'Joe''s CPA Eff 7.1.19'!$H$61</f>
        <v>-1.3507803500318183</v>
      </c>
      <c r="H56" s="17"/>
    </row>
    <row r="57" spans="1:9" x14ac:dyDescent="0.2">
      <c r="A57" s="20" t="s">
        <v>17</v>
      </c>
      <c r="B57" s="20">
        <f t="shared" ref="B57:C57" si="13">(B55-B56)*B53</f>
        <v>-229.79772609039506</v>
      </c>
      <c r="C57" s="20">
        <f t="shared" si="13"/>
        <v>-120.89198290752915</v>
      </c>
      <c r="D57" s="20">
        <f>(D55-D56)*D53</f>
        <v>-116.22889535351759</v>
      </c>
      <c r="E57" s="20">
        <f>(E55-E56)*E53</f>
        <v>-70.880746273790962</v>
      </c>
      <c r="F57" s="20">
        <f>(F55-F56)*F53</f>
        <v>-139.66346154458435</v>
      </c>
      <c r="G57" s="20">
        <f>(G55-G56)*G53</f>
        <v>-215.79048269692601</v>
      </c>
      <c r="H57" s="44">
        <f>SUM(B57:G57)</f>
        <v>-893.25329486674309</v>
      </c>
    </row>
    <row r="59" spans="1:9" ht="15" x14ac:dyDescent="0.25">
      <c r="A59" s="55"/>
      <c r="B59" s="89"/>
      <c r="C59" s="45"/>
      <c r="D59" s="45"/>
      <c r="E59" s="45"/>
      <c r="F59" s="45"/>
      <c r="G59" s="72" t="s">
        <v>19</v>
      </c>
      <c r="H59" s="119">
        <f>ROUND(H57/H53/2,2)</f>
        <v>-0.26</v>
      </c>
    </row>
    <row r="60" spans="1:9" x14ac:dyDescent="0.2">
      <c r="A60" s="90"/>
      <c r="B60" s="93"/>
      <c r="C60" s="22"/>
      <c r="D60" s="22"/>
      <c r="E60" s="22"/>
      <c r="F60" s="22"/>
      <c r="G60" s="72" t="s">
        <v>20</v>
      </c>
      <c r="H60" s="120">
        <f>SUM(B51:G51)/SUM(B53:G53)</f>
        <v>-1.8272175292549726</v>
      </c>
    </row>
    <row r="61" spans="1:9" x14ac:dyDescent="0.2">
      <c r="A61" s="91"/>
      <c r="B61" s="93"/>
      <c r="C61" s="22"/>
      <c r="D61" s="22"/>
      <c r="E61" s="22"/>
      <c r="F61" s="22"/>
      <c r="G61" s="73" t="s">
        <v>21</v>
      </c>
      <c r="H61" s="44">
        <f>SUM(H59:H60)</f>
        <v>-2.0872175292549726</v>
      </c>
    </row>
    <row r="62" spans="1:9" x14ac:dyDescent="0.2">
      <c r="A62" s="92"/>
      <c r="B62" s="95"/>
      <c r="C62" s="70"/>
      <c r="D62" s="70"/>
      <c r="E62" s="70"/>
      <c r="F62" s="70"/>
      <c r="G62" s="72"/>
      <c r="H62" s="44"/>
    </row>
    <row r="63" spans="1:9" x14ac:dyDescent="0.2">
      <c r="B63" s="25"/>
      <c r="C63" s="25"/>
      <c r="D63" s="25"/>
      <c r="E63" s="25"/>
      <c r="F63" s="25"/>
      <c r="G63" s="72" t="s">
        <v>22</v>
      </c>
      <c r="H63" s="98">
        <f>'Joe''s CPA Eff 7.1.19'!H63</f>
        <v>-2.3466852017327371</v>
      </c>
    </row>
    <row r="64" spans="1:9" x14ac:dyDescent="0.2">
      <c r="B64" s="25"/>
      <c r="C64" s="25"/>
      <c r="D64" s="25"/>
      <c r="E64" s="25"/>
      <c r="F64" s="25"/>
      <c r="G64" s="72" t="s">
        <v>9</v>
      </c>
      <c r="H64" s="17">
        <f>H63-H61</f>
        <v>-0.25946767247776448</v>
      </c>
      <c r="I64" s="71">
        <f>H64/H63</f>
        <v>0.11056773711539139</v>
      </c>
    </row>
    <row r="65" spans="1:54" x14ac:dyDescent="0.2">
      <c r="G65" s="72" t="s">
        <v>23</v>
      </c>
      <c r="H65" s="17">
        <f>H64*H53</f>
        <v>-451.47375011131021</v>
      </c>
    </row>
    <row r="66" spans="1:54" x14ac:dyDescent="0.2">
      <c r="B66" s="12"/>
      <c r="C66" s="12"/>
      <c r="D66" s="12"/>
      <c r="E66" s="12"/>
      <c r="F66" s="12"/>
    </row>
    <row r="67" spans="1:54" x14ac:dyDescent="0.2">
      <c r="B67" s="12"/>
      <c r="C67" s="12"/>
      <c r="D67" s="12"/>
      <c r="E67" s="12"/>
      <c r="F67" s="12"/>
      <c r="G67" s="12"/>
    </row>
    <row r="68" spans="1:54" x14ac:dyDescent="0.2">
      <c r="B68" s="12"/>
      <c r="C68" s="12"/>
      <c r="D68" s="12"/>
      <c r="E68" s="12"/>
      <c r="F68" s="12"/>
      <c r="G68" s="12"/>
    </row>
    <row r="70" spans="1:54" x14ac:dyDescent="0.2">
      <c r="B70" s="12"/>
      <c r="C70" s="12"/>
      <c r="D70" s="12"/>
      <c r="E70" s="12"/>
      <c r="F70" s="12"/>
      <c r="G70" s="12"/>
    </row>
    <row r="71" spans="1:54" s="2" customFormat="1" x14ac:dyDescent="0.2">
      <c r="A71" s="1"/>
      <c r="B71" s="12"/>
      <c r="C71" s="12"/>
      <c r="D71" s="12"/>
      <c r="E71" s="12"/>
      <c r="F71" s="12"/>
      <c r="G71" s="12"/>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row>
    <row r="72" spans="1:54" s="2" customFormat="1" x14ac:dyDescent="0.2">
      <c r="A72" s="1"/>
      <c r="B72" s="12"/>
      <c r="C72" s="12"/>
      <c r="D72" s="12"/>
      <c r="E72" s="12"/>
      <c r="F72" s="12"/>
      <c r="G72" s="12"/>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row>
    <row r="73" spans="1:54" s="2" customForma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1:54" s="2" customForma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s="2" customForma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s="2"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s="2"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s="2"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s="2"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s="2"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s="2"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s="2"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s="2"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s="2"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4" s="2"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4" s="2" customForma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s="2" customForma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s="2"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s="2" customForma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s="2" customForma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s="2" customForma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s="2" customForma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s="2" customForma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s="2" customForma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s="2" customForma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s="2" customForma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s="2" customForma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s="2" customForma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1:54" s="2" customForma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1:54" s="2" customForma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1:54" s="2" customForma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row r="102" spans="1:54" s="2" customForma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sheetData>
  <pageMargins left="0.7" right="0.7" top="0.75" bottom="0.75" header="0.3" footer="0.3"/>
  <pageSetup scale="90" fitToHeight="0" orientation="landscape" r:id="rId1"/>
  <headerFooter alignWithMargins="0"/>
  <rowBreaks count="1" manualBreakCount="1">
    <brk id="35" max="16383" man="1"/>
  </rowBreaks>
  <colBreaks count="1" manualBreakCount="1">
    <brk id="7" max="6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C49"/>
  <sheetViews>
    <sheetView showGridLines="0" view="pageBreakPreview" zoomScale="115" zoomScaleNormal="100" zoomScaleSheetLayoutView="115" workbookViewId="0">
      <pane xSplit="1" ySplit="6" topLeftCell="B7" activePane="bottomRight" state="frozen"/>
      <selection activeCell="S43" sqref="S42:S43"/>
      <selection pane="topRight" activeCell="S43" sqref="S42:S43"/>
      <selection pane="bottomLeft" activeCell="S43" sqref="S42:S43"/>
      <selection pane="bottomRight" activeCell="G25" sqref="G25"/>
    </sheetView>
  </sheetViews>
  <sheetFormatPr defaultRowHeight="12.75" x14ac:dyDescent="0.2"/>
  <cols>
    <col min="1" max="1" width="24" style="1" customWidth="1"/>
    <col min="2" max="7" width="12.5703125" style="1" customWidth="1"/>
    <col min="8" max="8" width="13.140625" style="1" customWidth="1"/>
    <col min="9" max="9" width="11.28515625" style="1" customWidth="1"/>
    <col min="10" max="12" width="11.85546875" style="1" bestFit="1" customWidth="1"/>
    <col min="13" max="13" width="12.28515625" style="1" customWidth="1"/>
    <col min="14" max="14" width="12.85546875" style="1" bestFit="1" customWidth="1"/>
    <col min="15" max="15" width="2.140625" style="2" customWidth="1"/>
    <col min="16" max="16" width="9.140625" style="1"/>
    <col min="17" max="17" width="12" style="1" customWidth="1"/>
    <col min="18" max="16384" width="9.140625" style="1"/>
  </cols>
  <sheetData>
    <row r="1" spans="1:29" x14ac:dyDescent="0.2">
      <c r="A1" s="3" t="s">
        <v>15</v>
      </c>
    </row>
    <row r="2" spans="1:29" x14ac:dyDescent="0.2">
      <c r="A2" s="39" t="s">
        <v>0</v>
      </c>
    </row>
    <row r="3" spans="1:29" x14ac:dyDescent="0.2">
      <c r="A3" s="3" t="s">
        <v>16</v>
      </c>
    </row>
    <row r="4" spans="1:29" x14ac:dyDescent="0.2">
      <c r="A4" s="3" t="s">
        <v>25</v>
      </c>
      <c r="H4" s="6"/>
      <c r="I4" s="2"/>
      <c r="O4" s="1"/>
    </row>
    <row r="5" spans="1:29" x14ac:dyDescent="0.2">
      <c r="B5" s="3"/>
      <c r="C5" s="3"/>
      <c r="D5" s="3"/>
      <c r="E5" s="3"/>
      <c r="F5" s="3"/>
      <c r="G5" s="3"/>
      <c r="H5" s="40" t="s">
        <v>24</v>
      </c>
      <c r="I5" s="2"/>
      <c r="J5" s="41"/>
      <c r="K5" s="41"/>
      <c r="L5" s="41"/>
      <c r="M5" s="41"/>
      <c r="N5" s="41"/>
      <c r="O5" s="41"/>
      <c r="P5" s="41"/>
      <c r="Q5" s="41"/>
      <c r="R5" s="41"/>
      <c r="S5" s="41"/>
      <c r="T5" s="41"/>
      <c r="U5" s="41"/>
      <c r="V5" s="41"/>
      <c r="W5" s="41"/>
    </row>
    <row r="6" spans="1:29" ht="13.5" thickBot="1" x14ac:dyDescent="0.25">
      <c r="A6" s="6"/>
      <c r="B6" s="100">
        <v>43434</v>
      </c>
      <c r="C6" s="100">
        <v>43464</v>
      </c>
      <c r="D6" s="100">
        <v>43495</v>
      </c>
      <c r="E6" s="100">
        <v>43524</v>
      </c>
      <c r="F6" s="100">
        <v>43542</v>
      </c>
      <c r="G6" s="100">
        <v>43585</v>
      </c>
      <c r="H6" s="40" t="s">
        <v>1</v>
      </c>
      <c r="I6" s="2"/>
      <c r="J6" s="41"/>
      <c r="K6" s="41"/>
      <c r="L6" s="41"/>
      <c r="M6" s="41"/>
      <c r="N6" s="41"/>
      <c r="O6" s="41"/>
      <c r="P6" s="41"/>
      <c r="Q6" s="41"/>
      <c r="R6" s="41"/>
      <c r="S6" s="41"/>
      <c r="T6" s="41"/>
      <c r="U6" s="41"/>
      <c r="V6" s="41"/>
      <c r="W6" s="41"/>
    </row>
    <row r="7" spans="1:29" ht="12.75" customHeight="1" x14ac:dyDescent="0.2">
      <c r="A7" s="42"/>
      <c r="B7" s="2"/>
      <c r="C7" s="2"/>
      <c r="D7" s="2"/>
      <c r="E7" s="2"/>
      <c r="F7" s="2"/>
      <c r="G7" s="2"/>
      <c r="H7" s="6"/>
      <c r="I7" s="2"/>
      <c r="O7" s="1"/>
    </row>
    <row r="8" spans="1:29" ht="12.75" customHeight="1" x14ac:dyDescent="0.2">
      <c r="A8" s="3" t="s">
        <v>2</v>
      </c>
      <c r="I8" s="2"/>
      <c r="O8" s="1"/>
    </row>
    <row r="9" spans="1:29" x14ac:dyDescent="0.2">
      <c r="A9" s="1" t="s">
        <v>3</v>
      </c>
      <c r="B9" s="79">
        <f>'[6]Designated RSA-1 Comm Credi'!B9</f>
        <v>148.71500000000003</v>
      </c>
      <c r="C9" s="79">
        <f>'[6]Designated RSA-1 Comm Credi'!C9</f>
        <v>168.37000000000003</v>
      </c>
      <c r="D9" s="79">
        <f>'[6]Designated RSA-1 Comm Credi'!D9</f>
        <v>186.19</v>
      </c>
      <c r="E9" s="79">
        <f>'[6]Designated RSA-1 Comm Credi'!E9</f>
        <v>134.09999999999997</v>
      </c>
      <c r="F9" s="79">
        <f>'[6]Designated RSA-1 Comm Credi'!F9</f>
        <v>151.87999999999997</v>
      </c>
      <c r="G9" s="79">
        <f>'[6]Designated RSA-1 Comm Credi'!G9</f>
        <v>157.41999999999999</v>
      </c>
      <c r="H9" s="27">
        <f>SUM(B9:G9)</f>
        <v>946.67499999999995</v>
      </c>
      <c r="I9" s="2"/>
      <c r="J9" s="23"/>
      <c r="K9" s="23"/>
      <c r="L9" s="23"/>
      <c r="M9" s="23"/>
      <c r="N9" s="23"/>
      <c r="O9" s="23"/>
      <c r="P9" s="23"/>
      <c r="Q9" s="23"/>
      <c r="R9" s="23"/>
      <c r="S9" s="23"/>
      <c r="T9" s="23"/>
      <c r="U9" s="23"/>
      <c r="V9" s="23"/>
      <c r="W9" s="23"/>
      <c r="X9" s="23"/>
      <c r="Y9" s="23"/>
      <c r="Z9" s="23"/>
      <c r="AA9" s="23"/>
      <c r="AB9" s="23"/>
      <c r="AC9" s="23"/>
    </row>
    <row r="10" spans="1:29" x14ac:dyDescent="0.2">
      <c r="B10" s="2"/>
      <c r="C10" s="2"/>
      <c r="D10" s="2"/>
      <c r="E10" s="2"/>
      <c r="F10" s="2"/>
      <c r="G10" s="2"/>
      <c r="H10" s="7"/>
      <c r="I10" s="2"/>
      <c r="O10" s="1"/>
    </row>
    <row r="11" spans="1:29" x14ac:dyDescent="0.2">
      <c r="A11" s="3" t="s">
        <v>4</v>
      </c>
      <c r="H11" s="8"/>
      <c r="I11" s="2"/>
      <c r="O11" s="1"/>
    </row>
    <row r="12" spans="1:29" x14ac:dyDescent="0.2">
      <c r="A12" s="1" t="s">
        <v>3</v>
      </c>
      <c r="B12" s="80">
        <f>'[6]Designated RSA-1 Comm Credi'!B13</f>
        <v>-75.002049999999997</v>
      </c>
      <c r="C12" s="80">
        <f>'[6]Designated RSA-1 Comm Credi'!C13</f>
        <v>-79.117449999999991</v>
      </c>
      <c r="D12" s="80">
        <f>'[6]Designated RSA-1 Comm Credi'!D13</f>
        <v>-87.291550000000001</v>
      </c>
      <c r="E12" s="80">
        <f>'[6]Designated RSA-1 Comm Credi'!E13</f>
        <v>-98.354200000000006</v>
      </c>
      <c r="F12" s="80">
        <f>'[6]Designated RSA-1 Comm Credi'!F13</f>
        <v>-100.63680000000002</v>
      </c>
      <c r="G12" s="80">
        <f>'[6]Designated RSA-1 Comm Credi'!G13</f>
        <v>-106.56740000000001</v>
      </c>
      <c r="H12" s="17"/>
      <c r="I12" s="2"/>
      <c r="J12" s="18"/>
      <c r="K12" s="23"/>
      <c r="L12" s="23"/>
      <c r="M12" s="23"/>
      <c r="N12" s="23"/>
      <c r="O12" s="23"/>
      <c r="P12" s="23"/>
      <c r="Q12" s="23"/>
      <c r="R12" s="23"/>
      <c r="S12" s="23"/>
      <c r="T12" s="23"/>
      <c r="U12" s="23"/>
      <c r="V12" s="23"/>
      <c r="W12" s="23"/>
      <c r="X12" s="23"/>
    </row>
    <row r="13" spans="1:29" x14ac:dyDescent="0.2">
      <c r="H13" s="8"/>
      <c r="I13" s="2"/>
      <c r="O13" s="1"/>
    </row>
    <row r="14" spans="1:29" x14ac:dyDescent="0.2">
      <c r="A14" s="3" t="s">
        <v>5</v>
      </c>
      <c r="B14" s="10">
        <f>+B9*B12</f>
        <v>-11153.929865750002</v>
      </c>
      <c r="C14" s="10">
        <f t="shared" ref="C14:G14" si="0">+C9*C12</f>
        <v>-13321.005056500002</v>
      </c>
      <c r="D14" s="10">
        <f t="shared" si="0"/>
        <v>-16252.813694500001</v>
      </c>
      <c r="E14" s="10">
        <f t="shared" si="0"/>
        <v>-13189.298219999997</v>
      </c>
      <c r="F14" s="10">
        <f t="shared" si="0"/>
        <v>-15284.717183999999</v>
      </c>
      <c r="G14" s="10">
        <f t="shared" si="0"/>
        <v>-16775.840108</v>
      </c>
      <c r="H14" s="11">
        <f>SUM(B14:G14)</f>
        <v>-85977.604128749997</v>
      </c>
      <c r="I14" s="2"/>
      <c r="J14" s="43"/>
      <c r="K14" s="12"/>
      <c r="O14" s="1"/>
    </row>
    <row r="15" spans="1:29" x14ac:dyDescent="0.2">
      <c r="H15" s="8"/>
      <c r="I15" s="2"/>
      <c r="O15" s="1"/>
    </row>
    <row r="16" spans="1:29" s="5" customFormat="1" x14ac:dyDescent="0.2">
      <c r="A16" s="3" t="s">
        <v>6</v>
      </c>
      <c r="B16" s="81">
        <f>'[6]Designated RSA-1 Comm Credi'!B18</f>
        <v>9995</v>
      </c>
      <c r="C16" s="81">
        <f>'[6]Designated RSA-1 Comm Credi'!C18</f>
        <v>9963</v>
      </c>
      <c r="D16" s="81">
        <f>'[6]Designated RSA-1 Comm Credi'!D18</f>
        <v>9959</v>
      </c>
      <c r="E16" s="81">
        <f>'[6]Designated RSA-1 Comm Credi'!E18</f>
        <v>9960</v>
      </c>
      <c r="F16" s="81">
        <f>'[6]Designated RSA-1 Comm Credi'!F18</f>
        <v>9968</v>
      </c>
      <c r="G16" s="81">
        <f>'[6]Designated RSA-1 Comm Credi'!G18</f>
        <v>10058</v>
      </c>
      <c r="H16" s="21">
        <f>SUM(B16:G16)</f>
        <v>59903</v>
      </c>
      <c r="I16" s="2"/>
      <c r="J16" s="13"/>
      <c r="K16" s="12"/>
      <c r="L16" s="14"/>
    </row>
    <row r="17" spans="1:15" s="5" customFormat="1" x14ac:dyDescent="0.2">
      <c r="A17" s="15"/>
      <c r="H17" s="7"/>
      <c r="I17" s="2"/>
      <c r="J17" s="13"/>
      <c r="K17" s="12"/>
      <c r="L17" s="14"/>
    </row>
    <row r="18" spans="1:15" x14ac:dyDescent="0.2">
      <c r="A18" s="1" t="s">
        <v>7</v>
      </c>
      <c r="B18" s="16">
        <f t="shared" ref="B18:G18" si="1">+IFERROR(B14/B16,0)</f>
        <v>-1.1159509620560282</v>
      </c>
      <c r="C18" s="16">
        <f t="shared" si="1"/>
        <v>-1.3370475817022986</v>
      </c>
      <c r="D18" s="16">
        <f t="shared" si="1"/>
        <v>-1.6319724565217393</v>
      </c>
      <c r="E18" s="16">
        <f t="shared" si="1"/>
        <v>-1.3242267289156624</v>
      </c>
      <c r="F18" s="16">
        <f t="shared" si="1"/>
        <v>-1.533378529695024</v>
      </c>
      <c r="G18" s="16">
        <f t="shared" si="1"/>
        <v>-1.6679101320342016</v>
      </c>
      <c r="H18" s="17"/>
      <c r="I18" s="2"/>
      <c r="J18" s="18"/>
      <c r="O18" s="1"/>
    </row>
    <row r="19" spans="1:15" x14ac:dyDescent="0.2">
      <c r="A19" s="1" t="s">
        <v>8</v>
      </c>
      <c r="B19" s="82">
        <f>'[6]Designated RSA-1 Comm Credi'!B21</f>
        <v>-0.98</v>
      </c>
      <c r="C19" s="82">
        <f>'[6]Designated RSA-1 Comm Credi'!C21</f>
        <v>-0.98</v>
      </c>
      <c r="D19" s="82">
        <f>'[6]Designated RSA-1 Comm Credi'!D21</f>
        <v>-1.06</v>
      </c>
      <c r="E19" s="82">
        <f>'[6]Designated RSA-1 Comm Credi'!E21</f>
        <v>-1.06</v>
      </c>
      <c r="F19" s="82">
        <f>'[6]Designated RSA-1 Comm Credi'!F21</f>
        <v>-1.06</v>
      </c>
      <c r="G19" s="82">
        <f>'[6]Designated RSA-1 Comm Credi'!G21</f>
        <v>-1.06</v>
      </c>
      <c r="H19" s="17"/>
      <c r="I19" s="2"/>
      <c r="J19" s="19"/>
      <c r="O19" s="1"/>
    </row>
    <row r="20" spans="1:15" x14ac:dyDescent="0.2">
      <c r="A20" s="20" t="s">
        <v>17</v>
      </c>
      <c r="B20" s="20">
        <f>+(B18-B19)*B16</f>
        <v>-1358.8298657500018</v>
      </c>
      <c r="C20" s="20">
        <f>+(C18-C19)*C16</f>
        <v>-3557.2650565000017</v>
      </c>
      <c r="D20" s="20">
        <f t="shared" ref="D20" si="2">+(D18-D19)*D16</f>
        <v>-5696.2736945000006</v>
      </c>
      <c r="E20" s="20">
        <f t="shared" ref="E20:G20" si="3">+(E18-E19)*E16</f>
        <v>-2631.698219999997</v>
      </c>
      <c r="F20" s="20">
        <f t="shared" si="3"/>
        <v>-4718.6371839999983</v>
      </c>
      <c r="G20" s="20">
        <f t="shared" si="3"/>
        <v>-6114.3601079999989</v>
      </c>
      <c r="H20" s="44">
        <f>SUM(B20:G20)</f>
        <v>-24077.064128749997</v>
      </c>
      <c r="I20" s="2"/>
      <c r="J20" s="5"/>
      <c r="K20" s="12"/>
      <c r="O20" s="1"/>
    </row>
    <row r="21" spans="1:15" x14ac:dyDescent="0.2">
      <c r="A21" s="5"/>
      <c r="B21" s="5"/>
      <c r="C21" s="5"/>
      <c r="D21" s="5"/>
      <c r="E21" s="5"/>
      <c r="F21" s="5"/>
      <c r="G21" s="21"/>
      <c r="O21" s="1"/>
    </row>
    <row r="22" spans="1:15" x14ac:dyDescent="0.2">
      <c r="A22" s="45"/>
      <c r="B22" s="45"/>
      <c r="C22" s="45"/>
      <c r="D22" s="45"/>
      <c r="E22" s="45"/>
      <c r="F22" s="72" t="s">
        <v>19</v>
      </c>
      <c r="G22" s="52">
        <f>ROUND(H20/H16,2)</f>
        <v>-0.4</v>
      </c>
      <c r="H22" s="22"/>
      <c r="J22" s="46"/>
      <c r="O22" s="1"/>
    </row>
    <row r="23" spans="1:15" x14ac:dyDescent="0.2">
      <c r="A23" s="83"/>
      <c r="B23" s="22"/>
      <c r="C23" s="22"/>
      <c r="D23" s="22"/>
      <c r="E23" s="22"/>
      <c r="F23" s="72" t="s">
        <v>20</v>
      </c>
      <c r="G23" s="52">
        <f>SUM(B14:G14)/SUM(B16:G16)</f>
        <v>-1.435280438855316</v>
      </c>
      <c r="H23" s="22"/>
      <c r="J23" s="18"/>
      <c r="O23" s="1"/>
    </row>
    <row r="24" spans="1:15" x14ac:dyDescent="0.2">
      <c r="A24" s="84"/>
      <c r="B24" s="22"/>
      <c r="C24" s="22"/>
      <c r="D24" s="22"/>
      <c r="E24" s="22"/>
      <c r="F24" s="25" t="s">
        <v>37</v>
      </c>
      <c r="G24" s="117">
        <f>-(('RSA-1 CPA Eff 7.1.18'!N22*'RSA-1 CPA Eff. 7.1.19'!H16)-'RSA-1 CPA Eff 7.1.18'!N20)/H16</f>
        <v>-0.61906903038000594</v>
      </c>
      <c r="J24" s="46"/>
      <c r="O24" s="1"/>
    </row>
    <row r="25" spans="1:15" x14ac:dyDescent="0.2">
      <c r="A25" s="85"/>
      <c r="B25" s="22"/>
      <c r="C25" s="22"/>
      <c r="D25" s="22"/>
      <c r="E25" s="22"/>
      <c r="F25" s="73" t="s">
        <v>21</v>
      </c>
      <c r="G25" s="53">
        <f>SUM(G22:G24)</f>
        <v>-2.4543494692353223</v>
      </c>
      <c r="H25" s="22"/>
      <c r="O25" s="1"/>
    </row>
    <row r="26" spans="1:15" x14ac:dyDescent="0.2">
      <c r="A26" s="85"/>
      <c r="B26" s="22"/>
      <c r="C26" s="22"/>
      <c r="D26" s="22"/>
      <c r="E26" s="22"/>
      <c r="F26" s="72"/>
      <c r="G26" s="52"/>
      <c r="H26" s="22"/>
      <c r="I26" s="47"/>
      <c r="J26" s="48"/>
      <c r="O26" s="1"/>
    </row>
    <row r="27" spans="1:15" x14ac:dyDescent="0.2">
      <c r="A27" s="86"/>
      <c r="B27" s="22"/>
      <c r="C27" s="22"/>
      <c r="D27" s="22"/>
      <c r="E27" s="22"/>
      <c r="F27" s="72" t="s">
        <v>22</v>
      </c>
      <c r="G27" s="88">
        <f>'[7]Designated RSA-1 Comm Credit'!$G$25</f>
        <v>-1.9430046563665688</v>
      </c>
      <c r="O27" s="1"/>
    </row>
    <row r="28" spans="1:15" x14ac:dyDescent="0.2">
      <c r="A28" s="87"/>
      <c r="B28" s="49"/>
      <c r="C28" s="49"/>
      <c r="D28" s="49"/>
      <c r="E28" s="22"/>
      <c r="F28" s="72" t="s">
        <v>9</v>
      </c>
      <c r="G28" s="9">
        <f>G27-G25</f>
        <v>0.51134481286875344</v>
      </c>
      <c r="H28" s="71">
        <f>G28/G27</f>
        <v>-0.26317220146295045</v>
      </c>
      <c r="I28" s="50"/>
      <c r="O28" s="1"/>
    </row>
    <row r="29" spans="1:15" x14ac:dyDescent="0.2">
      <c r="A29" s="22"/>
      <c r="B29" s="22"/>
      <c r="C29" s="22"/>
      <c r="D29" s="22"/>
      <c r="E29" s="22"/>
      <c r="F29" s="72" t="s">
        <v>23</v>
      </c>
      <c r="G29" s="9">
        <f>G28*H16</f>
        <v>30631.088325276938</v>
      </c>
      <c r="I29" s="33"/>
      <c r="O29" s="1"/>
    </row>
    <row r="30" spans="1:15" x14ac:dyDescent="0.2">
      <c r="G30" s="31"/>
      <c r="H30" s="2"/>
      <c r="I30" s="19"/>
      <c r="O30" s="1"/>
    </row>
    <row r="31" spans="1:15" x14ac:dyDescent="0.2">
      <c r="M31" s="2"/>
      <c r="N31" s="5"/>
      <c r="O31" s="12"/>
    </row>
    <row r="32" spans="1:15" x14ac:dyDescent="0.2">
      <c r="K32" s="54"/>
      <c r="L32" s="30"/>
      <c r="M32" s="2"/>
      <c r="O32" s="46"/>
    </row>
    <row r="33" spans="1:16" x14ac:dyDescent="0.2">
      <c r="L33" s="54"/>
      <c r="M33" s="51"/>
      <c r="N33" s="2"/>
      <c r="O33" s="1"/>
      <c r="P33" s="18"/>
    </row>
    <row r="34" spans="1:16" ht="15" x14ac:dyDescent="0.25">
      <c r="L34" s="55"/>
      <c r="M34" s="27"/>
      <c r="N34" s="2"/>
      <c r="O34" s="1"/>
      <c r="P34" s="46"/>
    </row>
    <row r="35" spans="1:16" ht="15" x14ac:dyDescent="0.25">
      <c r="A35"/>
      <c r="B35" s="74"/>
      <c r="C35" s="75"/>
      <c r="D35" s="75"/>
      <c r="E35" s="76"/>
      <c r="F35"/>
      <c r="G35" s="77"/>
      <c r="H35"/>
      <c r="I35"/>
      <c r="J35"/>
      <c r="K35" s="78"/>
      <c r="L35" s="78"/>
      <c r="M35" s="78"/>
      <c r="N35" s="56"/>
    </row>
    <row r="36" spans="1:16" ht="15" x14ac:dyDescent="0.25">
      <c r="A36"/>
      <c r="B36" s="74"/>
      <c r="C36" s="75"/>
      <c r="D36" s="75"/>
      <c r="E36" s="76"/>
      <c r="F36"/>
      <c r="G36" s="77"/>
      <c r="H36"/>
      <c r="I36"/>
      <c r="J36"/>
      <c r="K36" s="78"/>
      <c r="L36" s="78"/>
      <c r="M36" s="78"/>
    </row>
    <row r="37" spans="1:16" ht="15" x14ac:dyDescent="0.25">
      <c r="A37"/>
      <c r="B37" s="74"/>
      <c r="C37" s="75"/>
      <c r="D37" s="75"/>
      <c r="E37" s="76"/>
      <c r="F37"/>
      <c r="G37" s="77"/>
      <c r="H37"/>
      <c r="I37"/>
      <c r="J37"/>
      <c r="K37" s="78"/>
      <c r="L37" s="78"/>
      <c r="M37" s="78"/>
    </row>
    <row r="38" spans="1:16" ht="15" x14ac:dyDescent="0.25">
      <c r="A38"/>
      <c r="B38" s="74"/>
      <c r="C38" s="75"/>
      <c r="D38" s="75"/>
      <c r="E38" s="76"/>
      <c r="F38"/>
      <c r="G38" s="77"/>
      <c r="H38"/>
      <c r="I38"/>
      <c r="J38"/>
      <c r="K38" s="78"/>
      <c r="L38" s="78"/>
      <c r="M38" s="78"/>
    </row>
    <row r="39" spans="1:16" ht="15" x14ac:dyDescent="0.25">
      <c r="A39"/>
      <c r="B39" s="74"/>
      <c r="C39" s="75"/>
      <c r="D39" s="75"/>
      <c r="E39" s="76"/>
      <c r="F39"/>
      <c r="G39" s="77"/>
      <c r="H39"/>
      <c r="I39"/>
      <c r="J39"/>
      <c r="K39" s="78"/>
      <c r="L39" s="78"/>
      <c r="M39" s="78"/>
    </row>
    <row r="40" spans="1:16" ht="15" x14ac:dyDescent="0.25">
      <c r="A40"/>
      <c r="B40" s="74"/>
      <c r="C40" s="75"/>
      <c r="D40" s="75"/>
      <c r="E40" s="76"/>
      <c r="F40"/>
      <c r="G40" s="77"/>
      <c r="H40"/>
      <c r="I40"/>
      <c r="J40"/>
      <c r="K40" s="78"/>
      <c r="L40" s="78"/>
      <c r="M40" s="78"/>
    </row>
    <row r="41" spans="1:16" ht="15" x14ac:dyDescent="0.25">
      <c r="A41"/>
      <c r="B41" s="74"/>
      <c r="C41" s="75"/>
      <c r="D41" s="75"/>
      <c r="E41" s="76"/>
      <c r="F41"/>
      <c r="G41" s="77"/>
      <c r="H41"/>
      <c r="I41"/>
      <c r="J41"/>
      <c r="K41" s="78"/>
      <c r="L41" s="78"/>
      <c r="M41" s="78"/>
    </row>
    <row r="42" spans="1:16" ht="15" x14ac:dyDescent="0.25">
      <c r="A42"/>
      <c r="B42" s="74"/>
      <c r="C42" s="75"/>
      <c r="D42" s="75"/>
      <c r="E42" s="76"/>
      <c r="F42"/>
      <c r="G42" s="77"/>
      <c r="H42"/>
      <c r="I42"/>
      <c r="J42"/>
      <c r="K42" s="78"/>
      <c r="L42" s="78"/>
      <c r="M42" s="78"/>
    </row>
    <row r="43" spans="1:16" ht="15" x14ac:dyDescent="0.25">
      <c r="A43"/>
      <c r="B43" s="74"/>
      <c r="C43" s="75"/>
      <c r="D43" s="75"/>
      <c r="E43" s="76"/>
      <c r="F43"/>
      <c r="G43" s="77"/>
      <c r="H43"/>
      <c r="I43"/>
      <c r="J43"/>
      <c r="K43" s="78"/>
      <c r="L43" s="78"/>
      <c r="M43" s="78"/>
    </row>
    <row r="44" spans="1:16" ht="15" x14ac:dyDescent="0.25">
      <c r="A44"/>
      <c r="B44" s="74"/>
      <c r="C44" s="75"/>
      <c r="D44" s="75"/>
      <c r="E44" s="76"/>
      <c r="F44"/>
      <c r="G44" s="77"/>
      <c r="H44"/>
      <c r="I44"/>
      <c r="J44"/>
      <c r="K44" s="78"/>
      <c r="L44" s="78"/>
      <c r="M44" s="78"/>
    </row>
    <row r="45" spans="1:16" ht="15" x14ac:dyDescent="0.25">
      <c r="A45"/>
      <c r="B45" s="74"/>
      <c r="C45" s="75"/>
      <c r="D45" s="75"/>
      <c r="E45" s="76"/>
      <c r="F45"/>
      <c r="G45" s="77"/>
      <c r="H45"/>
      <c r="I45"/>
      <c r="J45"/>
      <c r="K45" s="78"/>
      <c r="L45" s="78"/>
      <c r="M45" s="78"/>
    </row>
    <row r="46" spans="1:16" ht="15" x14ac:dyDescent="0.25">
      <c r="A46"/>
      <c r="B46" s="74"/>
      <c r="C46" s="75"/>
      <c r="D46" s="75"/>
      <c r="E46" s="76"/>
      <c r="F46"/>
      <c r="G46" s="77"/>
      <c r="H46"/>
      <c r="I46"/>
      <c r="J46"/>
      <c r="K46" s="78"/>
      <c r="L46" s="78"/>
      <c r="M46" s="78"/>
    </row>
    <row r="47" spans="1:16" ht="15" x14ac:dyDescent="0.25">
      <c r="A47"/>
      <c r="B47" s="74"/>
      <c r="C47" s="75"/>
      <c r="D47" s="75"/>
      <c r="E47" s="76"/>
      <c r="F47"/>
      <c r="G47" s="77"/>
      <c r="H47"/>
      <c r="I47"/>
      <c r="J47"/>
      <c r="K47" s="78"/>
      <c r="L47" s="78"/>
      <c r="M47" s="78"/>
    </row>
    <row r="48" spans="1:16" ht="15" x14ac:dyDescent="0.25">
      <c r="A48"/>
      <c r="B48" s="74"/>
      <c r="C48" s="75"/>
      <c r="D48" s="75"/>
      <c r="E48" s="76"/>
      <c r="F48"/>
      <c r="G48" s="77"/>
      <c r="H48"/>
      <c r="I48"/>
      <c r="J48"/>
      <c r="K48" s="78"/>
      <c r="L48" s="78"/>
      <c r="M48" s="78"/>
    </row>
    <row r="49" spans="1:13" ht="15" x14ac:dyDescent="0.25">
      <c r="A49"/>
      <c r="B49" s="74"/>
      <c r="C49" s="75"/>
      <c r="D49" s="75"/>
      <c r="E49" s="76"/>
      <c r="F49"/>
      <c r="G49" s="77"/>
      <c r="H49"/>
      <c r="I49"/>
      <c r="J49"/>
      <c r="K49" s="78"/>
      <c r="L49" s="78"/>
      <c r="M49" s="78"/>
    </row>
  </sheetData>
  <pageMargins left="0.7" right="0.7" top="0.75" bottom="0.75" header="0.3" footer="0.3"/>
  <pageSetup scale="82" fitToHeight="0"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BB104"/>
  <sheetViews>
    <sheetView showGridLines="0" topLeftCell="A19" zoomScale="85" zoomScaleNormal="85" workbookViewId="0">
      <selection activeCell="H29" sqref="H29"/>
    </sheetView>
  </sheetViews>
  <sheetFormatPr defaultRowHeight="12.75" x14ac:dyDescent="0.2"/>
  <cols>
    <col min="1" max="1" width="35.85546875" style="1" customWidth="1"/>
    <col min="2" max="8" width="12.5703125" style="1" customWidth="1"/>
    <col min="9" max="9" width="11.85546875" style="1" bestFit="1" customWidth="1"/>
    <col min="10" max="10" width="11.28515625" style="1" bestFit="1" customWidth="1"/>
    <col min="11" max="16384" width="9.140625" style="1"/>
  </cols>
  <sheetData>
    <row r="1" spans="1:23" x14ac:dyDescent="0.2">
      <c r="A1" s="3" t="s">
        <v>15</v>
      </c>
      <c r="B1" s="26"/>
      <c r="C1" s="26"/>
      <c r="D1" s="26"/>
      <c r="E1" s="26"/>
      <c r="F1" s="26"/>
      <c r="G1" s="26"/>
      <c r="H1" s="6"/>
    </row>
    <row r="2" spans="1:23" x14ac:dyDescent="0.2">
      <c r="A2" s="3" t="s">
        <v>10</v>
      </c>
      <c r="B2" s="26"/>
      <c r="C2" s="26"/>
      <c r="D2" s="26"/>
      <c r="E2" s="26"/>
      <c r="F2" s="26"/>
      <c r="G2" s="26"/>
      <c r="H2" s="6"/>
    </row>
    <row r="3" spans="1:23" x14ac:dyDescent="0.2">
      <c r="A3" s="3" t="s">
        <v>16</v>
      </c>
      <c r="B3" s="26"/>
      <c r="C3" s="26"/>
      <c r="D3" s="26"/>
      <c r="E3" s="26"/>
      <c r="F3" s="26"/>
      <c r="G3" s="26"/>
      <c r="H3" s="6"/>
    </row>
    <row r="4" spans="1:23" x14ac:dyDescent="0.2">
      <c r="A4" s="3" t="str">
        <f>'RSA-1 CPA Eff. 7.1.19'!A4</f>
        <v>Effective July 1, 2019</v>
      </c>
      <c r="B4" s="26"/>
      <c r="C4" s="26"/>
      <c r="D4" s="26"/>
      <c r="E4" s="26"/>
      <c r="F4" s="26"/>
      <c r="G4" s="26"/>
      <c r="H4" s="6"/>
    </row>
    <row r="5" spans="1:23" x14ac:dyDescent="0.2">
      <c r="A5" s="3"/>
      <c r="B5" s="26"/>
      <c r="C5" s="26"/>
      <c r="D5" s="26"/>
      <c r="E5" s="26"/>
      <c r="F5" s="26"/>
      <c r="G5" s="26"/>
      <c r="H5" s="40" t="s">
        <v>24</v>
      </c>
    </row>
    <row r="6" spans="1:23" ht="13.5" thickBot="1" x14ac:dyDescent="0.25">
      <c r="A6" s="60" t="s">
        <v>18</v>
      </c>
      <c r="B6" s="28">
        <f>'RSA-1 CPA Eff. 7.1.19'!B6</f>
        <v>43434</v>
      </c>
      <c r="C6" s="28">
        <f>'RSA-1 CPA Eff. 7.1.19'!C6</f>
        <v>43464</v>
      </c>
      <c r="D6" s="28">
        <f>'RSA-1 CPA Eff. 7.1.19'!D6</f>
        <v>43495</v>
      </c>
      <c r="E6" s="28">
        <f>'RSA-1 CPA Eff. 7.1.19'!E6</f>
        <v>43524</v>
      </c>
      <c r="F6" s="28">
        <f>'RSA-1 CPA Eff. 7.1.19'!F6</f>
        <v>43542</v>
      </c>
      <c r="G6" s="28">
        <f>'RSA-1 CPA Eff. 7.1.19'!G6</f>
        <v>43585</v>
      </c>
      <c r="H6" s="58" t="s">
        <v>1</v>
      </c>
      <c r="I6" s="59"/>
      <c r="J6" s="59"/>
      <c r="K6" s="59"/>
    </row>
    <row r="7" spans="1:23" x14ac:dyDescent="0.2">
      <c r="B7" s="4"/>
      <c r="C7" s="4"/>
      <c r="D7" s="4"/>
      <c r="E7" s="61"/>
      <c r="F7" s="4"/>
      <c r="G7" s="4"/>
      <c r="H7" s="40"/>
      <c r="I7" s="59"/>
      <c r="J7" s="59"/>
      <c r="K7" s="59"/>
    </row>
    <row r="8" spans="1:23" x14ac:dyDescent="0.2">
      <c r="A8" s="3" t="s">
        <v>2</v>
      </c>
      <c r="B8" s="31"/>
      <c r="C8" s="31"/>
      <c r="D8" s="31"/>
      <c r="E8" s="31"/>
      <c r="F8" s="31"/>
      <c r="G8" s="31"/>
    </row>
    <row r="9" spans="1:23" x14ac:dyDescent="0.2">
      <c r="A9" s="1" t="s">
        <v>3</v>
      </c>
      <c r="B9" s="97">
        <f>'[6]Joe''s Comm Credit'!B9</f>
        <v>74.368845019287505</v>
      </c>
      <c r="C9" s="97">
        <f>'[6]Joe''s Comm Credit'!C9</f>
        <v>50.59163085274826</v>
      </c>
      <c r="D9" s="97">
        <f>'[6]Joe''s Comm Credit'!D9</f>
        <v>58.924795335010288</v>
      </c>
      <c r="E9" s="97">
        <f>'[6]Joe''s Comm Credit'!E9</f>
        <v>58.925752171925005</v>
      </c>
      <c r="F9" s="97">
        <f>'[6]Joe''s Comm Credit'!F9</f>
        <v>47.103936775073912</v>
      </c>
      <c r="G9" s="97">
        <f>'[6]Joe''s Comm Credit'!G9</f>
        <v>62.714810298102961</v>
      </c>
      <c r="H9" s="27">
        <f>SUM(B9:G9)</f>
        <v>352.62977045214797</v>
      </c>
      <c r="I9" s="23"/>
      <c r="J9" s="23"/>
      <c r="K9" s="23"/>
      <c r="L9" s="23"/>
      <c r="M9" s="23"/>
      <c r="N9" s="23"/>
      <c r="O9" s="23"/>
      <c r="P9" s="23"/>
      <c r="Q9" s="23"/>
      <c r="R9" s="23"/>
      <c r="S9" s="23"/>
      <c r="T9" s="23"/>
      <c r="U9" s="23"/>
      <c r="V9" s="23"/>
      <c r="W9" s="23"/>
    </row>
    <row r="10" spans="1:23" x14ac:dyDescent="0.2">
      <c r="A10" s="1" t="s">
        <v>11</v>
      </c>
      <c r="B10" s="97">
        <f>'[6]Joe''s Comm Credit'!B10</f>
        <v>11.68</v>
      </c>
      <c r="C10" s="97">
        <f>'[6]Joe''s Comm Credit'!C10</f>
        <v>7.77</v>
      </c>
      <c r="D10" s="97">
        <f>'[6]Joe''s Comm Credit'!D10</f>
        <v>11.79</v>
      </c>
      <c r="E10" s="97">
        <f>'[6]Joe''s Comm Credit'!E10</f>
        <v>8.1300000000000008</v>
      </c>
      <c r="F10" s="97">
        <f>'[6]Joe''s Comm Credit'!F10</f>
        <v>10.08</v>
      </c>
      <c r="G10" s="97">
        <f>'[6]Joe''s Comm Credit'!G10</f>
        <v>9.84</v>
      </c>
      <c r="H10" s="27">
        <f>SUM(B10:G10)</f>
        <v>59.289999999999992</v>
      </c>
      <c r="I10" s="23"/>
      <c r="K10" s="23"/>
    </row>
    <row r="11" spans="1:23" s="3" customFormat="1" x14ac:dyDescent="0.2">
      <c r="A11" s="3" t="s">
        <v>12</v>
      </c>
      <c r="B11" s="29">
        <f>SUM(B9:B10)</f>
        <v>86.048845019287512</v>
      </c>
      <c r="C11" s="29">
        <f>SUM(C9:C10)</f>
        <v>58.361630852748263</v>
      </c>
      <c r="D11" s="29">
        <f t="shared" ref="D11" si="0">SUM(D9:D10)</f>
        <v>70.71479533501028</v>
      </c>
      <c r="E11" s="29">
        <f>SUM(E9:E10)</f>
        <v>67.055752171925008</v>
      </c>
      <c r="F11" s="29">
        <f>SUM(F9:F10)</f>
        <v>57.18393677507391</v>
      </c>
      <c r="G11" s="29">
        <f>SUM(G9:G10)</f>
        <v>72.554810298102964</v>
      </c>
      <c r="H11" s="30">
        <f>SUM(B11:G11)</f>
        <v>411.91977045214793</v>
      </c>
      <c r="I11" s="30"/>
    </row>
    <row r="12" spans="1:23" x14ac:dyDescent="0.2">
      <c r="B12" s="2"/>
      <c r="C12" s="2"/>
      <c r="D12" s="2"/>
      <c r="E12" s="2"/>
      <c r="F12" s="2"/>
      <c r="G12" s="2"/>
      <c r="H12" s="27"/>
      <c r="I12" s="62"/>
    </row>
    <row r="13" spans="1:23" x14ac:dyDescent="0.2">
      <c r="A13" s="3" t="s">
        <v>4</v>
      </c>
      <c r="B13" s="31"/>
      <c r="C13" s="31"/>
      <c r="D13" s="31"/>
      <c r="E13" s="31"/>
      <c r="F13" s="31"/>
      <c r="G13" s="31"/>
    </row>
    <row r="14" spans="1:23" s="23" customFormat="1" x14ac:dyDescent="0.2">
      <c r="A14" s="23" t="s">
        <v>3</v>
      </c>
      <c r="B14" s="96">
        <f>'[6]Joe''s Comm Credit'!B15</f>
        <v>-75.002049999999983</v>
      </c>
      <c r="C14" s="96">
        <f>'[6]Joe''s Comm Credit'!C15</f>
        <v>-79.117449999999977</v>
      </c>
      <c r="D14" s="96">
        <f>'[6]Joe''s Comm Credit'!D15</f>
        <v>-87.291550000000001</v>
      </c>
      <c r="E14" s="96">
        <f>'[6]Joe''s Comm Credit'!E15</f>
        <v>-98.354200000000034</v>
      </c>
      <c r="F14" s="96">
        <f>'[6]Joe''s Comm Credit'!F15</f>
        <v>-100.63679999999999</v>
      </c>
      <c r="G14" s="96">
        <f>'[6]Joe''s Comm Credit'!G15</f>
        <v>-106.56739999999998</v>
      </c>
      <c r="H14" s="32"/>
    </row>
    <row r="15" spans="1:23" x14ac:dyDescent="0.2">
      <c r="A15" s="1" t="s">
        <v>11</v>
      </c>
      <c r="B15" s="96">
        <f>'[6]Joe''s Comm Credit'!B16</f>
        <v>-30</v>
      </c>
      <c r="C15" s="96">
        <f>'[6]Joe''s Comm Credit'!C16</f>
        <v>-30</v>
      </c>
      <c r="D15" s="96">
        <f>'[6]Joe''s Comm Credit'!D16</f>
        <v>-30</v>
      </c>
      <c r="E15" s="96">
        <f>'[6]Joe''s Comm Credit'!E16</f>
        <v>-30</v>
      </c>
      <c r="F15" s="96">
        <f>'[6]Joe''s Comm Credit'!F16</f>
        <v>-30</v>
      </c>
      <c r="G15" s="96">
        <f>'[6]Joe''s Comm Credit'!G16</f>
        <v>-30</v>
      </c>
      <c r="H15" s="17"/>
      <c r="I15" s="24"/>
    </row>
    <row r="17" spans="1:11" x14ac:dyDescent="0.2">
      <c r="A17" s="3" t="s">
        <v>5</v>
      </c>
    </row>
    <row r="18" spans="1:11" x14ac:dyDescent="0.2">
      <c r="A18" s="68" t="s">
        <v>3</v>
      </c>
      <c r="B18" s="34">
        <f t="shared" ref="B18:G18" si="1">B9*B14</f>
        <v>-5577.8158325788509</v>
      </c>
      <c r="C18" s="34">
        <f t="shared" si="1"/>
        <v>-4002.6808244107665</v>
      </c>
      <c r="D18" s="34">
        <f t="shared" si="1"/>
        <v>-5143.6367182258173</v>
      </c>
      <c r="E18" s="34">
        <f t="shared" si="1"/>
        <v>-5795.595214267948</v>
      </c>
      <c r="F18" s="34">
        <f t="shared" si="1"/>
        <v>-4740.3894644457578</v>
      </c>
      <c r="G18" s="34">
        <f t="shared" si="1"/>
        <v>-6683.3542749620565</v>
      </c>
      <c r="H18" s="11">
        <f>SUM(B18:G18)</f>
        <v>-31943.472328891199</v>
      </c>
      <c r="I18" s="14"/>
    </row>
    <row r="19" spans="1:11" x14ac:dyDescent="0.2">
      <c r="A19" s="1" t="s">
        <v>11</v>
      </c>
      <c r="B19" s="34">
        <f>+B15*B10</f>
        <v>-350.4</v>
      </c>
      <c r="C19" s="34">
        <f>+C15*C10</f>
        <v>-233.1</v>
      </c>
      <c r="D19" s="34">
        <f t="shared" ref="D19:G19" si="2">+D15*D10</f>
        <v>-353.7</v>
      </c>
      <c r="E19" s="34">
        <f t="shared" si="2"/>
        <v>-243.90000000000003</v>
      </c>
      <c r="F19" s="34">
        <f>+F15*F10</f>
        <v>-302.39999999999998</v>
      </c>
      <c r="G19" s="34">
        <f t="shared" si="2"/>
        <v>-295.2</v>
      </c>
      <c r="H19" s="11">
        <f>SUM(B19:G19)</f>
        <v>-1778.7</v>
      </c>
      <c r="I19" s="38"/>
    </row>
    <row r="20" spans="1:11" s="3" customFormat="1" x14ac:dyDescent="0.2">
      <c r="A20" s="3" t="s">
        <v>14</v>
      </c>
      <c r="B20" s="35">
        <f t="shared" ref="B20:C20" si="3">+B18+B19</f>
        <v>-5928.2158325788505</v>
      </c>
      <c r="C20" s="35">
        <f t="shared" si="3"/>
        <v>-4235.7808244107664</v>
      </c>
      <c r="D20" s="35">
        <f>+D18+D19</f>
        <v>-5497.3367182258171</v>
      </c>
      <c r="E20" s="35">
        <f>+E18+E19</f>
        <v>-6039.4952142679476</v>
      </c>
      <c r="F20" s="35">
        <f>+F18+F19</f>
        <v>-5042.7894644457574</v>
      </c>
      <c r="G20" s="35">
        <f>+G18+G19</f>
        <v>-6978.5542749620563</v>
      </c>
      <c r="H20" s="36">
        <f>SUM(H18:H19)</f>
        <v>-33722.172328891196</v>
      </c>
      <c r="I20" s="63"/>
      <c r="J20" s="64"/>
    </row>
    <row r="21" spans="1:11" x14ac:dyDescent="0.2">
      <c r="B21" s="12"/>
      <c r="C21" s="12"/>
      <c r="D21" s="12"/>
      <c r="E21" s="12"/>
      <c r="F21" s="12"/>
      <c r="G21" s="12"/>
      <c r="H21" s="12"/>
    </row>
    <row r="22" spans="1:11" s="5" customFormat="1" x14ac:dyDescent="0.2">
      <c r="A22" s="3" t="s">
        <v>6</v>
      </c>
      <c r="B22" s="101">
        <f>'[6]Joe''s Comm Credit'!B23</f>
        <v>4060</v>
      </c>
      <c r="C22" s="101">
        <f>'[6]Joe''s Comm Credit'!C23</f>
        <v>4080</v>
      </c>
      <c r="D22" s="101">
        <f>'[6]Joe''s Comm Credit'!D23</f>
        <v>4083</v>
      </c>
      <c r="E22" s="101">
        <f>'[6]Joe''s Comm Credit'!E23</f>
        <v>4084</v>
      </c>
      <c r="F22" s="101">
        <f>'[6]Joe''s Comm Credit'!F23</f>
        <v>4107</v>
      </c>
      <c r="G22" s="101">
        <f>'[6]Joe''s Comm Credit'!G23</f>
        <v>4138</v>
      </c>
      <c r="H22" s="7">
        <f>SUM(B22:G22)</f>
        <v>24552</v>
      </c>
      <c r="K22" s="14"/>
    </row>
    <row r="23" spans="1:11" s="5" customFormat="1" x14ac:dyDescent="0.2">
      <c r="H23" s="7"/>
      <c r="K23" s="14"/>
    </row>
    <row r="24" spans="1:11" x14ac:dyDescent="0.2">
      <c r="A24" s="1" t="s">
        <v>7</v>
      </c>
      <c r="B24" s="16">
        <f>+IFERROR(B20/B22,0)</f>
        <v>-1.4601516829011947</v>
      </c>
      <c r="C24" s="16">
        <f t="shared" ref="C24:G24" si="4">+IFERROR(C20/C22,0)</f>
        <v>-1.0381815746104819</v>
      </c>
      <c r="D24" s="16">
        <f t="shared" si="4"/>
        <v>-1.3463964531535189</v>
      </c>
      <c r="E24" s="16">
        <f t="shared" si="4"/>
        <v>-1.4788186127002809</v>
      </c>
      <c r="F24" s="16">
        <f t="shared" si="4"/>
        <v>-1.2278523166412849</v>
      </c>
      <c r="G24" s="16">
        <f t="shared" si="4"/>
        <v>-1.6864558421851272</v>
      </c>
      <c r="H24" s="17"/>
      <c r="I24" s="37"/>
    </row>
    <row r="25" spans="1:11" x14ac:dyDescent="0.2">
      <c r="A25" s="1" t="s">
        <v>8</v>
      </c>
      <c r="B25" s="82">
        <f>'[6]Joe''s Comm Credit'!B26</f>
        <v>-0.99</v>
      </c>
      <c r="C25" s="82">
        <f>'[6]Joe''s Comm Credit'!C26</f>
        <v>-0.99</v>
      </c>
      <c r="D25" s="82">
        <f>'[6]Joe''s Comm Credit'!D26</f>
        <v>-1.26</v>
      </c>
      <c r="E25" s="82">
        <f>'[6]Joe''s Comm Credit'!E26</f>
        <v>-1.26</v>
      </c>
      <c r="F25" s="82">
        <f>'[6]Joe''s Comm Credit'!F26</f>
        <v>-1.26</v>
      </c>
      <c r="G25" s="82">
        <f>'[6]Joe''s Comm Credit'!G26</f>
        <v>-1.26</v>
      </c>
      <c r="H25" s="17"/>
      <c r="I25" s="19"/>
    </row>
    <row r="26" spans="1:11" x14ac:dyDescent="0.2">
      <c r="A26" s="20" t="s">
        <v>17</v>
      </c>
      <c r="B26" s="20">
        <f t="shared" ref="B26:C26" si="5">+(B24-B25)*B22</f>
        <v>-1908.8158325788504</v>
      </c>
      <c r="C26" s="20">
        <f t="shared" si="5"/>
        <v>-196.58082441076613</v>
      </c>
      <c r="D26" s="20">
        <f>+(D24-D25)*D22</f>
        <v>-352.75671822581745</v>
      </c>
      <c r="E26" s="20">
        <f>+(E24-E25)*E22</f>
        <v>-893.65521426794726</v>
      </c>
      <c r="F26" s="20">
        <f>+(F24-F25)*F22</f>
        <v>132.0305355542429</v>
      </c>
      <c r="G26" s="20">
        <f>+(G24-G25)*G22</f>
        <v>-1764.6742749620564</v>
      </c>
      <c r="H26" s="44">
        <f>SUM(B26:G26)</f>
        <v>-4984.4523288911951</v>
      </c>
      <c r="I26" s="5"/>
      <c r="J26" s="31"/>
    </row>
    <row r="27" spans="1:11" x14ac:dyDescent="0.2">
      <c r="B27" s="5"/>
      <c r="C27" s="5"/>
      <c r="D27" s="5"/>
      <c r="E27" s="5"/>
      <c r="F27" s="5"/>
      <c r="G27" s="5"/>
      <c r="H27" s="21"/>
    </row>
    <row r="28" spans="1:11" x14ac:dyDescent="0.2">
      <c r="B28" s="45"/>
      <c r="C28" s="45"/>
      <c r="D28" s="45"/>
      <c r="E28" s="45"/>
      <c r="F28" s="45"/>
      <c r="G28" s="72" t="s">
        <v>19</v>
      </c>
      <c r="H28" s="17">
        <f>ROUND(H26/H22,2)</f>
        <v>-0.2</v>
      </c>
      <c r="J28" s="31"/>
    </row>
    <row r="29" spans="1:11" x14ac:dyDescent="0.2">
      <c r="A29" s="90"/>
      <c r="B29" s="22"/>
      <c r="C29" s="22"/>
      <c r="D29" s="22"/>
      <c r="E29" s="22"/>
      <c r="F29" s="22"/>
      <c r="G29" s="72" t="s">
        <v>20</v>
      </c>
      <c r="H29" s="17">
        <f>SUM(B20:G20)/SUM(B22:G22)</f>
        <v>-1.3735000133956987</v>
      </c>
      <c r="J29" s="31"/>
    </row>
    <row r="30" spans="1:11" x14ac:dyDescent="0.2">
      <c r="A30" s="91"/>
      <c r="B30" s="22"/>
      <c r="C30" s="22"/>
      <c r="D30" s="22"/>
      <c r="E30" s="22"/>
      <c r="F30" s="22"/>
      <c r="G30" s="25" t="s">
        <v>37</v>
      </c>
      <c r="H30" s="116">
        <f>-(('Joe''s CPA Eff 7.1.18'!N28*'Joe''s CPA Eff 7.1.19'!H22)-'Joe''s CPA Eff 7.1.18'!N26)/'Joe''s CPA Eff 7.1.19'!H22</f>
        <v>-0.61894324996387184</v>
      </c>
      <c r="J30" s="31"/>
    </row>
    <row r="31" spans="1:11" x14ac:dyDescent="0.2">
      <c r="A31" s="91"/>
      <c r="B31" s="22"/>
      <c r="C31" s="22"/>
      <c r="D31" s="22"/>
      <c r="E31" s="22"/>
      <c r="F31" s="22"/>
      <c r="G31" s="73" t="s">
        <v>21</v>
      </c>
      <c r="H31" s="44">
        <f>SUM(H28:H30)</f>
        <v>-2.1924432633595705</v>
      </c>
    </row>
    <row r="32" spans="1:11" x14ac:dyDescent="0.2">
      <c r="A32" s="91"/>
      <c r="B32" s="22"/>
      <c r="C32" s="22"/>
      <c r="G32" s="72"/>
      <c r="H32" s="44"/>
      <c r="J32" s="8"/>
    </row>
    <row r="33" spans="1:10" x14ac:dyDescent="0.2">
      <c r="A33" s="92"/>
      <c r="G33" s="72" t="s">
        <v>22</v>
      </c>
      <c r="H33" s="98">
        <f>'[7]Joe''s Comm Credit'!$H$31</f>
        <v>-2.3817294607580517</v>
      </c>
      <c r="I33" s="13"/>
    </row>
    <row r="34" spans="1:10" x14ac:dyDescent="0.2">
      <c r="G34" s="72" t="s">
        <v>9</v>
      </c>
      <c r="H34" s="17">
        <f>H33-H31</f>
        <v>-0.18928619739848118</v>
      </c>
      <c r="I34" s="71">
        <f>H34/H33</f>
        <v>7.9474264611999884E-2</v>
      </c>
      <c r="J34" s="8"/>
    </row>
    <row r="35" spans="1:10" x14ac:dyDescent="0.2">
      <c r="A35" s="65"/>
      <c r="G35" s="72" t="s">
        <v>23</v>
      </c>
      <c r="H35" s="17">
        <f>H34*H22</f>
        <v>-4647.3547185275102</v>
      </c>
      <c r="I35" s="13"/>
    </row>
    <row r="36" spans="1:10" x14ac:dyDescent="0.2">
      <c r="A36" s="65"/>
      <c r="H36" s="23"/>
    </row>
    <row r="37" spans="1:10" x14ac:dyDescent="0.2">
      <c r="A37" s="65"/>
      <c r="B37" s="3"/>
      <c r="C37" s="3"/>
      <c r="D37" s="3"/>
      <c r="E37" s="3"/>
      <c r="F37" s="3"/>
      <c r="G37" s="3"/>
      <c r="H37" s="40" t="s">
        <v>24</v>
      </c>
      <c r="I37" s="33"/>
    </row>
    <row r="38" spans="1:10" ht="13.5" thickBot="1" x14ac:dyDescent="0.25">
      <c r="A38" s="60" t="s">
        <v>13</v>
      </c>
      <c r="B38" s="28">
        <f t="shared" ref="B38:G38" si="6">B6</f>
        <v>43434</v>
      </c>
      <c r="C38" s="28">
        <f t="shared" si="6"/>
        <v>43464</v>
      </c>
      <c r="D38" s="28">
        <f t="shared" si="6"/>
        <v>43495</v>
      </c>
      <c r="E38" s="28">
        <f t="shared" si="6"/>
        <v>43524</v>
      </c>
      <c r="F38" s="28">
        <f t="shared" si="6"/>
        <v>43542</v>
      </c>
      <c r="G38" s="28">
        <f t="shared" si="6"/>
        <v>43585</v>
      </c>
      <c r="H38" s="58" t="s">
        <v>1</v>
      </c>
      <c r="I38" s="38"/>
      <c r="J38" s="67"/>
    </row>
    <row r="39" spans="1:10" x14ac:dyDescent="0.2">
      <c r="A39" s="60"/>
      <c r="B39" s="4"/>
      <c r="C39" s="4"/>
      <c r="D39" s="4"/>
      <c r="E39" s="4"/>
      <c r="F39" s="4"/>
      <c r="G39" s="4"/>
      <c r="H39" s="40"/>
      <c r="I39" s="38"/>
      <c r="J39" s="67"/>
    </row>
    <row r="40" spans="1:10" x14ac:dyDescent="0.2">
      <c r="A40" s="3" t="s">
        <v>2</v>
      </c>
      <c r="H40" s="23"/>
    </row>
    <row r="41" spans="1:10" x14ac:dyDescent="0.2">
      <c r="A41" s="68" t="s">
        <v>3</v>
      </c>
      <c r="B41" s="79">
        <f>'[6]Joe''s Comm Credit'!B39</f>
        <v>6.3561549807125033</v>
      </c>
      <c r="C41" s="79">
        <f>'[6]Joe''s Comm Credit'!C39</f>
        <v>4.2283691472517546</v>
      </c>
      <c r="D41" s="79">
        <f>'[6]Joe''s Comm Credit'!D39</f>
        <v>4.1852046649897128</v>
      </c>
      <c r="E41" s="79">
        <f>'[6]Joe''s Comm Credit'!E39</f>
        <v>4.1842478280749873</v>
      </c>
      <c r="F41" s="79">
        <f>'[6]Joe''s Comm Credit'!F39</f>
        <v>3.3260632249260884</v>
      </c>
      <c r="G41" s="79">
        <f>'[6]Joe''s Comm Credit'!G39</f>
        <v>4.3951897018970261</v>
      </c>
      <c r="H41" s="27">
        <f>SUM(B41:G41)</f>
        <v>26.675229547852069</v>
      </c>
      <c r="J41" s="31"/>
    </row>
    <row r="42" spans="1:10" x14ac:dyDescent="0.2">
      <c r="A42" s="68" t="s">
        <v>11</v>
      </c>
      <c r="B42" s="79">
        <f>'[6]Joe''s Comm Credit'!B40</f>
        <v>0.7</v>
      </c>
      <c r="C42" s="79">
        <f>'[6]Joe''s Comm Credit'!C40</f>
        <v>0.47</v>
      </c>
      <c r="D42" s="79">
        <f>'[6]Joe''s Comm Credit'!D40</f>
        <v>0.69</v>
      </c>
      <c r="E42" s="79">
        <f>'[6]Joe''s Comm Credit'!E40</f>
        <v>0.48</v>
      </c>
      <c r="F42" s="79">
        <f>'[6]Joe''s Comm Credit'!F40</f>
        <v>0.59</v>
      </c>
      <c r="G42" s="79">
        <f>'[6]Joe''s Comm Credit'!G40</f>
        <v>0.56999999999999995</v>
      </c>
      <c r="H42" s="27">
        <f>SUM(B42:G42)</f>
        <v>3.4999999999999996</v>
      </c>
      <c r="I42" s="69"/>
      <c r="J42" s="31"/>
    </row>
    <row r="43" spans="1:10" x14ac:dyDescent="0.2">
      <c r="A43" s="66" t="s">
        <v>12</v>
      </c>
      <c r="B43" s="29">
        <f t="shared" ref="B43:G43" si="7">SUM(B41:B42)</f>
        <v>7.0561549807125035</v>
      </c>
      <c r="C43" s="29">
        <f t="shared" si="7"/>
        <v>4.6983691472517544</v>
      </c>
      <c r="D43" s="29">
        <f t="shared" si="7"/>
        <v>4.8752046649897132</v>
      </c>
      <c r="E43" s="29">
        <f t="shared" si="7"/>
        <v>4.6642478280749877</v>
      </c>
      <c r="F43" s="29">
        <f>SUM(F41:F42)</f>
        <v>3.9160632249260883</v>
      </c>
      <c r="G43" s="29">
        <f t="shared" si="7"/>
        <v>4.9651897018970264</v>
      </c>
      <c r="H43" s="30">
        <f>SUM(H41:H42)</f>
        <v>30.175229547852069</v>
      </c>
    </row>
    <row r="44" spans="1:10" x14ac:dyDescent="0.2">
      <c r="A44" s="68"/>
      <c r="B44" s="2"/>
      <c r="C44" s="2"/>
      <c r="D44" s="2"/>
      <c r="E44" s="2"/>
      <c r="F44" s="2"/>
      <c r="G44" s="2"/>
      <c r="H44" s="31"/>
    </row>
    <row r="45" spans="1:10" x14ac:dyDescent="0.2">
      <c r="A45" s="66" t="s">
        <v>4</v>
      </c>
    </row>
    <row r="46" spans="1:10" x14ac:dyDescent="0.2">
      <c r="A46" s="68" t="s">
        <v>3</v>
      </c>
      <c r="B46" s="99">
        <f t="shared" ref="B46:G47" si="8">+B14</f>
        <v>-75.002049999999983</v>
      </c>
      <c r="C46" s="99">
        <f t="shared" si="8"/>
        <v>-79.117449999999977</v>
      </c>
      <c r="D46" s="99">
        <f t="shared" si="8"/>
        <v>-87.291550000000001</v>
      </c>
      <c r="E46" s="99">
        <f t="shared" si="8"/>
        <v>-98.354200000000034</v>
      </c>
      <c r="F46" s="99">
        <f t="shared" si="8"/>
        <v>-100.63679999999999</v>
      </c>
      <c r="G46" s="99">
        <f t="shared" si="8"/>
        <v>-106.56739999999998</v>
      </c>
    </row>
    <row r="47" spans="1:10" x14ac:dyDescent="0.2">
      <c r="A47" s="68" t="s">
        <v>11</v>
      </c>
      <c r="B47" s="99">
        <f t="shared" si="8"/>
        <v>-30</v>
      </c>
      <c r="C47" s="99">
        <f t="shared" si="8"/>
        <v>-30</v>
      </c>
      <c r="D47" s="99">
        <f t="shared" si="8"/>
        <v>-30</v>
      </c>
      <c r="E47" s="99">
        <f t="shared" si="8"/>
        <v>-30</v>
      </c>
      <c r="F47" s="99">
        <f t="shared" si="8"/>
        <v>-30</v>
      </c>
      <c r="G47" s="99">
        <f t="shared" si="8"/>
        <v>-30</v>
      </c>
    </row>
    <row r="48" spans="1:10" x14ac:dyDescent="0.2">
      <c r="A48" s="68"/>
      <c r="B48" s="2"/>
      <c r="C48" s="2"/>
      <c r="D48" s="2"/>
      <c r="E48" s="2"/>
      <c r="F48" s="2"/>
      <c r="G48" s="2"/>
    </row>
    <row r="49" spans="1:8" x14ac:dyDescent="0.2">
      <c r="A49" s="3" t="s">
        <v>5</v>
      </c>
      <c r="B49" s="2"/>
      <c r="C49" s="2"/>
      <c r="D49" s="2"/>
      <c r="E49" s="2"/>
      <c r="F49" s="2"/>
      <c r="G49" s="2"/>
    </row>
    <row r="50" spans="1:8" x14ac:dyDescent="0.2">
      <c r="A50" s="68" t="s">
        <v>3</v>
      </c>
      <c r="B50" s="10">
        <f t="shared" ref="B50:G50" si="9">+B41*B46</f>
        <v>-476.72465367114808</v>
      </c>
      <c r="C50" s="10">
        <f t="shared" si="9"/>
        <v>-334.53778458923324</v>
      </c>
      <c r="D50" s="10">
        <f t="shared" si="9"/>
        <v>-365.33300227418277</v>
      </c>
      <c r="E50" s="10">
        <f t="shared" si="9"/>
        <v>-411.53834773205307</v>
      </c>
      <c r="F50" s="10">
        <f>+F41*F46</f>
        <v>-334.72435955424174</v>
      </c>
      <c r="G50" s="10">
        <f t="shared" si="9"/>
        <v>-468.38393903794105</v>
      </c>
      <c r="H50" s="11">
        <f>SUM(B50:G50)</f>
        <v>-2391.2420868588001</v>
      </c>
    </row>
    <row r="51" spans="1:8" x14ac:dyDescent="0.2">
      <c r="A51" s="68" t="s">
        <v>11</v>
      </c>
      <c r="B51" s="10">
        <f t="shared" ref="B51:G51" si="10">+B47*B42</f>
        <v>-21</v>
      </c>
      <c r="C51" s="10">
        <f t="shared" si="10"/>
        <v>-14.1</v>
      </c>
      <c r="D51" s="10">
        <f t="shared" si="10"/>
        <v>-20.7</v>
      </c>
      <c r="E51" s="10">
        <f t="shared" si="10"/>
        <v>-14.399999999999999</v>
      </c>
      <c r="F51" s="10">
        <f>+F47*F42</f>
        <v>-17.7</v>
      </c>
      <c r="G51" s="10">
        <f t="shared" si="10"/>
        <v>-17.099999999999998</v>
      </c>
      <c r="H51" s="11">
        <f>SUM(B51:G51)</f>
        <v>-104.99999999999999</v>
      </c>
    </row>
    <row r="52" spans="1:8" x14ac:dyDescent="0.2">
      <c r="A52" s="3" t="s">
        <v>14</v>
      </c>
      <c r="B52" s="35">
        <f t="shared" ref="B52:C52" si="11">+B50+B51</f>
        <v>-497.72465367114808</v>
      </c>
      <c r="C52" s="35">
        <f t="shared" si="11"/>
        <v>-348.63778458923326</v>
      </c>
      <c r="D52" s="35">
        <f>+D50+D51</f>
        <v>-386.03300227418276</v>
      </c>
      <c r="E52" s="35">
        <f>+E50+E51</f>
        <v>-425.93834773205305</v>
      </c>
      <c r="F52" s="35">
        <f>+F50+F51</f>
        <v>-352.42435955424173</v>
      </c>
      <c r="G52" s="35">
        <f>+G50+G51</f>
        <v>-485.48393903794107</v>
      </c>
      <c r="H52" s="36">
        <f>SUM(H50:H51)</f>
        <v>-2496.2420868588001</v>
      </c>
    </row>
    <row r="53" spans="1:8" x14ac:dyDescent="0.2">
      <c r="B53" s="5"/>
      <c r="C53" s="5"/>
      <c r="D53" s="5"/>
      <c r="E53" s="5"/>
      <c r="F53" s="5"/>
      <c r="G53" s="5"/>
      <c r="H53" s="8"/>
    </row>
    <row r="54" spans="1:8" x14ac:dyDescent="0.2">
      <c r="A54" s="66" t="s">
        <v>6</v>
      </c>
      <c r="B54" s="81">
        <f>'[6]Joe''s Comm Credit'!B53</f>
        <v>347</v>
      </c>
      <c r="C54" s="81">
        <f>'[6]Joe''s Comm Credit'!C53</f>
        <v>341</v>
      </c>
      <c r="D54" s="81">
        <f>'[6]Joe''s Comm Credit'!D53</f>
        <v>290</v>
      </c>
      <c r="E54" s="81">
        <f>'[6]Joe''s Comm Credit'!E53</f>
        <v>290</v>
      </c>
      <c r="F54" s="81">
        <f>'[6]Joe''s Comm Credit'!F53</f>
        <v>290</v>
      </c>
      <c r="G54" s="81">
        <f>'[6]Joe''s Comm Credit'!G53</f>
        <v>290</v>
      </c>
      <c r="H54" s="7">
        <f>SUM(B54:G54)</f>
        <v>1848</v>
      </c>
    </row>
    <row r="55" spans="1:8" x14ac:dyDescent="0.2">
      <c r="A55" s="68"/>
      <c r="H55" s="8"/>
    </row>
    <row r="56" spans="1:8" x14ac:dyDescent="0.2">
      <c r="A56" s="1" t="s">
        <v>7</v>
      </c>
      <c r="B56" s="16">
        <f t="shared" ref="B56:G56" si="12">IFERROR(B52/B54,0)</f>
        <v>-1.4343649961704557</v>
      </c>
      <c r="C56" s="16">
        <f t="shared" si="12"/>
        <v>-1.0223981952763439</v>
      </c>
      <c r="D56" s="16">
        <f t="shared" si="12"/>
        <v>-1.3311482837040784</v>
      </c>
      <c r="E56" s="16">
        <f t="shared" si="12"/>
        <v>-1.468752923213976</v>
      </c>
      <c r="F56" s="16">
        <f t="shared" si="12"/>
        <v>-1.2152564122560059</v>
      </c>
      <c r="G56" s="16">
        <f t="shared" si="12"/>
        <v>-1.6740825484066932</v>
      </c>
      <c r="H56" s="17"/>
    </row>
    <row r="57" spans="1:8" x14ac:dyDescent="0.2">
      <c r="A57" s="1" t="s">
        <v>8</v>
      </c>
      <c r="B57" s="82">
        <f>'[6]Joe''s Comm Credit'!B56</f>
        <v>-0.99</v>
      </c>
      <c r="C57" s="82">
        <f>'[6]Joe''s Comm Credit'!C56</f>
        <v>-0.99</v>
      </c>
      <c r="D57" s="82">
        <f>'[6]Joe''s Comm Credit'!D56</f>
        <v>-1.24</v>
      </c>
      <c r="E57" s="82">
        <f>'[6]Joe''s Comm Credit'!E56</f>
        <v>-1.24</v>
      </c>
      <c r="F57" s="82">
        <f>'[6]Joe''s Comm Credit'!F56</f>
        <v>-1.24</v>
      </c>
      <c r="G57" s="82">
        <f>'[6]Joe''s Comm Credit'!G56</f>
        <v>-1.24</v>
      </c>
      <c r="H57" s="17"/>
    </row>
    <row r="58" spans="1:8" x14ac:dyDescent="0.2">
      <c r="A58" s="20" t="s">
        <v>17</v>
      </c>
      <c r="B58" s="20">
        <f t="shared" ref="B58:C58" si="13">(B56-B57)*B54</f>
        <v>-154.1946536711481</v>
      </c>
      <c r="C58" s="20">
        <f t="shared" si="13"/>
        <v>-11.047784589233274</v>
      </c>
      <c r="D58" s="20">
        <f>(D56-D57)*D54</f>
        <v>-26.433002274182755</v>
      </c>
      <c r="E58" s="20">
        <f>(E56-E57)*E54</f>
        <v>-66.338347732053037</v>
      </c>
      <c r="F58" s="20">
        <f>(F56-F57)*F54</f>
        <v>7.1756404457582885</v>
      </c>
      <c r="G58" s="20">
        <f>(G56-G57)*G54</f>
        <v>-125.88393903794105</v>
      </c>
      <c r="H58" s="44">
        <f>SUM(B58:G58)</f>
        <v>-376.72208685879991</v>
      </c>
    </row>
    <row r="60" spans="1:8" ht="15" x14ac:dyDescent="0.25">
      <c r="A60" s="55"/>
      <c r="B60" s="89"/>
      <c r="C60" s="45"/>
      <c r="D60" s="45"/>
      <c r="E60" s="45"/>
      <c r="F60" s="45"/>
      <c r="G60" s="72" t="s">
        <v>19</v>
      </c>
      <c r="H60" s="17">
        <f>ROUND(H58/H54,2)</f>
        <v>-0.2</v>
      </c>
    </row>
    <row r="61" spans="1:8" x14ac:dyDescent="0.2">
      <c r="A61" s="90"/>
      <c r="B61" s="93"/>
      <c r="C61" s="22"/>
      <c r="D61" s="22"/>
      <c r="E61" s="22"/>
      <c r="F61" s="22"/>
      <c r="G61" s="72" t="s">
        <v>20</v>
      </c>
      <c r="H61" s="17">
        <f>SUM(B52:G52)/SUM(B54:G54)</f>
        <v>-1.3507803500318183</v>
      </c>
    </row>
    <row r="62" spans="1:8" x14ac:dyDescent="0.2">
      <c r="A62" s="91"/>
      <c r="B62" s="94"/>
      <c r="C62" s="57"/>
      <c r="D62" s="57"/>
      <c r="E62" s="57"/>
      <c r="F62" s="57"/>
      <c r="G62" s="25" t="s">
        <v>37</v>
      </c>
      <c r="H62" s="116">
        <f>-(('Joe''s CPA Eff 7.1.18'!N59*'Joe''s CPA Eff 7.1.19'!H54)-'Joe''s CPA Eff 7.1.18'!N57)/'Joe''s CPA Eff 7.1.19'!H54</f>
        <v>-0.79590485170091874</v>
      </c>
    </row>
    <row r="63" spans="1:8" x14ac:dyDescent="0.2">
      <c r="A63" s="91"/>
      <c r="B63" s="93"/>
      <c r="C63" s="22"/>
      <c r="D63" s="22"/>
      <c r="E63" s="22"/>
      <c r="F63" s="22"/>
      <c r="G63" s="73" t="s">
        <v>21</v>
      </c>
      <c r="H63" s="44">
        <f>SUM(H60:H62)</f>
        <v>-2.3466852017327371</v>
      </c>
    </row>
    <row r="64" spans="1:8" x14ac:dyDescent="0.2">
      <c r="A64" s="92"/>
      <c r="B64" s="95"/>
      <c r="C64" s="70"/>
      <c r="D64" s="70"/>
      <c r="E64" s="70"/>
      <c r="F64" s="70"/>
      <c r="G64" s="72"/>
      <c r="H64" s="44"/>
    </row>
    <row r="65" spans="1:54" x14ac:dyDescent="0.2">
      <c r="B65" s="25"/>
      <c r="C65" s="25"/>
      <c r="D65" s="25"/>
      <c r="E65" s="25"/>
      <c r="F65" s="25"/>
      <c r="G65" s="72" t="s">
        <v>22</v>
      </c>
      <c r="H65" s="98">
        <f>'[7]Joe''s Comm Credit'!$H$63</f>
        <v>-2.3297388564075976</v>
      </c>
    </row>
    <row r="66" spans="1:54" x14ac:dyDescent="0.2">
      <c r="B66" s="25"/>
      <c r="C66" s="25"/>
      <c r="D66" s="25"/>
      <c r="E66" s="25"/>
      <c r="F66" s="25"/>
      <c r="G66" s="72" t="s">
        <v>9</v>
      </c>
      <c r="H66" s="17">
        <f>H65-H63</f>
        <v>1.69463453251395E-2</v>
      </c>
      <c r="I66" s="71">
        <f>H66/H65</f>
        <v>-7.2739248343354525E-3</v>
      </c>
    </row>
    <row r="67" spans="1:54" x14ac:dyDescent="0.2">
      <c r="G67" s="72" t="s">
        <v>23</v>
      </c>
      <c r="H67" s="17">
        <f>H66*H54</f>
        <v>31.316846160857796</v>
      </c>
    </row>
    <row r="68" spans="1:54" x14ac:dyDescent="0.2">
      <c r="B68" s="12"/>
      <c r="C68" s="12"/>
      <c r="D68" s="12"/>
      <c r="E68" s="12"/>
      <c r="F68" s="12"/>
    </row>
    <row r="69" spans="1:54" x14ac:dyDescent="0.2">
      <c r="B69" s="12"/>
      <c r="C69" s="12"/>
      <c r="D69" s="12"/>
      <c r="E69" s="12"/>
      <c r="F69" s="12"/>
      <c r="G69" s="12"/>
    </row>
    <row r="70" spans="1:54" x14ac:dyDescent="0.2">
      <c r="B70" s="12"/>
      <c r="C70" s="12"/>
      <c r="D70" s="12"/>
      <c r="E70" s="12"/>
      <c r="F70" s="12"/>
      <c r="G70" s="12"/>
    </row>
    <row r="72" spans="1:54" x14ac:dyDescent="0.2">
      <c r="B72" s="12"/>
      <c r="C72" s="12"/>
      <c r="D72" s="12"/>
      <c r="E72" s="12"/>
      <c r="F72" s="12"/>
      <c r="G72" s="12"/>
    </row>
    <row r="73" spans="1:54" s="2" customFormat="1" x14ac:dyDescent="0.2">
      <c r="A73" s="1"/>
      <c r="B73" s="12"/>
      <c r="C73" s="12"/>
      <c r="D73" s="12"/>
      <c r="E73" s="12"/>
      <c r="F73" s="12"/>
      <c r="G73" s="12"/>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1:54" s="2" customFormat="1" x14ac:dyDescent="0.2">
      <c r="A74" s="1"/>
      <c r="B74" s="12"/>
      <c r="C74" s="12"/>
      <c r="D74" s="12"/>
      <c r="E74" s="12"/>
      <c r="F74" s="12"/>
      <c r="G74" s="12"/>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s="2" customForma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s="2"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s="2"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s="2"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s="2"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s="2"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s="2"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s="2"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s="2"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s="2"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4" s="2"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4" s="2" customForma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s="2" customForma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s="2"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s="2" customForma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s="2" customForma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s="2" customForma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s="2" customForma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s="2" customForma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s="2" customForma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s="2" customForma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s="2" customForma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s="2" customForma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s="2" customForma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1:54" s="2" customForma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1:54" s="2" customForma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1:54" s="2" customForma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row r="102" spans="1:54" s="2" customForma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row r="103" spans="1:54" s="2" customForma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row>
    <row r="104" spans="1:54" s="2" customForma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row>
  </sheetData>
  <pageMargins left="0.7" right="0.7" top="0.75" bottom="0.75" header="0.3" footer="0.3"/>
  <pageSetup scale="90" fitToHeight="0" orientation="landscape" r:id="rId1"/>
  <headerFooter alignWithMargins="0"/>
  <rowBreaks count="1" manualBreakCount="1">
    <brk id="36" max="16383" man="1"/>
  </rowBreaks>
  <colBreaks count="1" manualBreakCount="1">
    <brk id="7" max="65"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AI49"/>
  <sheetViews>
    <sheetView showGridLines="0" view="pageBreakPreview" zoomScaleNormal="100" zoomScaleSheetLayoutView="100" workbookViewId="0">
      <pane xSplit="1" ySplit="6" topLeftCell="B7" activePane="bottomRight" state="frozen"/>
      <selection activeCell="K36" sqref="K36"/>
      <selection pane="topRight" activeCell="K36" sqref="K36"/>
      <selection pane="bottomLeft" activeCell="K36" sqref="K36"/>
      <selection pane="bottomRight" activeCell="F37" sqref="F37"/>
    </sheetView>
  </sheetViews>
  <sheetFormatPr defaultRowHeight="12.75" x14ac:dyDescent="0.2"/>
  <cols>
    <col min="1" max="1" width="24" style="1" customWidth="1"/>
    <col min="2" max="7" width="11.28515625" style="1" customWidth="1"/>
    <col min="8" max="8" width="12.42578125" style="1" customWidth="1"/>
    <col min="9" max="9" width="11.28515625" style="1" customWidth="1"/>
    <col min="10" max="12" width="11.85546875" style="1" bestFit="1" customWidth="1"/>
    <col min="13" max="13" width="12.28515625" style="1" customWidth="1"/>
    <col min="14" max="14" width="12.85546875" style="1" bestFit="1" customWidth="1"/>
    <col min="15" max="15" width="2.140625" style="2" customWidth="1"/>
    <col min="16" max="16" width="9.140625" style="1"/>
    <col min="17" max="17" width="12" style="1" customWidth="1"/>
    <col min="18" max="16384" width="9.140625" style="1"/>
  </cols>
  <sheetData>
    <row r="1" spans="1:35" x14ac:dyDescent="0.2">
      <c r="A1" s="3" t="s">
        <v>15</v>
      </c>
    </row>
    <row r="2" spans="1:35" x14ac:dyDescent="0.2">
      <c r="A2" s="39" t="s">
        <v>0</v>
      </c>
      <c r="D2" s="115" t="s">
        <v>36</v>
      </c>
    </row>
    <row r="3" spans="1:35" x14ac:dyDescent="0.2">
      <c r="A3" s="3" t="s">
        <v>16</v>
      </c>
    </row>
    <row r="4" spans="1:35" x14ac:dyDescent="0.2">
      <c r="A4" s="3" t="s">
        <v>26</v>
      </c>
      <c r="N4" s="6"/>
    </row>
    <row r="5" spans="1:35" x14ac:dyDescent="0.2">
      <c r="B5" s="3"/>
      <c r="C5" s="3"/>
      <c r="D5" s="3"/>
      <c r="E5" s="3"/>
      <c r="F5" s="3"/>
      <c r="G5" s="3"/>
      <c r="H5" s="3"/>
      <c r="I5" s="3"/>
      <c r="J5" s="3"/>
      <c r="K5" s="3"/>
      <c r="L5" s="3"/>
      <c r="M5" s="3"/>
      <c r="N5" s="40" t="s">
        <v>27</v>
      </c>
      <c r="P5" s="41"/>
      <c r="Q5" s="41"/>
      <c r="R5" s="41"/>
      <c r="S5" s="41"/>
      <c r="T5" s="41"/>
      <c r="U5" s="41"/>
      <c r="V5" s="41"/>
      <c r="W5" s="41"/>
      <c r="X5" s="41"/>
      <c r="Y5" s="41"/>
      <c r="Z5" s="41"/>
      <c r="AA5" s="41"/>
      <c r="AB5" s="41"/>
      <c r="AC5" s="41"/>
    </row>
    <row r="6" spans="1:35" ht="13.5" thickBot="1" x14ac:dyDescent="0.25">
      <c r="A6" s="6"/>
      <c r="B6" s="28">
        <v>42886</v>
      </c>
      <c r="C6" s="28">
        <v>42916</v>
      </c>
      <c r="D6" s="28">
        <v>42947</v>
      </c>
      <c r="E6" s="28">
        <v>42978</v>
      </c>
      <c r="F6" s="28">
        <v>43008</v>
      </c>
      <c r="G6" s="28">
        <v>43039</v>
      </c>
      <c r="H6" s="28">
        <v>43069</v>
      </c>
      <c r="I6" s="28">
        <v>43100</v>
      </c>
      <c r="J6" s="28">
        <v>43131</v>
      </c>
      <c r="K6" s="28">
        <v>43159</v>
      </c>
      <c r="L6" s="28">
        <v>43190</v>
      </c>
      <c r="M6" s="28">
        <v>43220</v>
      </c>
      <c r="N6" s="40" t="s">
        <v>1</v>
      </c>
      <c r="P6" s="41"/>
      <c r="Q6" s="41"/>
      <c r="R6" s="41"/>
      <c r="S6" s="41"/>
      <c r="T6" s="41"/>
      <c r="U6" s="41"/>
      <c r="V6" s="41"/>
      <c r="W6" s="41"/>
      <c r="X6" s="41"/>
      <c r="Y6" s="41"/>
      <c r="Z6" s="41"/>
      <c r="AA6" s="41"/>
      <c r="AB6" s="41"/>
      <c r="AC6" s="41"/>
    </row>
    <row r="7" spans="1:35" ht="12.75" customHeight="1" x14ac:dyDescent="0.2">
      <c r="A7" s="42"/>
      <c r="B7" s="2"/>
      <c r="C7" s="2"/>
      <c r="D7" s="2"/>
      <c r="E7" s="2"/>
      <c r="F7" s="2"/>
      <c r="G7" s="2"/>
      <c r="H7" s="2"/>
      <c r="I7" s="2"/>
      <c r="J7" s="2"/>
      <c r="K7" s="2"/>
      <c r="L7" s="2"/>
      <c r="M7" s="2"/>
      <c r="N7" s="6"/>
    </row>
    <row r="8" spans="1:35" ht="12.75" customHeight="1" x14ac:dyDescent="0.2">
      <c r="A8" s="3" t="s">
        <v>2</v>
      </c>
    </row>
    <row r="9" spans="1:35" x14ac:dyDescent="0.2">
      <c r="A9" s="1" t="s">
        <v>3</v>
      </c>
      <c r="B9" s="2">
        <f>'[8]Designated RSA-1 Comm Credi'!B9</f>
        <v>149.89499999999998</v>
      </c>
      <c r="C9" s="2">
        <f>'[8]Designated RSA-1 Comm Credi'!C9</f>
        <v>162.245</v>
      </c>
      <c r="D9" s="2">
        <f>'[8]Designated RSA-1 Comm Credi'!D9</f>
        <v>141.29</v>
      </c>
      <c r="E9" s="2">
        <f>'[8]Designated RSA-1 Comm Credi'!E9</f>
        <v>168.65499999999997</v>
      </c>
      <c r="F9" s="2">
        <f>'[8]Designated RSA-1 Comm Credi'!F9</f>
        <v>168.39750000000001</v>
      </c>
      <c r="G9" s="2">
        <f>'[8]Designated RSA-1 Comm Credi'!G9</f>
        <v>160.35999999999999</v>
      </c>
      <c r="H9" s="2">
        <f>'[8]Designated RSA-1 Comm Credi'!H9</f>
        <v>188.32499999999999</v>
      </c>
      <c r="I9" s="2">
        <f>'[8]Designated RSA-1 Comm Credi'!I9</f>
        <v>161.37000000000006</v>
      </c>
      <c r="J9" s="2">
        <f>'[8]Designated RSA-1 Comm Credi'!J9</f>
        <v>192.49696800000001</v>
      </c>
      <c r="K9" s="2">
        <f>'[8]Designated RSA-1 Comm Credi'!K9</f>
        <v>147.66904399999993</v>
      </c>
      <c r="L9" s="2">
        <f>'[8]Designated RSA-1 Comm Credi'!L9</f>
        <v>178.84150799999992</v>
      </c>
      <c r="M9" s="2">
        <f>'[8]Designated RSA-1 Comm Credi'!M9</f>
        <v>158.48244099999997</v>
      </c>
      <c r="N9" s="27">
        <f>SUM(B9:M9)</f>
        <v>1978.0274609999999</v>
      </c>
      <c r="P9" s="23"/>
      <c r="Q9" s="23"/>
      <c r="R9" s="23"/>
      <c r="S9" s="23"/>
      <c r="T9" s="23"/>
      <c r="U9" s="23"/>
      <c r="V9" s="23"/>
      <c r="W9" s="23"/>
      <c r="X9" s="23"/>
      <c r="Y9" s="23"/>
      <c r="Z9" s="23"/>
      <c r="AA9" s="23"/>
      <c r="AB9" s="23"/>
      <c r="AC9" s="23"/>
      <c r="AD9" s="23"/>
      <c r="AE9" s="23"/>
      <c r="AF9" s="23"/>
      <c r="AG9" s="23"/>
      <c r="AH9" s="23"/>
      <c r="AI9" s="23"/>
    </row>
    <row r="10" spans="1:35" x14ac:dyDescent="0.2">
      <c r="B10" s="2"/>
      <c r="C10" s="2"/>
      <c r="D10" s="2"/>
      <c r="E10" s="2"/>
      <c r="F10" s="2"/>
      <c r="G10" s="2"/>
      <c r="H10" s="2"/>
      <c r="I10" s="2"/>
      <c r="J10" s="2"/>
      <c r="K10" s="2"/>
      <c r="L10" s="2"/>
      <c r="M10" s="2"/>
      <c r="N10" s="7"/>
    </row>
    <row r="11" spans="1:35" x14ac:dyDescent="0.2">
      <c r="A11" s="3" t="s">
        <v>4</v>
      </c>
      <c r="N11" s="8"/>
    </row>
    <row r="12" spans="1:35" x14ac:dyDescent="0.2">
      <c r="A12" s="1" t="s">
        <v>3</v>
      </c>
      <c r="B12" s="102">
        <f>'[9]Pacific Comm Credit'!B17</f>
        <v>62.714999999999996</v>
      </c>
      <c r="C12" s="102">
        <f>'[9]Pacific Comm Credit'!C17</f>
        <v>85.117999999999995</v>
      </c>
      <c r="D12" s="102">
        <f>'[9]Pacific Comm Credit'!D17</f>
        <v>94.094999999999999</v>
      </c>
      <c r="E12" s="102">
        <f>'[9]Pacific Comm Credit'!E17</f>
        <v>80.64</v>
      </c>
      <c r="F12" s="102">
        <f>'[9]Pacific Comm Credit'!F17</f>
        <v>61.322000000000017</v>
      </c>
      <c r="G12" s="102">
        <f>'[9]Pacific Comm Credit'!G17</f>
        <v>22.388999999999996</v>
      </c>
      <c r="H12" s="102">
        <f>'[9]Pacific Comm Credit'!H17</f>
        <v>35.187000000000005</v>
      </c>
      <c r="I12" s="102">
        <f>'[9]Pacific Comm Credit'!I17</f>
        <v>32.935000000000024</v>
      </c>
      <c r="J12" s="102">
        <f>'[9]Pacific Comm Credit'!J17</f>
        <v>-18.190220000000004</v>
      </c>
      <c r="K12" s="102">
        <f>'[9]Pacific Comm Credit'!K17</f>
        <v>-33.529720000000005</v>
      </c>
      <c r="L12" s="102">
        <f>'[9]Pacific Comm Credit'!L17</f>
        <v>-38.297619999999981</v>
      </c>
      <c r="M12" s="102">
        <f>'[9]Pacific Comm Credit'!M17</f>
        <v>-50.726408000000006</v>
      </c>
      <c r="N12" s="17"/>
      <c r="P12" s="18"/>
      <c r="Q12" s="23"/>
      <c r="R12" s="23"/>
      <c r="S12" s="23"/>
      <c r="T12" s="23"/>
      <c r="U12" s="23"/>
      <c r="V12" s="23"/>
      <c r="W12" s="23"/>
      <c r="X12" s="23"/>
      <c r="Y12" s="23"/>
      <c r="Z12" s="23"/>
      <c r="AA12" s="23"/>
      <c r="AB12" s="23"/>
      <c r="AC12" s="23"/>
      <c r="AD12" s="23"/>
    </row>
    <row r="13" spans="1:35" x14ac:dyDescent="0.2">
      <c r="N13" s="8"/>
    </row>
    <row r="14" spans="1:35" x14ac:dyDescent="0.2">
      <c r="A14" s="3" t="s">
        <v>5</v>
      </c>
      <c r="B14" s="10">
        <f t="shared" ref="B14:J14" si="0">+B9*B12</f>
        <v>9400.6649249999991</v>
      </c>
      <c r="C14" s="10">
        <f t="shared" si="0"/>
        <v>13809.96991</v>
      </c>
      <c r="D14" s="10">
        <f t="shared" si="0"/>
        <v>13294.68255</v>
      </c>
      <c r="E14" s="10">
        <f t="shared" si="0"/>
        <v>13600.339199999999</v>
      </c>
      <c r="F14" s="10">
        <f t="shared" si="0"/>
        <v>10326.471495000003</v>
      </c>
      <c r="G14" s="10">
        <f t="shared" si="0"/>
        <v>3590.3000399999992</v>
      </c>
      <c r="H14" s="10">
        <f t="shared" si="0"/>
        <v>6626.5917750000008</v>
      </c>
      <c r="I14" s="10">
        <f t="shared" si="0"/>
        <v>5314.7209500000063</v>
      </c>
      <c r="J14" s="10">
        <f t="shared" si="0"/>
        <v>-3501.5621972529607</v>
      </c>
      <c r="K14" s="10">
        <f>+K9*K12</f>
        <v>-4951.3016979876784</v>
      </c>
      <c r="L14" s="10">
        <f>+L9*L12</f>
        <v>-6849.2041136109538</v>
      </c>
      <c r="M14" s="10">
        <f>+M9*M12</f>
        <v>-8039.2449630019273</v>
      </c>
      <c r="N14" s="11">
        <f>SUM(B14:M14)</f>
        <v>52622.42787314648</v>
      </c>
      <c r="P14" s="43"/>
      <c r="Q14" s="12"/>
    </row>
    <row r="15" spans="1:35" x14ac:dyDescent="0.2">
      <c r="N15" s="8"/>
    </row>
    <row r="16" spans="1:35" s="5" customFormat="1" x14ac:dyDescent="0.2">
      <c r="A16" s="3" t="s">
        <v>6</v>
      </c>
      <c r="B16" s="5">
        <f>'[8]Designated RSA-1 Comm Credi'!B18</f>
        <v>9631</v>
      </c>
      <c r="C16" s="5">
        <f>'[8]Designated RSA-1 Comm Credi'!C18</f>
        <v>9656</v>
      </c>
      <c r="D16" s="5">
        <f>'[8]Designated RSA-1 Comm Credi'!D18</f>
        <v>9656</v>
      </c>
      <c r="E16" s="5">
        <f>'[8]Designated RSA-1 Comm Credi'!E18</f>
        <v>9734</v>
      </c>
      <c r="F16" s="5">
        <f>'[8]Designated RSA-1 Comm Credi'!F18</f>
        <v>9747</v>
      </c>
      <c r="G16" s="5">
        <f>'[8]Designated RSA-1 Comm Credi'!G18</f>
        <v>9732</v>
      </c>
      <c r="H16" s="5">
        <f>'[8]Designated RSA-1 Comm Credi'!H18</f>
        <v>9707</v>
      </c>
      <c r="I16" s="5">
        <f>'[8]Designated RSA-1 Comm Credi'!I18</f>
        <v>9718</v>
      </c>
      <c r="J16" s="5">
        <f>'[8]Designated RSA-1 Comm Credi'!J18</f>
        <v>9707</v>
      </c>
      <c r="K16" s="5">
        <f>'[8]Designated RSA-1 Comm Credi'!K18</f>
        <v>9743</v>
      </c>
      <c r="L16" s="5">
        <f>'[8]Designated RSA-1 Comm Credi'!L18</f>
        <v>9798</v>
      </c>
      <c r="M16" s="5">
        <f>'[8]Designated RSA-1 Comm Credi'!M18</f>
        <v>9873</v>
      </c>
      <c r="N16" s="21">
        <f>SUM(B16:M16)</f>
        <v>116702</v>
      </c>
      <c r="O16" s="2"/>
      <c r="P16" s="13"/>
      <c r="Q16" s="12"/>
      <c r="R16" s="14"/>
    </row>
    <row r="17" spans="1:18" s="5" customFormat="1" x14ac:dyDescent="0.2">
      <c r="A17" s="15"/>
      <c r="N17" s="7"/>
      <c r="O17" s="2"/>
      <c r="P17" s="13"/>
      <c r="Q17" s="12"/>
      <c r="R17" s="14"/>
    </row>
    <row r="18" spans="1:18" x14ac:dyDescent="0.2">
      <c r="A18" s="1" t="s">
        <v>7</v>
      </c>
      <c r="B18" s="16">
        <f t="shared" ref="B18:M18" si="1">+IFERROR(B14/B16,0)</f>
        <v>0.97608399179732108</v>
      </c>
      <c r="C18" s="16">
        <f t="shared" si="1"/>
        <v>1.4301957239022369</v>
      </c>
      <c r="D18" s="16">
        <f t="shared" si="1"/>
        <v>1.37683125</v>
      </c>
      <c r="E18" s="16">
        <f t="shared" si="1"/>
        <v>1.3971994246969384</v>
      </c>
      <c r="F18" s="16">
        <f t="shared" si="1"/>
        <v>1.0594512665435523</v>
      </c>
      <c r="G18" s="16">
        <f t="shared" si="1"/>
        <v>0.36891697903822435</v>
      </c>
      <c r="H18" s="16">
        <f t="shared" si="1"/>
        <v>0.68266114917070164</v>
      </c>
      <c r="I18" s="16">
        <f t="shared" si="1"/>
        <v>0.54689452047746512</v>
      </c>
      <c r="J18" s="16">
        <f t="shared" si="1"/>
        <v>-0.36072547617729067</v>
      </c>
      <c r="K18" s="16">
        <f t="shared" si="1"/>
        <v>-0.50819067001823648</v>
      </c>
      <c r="L18" s="16">
        <f t="shared" si="1"/>
        <v>-0.69904104037670478</v>
      </c>
      <c r="M18" s="16">
        <f t="shared" si="1"/>
        <v>-0.81426567031316999</v>
      </c>
      <c r="N18" s="17"/>
      <c r="P18" s="18"/>
    </row>
    <row r="19" spans="1:18" x14ac:dyDescent="0.2">
      <c r="A19" s="1" t="s">
        <v>8</v>
      </c>
      <c r="B19" s="16">
        <f>'[10]Designated RSA-1 Comm Credit'!$D$19</f>
        <v>0.71</v>
      </c>
      <c r="C19" s="16">
        <f>'[10]Designated RSA-1 Comm Credit'!$D$19</f>
        <v>0.71</v>
      </c>
      <c r="D19" s="16">
        <f>'[10]Designated RSA-1 Comm Credit'!$N$23</f>
        <v>1.18</v>
      </c>
      <c r="E19" s="16">
        <f>'[10]Designated RSA-1 Comm Credit'!$N$23</f>
        <v>1.18</v>
      </c>
      <c r="F19" s="16">
        <f>'[10]Designated RSA-1 Comm Credit'!$N$23</f>
        <v>1.18</v>
      </c>
      <c r="G19" s="16">
        <f>'[10]Designated RSA-1 Comm Credit'!$N$23</f>
        <v>1.18</v>
      </c>
      <c r="H19" s="16">
        <f>'[10]Designated RSA-1 Comm Credit'!$N$23</f>
        <v>1.18</v>
      </c>
      <c r="I19" s="16">
        <f>'[10]Designated RSA-1 Comm Credit'!$N$23</f>
        <v>1.18</v>
      </c>
      <c r="J19" s="16">
        <f>'[10]Designated RSA-1 Comm Credit'!$N$23</f>
        <v>1.18</v>
      </c>
      <c r="K19" s="16">
        <f>'[10]Designated RSA-1 Comm Credit'!$N$23</f>
        <v>1.18</v>
      </c>
      <c r="L19" s="16">
        <f>'[10]Designated RSA-1 Comm Credit'!$N$23</f>
        <v>1.18</v>
      </c>
      <c r="M19" s="16">
        <f>'[10]Designated RSA-1 Comm Credit'!$N$23</f>
        <v>1.18</v>
      </c>
      <c r="N19" s="17"/>
      <c r="P19" s="19"/>
    </row>
    <row r="20" spans="1:18" x14ac:dyDescent="0.2">
      <c r="A20" s="20" t="s">
        <v>17</v>
      </c>
      <c r="B20" s="20">
        <f>+(B18-B19)*B16</f>
        <v>2562.6549249999998</v>
      </c>
      <c r="C20" s="20">
        <f>+(C18-C19)*C16</f>
        <v>6954.2099100000005</v>
      </c>
      <c r="D20" s="20">
        <f t="shared" ref="D20:M20" si="2">+(D18-D19)*D16</f>
        <v>1900.6025500000001</v>
      </c>
      <c r="E20" s="20">
        <f t="shared" si="2"/>
        <v>2114.2191999999986</v>
      </c>
      <c r="F20" s="20">
        <f t="shared" si="2"/>
        <v>-1174.9885049999955</v>
      </c>
      <c r="G20" s="20">
        <f t="shared" si="2"/>
        <v>-7893.459960000001</v>
      </c>
      <c r="H20" s="20">
        <f t="shared" si="2"/>
        <v>-4827.6682249999985</v>
      </c>
      <c r="I20" s="20">
        <f t="shared" si="2"/>
        <v>-6152.5190499999935</v>
      </c>
      <c r="J20" s="20">
        <f t="shared" si="2"/>
        <v>-14955.822197252959</v>
      </c>
      <c r="K20" s="20">
        <f t="shared" si="2"/>
        <v>-16448.041697987679</v>
      </c>
      <c r="L20" s="20">
        <f t="shared" si="2"/>
        <v>-18410.84411361095</v>
      </c>
      <c r="M20" s="20">
        <f t="shared" si="2"/>
        <v>-19689.384963001925</v>
      </c>
      <c r="N20" s="44">
        <f>SUM(B20:M20)</f>
        <v>-76021.042126853499</v>
      </c>
      <c r="P20" s="5"/>
      <c r="Q20" s="12"/>
    </row>
    <row r="21" spans="1:18" x14ac:dyDescent="0.2">
      <c r="B21" s="5"/>
      <c r="C21" s="5"/>
      <c r="D21" s="5"/>
      <c r="E21" s="5"/>
      <c r="F21" s="5"/>
      <c r="G21" s="5"/>
      <c r="H21" s="5"/>
      <c r="I21" s="5"/>
      <c r="J21" s="5"/>
      <c r="K21" s="5"/>
      <c r="L21" s="5"/>
      <c r="M21" s="5"/>
      <c r="N21" s="21"/>
    </row>
    <row r="22" spans="1:18" ht="15" x14ac:dyDescent="0.25">
      <c r="A22" s="55"/>
      <c r="B22" s="45"/>
      <c r="C22" s="45"/>
      <c r="D22" s="45"/>
      <c r="E22" s="45"/>
      <c r="F22" s="45"/>
      <c r="G22" s="45"/>
      <c r="H22" s="45"/>
      <c r="I22" s="45"/>
      <c r="J22" s="45"/>
      <c r="K22" s="45"/>
      <c r="L22" s="45"/>
      <c r="M22" s="72" t="s">
        <v>19</v>
      </c>
      <c r="N22" s="52">
        <f>ROUND(N20/N16,2)</f>
        <v>-0.65</v>
      </c>
      <c r="O22" s="22"/>
      <c r="Q22" s="46"/>
    </row>
    <row r="23" spans="1:18" x14ac:dyDescent="0.2">
      <c r="A23" s="103" t="s">
        <v>28</v>
      </c>
      <c r="B23" s="104">
        <v>43069</v>
      </c>
      <c r="C23" s="104">
        <v>43100</v>
      </c>
      <c r="D23" s="104">
        <v>43131</v>
      </c>
      <c r="E23" s="104">
        <v>43159</v>
      </c>
      <c r="F23" s="104">
        <v>43190</v>
      </c>
      <c r="G23" s="104">
        <v>43220</v>
      </c>
      <c r="H23" s="22"/>
      <c r="I23" s="22"/>
      <c r="J23" s="22"/>
      <c r="K23" s="22"/>
      <c r="L23" s="22"/>
      <c r="M23" s="72" t="s">
        <v>20</v>
      </c>
      <c r="N23" s="52">
        <f>SUM(B27:G27)/SUM(H16:M16)</f>
        <v>-0.98424014436261242</v>
      </c>
      <c r="O23" s="22"/>
      <c r="Q23" s="18"/>
    </row>
    <row r="24" spans="1:18" ht="25.5" x14ac:dyDescent="0.2">
      <c r="A24" s="91" t="s">
        <v>29</v>
      </c>
      <c r="B24" s="84">
        <f>H12-45</f>
        <v>-9.8129999999999953</v>
      </c>
      <c r="C24" s="84">
        <f t="shared" ref="C24:G24" si="3">I12-45</f>
        <v>-12.064999999999976</v>
      </c>
      <c r="D24" s="84">
        <f t="shared" si="3"/>
        <v>-63.190220000000004</v>
      </c>
      <c r="E24" s="84">
        <f t="shared" si="3"/>
        <v>-78.529719999999998</v>
      </c>
      <c r="F24" s="84">
        <f t="shared" si="3"/>
        <v>-83.297619999999981</v>
      </c>
      <c r="G24" s="84">
        <f t="shared" si="3"/>
        <v>-95.726408000000006</v>
      </c>
      <c r="H24" s="22"/>
      <c r="I24" s="22"/>
      <c r="J24" s="22"/>
      <c r="K24" s="22"/>
      <c r="L24" s="22"/>
      <c r="M24" s="73" t="s">
        <v>30</v>
      </c>
      <c r="N24" s="53">
        <f>SUM(N22:N23)</f>
        <v>-1.6342401443626124</v>
      </c>
      <c r="O24" s="22"/>
      <c r="Q24" s="46"/>
    </row>
    <row r="25" spans="1:18" ht="25.5" x14ac:dyDescent="0.2">
      <c r="A25" s="91" t="s">
        <v>31</v>
      </c>
      <c r="B25" s="105">
        <f>H9*B24</f>
        <v>-1848.033224999999</v>
      </c>
      <c r="C25" s="105">
        <f t="shared" ref="C25:G25" si="4">I9*C24</f>
        <v>-1946.929049999997</v>
      </c>
      <c r="D25" s="105">
        <f t="shared" si="4"/>
        <v>-12163.92575725296</v>
      </c>
      <c r="E25" s="105">
        <f t="shared" si="4"/>
        <v>-11596.408677987674</v>
      </c>
      <c r="F25" s="105">
        <f t="shared" si="4"/>
        <v>-14897.071973610949</v>
      </c>
      <c r="G25" s="105">
        <f t="shared" si="4"/>
        <v>-15170.954808001925</v>
      </c>
      <c r="H25" s="22"/>
      <c r="I25" s="22"/>
      <c r="J25" s="22"/>
      <c r="K25" s="22"/>
      <c r="L25" s="22"/>
      <c r="M25" s="72"/>
      <c r="N25" s="52"/>
      <c r="O25" s="22"/>
    </row>
    <row r="26" spans="1:18" x14ac:dyDescent="0.2">
      <c r="A26" s="91"/>
      <c r="B26" s="106"/>
      <c r="C26" s="106"/>
      <c r="D26" s="106"/>
      <c r="E26" s="106"/>
      <c r="F26" s="106"/>
      <c r="G26" s="106"/>
      <c r="H26" s="22"/>
      <c r="I26" s="22"/>
      <c r="J26" s="22"/>
      <c r="K26" s="22"/>
      <c r="L26" s="22"/>
      <c r="M26" s="72" t="s">
        <v>32</v>
      </c>
      <c r="N26" s="16">
        <v>1.59</v>
      </c>
      <c r="O26" s="1"/>
      <c r="P26" s="47"/>
      <c r="Q26" s="48"/>
    </row>
    <row r="27" spans="1:18" x14ac:dyDescent="0.2">
      <c r="A27" s="107" t="s">
        <v>33</v>
      </c>
      <c r="B27" s="108">
        <f>SUM(B25:B26)</f>
        <v>-1848.033224999999</v>
      </c>
      <c r="C27" s="108">
        <f t="shared" ref="C27:G27" si="5">SUM(C25:C26)</f>
        <v>-1946.929049999997</v>
      </c>
      <c r="D27" s="108">
        <f t="shared" si="5"/>
        <v>-12163.92575725296</v>
      </c>
      <c r="E27" s="108">
        <f t="shared" si="5"/>
        <v>-11596.408677987674</v>
      </c>
      <c r="F27" s="108">
        <f t="shared" si="5"/>
        <v>-14897.071973610949</v>
      </c>
      <c r="G27" s="108">
        <f t="shared" si="5"/>
        <v>-15170.954808001925</v>
      </c>
      <c r="H27" s="22"/>
      <c r="I27" s="22"/>
      <c r="J27" s="22"/>
      <c r="K27" s="22"/>
      <c r="L27" s="22"/>
      <c r="M27" s="72" t="s">
        <v>9</v>
      </c>
      <c r="N27" s="9">
        <f>N26-N24</f>
        <v>3.2242401443626125</v>
      </c>
      <c r="O27" s="1"/>
      <c r="P27" s="71">
        <f>N27/N26</f>
        <v>2.0278239901651651</v>
      </c>
    </row>
    <row r="28" spans="1:18" x14ac:dyDescent="0.2">
      <c r="B28" s="49"/>
      <c r="C28" s="49"/>
      <c r="D28" s="49"/>
      <c r="E28" s="49"/>
      <c r="F28" s="49"/>
      <c r="G28" s="49"/>
      <c r="H28" s="49"/>
      <c r="I28" s="49"/>
      <c r="J28" s="49"/>
      <c r="K28" s="49"/>
      <c r="L28" s="22"/>
      <c r="M28" s="72" t="s">
        <v>34</v>
      </c>
      <c r="N28" s="9">
        <f>N27*N16</f>
        <v>376275.27332740562</v>
      </c>
      <c r="O28" s="1"/>
      <c r="P28" s="50"/>
    </row>
    <row r="29" spans="1:18" x14ac:dyDescent="0.2">
      <c r="B29" s="22"/>
      <c r="C29" s="22"/>
      <c r="D29" s="22"/>
      <c r="E29" s="22"/>
      <c r="F29" s="22"/>
      <c r="G29" s="22"/>
      <c r="H29" s="22"/>
      <c r="I29" s="22"/>
      <c r="J29" s="22"/>
      <c r="K29" s="22"/>
      <c r="L29" s="22"/>
      <c r="M29" s="22"/>
      <c r="N29" s="109"/>
      <c r="P29" s="33"/>
    </row>
    <row r="30" spans="1:18" x14ac:dyDescent="0.2">
      <c r="N30" s="31"/>
      <c r="P30" s="19"/>
    </row>
    <row r="31" spans="1:18" x14ac:dyDescent="0.2">
      <c r="P31" s="5"/>
      <c r="Q31" s="12"/>
    </row>
    <row r="32" spans="1:18" x14ac:dyDescent="0.2">
      <c r="M32" s="54"/>
      <c r="N32" s="30"/>
      <c r="Q32" s="46"/>
    </row>
    <row r="33" spans="1:17" x14ac:dyDescent="0.2">
      <c r="M33" s="54"/>
      <c r="N33" s="51"/>
      <c r="Q33" s="18"/>
    </row>
    <row r="34" spans="1:17" ht="15" x14ac:dyDescent="0.25">
      <c r="M34" s="55"/>
      <c r="N34" s="27"/>
      <c r="Q34" s="46"/>
    </row>
    <row r="35" spans="1:17" ht="15" x14ac:dyDescent="0.25">
      <c r="A35"/>
      <c r="B35" s="74"/>
      <c r="C35" s="75"/>
      <c r="D35" s="75"/>
      <c r="E35" s="76"/>
      <c r="F35"/>
      <c r="G35" s="77"/>
      <c r="H35"/>
      <c r="I35"/>
      <c r="J35"/>
      <c r="K35" s="78"/>
      <c r="L35" s="78"/>
      <c r="M35" s="78"/>
      <c r="N35" s="56"/>
    </row>
    <row r="36" spans="1:17" ht="15" x14ac:dyDescent="0.25">
      <c r="A36"/>
      <c r="B36" s="74"/>
      <c r="C36" s="75"/>
      <c r="D36" s="75"/>
      <c r="E36" s="76"/>
      <c r="F36"/>
      <c r="G36" s="77"/>
      <c r="H36"/>
      <c r="I36"/>
      <c r="J36"/>
      <c r="K36" s="78"/>
      <c r="L36" s="78"/>
      <c r="M36" s="78"/>
    </row>
    <row r="37" spans="1:17" ht="15" x14ac:dyDescent="0.25">
      <c r="A37"/>
      <c r="B37" s="74"/>
      <c r="C37" s="75"/>
      <c r="D37" s="75"/>
      <c r="E37" s="76"/>
      <c r="F37"/>
      <c r="G37" s="77"/>
      <c r="H37"/>
      <c r="I37"/>
      <c r="J37"/>
      <c r="K37" s="78"/>
      <c r="L37" s="78"/>
      <c r="M37" s="78"/>
    </row>
    <row r="38" spans="1:17" ht="15" x14ac:dyDescent="0.25">
      <c r="A38"/>
      <c r="B38" s="74"/>
      <c r="C38" s="75"/>
      <c r="D38" s="75"/>
      <c r="E38" s="76"/>
      <c r="F38"/>
      <c r="G38" s="77"/>
      <c r="H38"/>
      <c r="I38"/>
      <c r="J38"/>
      <c r="K38" s="78"/>
      <c r="L38" s="78"/>
      <c r="M38" s="78"/>
    </row>
    <row r="39" spans="1:17" ht="15" x14ac:dyDescent="0.25">
      <c r="A39"/>
      <c r="B39" s="74"/>
      <c r="C39" s="75"/>
      <c r="D39" s="75"/>
      <c r="E39" s="76"/>
      <c r="F39"/>
      <c r="G39" s="77"/>
      <c r="H39"/>
      <c r="I39"/>
      <c r="J39"/>
      <c r="K39" s="78"/>
      <c r="L39" s="78"/>
      <c r="M39" s="78"/>
    </row>
    <row r="40" spans="1:17" ht="15" x14ac:dyDescent="0.25">
      <c r="A40"/>
      <c r="B40" s="74"/>
      <c r="C40" s="75"/>
      <c r="D40" s="75"/>
      <c r="E40" s="76"/>
      <c r="F40"/>
      <c r="G40" s="77"/>
      <c r="H40"/>
      <c r="I40"/>
      <c r="J40"/>
      <c r="K40" s="78"/>
      <c r="L40" s="78"/>
      <c r="M40" s="78"/>
    </row>
    <row r="41" spans="1:17" ht="15" x14ac:dyDescent="0.25">
      <c r="A41"/>
      <c r="B41" s="74"/>
      <c r="C41" s="75"/>
      <c r="D41" s="75"/>
      <c r="E41" s="76"/>
      <c r="F41"/>
      <c r="G41" s="77"/>
      <c r="H41"/>
      <c r="I41"/>
      <c r="J41"/>
      <c r="K41" s="78"/>
      <c r="L41" s="78"/>
      <c r="M41" s="78"/>
    </row>
    <row r="42" spans="1:17" ht="15" x14ac:dyDescent="0.25">
      <c r="A42"/>
      <c r="B42" s="74"/>
      <c r="C42" s="75"/>
      <c r="D42" s="75"/>
      <c r="E42" s="76"/>
      <c r="F42"/>
      <c r="G42" s="77"/>
      <c r="H42"/>
      <c r="I42"/>
      <c r="J42"/>
      <c r="K42" s="78"/>
      <c r="L42" s="78"/>
      <c r="M42" s="78"/>
    </row>
    <row r="43" spans="1:17" ht="15" x14ac:dyDescent="0.25">
      <c r="A43"/>
      <c r="B43" s="74"/>
      <c r="C43" s="75"/>
      <c r="D43" s="75"/>
      <c r="E43" s="76"/>
      <c r="F43"/>
      <c r="G43" s="77"/>
      <c r="H43"/>
      <c r="I43"/>
      <c r="J43"/>
      <c r="K43" s="78"/>
      <c r="L43" s="78"/>
      <c r="M43" s="78"/>
    </row>
    <row r="44" spans="1:17" ht="15" x14ac:dyDescent="0.25">
      <c r="A44"/>
      <c r="B44" s="74"/>
      <c r="C44" s="75"/>
      <c r="D44" s="75"/>
      <c r="E44" s="76"/>
      <c r="F44"/>
      <c r="G44" s="77"/>
      <c r="H44"/>
      <c r="I44"/>
      <c r="J44"/>
      <c r="K44" s="78"/>
      <c r="L44" s="78"/>
      <c r="M44" s="78"/>
    </row>
    <row r="45" spans="1:17" ht="15" x14ac:dyDescent="0.25">
      <c r="A45"/>
      <c r="B45" s="74"/>
      <c r="C45" s="75"/>
      <c r="D45" s="75"/>
      <c r="E45" s="76"/>
      <c r="F45"/>
      <c r="G45" s="77"/>
      <c r="H45"/>
      <c r="I45"/>
      <c r="J45"/>
      <c r="K45" s="78"/>
      <c r="L45" s="78"/>
      <c r="M45" s="78"/>
    </row>
    <row r="46" spans="1:17" ht="15" x14ac:dyDescent="0.25">
      <c r="A46"/>
      <c r="B46" s="74"/>
      <c r="C46" s="75"/>
      <c r="D46" s="75"/>
      <c r="E46" s="76"/>
      <c r="F46"/>
      <c r="G46" s="77"/>
      <c r="H46"/>
      <c r="I46"/>
      <c r="J46"/>
      <c r="K46" s="78"/>
      <c r="L46" s="78"/>
      <c r="M46" s="78"/>
    </row>
    <row r="47" spans="1:17" ht="15" x14ac:dyDescent="0.25">
      <c r="A47"/>
      <c r="B47" s="74"/>
      <c r="C47" s="75"/>
      <c r="D47" s="75"/>
      <c r="E47" s="76"/>
      <c r="F47"/>
      <c r="G47" s="77"/>
      <c r="H47"/>
      <c r="I47"/>
      <c r="J47"/>
      <c r="K47" s="78"/>
      <c r="L47" s="78"/>
      <c r="M47" s="78"/>
    </row>
    <row r="48" spans="1:17" ht="15" x14ac:dyDescent="0.25">
      <c r="A48"/>
      <c r="B48" s="74"/>
      <c r="C48" s="75"/>
      <c r="D48" s="75"/>
      <c r="E48" s="76"/>
      <c r="F48"/>
      <c r="G48" s="77"/>
      <c r="H48"/>
      <c r="I48"/>
      <c r="J48"/>
      <c r="K48" s="78"/>
      <c r="L48" s="78"/>
      <c r="M48" s="78"/>
    </row>
    <row r="49" spans="1:13" ht="15" x14ac:dyDescent="0.25">
      <c r="A49"/>
      <c r="B49" s="74"/>
      <c r="C49" s="75"/>
      <c r="D49" s="75"/>
      <c r="E49" s="76"/>
      <c r="F49"/>
      <c r="G49" s="77"/>
      <c r="H49"/>
      <c r="I49"/>
      <c r="J49"/>
      <c r="K49" s="78"/>
      <c r="L49" s="78"/>
      <c r="M49" s="78"/>
    </row>
  </sheetData>
  <pageMargins left="0.7" right="0.7" top="0.75" bottom="0.75" header="0.3" footer="0.3"/>
  <pageSetup scale="57" fitToHeight="0"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BH103"/>
  <sheetViews>
    <sheetView showGridLines="0" view="pageBreakPreview" topLeftCell="A10" zoomScale="85" zoomScaleNormal="100" zoomScaleSheetLayoutView="85" workbookViewId="0">
      <selection activeCell="N57" sqref="N57"/>
    </sheetView>
  </sheetViews>
  <sheetFormatPr defaultRowHeight="12.75" x14ac:dyDescent="0.2"/>
  <cols>
    <col min="1" max="1" width="35.85546875" style="1" customWidth="1"/>
    <col min="2" max="13" width="11.28515625" style="1" customWidth="1"/>
    <col min="14" max="14" width="13.28515625" style="1" customWidth="1"/>
    <col min="15" max="15" width="11.85546875" style="1" bestFit="1" customWidth="1"/>
    <col min="16" max="16" width="11.28515625" style="1" bestFit="1" customWidth="1"/>
    <col min="17" max="16384" width="9.140625" style="1"/>
  </cols>
  <sheetData>
    <row r="1" spans="1:29" x14ac:dyDescent="0.2">
      <c r="A1" s="3" t="s">
        <v>15</v>
      </c>
      <c r="B1" s="26"/>
      <c r="C1" s="26"/>
      <c r="D1" s="26"/>
      <c r="E1" s="26"/>
      <c r="F1" s="26"/>
      <c r="G1" s="26"/>
      <c r="H1" s="26"/>
      <c r="I1" s="26"/>
      <c r="J1" s="26"/>
      <c r="K1" s="26"/>
      <c r="L1" s="26"/>
      <c r="M1" s="26"/>
      <c r="N1" s="6"/>
    </row>
    <row r="2" spans="1:29" x14ac:dyDescent="0.2">
      <c r="A2" s="3" t="s">
        <v>10</v>
      </c>
      <c r="B2" s="26"/>
      <c r="C2" s="115" t="s">
        <v>36</v>
      </c>
      <c r="D2" s="26"/>
      <c r="E2" s="26"/>
      <c r="F2" s="26"/>
      <c r="G2" s="26"/>
      <c r="H2" s="26"/>
      <c r="I2" s="26"/>
      <c r="J2" s="26"/>
      <c r="K2" s="26"/>
      <c r="L2" s="26"/>
      <c r="M2" s="26"/>
      <c r="N2" s="6"/>
    </row>
    <row r="3" spans="1:29" ht="15" x14ac:dyDescent="0.25">
      <c r="A3" s="3" t="s">
        <v>16</v>
      </c>
      <c r="B3" s="110"/>
      <c r="C3" s="26"/>
      <c r="D3" s="26"/>
      <c r="E3" s="26"/>
      <c r="F3" s="26"/>
      <c r="G3" s="26"/>
      <c r="H3" s="26"/>
      <c r="I3" s="26"/>
      <c r="J3" s="26"/>
      <c r="K3" s="26"/>
      <c r="L3" s="26"/>
      <c r="M3" s="26"/>
      <c r="N3" s="6"/>
    </row>
    <row r="4" spans="1:29" x14ac:dyDescent="0.2">
      <c r="A4" s="3" t="str">
        <f>'RSA-1 CPA Eff 7.1.18'!A4</f>
        <v>Effective July 1, 2018</v>
      </c>
      <c r="B4" s="26"/>
      <c r="C4" s="26"/>
      <c r="D4" s="26"/>
      <c r="E4" s="26"/>
      <c r="F4" s="26"/>
      <c r="G4" s="26"/>
      <c r="H4" s="26"/>
      <c r="I4" s="26"/>
      <c r="J4" s="26"/>
      <c r="K4" s="26"/>
      <c r="L4" s="26"/>
      <c r="M4" s="26"/>
      <c r="N4" s="6"/>
    </row>
    <row r="5" spans="1:29" x14ac:dyDescent="0.2">
      <c r="A5" s="3"/>
      <c r="B5" s="26"/>
      <c r="C5" s="26"/>
      <c r="D5" s="26"/>
      <c r="E5" s="26"/>
      <c r="F5" s="26"/>
      <c r="G5" s="26"/>
      <c r="H5" s="26"/>
      <c r="I5" s="26"/>
      <c r="J5" s="26"/>
      <c r="K5" s="26"/>
      <c r="L5" s="26"/>
      <c r="M5" s="26"/>
      <c r="N5" s="40" t="s">
        <v>27</v>
      </c>
    </row>
    <row r="6" spans="1:29" ht="13.5" thickBot="1" x14ac:dyDescent="0.25">
      <c r="A6" s="60" t="s">
        <v>18</v>
      </c>
      <c r="B6" s="28">
        <f>'RSA-1 CPA Eff 7.1.18'!B6</f>
        <v>42886</v>
      </c>
      <c r="C6" s="28">
        <f>'RSA-1 CPA Eff 7.1.18'!C6</f>
        <v>42916</v>
      </c>
      <c r="D6" s="28">
        <f>'RSA-1 CPA Eff 7.1.18'!D6</f>
        <v>42947</v>
      </c>
      <c r="E6" s="28">
        <f>'RSA-1 CPA Eff 7.1.18'!E6</f>
        <v>42978</v>
      </c>
      <c r="F6" s="28">
        <f>'RSA-1 CPA Eff 7.1.18'!F6</f>
        <v>43008</v>
      </c>
      <c r="G6" s="28">
        <f>'RSA-1 CPA Eff 7.1.18'!G6</f>
        <v>43039</v>
      </c>
      <c r="H6" s="28">
        <f>'RSA-1 CPA Eff 7.1.18'!H6</f>
        <v>43069</v>
      </c>
      <c r="I6" s="28">
        <f>'RSA-1 CPA Eff 7.1.18'!I6</f>
        <v>43100</v>
      </c>
      <c r="J6" s="28">
        <f>'RSA-1 CPA Eff 7.1.18'!J6</f>
        <v>43131</v>
      </c>
      <c r="K6" s="28">
        <f>'RSA-1 CPA Eff 7.1.18'!K6</f>
        <v>43159</v>
      </c>
      <c r="L6" s="28">
        <f>'RSA-1 CPA Eff 7.1.18'!L6</f>
        <v>43190</v>
      </c>
      <c r="M6" s="28">
        <f>'RSA-1 CPA Eff 7.1.18'!M6</f>
        <v>43220</v>
      </c>
      <c r="N6" s="58" t="s">
        <v>1</v>
      </c>
      <c r="O6" s="59"/>
      <c r="P6" s="59"/>
      <c r="Q6" s="59"/>
    </row>
    <row r="7" spans="1:29" x14ac:dyDescent="0.2">
      <c r="B7" s="4"/>
      <c r="C7" s="4"/>
      <c r="D7" s="4"/>
      <c r="E7" s="4"/>
      <c r="F7" s="4"/>
      <c r="G7" s="4"/>
      <c r="H7" s="4"/>
      <c r="I7" s="4"/>
      <c r="J7" s="4"/>
      <c r="K7" s="61"/>
      <c r="L7" s="4"/>
      <c r="M7" s="4"/>
      <c r="N7" s="40"/>
      <c r="O7" s="59"/>
      <c r="P7" s="59"/>
      <c r="Q7" s="59"/>
    </row>
    <row r="8" spans="1:29" x14ac:dyDescent="0.2">
      <c r="A8" s="3" t="s">
        <v>2</v>
      </c>
      <c r="B8" s="31"/>
      <c r="C8" s="31"/>
      <c r="D8" s="31"/>
      <c r="E8" s="31"/>
      <c r="F8" s="31"/>
      <c r="G8" s="31"/>
      <c r="H8" s="31"/>
      <c r="I8" s="31"/>
      <c r="J8" s="31"/>
      <c r="K8" s="31"/>
      <c r="L8" s="31"/>
      <c r="M8" s="31"/>
    </row>
    <row r="9" spans="1:29" x14ac:dyDescent="0.2">
      <c r="A9" s="1" t="s">
        <v>3</v>
      </c>
      <c r="B9" s="111">
        <f>'[8]Joe''s Comm Credit'!B9</f>
        <v>83.405583491461101</v>
      </c>
      <c r="C9" s="111">
        <f>'[8]Joe''s Comm Credit'!C9</f>
        <v>69.039794242567226</v>
      </c>
      <c r="D9" s="111">
        <f>'[8]Joe''s Comm Credit'!D9</f>
        <v>65.666514393581906</v>
      </c>
      <c r="E9" s="111">
        <f>'[8]Joe''s Comm Credit'!E9</f>
        <v>69.978814710705095</v>
      </c>
      <c r="F9" s="111">
        <f>'[8]Joe''s Comm Credit'!F9</f>
        <v>68.779129251700667</v>
      </c>
      <c r="G9" s="111">
        <f>'[8]Joe''s Comm Credit'!G9</f>
        <v>79.94561960326719</v>
      </c>
      <c r="H9" s="111">
        <f>'[8]Joe''s Comm Credit'!H9</f>
        <v>88.871662011173186</v>
      </c>
      <c r="I9" s="111">
        <f>'[8]Joe''s Comm Credit'!I9</f>
        <v>74.715202278539891</v>
      </c>
      <c r="J9" s="111">
        <f>'[8]Joe''s Comm Credit'!J9</f>
        <v>72.483155501742957</v>
      </c>
      <c r="K9" s="111">
        <f>'[8]Joe''s Comm Credit'!K9</f>
        <v>59.258543407132947</v>
      </c>
      <c r="L9" s="111">
        <f>'[8]Joe''s Comm Credit'!L9</f>
        <v>65.473923267605642</v>
      </c>
      <c r="M9" s="111">
        <f>'[8]Joe''s Comm Credit'!M9</f>
        <v>69.768464418444594</v>
      </c>
      <c r="N9" s="27">
        <f>SUM(B9:M9)</f>
        <v>867.38640657792246</v>
      </c>
      <c r="O9" s="23"/>
      <c r="P9" s="23"/>
      <c r="Q9" s="23"/>
      <c r="R9" s="23"/>
      <c r="S9" s="23"/>
      <c r="T9" s="23"/>
      <c r="U9" s="23"/>
      <c r="V9" s="23"/>
      <c r="W9" s="23"/>
      <c r="X9" s="23"/>
      <c r="Y9" s="23"/>
      <c r="Z9" s="23"/>
      <c r="AA9" s="23"/>
      <c r="AB9" s="23"/>
      <c r="AC9" s="23"/>
    </row>
    <row r="10" spans="1:29" x14ac:dyDescent="0.2">
      <c r="A10" s="1" t="s">
        <v>11</v>
      </c>
      <c r="B10" s="111">
        <f>'[8]Joe''s Comm Credit'!B10</f>
        <v>11.67</v>
      </c>
      <c r="C10" s="111">
        <f>'[8]Joe''s Comm Credit'!C10</f>
        <v>10.32</v>
      </c>
      <c r="D10" s="111">
        <f>'[8]Joe''s Comm Credit'!D10</f>
        <v>11.77</v>
      </c>
      <c r="E10" s="111">
        <f>'[8]Joe''s Comm Credit'!E10</f>
        <v>12.16</v>
      </c>
      <c r="F10" s="111">
        <f>'[8]Joe''s Comm Credit'!F10</f>
        <v>10.77</v>
      </c>
      <c r="G10" s="111">
        <f>'[8]Joe''s Comm Credit'!G10</f>
        <v>10.58</v>
      </c>
      <c r="H10" s="111">
        <f>'[8]Joe''s Comm Credit'!H10</f>
        <v>9.16</v>
      </c>
      <c r="I10" s="111">
        <f>'[8]Joe''s Comm Credit'!I10</f>
        <v>10.3</v>
      </c>
      <c r="J10" s="111">
        <f>'[8]Joe''s Comm Credit'!J10</f>
        <v>11.81</v>
      </c>
      <c r="K10" s="111">
        <f>'[8]Joe''s Comm Credit'!K10</f>
        <v>7.84</v>
      </c>
      <c r="L10" s="111">
        <f>'[8]Joe''s Comm Credit'!L10</f>
        <v>9.5399999999999991</v>
      </c>
      <c r="M10" s="111">
        <f>'[8]Joe''s Comm Credit'!M10</f>
        <v>9.07</v>
      </c>
      <c r="N10" s="27">
        <f>SUM(B10:M10)</f>
        <v>124.98999999999998</v>
      </c>
      <c r="O10" s="23"/>
      <c r="Q10" s="23"/>
    </row>
    <row r="11" spans="1:29" s="3" customFormat="1" x14ac:dyDescent="0.2">
      <c r="A11" s="3" t="s">
        <v>12</v>
      </c>
      <c r="B11" s="29">
        <f>SUM(B9:B10)</f>
        <v>95.075583491461103</v>
      </c>
      <c r="C11" s="29">
        <f t="shared" ref="C11:J11" si="0">SUM(C9:C10)</f>
        <v>79.359794242567233</v>
      </c>
      <c r="D11" s="29">
        <f t="shared" si="0"/>
        <v>77.436514393581902</v>
      </c>
      <c r="E11" s="29">
        <f>SUM(E9:E10)</f>
        <v>82.138814710705091</v>
      </c>
      <c r="F11" s="29">
        <f>SUM(F9:F10)</f>
        <v>79.549129251700663</v>
      </c>
      <c r="G11" s="29">
        <f t="shared" si="0"/>
        <v>90.525619603267188</v>
      </c>
      <c r="H11" s="29">
        <f>SUM(H9:H10)</f>
        <v>98.031662011173182</v>
      </c>
      <c r="I11" s="29">
        <f>SUM(I9:I10)</f>
        <v>85.015202278539888</v>
      </c>
      <c r="J11" s="29">
        <f t="shared" si="0"/>
        <v>84.293155501742959</v>
      </c>
      <c r="K11" s="29">
        <f>SUM(K9:K10)</f>
        <v>67.098543407132951</v>
      </c>
      <c r="L11" s="29">
        <f>SUM(L9:L10)</f>
        <v>75.013923267605634</v>
      </c>
      <c r="M11" s="29">
        <f>SUM(M9:M10)</f>
        <v>78.838464418444602</v>
      </c>
      <c r="N11" s="30">
        <f>SUM(B11:M11)</f>
        <v>992.37640657792235</v>
      </c>
      <c r="O11" s="30"/>
    </row>
    <row r="12" spans="1:29" x14ac:dyDescent="0.2">
      <c r="B12" s="2"/>
      <c r="C12" s="2"/>
      <c r="D12" s="2"/>
      <c r="E12" s="2"/>
      <c r="F12" s="2"/>
      <c r="G12" s="2"/>
      <c r="H12" s="2"/>
      <c r="I12" s="2"/>
      <c r="J12" s="2"/>
      <c r="K12" s="2"/>
      <c r="L12" s="2"/>
      <c r="M12" s="2"/>
      <c r="N12" s="27"/>
      <c r="O12" s="62"/>
    </row>
    <row r="13" spans="1:29" x14ac:dyDescent="0.2">
      <c r="A13" s="3" t="s">
        <v>4</v>
      </c>
      <c r="B13" s="31"/>
      <c r="C13" s="31"/>
      <c r="D13" s="31"/>
      <c r="E13" s="31"/>
      <c r="F13" s="31"/>
      <c r="G13" s="31"/>
      <c r="H13" s="31"/>
      <c r="I13" s="31"/>
      <c r="J13" s="31"/>
      <c r="K13" s="31"/>
      <c r="L13" s="31"/>
      <c r="M13" s="31"/>
    </row>
    <row r="14" spans="1:29" s="23" customFormat="1" x14ac:dyDescent="0.2">
      <c r="A14" s="23" t="s">
        <v>3</v>
      </c>
      <c r="B14" s="9">
        <f>'RSA-1 CPA Eff 7.1.18'!B12</f>
        <v>62.714999999999996</v>
      </c>
      <c r="C14" s="9">
        <f>'RSA-1 CPA Eff 7.1.18'!C12</f>
        <v>85.117999999999995</v>
      </c>
      <c r="D14" s="9">
        <f>'RSA-1 CPA Eff 7.1.18'!D12</f>
        <v>94.094999999999999</v>
      </c>
      <c r="E14" s="9">
        <f>'RSA-1 CPA Eff 7.1.18'!E12</f>
        <v>80.64</v>
      </c>
      <c r="F14" s="9">
        <f>'RSA-1 CPA Eff 7.1.18'!F12</f>
        <v>61.322000000000017</v>
      </c>
      <c r="G14" s="9">
        <f>'RSA-1 CPA Eff 7.1.18'!G12</f>
        <v>22.388999999999996</v>
      </c>
      <c r="H14" s="9">
        <f>'RSA-1 CPA Eff 7.1.18'!H12</f>
        <v>35.187000000000005</v>
      </c>
      <c r="I14" s="9">
        <f>'RSA-1 CPA Eff 7.1.18'!I12</f>
        <v>32.935000000000024</v>
      </c>
      <c r="J14" s="9">
        <f>'RSA-1 CPA Eff 7.1.18'!J12</f>
        <v>-18.190220000000004</v>
      </c>
      <c r="K14" s="9">
        <f>'RSA-1 CPA Eff 7.1.18'!K12</f>
        <v>-33.529720000000005</v>
      </c>
      <c r="L14" s="9">
        <f>'RSA-1 CPA Eff 7.1.18'!L12</f>
        <v>-38.297619999999981</v>
      </c>
      <c r="M14" s="9">
        <f>'RSA-1 CPA Eff 7.1.18'!M12</f>
        <v>-50.726408000000006</v>
      </c>
      <c r="N14" s="32"/>
    </row>
    <row r="15" spans="1:29" x14ac:dyDescent="0.2">
      <c r="A15" s="1" t="s">
        <v>11</v>
      </c>
      <c r="B15" s="9">
        <f>'[9]Pacific Comm Credit'!B18</f>
        <v>30</v>
      </c>
      <c r="C15" s="9">
        <f>'[9]Pacific Comm Credit'!C18</f>
        <v>30</v>
      </c>
      <c r="D15" s="9">
        <f>'[9]Pacific Comm Credit'!D18</f>
        <v>30</v>
      </c>
      <c r="E15" s="9">
        <f>'[9]Pacific Comm Credit'!E18</f>
        <v>30</v>
      </c>
      <c r="F15" s="9">
        <f>'[9]Pacific Comm Credit'!F18</f>
        <v>30</v>
      </c>
      <c r="G15" s="9">
        <f>'[9]Pacific Comm Credit'!G18</f>
        <v>30</v>
      </c>
      <c r="H15" s="9">
        <f>'[9]Pacific Comm Credit'!H18</f>
        <v>30</v>
      </c>
      <c r="I15" s="9">
        <f>'[9]Pacific Comm Credit'!I18</f>
        <v>30</v>
      </c>
      <c r="J15" s="9">
        <f>'[9]Pacific Comm Credit'!J18</f>
        <v>-30</v>
      </c>
      <c r="K15" s="9">
        <f>'[9]Pacific Comm Credit'!K18</f>
        <v>-30</v>
      </c>
      <c r="L15" s="9">
        <f>'[9]Pacific Comm Credit'!L18</f>
        <v>-30</v>
      </c>
      <c r="M15" s="9">
        <f>'[9]Pacific Comm Credit'!M18</f>
        <v>-30</v>
      </c>
      <c r="N15" s="17"/>
      <c r="O15" s="24"/>
    </row>
    <row r="17" spans="1:17" x14ac:dyDescent="0.2">
      <c r="A17" s="3" t="s">
        <v>5</v>
      </c>
    </row>
    <row r="18" spans="1:17" x14ac:dyDescent="0.2">
      <c r="A18" s="68" t="s">
        <v>3</v>
      </c>
      <c r="B18" s="34">
        <f>B9*B14</f>
        <v>5230.7811686669829</v>
      </c>
      <c r="C18" s="34">
        <f>C9*C14</f>
        <v>5876.529206338837</v>
      </c>
      <c r="D18" s="34">
        <f t="shared" ref="D18:M18" si="1">D9*D14</f>
        <v>6178.8906718640892</v>
      </c>
      <c r="E18" s="34">
        <f>E9*E14</f>
        <v>5643.091618271259</v>
      </c>
      <c r="F18" s="34">
        <f>F9*F14</f>
        <v>4217.6737639727899</v>
      </c>
      <c r="G18" s="34">
        <f t="shared" si="1"/>
        <v>1789.9024772975488</v>
      </c>
      <c r="H18" s="34">
        <f t="shared" si="1"/>
        <v>3127.1271711871514</v>
      </c>
      <c r="I18" s="34">
        <f t="shared" si="1"/>
        <v>2460.745187043713</v>
      </c>
      <c r="J18" s="34">
        <f t="shared" si="1"/>
        <v>-1318.484544870915</v>
      </c>
      <c r="K18" s="34">
        <f t="shared" si="1"/>
        <v>-1986.922368049014</v>
      </c>
      <c r="L18" s="34">
        <f t="shared" si="1"/>
        <v>-2507.4954332119178</v>
      </c>
      <c r="M18" s="34">
        <f t="shared" si="1"/>
        <v>-3539.1035916235037</v>
      </c>
      <c r="N18" s="11">
        <f>SUM(B18:M18)</f>
        <v>25172.735326887021</v>
      </c>
      <c r="O18" s="14"/>
    </row>
    <row r="19" spans="1:17" x14ac:dyDescent="0.2">
      <c r="A19" s="1" t="s">
        <v>11</v>
      </c>
      <c r="B19" s="34">
        <f>+B15*B10</f>
        <v>350.1</v>
      </c>
      <c r="C19" s="34">
        <f>+C15*C10</f>
        <v>309.60000000000002</v>
      </c>
      <c r="D19" s="34">
        <f t="shared" ref="D19:M19" si="2">+D15*D10</f>
        <v>353.09999999999997</v>
      </c>
      <c r="E19" s="34">
        <f>+E15*E10</f>
        <v>364.8</v>
      </c>
      <c r="F19" s="34">
        <f>+F15*F10</f>
        <v>323.09999999999997</v>
      </c>
      <c r="G19" s="34">
        <f t="shared" si="2"/>
        <v>317.39999999999998</v>
      </c>
      <c r="H19" s="34">
        <f>+H15*H10</f>
        <v>274.8</v>
      </c>
      <c r="I19" s="34">
        <f>+I15*I10</f>
        <v>309</v>
      </c>
      <c r="J19" s="34">
        <f t="shared" si="2"/>
        <v>-354.3</v>
      </c>
      <c r="K19" s="34">
        <f t="shared" si="2"/>
        <v>-235.2</v>
      </c>
      <c r="L19" s="34">
        <f>+L15*L10</f>
        <v>-286.2</v>
      </c>
      <c r="M19" s="34">
        <f t="shared" si="2"/>
        <v>-272.10000000000002</v>
      </c>
      <c r="N19" s="11">
        <f>SUM(B19:M19)</f>
        <v>1454.1</v>
      </c>
      <c r="O19" s="38"/>
    </row>
    <row r="20" spans="1:17" s="3" customFormat="1" x14ac:dyDescent="0.2">
      <c r="A20" s="3" t="s">
        <v>14</v>
      </c>
      <c r="B20" s="35">
        <f>+B18+B19</f>
        <v>5580.8811686669833</v>
      </c>
      <c r="C20" s="35">
        <f>+C18+C19</f>
        <v>6186.1292063388373</v>
      </c>
      <c r="D20" s="35">
        <f t="shared" ref="D20:I20" si="3">+D18+D19</f>
        <v>6531.9906718640896</v>
      </c>
      <c r="E20" s="35">
        <f t="shared" si="3"/>
        <v>6007.8916182712592</v>
      </c>
      <c r="F20" s="35">
        <f t="shared" si="3"/>
        <v>4540.7737639727902</v>
      </c>
      <c r="G20" s="35">
        <f t="shared" si="3"/>
        <v>2107.3024772975486</v>
      </c>
      <c r="H20" s="35">
        <f t="shared" si="3"/>
        <v>3401.9271711871515</v>
      </c>
      <c r="I20" s="35">
        <f t="shared" si="3"/>
        <v>2769.745187043713</v>
      </c>
      <c r="J20" s="35">
        <f>+J18+J19</f>
        <v>-1672.7845448709149</v>
      </c>
      <c r="K20" s="35">
        <f>+K18+K19</f>
        <v>-2222.1223680490139</v>
      </c>
      <c r="L20" s="35">
        <f>+L18+L19</f>
        <v>-2793.6954332119176</v>
      </c>
      <c r="M20" s="35">
        <f>+M18+M19</f>
        <v>-3811.2035916235036</v>
      </c>
      <c r="N20" s="36">
        <f>SUM(N18:N19)</f>
        <v>26626.83532688702</v>
      </c>
      <c r="O20" s="63"/>
      <c r="P20" s="64"/>
    </row>
    <row r="21" spans="1:17" x14ac:dyDescent="0.2">
      <c r="B21" s="12"/>
      <c r="C21" s="12"/>
      <c r="D21" s="12"/>
      <c r="E21" s="12"/>
      <c r="F21" s="12"/>
      <c r="G21" s="12"/>
      <c r="H21" s="12"/>
      <c r="I21" s="12"/>
      <c r="J21" s="12"/>
      <c r="K21" s="12"/>
      <c r="L21" s="12"/>
      <c r="M21" s="12"/>
      <c r="N21" s="12"/>
    </row>
    <row r="22" spans="1:17" s="5" customFormat="1" x14ac:dyDescent="0.2">
      <c r="A22" s="3" t="s">
        <v>6</v>
      </c>
      <c r="B22" s="5">
        <f>'[8]Joe''s Comm Credit'!B23</f>
        <v>3884</v>
      </c>
      <c r="C22" s="5">
        <f>'[8]Joe''s Comm Credit'!C23</f>
        <v>3906</v>
      </c>
      <c r="D22" s="5">
        <f>'[8]Joe''s Comm Credit'!D23</f>
        <v>3906</v>
      </c>
      <c r="E22" s="5">
        <f>'[8]Joe''s Comm Credit'!E23</f>
        <v>3937</v>
      </c>
      <c r="F22" s="5">
        <f>'[8]Joe''s Comm Credit'!F23</f>
        <v>3931</v>
      </c>
      <c r="G22" s="5">
        <f>'[8]Joe''s Comm Credit'!G23</f>
        <v>3953</v>
      </c>
      <c r="H22" s="5">
        <f>'[8]Joe''s Comm Credit'!H23</f>
        <v>3964</v>
      </c>
      <c r="I22" s="5">
        <f>'[8]Joe''s Comm Credit'!I23</f>
        <v>3969</v>
      </c>
      <c r="J22" s="5">
        <f>'[8]Joe''s Comm Credit'!J23</f>
        <v>3961</v>
      </c>
      <c r="K22" s="5">
        <f>'[8]Joe''s Comm Credit'!K23</f>
        <v>3976</v>
      </c>
      <c r="L22" s="5">
        <f>'[8]Joe''s Comm Credit'!L23</f>
        <v>3994</v>
      </c>
      <c r="M22" s="5">
        <f>'[8]Joe''s Comm Credit'!M23</f>
        <v>4016</v>
      </c>
      <c r="N22" s="7">
        <f>SUM(B22:M22)</f>
        <v>47397</v>
      </c>
      <c r="Q22" s="14"/>
    </row>
    <row r="23" spans="1:17" s="5" customFormat="1" x14ac:dyDescent="0.2">
      <c r="N23" s="7"/>
      <c r="Q23" s="14"/>
    </row>
    <row r="24" spans="1:17" x14ac:dyDescent="0.2">
      <c r="A24" s="1" t="s">
        <v>7</v>
      </c>
      <c r="B24" s="16">
        <f t="shared" ref="B24:M24" si="4">+IFERROR(B20/B22,0)</f>
        <v>1.4368901052180698</v>
      </c>
      <c r="C24" s="16">
        <f t="shared" si="4"/>
        <v>1.5837504368507007</v>
      </c>
      <c r="D24" s="16">
        <f t="shared" si="4"/>
        <v>1.6722966389821017</v>
      </c>
      <c r="E24" s="16">
        <f t="shared" si="4"/>
        <v>1.526007523055946</v>
      </c>
      <c r="F24" s="16">
        <f t="shared" si="4"/>
        <v>1.1551192480215697</v>
      </c>
      <c r="G24" s="16">
        <f t="shared" si="4"/>
        <v>0.53308942000949877</v>
      </c>
      <c r="H24" s="16">
        <f t="shared" si="4"/>
        <v>0.85820564358908968</v>
      </c>
      <c r="I24" s="16">
        <f t="shared" si="4"/>
        <v>0.69784459235165353</v>
      </c>
      <c r="J24" s="16">
        <f t="shared" si="4"/>
        <v>-0.42231369474145797</v>
      </c>
      <c r="K24" s="16">
        <f t="shared" si="4"/>
        <v>-0.55888389538456085</v>
      </c>
      <c r="L24" s="16">
        <f t="shared" si="4"/>
        <v>-0.69947306790483665</v>
      </c>
      <c r="M24" s="16">
        <f t="shared" si="4"/>
        <v>-0.94900487839230663</v>
      </c>
      <c r="N24" s="17"/>
      <c r="O24" s="37"/>
    </row>
    <row r="25" spans="1:17" x14ac:dyDescent="0.2">
      <c r="A25" s="1" t="s">
        <v>8</v>
      </c>
      <c r="B25" s="16">
        <f>'[10]Joe''s Comm Credit'!$D$25</f>
        <v>0.82</v>
      </c>
      <c r="C25" s="16">
        <f>'[10]Joe''s Comm Credit'!$D$25</f>
        <v>0.82</v>
      </c>
      <c r="D25" s="16">
        <f>'[10]Joe''s Comm Credit'!$N$29</f>
        <v>1.31</v>
      </c>
      <c r="E25" s="16">
        <f>'[10]Joe''s Comm Credit'!$N$29</f>
        <v>1.31</v>
      </c>
      <c r="F25" s="16">
        <f>'[10]Joe''s Comm Credit'!$N$29</f>
        <v>1.31</v>
      </c>
      <c r="G25" s="16">
        <f>'[10]Joe''s Comm Credit'!$N$29</f>
        <v>1.31</v>
      </c>
      <c r="H25" s="16">
        <f>'[10]Joe''s Comm Credit'!$N$29</f>
        <v>1.31</v>
      </c>
      <c r="I25" s="16">
        <f>'[10]Joe''s Comm Credit'!$N$29</f>
        <v>1.31</v>
      </c>
      <c r="J25" s="16">
        <f>'[10]Joe''s Comm Credit'!$N$29</f>
        <v>1.31</v>
      </c>
      <c r="K25" s="16">
        <f>'[10]Joe''s Comm Credit'!$N$29</f>
        <v>1.31</v>
      </c>
      <c r="L25" s="16">
        <f>'[10]Joe''s Comm Credit'!$N$29</f>
        <v>1.31</v>
      </c>
      <c r="M25" s="16">
        <f>'[10]Joe''s Comm Credit'!$N$29</f>
        <v>1.31</v>
      </c>
      <c r="N25" s="17"/>
      <c r="O25" s="19"/>
    </row>
    <row r="26" spans="1:17" x14ac:dyDescent="0.2">
      <c r="A26" s="20" t="s">
        <v>17</v>
      </c>
      <c r="B26" s="20">
        <f>+(B24-B25)*B22</f>
        <v>2396.0011686669832</v>
      </c>
      <c r="C26" s="20">
        <f t="shared" ref="C26:I26" si="5">+(C24-C25)*C22</f>
        <v>2983.2092063388372</v>
      </c>
      <c r="D26" s="20">
        <f t="shared" si="5"/>
        <v>1415.130671864089</v>
      </c>
      <c r="E26" s="20">
        <f t="shared" si="5"/>
        <v>850.42161827125915</v>
      </c>
      <c r="F26" s="20">
        <f t="shared" si="5"/>
        <v>-608.83623602720957</v>
      </c>
      <c r="G26" s="20">
        <f t="shared" si="5"/>
        <v>-3071.1275227024516</v>
      </c>
      <c r="H26" s="20">
        <f t="shared" si="5"/>
        <v>-1790.9128288128486</v>
      </c>
      <c r="I26" s="20">
        <f t="shared" si="5"/>
        <v>-2429.6448129562873</v>
      </c>
      <c r="J26" s="20">
        <f>+(J24-J25)*J22</f>
        <v>-6861.6945448709157</v>
      </c>
      <c r="K26" s="20">
        <f>+(K24-K25)*K22</f>
        <v>-7430.6823680490143</v>
      </c>
      <c r="L26" s="20">
        <f>+(L24-L25)*L22</f>
        <v>-8025.8354332119179</v>
      </c>
      <c r="M26" s="20">
        <f>+(M24-M25)*M22</f>
        <v>-9072.1635916235027</v>
      </c>
      <c r="N26" s="44">
        <f>SUM(B26:M26)</f>
        <v>-31646.134673112982</v>
      </c>
      <c r="O26" s="5"/>
      <c r="P26" s="31"/>
    </row>
    <row r="27" spans="1:17" x14ac:dyDescent="0.2">
      <c r="B27" s="5"/>
      <c r="C27" s="5"/>
      <c r="D27" s="5"/>
      <c r="E27" s="5"/>
      <c r="F27" s="5"/>
      <c r="G27" s="5"/>
      <c r="H27" s="5"/>
      <c r="I27" s="5"/>
      <c r="J27" s="5"/>
      <c r="K27" s="5"/>
      <c r="L27" s="5"/>
      <c r="M27" s="5"/>
      <c r="N27" s="21"/>
    </row>
    <row r="28" spans="1:17" x14ac:dyDescent="0.2">
      <c r="B28" s="45"/>
      <c r="C28" s="45"/>
      <c r="D28" s="45"/>
      <c r="E28" s="45"/>
      <c r="F28" s="45"/>
      <c r="G28" s="45"/>
      <c r="H28" s="45"/>
      <c r="I28" s="45"/>
      <c r="J28" s="45"/>
      <c r="K28" s="45"/>
      <c r="L28" s="45"/>
      <c r="M28" s="72" t="s">
        <v>19</v>
      </c>
      <c r="N28" s="17">
        <f>ROUND(N26/N22,2)</f>
        <v>-0.67</v>
      </c>
      <c r="P28" s="31"/>
    </row>
    <row r="29" spans="1:17" x14ac:dyDescent="0.2">
      <c r="A29" s="103" t="s">
        <v>28</v>
      </c>
      <c r="B29" s="104">
        <v>43069</v>
      </c>
      <c r="C29" s="104">
        <v>43100</v>
      </c>
      <c r="D29" s="104">
        <v>43131</v>
      </c>
      <c r="E29" s="104">
        <v>43159</v>
      </c>
      <c r="F29" s="104">
        <v>43190</v>
      </c>
      <c r="G29" s="104">
        <v>43220</v>
      </c>
      <c r="H29" s="22"/>
      <c r="I29" s="22"/>
      <c r="J29" s="22"/>
      <c r="K29" s="22"/>
      <c r="L29" s="22"/>
      <c r="M29" s="72" t="s">
        <v>20</v>
      </c>
      <c r="N29" s="17">
        <f>SUM(B33:G33)/SUM(H22:M22)</f>
        <v>-0.99262254477944922</v>
      </c>
      <c r="P29" s="31"/>
    </row>
    <row r="30" spans="1:17" x14ac:dyDescent="0.2">
      <c r="A30" s="91" t="s">
        <v>29</v>
      </c>
      <c r="B30" s="84">
        <f>H14-45</f>
        <v>-9.8129999999999953</v>
      </c>
      <c r="C30" s="84">
        <f t="shared" ref="C30:G30" si="6">I14-45</f>
        <v>-12.064999999999976</v>
      </c>
      <c r="D30" s="84">
        <f t="shared" si="6"/>
        <v>-63.190220000000004</v>
      </c>
      <c r="E30" s="84">
        <f t="shared" si="6"/>
        <v>-78.529719999999998</v>
      </c>
      <c r="F30" s="84">
        <f t="shared" si="6"/>
        <v>-83.297619999999981</v>
      </c>
      <c r="G30" s="84">
        <f t="shared" si="6"/>
        <v>-95.726408000000006</v>
      </c>
      <c r="H30" s="22"/>
      <c r="I30" s="22"/>
      <c r="J30" s="22"/>
      <c r="K30" s="22"/>
      <c r="L30" s="22"/>
      <c r="M30" s="73" t="s">
        <v>30</v>
      </c>
      <c r="N30" s="44">
        <f>SUM(N28:N29)</f>
        <v>-1.6626225447794494</v>
      </c>
      <c r="P30" s="31"/>
    </row>
    <row r="31" spans="1:17" ht="25.5" x14ac:dyDescent="0.2">
      <c r="A31" s="91" t="s">
        <v>31</v>
      </c>
      <c r="B31" s="105">
        <f>B30*H9</f>
        <v>-872.09761931564208</v>
      </c>
      <c r="C31" s="105">
        <f t="shared" ref="C31:G31" si="7">C30*I9</f>
        <v>-901.43891549058208</v>
      </c>
      <c r="D31" s="105">
        <f t="shared" si="7"/>
        <v>-4580.226542449348</v>
      </c>
      <c r="E31" s="105">
        <f t="shared" si="7"/>
        <v>-4653.5568213699962</v>
      </c>
      <c r="F31" s="105">
        <f t="shared" si="7"/>
        <v>-5453.8219802541716</v>
      </c>
      <c r="G31" s="105">
        <f t="shared" si="7"/>
        <v>-6678.6844904535101</v>
      </c>
      <c r="H31" s="22"/>
      <c r="I31" s="22"/>
      <c r="J31" s="22"/>
      <c r="K31" s="22"/>
      <c r="L31" s="22"/>
      <c r="M31" s="72"/>
      <c r="N31" s="44"/>
    </row>
    <row r="32" spans="1:17" x14ac:dyDescent="0.2">
      <c r="A32" s="91" t="s">
        <v>35</v>
      </c>
      <c r="B32" s="106">
        <f>H10*H15</f>
        <v>274.8</v>
      </c>
      <c r="C32" s="106">
        <f t="shared" ref="C32:G32" si="8">I10*I15</f>
        <v>309</v>
      </c>
      <c r="D32" s="106">
        <f t="shared" si="8"/>
        <v>-354.3</v>
      </c>
      <c r="E32" s="106">
        <f t="shared" si="8"/>
        <v>-235.2</v>
      </c>
      <c r="F32" s="106">
        <f t="shared" si="8"/>
        <v>-286.2</v>
      </c>
      <c r="G32" s="106">
        <f t="shared" si="8"/>
        <v>-272.10000000000002</v>
      </c>
      <c r="H32" s="22"/>
      <c r="I32" s="22"/>
      <c r="M32" s="72" t="s">
        <v>32</v>
      </c>
      <c r="N32" s="32">
        <v>1.7</v>
      </c>
      <c r="O32" s="13"/>
      <c r="P32" s="8"/>
    </row>
    <row r="33" spans="1:16" x14ac:dyDescent="0.2">
      <c r="A33" s="107" t="s">
        <v>33</v>
      </c>
      <c r="B33" s="108">
        <f>SUM(B31:B32)</f>
        <v>-597.29761931564212</v>
      </c>
      <c r="C33" s="108">
        <f t="shared" ref="C33:G33" si="9">SUM(C31:C32)</f>
        <v>-592.43891549058208</v>
      </c>
      <c r="D33" s="108">
        <f t="shared" si="9"/>
        <v>-4934.5265424493482</v>
      </c>
      <c r="E33" s="108">
        <f t="shared" si="9"/>
        <v>-4888.756821369996</v>
      </c>
      <c r="F33" s="108">
        <f t="shared" si="9"/>
        <v>-5740.0219802541715</v>
      </c>
      <c r="G33" s="108">
        <f t="shared" si="9"/>
        <v>-6950.7844904535104</v>
      </c>
      <c r="M33" s="72" t="s">
        <v>9</v>
      </c>
      <c r="N33" s="17">
        <f>N32-N30</f>
        <v>3.3626225447794491</v>
      </c>
      <c r="O33" s="71">
        <f>N33/N32</f>
        <v>1.9780132616349702</v>
      </c>
    </row>
    <row r="34" spans="1:16" x14ac:dyDescent="0.2">
      <c r="M34" s="72" t="s">
        <v>34</v>
      </c>
      <c r="N34" s="17">
        <f>N33*N22</f>
        <v>159378.22075491154</v>
      </c>
      <c r="O34" s="13"/>
      <c r="P34" s="8"/>
    </row>
    <row r="35" spans="1:16" x14ac:dyDescent="0.2">
      <c r="A35" s="65"/>
      <c r="N35" s="23"/>
    </row>
    <row r="36" spans="1:16" x14ac:dyDescent="0.2">
      <c r="A36" s="65"/>
      <c r="B36" s="3"/>
      <c r="C36" s="3"/>
      <c r="D36" s="3"/>
      <c r="E36" s="3"/>
      <c r="F36" s="3"/>
      <c r="G36" s="3"/>
      <c r="H36" s="3"/>
      <c r="I36" s="3"/>
      <c r="J36" s="3"/>
      <c r="K36" s="3"/>
      <c r="L36" s="3"/>
      <c r="M36" s="3"/>
      <c r="N36" s="40" t="s">
        <v>27</v>
      </c>
      <c r="O36" s="33"/>
    </row>
    <row r="37" spans="1:16" ht="13.5" thickBot="1" x14ac:dyDescent="0.25">
      <c r="A37" s="60" t="s">
        <v>13</v>
      </c>
      <c r="B37" s="28">
        <f t="shared" ref="B37:M37" si="10">B6</f>
        <v>42886</v>
      </c>
      <c r="C37" s="28">
        <f t="shared" si="10"/>
        <v>42916</v>
      </c>
      <c r="D37" s="28">
        <f t="shared" si="10"/>
        <v>42947</v>
      </c>
      <c r="E37" s="28">
        <f t="shared" si="10"/>
        <v>42978</v>
      </c>
      <c r="F37" s="28">
        <f t="shared" si="10"/>
        <v>43008</v>
      </c>
      <c r="G37" s="28">
        <f t="shared" si="10"/>
        <v>43039</v>
      </c>
      <c r="H37" s="28">
        <f t="shared" si="10"/>
        <v>43069</v>
      </c>
      <c r="I37" s="28">
        <f t="shared" si="10"/>
        <v>43100</v>
      </c>
      <c r="J37" s="28">
        <f t="shared" si="10"/>
        <v>43131</v>
      </c>
      <c r="K37" s="28">
        <f t="shared" si="10"/>
        <v>43159</v>
      </c>
      <c r="L37" s="28">
        <f t="shared" si="10"/>
        <v>43190</v>
      </c>
      <c r="M37" s="28">
        <f t="shared" si="10"/>
        <v>43220</v>
      </c>
      <c r="N37" s="58" t="s">
        <v>1</v>
      </c>
      <c r="O37" s="38"/>
      <c r="P37" s="67"/>
    </row>
    <row r="38" spans="1:16" x14ac:dyDescent="0.2">
      <c r="A38" s="60"/>
      <c r="B38" s="4"/>
      <c r="C38" s="4"/>
      <c r="D38" s="4"/>
      <c r="E38" s="4"/>
      <c r="F38" s="4"/>
      <c r="G38" s="4"/>
      <c r="H38" s="4"/>
      <c r="I38" s="4"/>
      <c r="J38" s="4"/>
      <c r="K38" s="4"/>
      <c r="L38" s="4"/>
      <c r="M38" s="4"/>
      <c r="N38" s="40"/>
      <c r="O38" s="38"/>
      <c r="P38" s="67"/>
    </row>
    <row r="39" spans="1:16" x14ac:dyDescent="0.2">
      <c r="A39" s="3" t="s">
        <v>2</v>
      </c>
      <c r="N39" s="23"/>
    </row>
    <row r="40" spans="1:16" x14ac:dyDescent="0.2">
      <c r="A40" s="68" t="s">
        <v>3</v>
      </c>
      <c r="B40" s="2">
        <f>'[8]Joe''s Comm Credit'!B39</f>
        <v>7.1294165085388954</v>
      </c>
      <c r="C40" s="2">
        <f>'[8]Joe''s Comm Credit'!C39</f>
        <v>5.8682057574327464</v>
      </c>
      <c r="D40" s="2">
        <f>'[8]Joe''s Comm Credit'!D39</f>
        <v>5.5814856064181129</v>
      </c>
      <c r="E40" s="2">
        <f>'[8]Joe''s Comm Credit'!E39</f>
        <v>5.901185289294915</v>
      </c>
      <c r="F40" s="2">
        <f>'[8]Joe''s Comm Credit'!F39</f>
        <v>5.8088707482993129</v>
      </c>
      <c r="G40" s="2">
        <f>'[8]Joe''s Comm Credit'!G39</f>
        <v>6.7143803967327935</v>
      </c>
      <c r="H40" s="2">
        <f>'[8]Joe''s Comm Credit'!H39</f>
        <v>7.4433379888268121</v>
      </c>
      <c r="I40" s="2">
        <f>'[8]Joe''s Comm Credit'!I39</f>
        <v>6.2497977214601272</v>
      </c>
      <c r="J40" s="2">
        <f>'[8]Joe''s Comm Credit'!J39</f>
        <v>6.258328498257022</v>
      </c>
      <c r="K40" s="2">
        <f>'[8]Joe''s Comm Credit'!K39</f>
        <v>5.0971885928670648</v>
      </c>
      <c r="L40" s="2">
        <f>'[8]Joe''s Comm Credit'!L39</f>
        <v>5.5244647323943594</v>
      </c>
      <c r="M40" s="2">
        <f>'[8]Joe''s Comm Credit'!M39</f>
        <v>5.9588105815554053</v>
      </c>
      <c r="N40" s="27">
        <f>SUM(B40:M40)</f>
        <v>73.535472422077575</v>
      </c>
      <c r="P40" s="31"/>
    </row>
    <row r="41" spans="1:16" x14ac:dyDescent="0.2">
      <c r="A41" s="68" t="s">
        <v>11</v>
      </c>
      <c r="B41" s="2">
        <f>'[8]Joe''s Comm Credit'!B40</f>
        <v>0.71000000000003638</v>
      </c>
      <c r="C41" s="2">
        <f>'[8]Joe''s Comm Credit'!C40</f>
        <v>0.62999999999996703</v>
      </c>
      <c r="D41" s="2">
        <f>'[8]Joe''s Comm Credit'!D40</f>
        <v>0.71999999999997044</v>
      </c>
      <c r="E41" s="2">
        <f>'[8]Joe''s Comm Credit'!E40</f>
        <v>0.75</v>
      </c>
      <c r="F41" s="2">
        <f>'[8]Joe''s Comm Credit'!F40</f>
        <v>0.65000000000000568</v>
      </c>
      <c r="G41" s="2">
        <f>'[8]Joe''s Comm Credit'!G40</f>
        <v>0.63999999999998636</v>
      </c>
      <c r="H41" s="2">
        <f>'[8]Joe''s Comm Credit'!H40</f>
        <v>0.55000000000003979</v>
      </c>
      <c r="I41" s="2">
        <f>'[8]Joe''s Comm Credit'!I40</f>
        <v>0.63</v>
      </c>
      <c r="J41" s="2">
        <f>'[8]Joe''s Comm Credit'!J40</f>
        <v>0.71</v>
      </c>
      <c r="K41" s="2">
        <f>'[8]Joe''s Comm Credit'!K40</f>
        <v>0.46</v>
      </c>
      <c r="L41" s="2">
        <f>'[8]Joe''s Comm Credit'!L40</f>
        <v>0.56999999999999995</v>
      </c>
      <c r="M41" s="2">
        <f>'[8]Joe''s Comm Credit'!M40</f>
        <v>0.54</v>
      </c>
      <c r="N41" s="27">
        <f>SUM(B41:M41)</f>
        <v>7.5600000000000058</v>
      </c>
      <c r="O41" s="69"/>
      <c r="P41" s="31"/>
    </row>
    <row r="42" spans="1:16" x14ac:dyDescent="0.2">
      <c r="A42" s="66" t="s">
        <v>12</v>
      </c>
      <c r="B42" s="29">
        <f t="shared" ref="B42:M42" si="11">SUM(B40:B41)</f>
        <v>7.8394165085389318</v>
      </c>
      <c r="C42" s="29">
        <f t="shared" si="11"/>
        <v>6.4982057574327134</v>
      </c>
      <c r="D42" s="29">
        <f t="shared" si="11"/>
        <v>6.3014856064180833</v>
      </c>
      <c r="E42" s="29">
        <f t="shared" si="11"/>
        <v>6.651185289294915</v>
      </c>
      <c r="F42" s="29">
        <f t="shared" si="11"/>
        <v>6.4588707482993186</v>
      </c>
      <c r="G42" s="29">
        <f t="shared" si="11"/>
        <v>7.3543803967327799</v>
      </c>
      <c r="H42" s="29">
        <f t="shared" si="11"/>
        <v>7.9933379888268519</v>
      </c>
      <c r="I42" s="29">
        <f t="shared" si="11"/>
        <v>6.8797977214601271</v>
      </c>
      <c r="J42" s="29">
        <f t="shared" si="11"/>
        <v>6.9683284982570219</v>
      </c>
      <c r="K42" s="29">
        <f t="shared" si="11"/>
        <v>5.5571885928670648</v>
      </c>
      <c r="L42" s="29">
        <f>SUM(L40:L41)</f>
        <v>6.0944647323943597</v>
      </c>
      <c r="M42" s="29">
        <f t="shared" si="11"/>
        <v>6.4988105815554054</v>
      </c>
      <c r="N42" s="30">
        <f>SUM(N40:N41)</f>
        <v>81.095472422077577</v>
      </c>
    </row>
    <row r="43" spans="1:16" x14ac:dyDescent="0.2">
      <c r="A43" s="68"/>
      <c r="B43" s="2"/>
      <c r="C43" s="2"/>
      <c r="D43" s="2"/>
      <c r="E43" s="2"/>
      <c r="F43" s="2"/>
      <c r="G43" s="2"/>
      <c r="H43" s="2"/>
      <c r="I43" s="2"/>
      <c r="J43" s="2"/>
      <c r="K43" s="2"/>
      <c r="L43" s="2"/>
      <c r="M43" s="2"/>
      <c r="N43" s="31"/>
    </row>
    <row r="44" spans="1:16" x14ac:dyDescent="0.2">
      <c r="A44" s="66" t="s">
        <v>4</v>
      </c>
    </row>
    <row r="45" spans="1:16" x14ac:dyDescent="0.2">
      <c r="A45" s="68" t="s">
        <v>3</v>
      </c>
      <c r="B45" s="16">
        <f t="shared" ref="B45:M46" si="12">+B14</f>
        <v>62.714999999999996</v>
      </c>
      <c r="C45" s="16">
        <f t="shared" si="12"/>
        <v>85.117999999999995</v>
      </c>
      <c r="D45" s="16">
        <f t="shared" si="12"/>
        <v>94.094999999999999</v>
      </c>
      <c r="E45" s="16">
        <f t="shared" si="12"/>
        <v>80.64</v>
      </c>
      <c r="F45" s="16">
        <f t="shared" si="12"/>
        <v>61.322000000000017</v>
      </c>
      <c r="G45" s="16">
        <f t="shared" si="12"/>
        <v>22.388999999999996</v>
      </c>
      <c r="H45" s="16">
        <f t="shared" si="12"/>
        <v>35.187000000000005</v>
      </c>
      <c r="I45" s="16">
        <f t="shared" si="12"/>
        <v>32.935000000000024</v>
      </c>
      <c r="J45" s="16">
        <f t="shared" si="12"/>
        <v>-18.190220000000004</v>
      </c>
      <c r="K45" s="16">
        <f t="shared" si="12"/>
        <v>-33.529720000000005</v>
      </c>
      <c r="L45" s="16">
        <f t="shared" si="12"/>
        <v>-38.297619999999981</v>
      </c>
      <c r="M45" s="16">
        <f t="shared" si="12"/>
        <v>-50.726408000000006</v>
      </c>
    </row>
    <row r="46" spans="1:16" x14ac:dyDescent="0.2">
      <c r="A46" s="68" t="s">
        <v>11</v>
      </c>
      <c r="B46" s="16">
        <f t="shared" si="12"/>
        <v>30</v>
      </c>
      <c r="C46" s="16">
        <f t="shared" si="12"/>
        <v>30</v>
      </c>
      <c r="D46" s="16">
        <f t="shared" si="12"/>
        <v>30</v>
      </c>
      <c r="E46" s="16">
        <f t="shared" si="12"/>
        <v>30</v>
      </c>
      <c r="F46" s="16">
        <f t="shared" si="12"/>
        <v>30</v>
      </c>
      <c r="G46" s="16">
        <f t="shared" si="12"/>
        <v>30</v>
      </c>
      <c r="H46" s="16">
        <f t="shared" si="12"/>
        <v>30</v>
      </c>
      <c r="I46" s="16">
        <f t="shared" si="12"/>
        <v>30</v>
      </c>
      <c r="J46" s="16">
        <f t="shared" si="12"/>
        <v>-30</v>
      </c>
      <c r="K46" s="16">
        <f t="shared" si="12"/>
        <v>-30</v>
      </c>
      <c r="L46" s="16">
        <f t="shared" si="12"/>
        <v>-30</v>
      </c>
      <c r="M46" s="16">
        <f t="shared" si="12"/>
        <v>-30</v>
      </c>
    </row>
    <row r="47" spans="1:16" x14ac:dyDescent="0.2">
      <c r="A47" s="68"/>
      <c r="B47" s="2"/>
      <c r="C47" s="2"/>
      <c r="D47" s="2"/>
      <c r="E47" s="2"/>
      <c r="F47" s="2"/>
      <c r="G47" s="2"/>
      <c r="H47" s="2"/>
      <c r="I47" s="2"/>
      <c r="J47" s="2"/>
      <c r="K47" s="2"/>
      <c r="L47" s="2"/>
      <c r="M47" s="2"/>
    </row>
    <row r="48" spans="1:16" x14ac:dyDescent="0.2">
      <c r="A48" s="3" t="s">
        <v>5</v>
      </c>
      <c r="B48" s="2"/>
      <c r="C48" s="2"/>
      <c r="D48" s="2"/>
      <c r="E48" s="2"/>
      <c r="F48" s="2"/>
      <c r="G48" s="2"/>
      <c r="H48" s="2"/>
      <c r="I48" s="2"/>
      <c r="J48" s="2"/>
      <c r="K48" s="2"/>
      <c r="L48" s="2"/>
      <c r="M48" s="2"/>
    </row>
    <row r="49" spans="1:15" x14ac:dyDescent="0.2">
      <c r="A49" s="68" t="s">
        <v>3</v>
      </c>
      <c r="B49" s="10">
        <f t="shared" ref="B49:M49" si="13">+B40*B45</f>
        <v>447.12135633301682</v>
      </c>
      <c r="C49" s="10">
        <f t="shared" si="13"/>
        <v>499.48993766116047</v>
      </c>
      <c r="D49" s="10">
        <f t="shared" si="13"/>
        <v>525.18988813591227</v>
      </c>
      <c r="E49" s="10">
        <f t="shared" si="13"/>
        <v>475.87158172874194</v>
      </c>
      <c r="F49" s="10">
        <f t="shared" si="13"/>
        <v>356.21157202721059</v>
      </c>
      <c r="G49" s="10">
        <f t="shared" si="13"/>
        <v>150.32826270245047</v>
      </c>
      <c r="H49" s="10">
        <f t="shared" si="13"/>
        <v>261.90873381284905</v>
      </c>
      <c r="I49" s="10">
        <f t="shared" si="13"/>
        <v>205.83708795628945</v>
      </c>
      <c r="J49" s="10">
        <f t="shared" si="13"/>
        <v>-113.84037221556487</v>
      </c>
      <c r="K49" s="10">
        <f t="shared" si="13"/>
        <v>-170.9073063060267</v>
      </c>
      <c r="L49" s="10">
        <f>+L40*L45</f>
        <v>-211.57385102464076</v>
      </c>
      <c r="M49" s="10">
        <f t="shared" si="13"/>
        <v>-302.26905675469681</v>
      </c>
      <c r="N49" s="11">
        <f>SUM(B49:M49)</f>
        <v>2123.3678340567017</v>
      </c>
    </row>
    <row r="50" spans="1:15" x14ac:dyDescent="0.2">
      <c r="A50" s="68" t="s">
        <v>11</v>
      </c>
      <c r="B50" s="10">
        <f t="shared" ref="B50:M50" si="14">+B46*B41</f>
        <v>21.300000000001091</v>
      </c>
      <c r="C50" s="10">
        <f t="shared" si="14"/>
        <v>18.899999999999011</v>
      </c>
      <c r="D50" s="10">
        <f t="shared" si="14"/>
        <v>21.599999999999113</v>
      </c>
      <c r="E50" s="10">
        <f t="shared" si="14"/>
        <v>22.5</v>
      </c>
      <c r="F50" s="10">
        <f t="shared" si="14"/>
        <v>19.500000000000171</v>
      </c>
      <c r="G50" s="10">
        <f t="shared" si="14"/>
        <v>19.199999999999591</v>
      </c>
      <c r="H50" s="10">
        <f t="shared" si="14"/>
        <v>16.500000000001194</v>
      </c>
      <c r="I50" s="10">
        <f t="shared" si="14"/>
        <v>18.899999999999999</v>
      </c>
      <c r="J50" s="10">
        <f t="shared" si="14"/>
        <v>-21.299999999999997</v>
      </c>
      <c r="K50" s="10">
        <f t="shared" si="14"/>
        <v>-13.8</v>
      </c>
      <c r="L50" s="10">
        <f>+L46*L41</f>
        <v>-17.099999999999998</v>
      </c>
      <c r="M50" s="10">
        <f t="shared" si="14"/>
        <v>-16.200000000000003</v>
      </c>
      <c r="N50" s="11">
        <f>SUM(B50:M50)</f>
        <v>90.000000000000199</v>
      </c>
    </row>
    <row r="51" spans="1:15" x14ac:dyDescent="0.2">
      <c r="A51" s="3" t="s">
        <v>14</v>
      </c>
      <c r="B51" s="35">
        <f t="shared" ref="B51:I51" si="15">+B49+B50</f>
        <v>468.42135633301791</v>
      </c>
      <c r="C51" s="35">
        <f t="shared" si="15"/>
        <v>518.38993766115948</v>
      </c>
      <c r="D51" s="35">
        <f t="shared" si="15"/>
        <v>546.78988813591138</v>
      </c>
      <c r="E51" s="35">
        <f t="shared" si="15"/>
        <v>498.37158172874194</v>
      </c>
      <c r="F51" s="35">
        <f t="shared" si="15"/>
        <v>375.71157202721076</v>
      </c>
      <c r="G51" s="35">
        <f t="shared" si="15"/>
        <v>169.52826270245006</v>
      </c>
      <c r="H51" s="35">
        <f t="shared" si="15"/>
        <v>278.40873381285024</v>
      </c>
      <c r="I51" s="35">
        <f t="shared" si="15"/>
        <v>224.73708795628946</v>
      </c>
      <c r="J51" s="35">
        <f>+J49+J50</f>
        <v>-135.14037221556487</v>
      </c>
      <c r="K51" s="35">
        <f>+K49+K50</f>
        <v>-184.70730630602671</v>
      </c>
      <c r="L51" s="35">
        <f>+L49+L50</f>
        <v>-228.67385102464075</v>
      </c>
      <c r="M51" s="35">
        <f>+M49+M50</f>
        <v>-318.46905675469679</v>
      </c>
      <c r="N51" s="36">
        <f>SUM(N49:N50)</f>
        <v>2213.3678340567017</v>
      </c>
    </row>
    <row r="52" spans="1:15" x14ac:dyDescent="0.2">
      <c r="B52" s="5"/>
      <c r="C52" s="5"/>
      <c r="D52" s="5"/>
      <c r="E52" s="5"/>
      <c r="F52" s="5"/>
      <c r="G52" s="5"/>
      <c r="H52" s="5"/>
      <c r="I52" s="5"/>
      <c r="J52" s="5"/>
      <c r="K52" s="5"/>
      <c r="L52" s="5"/>
      <c r="M52" s="5"/>
      <c r="N52" s="8"/>
    </row>
    <row r="53" spans="1:15" x14ac:dyDescent="0.2">
      <c r="A53" s="66" t="s">
        <v>6</v>
      </c>
      <c r="B53" s="5">
        <f>'[8]Joe''s Comm Credit'!B53</f>
        <v>332</v>
      </c>
      <c r="C53" s="5">
        <f>'[8]Joe''s Comm Credit'!C53</f>
        <v>332</v>
      </c>
      <c r="D53" s="5">
        <f>'[8]Joe''s Comm Credit'!D53</f>
        <v>332</v>
      </c>
      <c r="E53" s="5">
        <f>'[8]Joe''s Comm Credit'!E53</f>
        <v>332</v>
      </c>
      <c r="F53" s="5">
        <f>'[8]Joe''s Comm Credit'!F53</f>
        <v>332</v>
      </c>
      <c r="G53" s="5">
        <f>'[8]Joe''s Comm Credit'!G53</f>
        <v>332</v>
      </c>
      <c r="H53" s="5">
        <f>'[8]Joe''s Comm Credit'!H53</f>
        <v>332</v>
      </c>
      <c r="I53" s="5">
        <f>'[8]Joe''s Comm Credit'!I53</f>
        <v>332</v>
      </c>
      <c r="J53" s="5">
        <f>'[8]Joe''s Comm Credit'!J53</f>
        <v>342</v>
      </c>
      <c r="K53" s="5">
        <f>'[8]Joe''s Comm Credit'!K53</f>
        <v>342</v>
      </c>
      <c r="L53" s="5">
        <f>'[8]Joe''s Comm Credit'!L53</f>
        <v>337</v>
      </c>
      <c r="M53" s="5">
        <f>'[8]Joe''s Comm Credit'!M53</f>
        <v>343</v>
      </c>
      <c r="N53" s="7">
        <f>SUM(B53:M53)</f>
        <v>4020</v>
      </c>
    </row>
    <row r="54" spans="1:15" x14ac:dyDescent="0.2">
      <c r="A54" s="68"/>
      <c r="N54" s="8"/>
    </row>
    <row r="55" spans="1:15" x14ac:dyDescent="0.2">
      <c r="A55" s="1" t="s">
        <v>7</v>
      </c>
      <c r="B55" s="16">
        <f t="shared" ref="B55:M55" si="16">IFERROR(B51/B53,0)</f>
        <v>1.4109076997982468</v>
      </c>
      <c r="C55" s="16">
        <f t="shared" si="16"/>
        <v>1.5614154748830105</v>
      </c>
      <c r="D55" s="16">
        <f t="shared" si="16"/>
        <v>1.6469574943852752</v>
      </c>
      <c r="E55" s="16">
        <f t="shared" si="16"/>
        <v>1.501119222074524</v>
      </c>
      <c r="F55" s="16">
        <f t="shared" si="16"/>
        <v>1.1316613615277433</v>
      </c>
      <c r="G55" s="16">
        <f t="shared" si="16"/>
        <v>0.51062729729653633</v>
      </c>
      <c r="H55" s="16">
        <f t="shared" si="16"/>
        <v>0.83858052353268142</v>
      </c>
      <c r="I55" s="16">
        <f t="shared" si="16"/>
        <v>0.67691893962737792</v>
      </c>
      <c r="J55" s="16">
        <f t="shared" si="16"/>
        <v>-0.39514728718001424</v>
      </c>
      <c r="K55" s="16">
        <f t="shared" si="16"/>
        <v>-0.54007984300007805</v>
      </c>
      <c r="L55" s="16">
        <f t="shared" si="16"/>
        <v>-0.67855742143810316</v>
      </c>
      <c r="M55" s="16">
        <f t="shared" si="16"/>
        <v>-0.92848121502827052</v>
      </c>
      <c r="N55" s="17"/>
    </row>
    <row r="56" spans="1:15" x14ac:dyDescent="0.2">
      <c r="A56" s="1" t="s">
        <v>8</v>
      </c>
      <c r="B56" s="16">
        <f>'[10]Joe''s Comm Credit'!$D$56</f>
        <v>0.82</v>
      </c>
      <c r="C56" s="16">
        <f>'[10]Joe''s Comm Credit'!$D$56</f>
        <v>0.82</v>
      </c>
      <c r="D56" s="16">
        <f>'[10]Joe''s Comm Credit'!$N$60</f>
        <v>1.31</v>
      </c>
      <c r="E56" s="16">
        <f>'[10]Joe''s Comm Credit'!$N$60</f>
        <v>1.31</v>
      </c>
      <c r="F56" s="16">
        <f>'[10]Joe''s Comm Credit'!$N$60</f>
        <v>1.31</v>
      </c>
      <c r="G56" s="16">
        <f>'[10]Joe''s Comm Credit'!$N$60</f>
        <v>1.31</v>
      </c>
      <c r="H56" s="16">
        <f>'[10]Joe''s Comm Credit'!$N$60</f>
        <v>1.31</v>
      </c>
      <c r="I56" s="16">
        <f>'[10]Joe''s Comm Credit'!$N$60</f>
        <v>1.31</v>
      </c>
      <c r="J56" s="16">
        <f>'[10]Joe''s Comm Credit'!$N$60</f>
        <v>1.31</v>
      </c>
      <c r="K56" s="16">
        <f>'[10]Joe''s Comm Credit'!$N$60</f>
        <v>1.31</v>
      </c>
      <c r="L56" s="16">
        <f>'[10]Joe''s Comm Credit'!$N$60</f>
        <v>1.31</v>
      </c>
      <c r="M56" s="16">
        <f>'[10]Joe''s Comm Credit'!$N$60</f>
        <v>1.31</v>
      </c>
      <c r="N56" s="17"/>
    </row>
    <row r="57" spans="1:15" x14ac:dyDescent="0.2">
      <c r="A57" s="20" t="s">
        <v>17</v>
      </c>
      <c r="B57" s="20">
        <f>(B55-B56)*B53</f>
        <v>196.18135633301796</v>
      </c>
      <c r="C57" s="20">
        <f t="shared" ref="C57:I57" si="17">(C55-C56)*C53</f>
        <v>246.1499376611595</v>
      </c>
      <c r="D57" s="20">
        <f t="shared" si="17"/>
        <v>111.86988813591134</v>
      </c>
      <c r="E57" s="20">
        <f t="shared" si="17"/>
        <v>63.451581728741942</v>
      </c>
      <c r="F57" s="20">
        <f t="shared" si="17"/>
        <v>-59.208427972789231</v>
      </c>
      <c r="G57" s="20">
        <f t="shared" si="17"/>
        <v>-265.39173729754998</v>
      </c>
      <c r="H57" s="20">
        <f t="shared" si="17"/>
        <v>-156.51126618714977</v>
      </c>
      <c r="I57" s="20">
        <f t="shared" si="17"/>
        <v>-210.18291204371056</v>
      </c>
      <c r="J57" s="20">
        <f>(J55-J56)*J53</f>
        <v>-583.16037221556485</v>
      </c>
      <c r="K57" s="20">
        <f>(K55-K56)*K53</f>
        <v>-632.72730630602678</v>
      </c>
      <c r="L57" s="20">
        <f>(L55-L56)*L53</f>
        <v>-670.14385102464075</v>
      </c>
      <c r="M57" s="20">
        <f>(M55-M56)*M53</f>
        <v>-767.79905675469672</v>
      </c>
      <c r="N57" s="44">
        <f>SUM(B57:M57)</f>
        <v>-2727.472165943298</v>
      </c>
    </row>
    <row r="59" spans="1:15" ht="15" x14ac:dyDescent="0.25">
      <c r="A59" s="55"/>
      <c r="B59" s="45"/>
      <c r="C59" s="45"/>
      <c r="D59" s="45"/>
      <c r="E59" s="45"/>
      <c r="F59" s="45"/>
      <c r="G59" s="45"/>
      <c r="H59" s="45"/>
      <c r="I59" s="45"/>
      <c r="J59" s="45"/>
      <c r="K59" s="45"/>
      <c r="L59" s="45"/>
      <c r="M59" s="72" t="s">
        <v>19</v>
      </c>
      <c r="N59" s="17">
        <f>ROUND(N57/N53,2)</f>
        <v>-0.68</v>
      </c>
    </row>
    <row r="60" spans="1:15" x14ac:dyDescent="0.2">
      <c r="A60" s="103" t="s">
        <v>28</v>
      </c>
      <c r="B60" s="104">
        <v>43069</v>
      </c>
      <c r="C60" s="104">
        <v>43100</v>
      </c>
      <c r="D60" s="104">
        <v>43131</v>
      </c>
      <c r="E60" s="104">
        <v>43159</v>
      </c>
      <c r="F60" s="104">
        <v>43190</v>
      </c>
      <c r="G60" s="104">
        <v>43220</v>
      </c>
      <c r="H60" s="22"/>
      <c r="I60" s="22"/>
      <c r="J60" s="22"/>
      <c r="K60" s="22"/>
      <c r="L60" s="22"/>
      <c r="M60" s="72" t="s">
        <v>20</v>
      </c>
      <c r="N60" s="17">
        <f>SUM(B63:G63)/SUM(H53:M53)</f>
        <v>-0.99003034010011104</v>
      </c>
    </row>
    <row r="61" spans="1:15" ht="25.5" x14ac:dyDescent="0.2">
      <c r="A61" s="91" t="s">
        <v>31</v>
      </c>
      <c r="B61" s="112">
        <f>H40*B30</f>
        <v>-73.041475684357465</v>
      </c>
      <c r="C61" s="112">
        <f t="shared" ref="C61:F61" si="18">I40*C30</f>
        <v>-75.403809509416291</v>
      </c>
      <c r="D61" s="112">
        <f t="shared" si="18"/>
        <v>-395.46515463713087</v>
      </c>
      <c r="E61" s="112">
        <f t="shared" si="18"/>
        <v>-400.28079298504457</v>
      </c>
      <c r="F61" s="112">
        <f t="shared" si="18"/>
        <v>-460.17476398238693</v>
      </c>
      <c r="G61" s="112">
        <f>M40*G30</f>
        <v>-570.41553292469007</v>
      </c>
      <c r="H61" s="57"/>
      <c r="I61" s="57"/>
      <c r="J61" s="57"/>
      <c r="K61" s="57"/>
      <c r="L61" s="57"/>
      <c r="M61" s="73" t="s">
        <v>30</v>
      </c>
      <c r="N61" s="44">
        <f>SUM(N59:N60)</f>
        <v>-1.6700303401001111</v>
      </c>
    </row>
    <row r="62" spans="1:15" x14ac:dyDescent="0.2">
      <c r="A62" s="91" t="s">
        <v>35</v>
      </c>
      <c r="B62" s="113">
        <f>H41*H46</f>
        <v>16.500000000001194</v>
      </c>
      <c r="C62" s="113">
        <f t="shared" ref="C62:G62" si="19">I41*I46</f>
        <v>18.899999999999999</v>
      </c>
      <c r="D62" s="113">
        <f t="shared" si="19"/>
        <v>-21.299999999999997</v>
      </c>
      <c r="E62" s="113">
        <f t="shared" si="19"/>
        <v>-13.8</v>
      </c>
      <c r="F62" s="113">
        <f t="shared" si="19"/>
        <v>-17.099999999999998</v>
      </c>
      <c r="G62" s="113">
        <f t="shared" si="19"/>
        <v>-16.200000000000003</v>
      </c>
      <c r="H62" s="22"/>
      <c r="I62" s="22"/>
      <c r="J62" s="22"/>
      <c r="K62" s="22"/>
      <c r="L62" s="22"/>
      <c r="M62" s="72"/>
      <c r="N62" s="44"/>
    </row>
    <row r="63" spans="1:15" x14ac:dyDescent="0.2">
      <c r="A63" s="107" t="s">
        <v>33</v>
      </c>
      <c r="B63" s="114">
        <f>SUM(B61:B62)</f>
        <v>-56.541475684356271</v>
      </c>
      <c r="C63" s="114">
        <f t="shared" ref="C63:G63" si="20">SUM(C61:C62)</f>
        <v>-56.503809509416293</v>
      </c>
      <c r="D63" s="114">
        <f t="shared" si="20"/>
        <v>-416.76515463713088</v>
      </c>
      <c r="E63" s="114">
        <f t="shared" si="20"/>
        <v>-414.08079298504458</v>
      </c>
      <c r="F63" s="114">
        <f t="shared" si="20"/>
        <v>-477.27476398238696</v>
      </c>
      <c r="G63" s="114">
        <f t="shared" si="20"/>
        <v>-586.61553292469011</v>
      </c>
      <c r="H63" s="70"/>
      <c r="I63" s="70"/>
      <c r="J63" s="70"/>
      <c r="K63" s="70"/>
      <c r="L63" s="70"/>
      <c r="M63" s="72" t="s">
        <v>32</v>
      </c>
      <c r="N63" s="32">
        <v>1.72</v>
      </c>
    </row>
    <row r="64" spans="1:15" x14ac:dyDescent="0.2">
      <c r="B64" s="25"/>
      <c r="C64" s="25"/>
      <c r="D64" s="25"/>
      <c r="E64" s="25"/>
      <c r="F64" s="25"/>
      <c r="G64" s="25"/>
      <c r="H64" s="25"/>
      <c r="I64" s="25"/>
      <c r="J64" s="25"/>
      <c r="K64" s="25"/>
      <c r="L64" s="25"/>
      <c r="M64" s="72" t="s">
        <v>9</v>
      </c>
      <c r="N64" s="17">
        <f>N63-N61</f>
        <v>3.3900303401001111</v>
      </c>
      <c r="O64" s="71">
        <f>N64/N63</f>
        <v>1.9709478721512275</v>
      </c>
    </row>
    <row r="65" spans="1:60" x14ac:dyDescent="0.2">
      <c r="B65" s="25"/>
      <c r="C65" s="25"/>
      <c r="D65" s="25"/>
      <c r="E65" s="25"/>
      <c r="F65" s="25"/>
      <c r="G65" s="25"/>
      <c r="H65" s="25"/>
      <c r="I65" s="25"/>
      <c r="J65" s="25"/>
      <c r="K65" s="25"/>
      <c r="L65" s="25"/>
      <c r="M65" s="72" t="s">
        <v>34</v>
      </c>
      <c r="N65" s="17">
        <f>N64*N53</f>
        <v>13627.921967202446</v>
      </c>
    </row>
    <row r="67" spans="1:60" x14ac:dyDescent="0.2">
      <c r="B67" s="12"/>
      <c r="C67" s="12"/>
      <c r="D67" s="12"/>
      <c r="E67" s="12"/>
      <c r="F67" s="12"/>
      <c r="G67" s="12"/>
      <c r="H67" s="12"/>
      <c r="I67" s="12"/>
      <c r="J67" s="12"/>
      <c r="K67" s="12"/>
      <c r="L67" s="12"/>
      <c r="M67" s="12"/>
    </row>
    <row r="68" spans="1:60" x14ac:dyDescent="0.2">
      <c r="B68" s="12"/>
      <c r="C68" s="12"/>
      <c r="D68" s="12"/>
      <c r="E68" s="12"/>
      <c r="F68" s="12"/>
      <c r="G68" s="12"/>
      <c r="H68" s="12"/>
      <c r="I68" s="12"/>
      <c r="J68" s="12"/>
      <c r="K68" s="12"/>
      <c r="L68" s="12"/>
      <c r="M68" s="12"/>
    </row>
    <row r="69" spans="1:60" x14ac:dyDescent="0.2">
      <c r="B69" s="12"/>
      <c r="C69" s="12"/>
      <c r="D69" s="12"/>
      <c r="E69" s="12"/>
      <c r="F69" s="12"/>
      <c r="G69" s="12"/>
      <c r="H69" s="12"/>
      <c r="I69" s="12"/>
      <c r="J69" s="12"/>
      <c r="K69" s="12"/>
      <c r="L69" s="12"/>
      <c r="M69" s="12"/>
    </row>
    <row r="71" spans="1:60" x14ac:dyDescent="0.2">
      <c r="B71" s="12"/>
      <c r="C71" s="12"/>
      <c r="D71" s="12"/>
      <c r="E71" s="12"/>
      <c r="F71" s="12"/>
      <c r="G71" s="12"/>
      <c r="H71" s="12"/>
      <c r="I71" s="12"/>
      <c r="J71" s="12"/>
      <c r="K71" s="12"/>
      <c r="L71" s="12"/>
      <c r="M71" s="12"/>
    </row>
    <row r="72" spans="1:60" s="2" customFormat="1" x14ac:dyDescent="0.2">
      <c r="A72" s="1"/>
      <c r="B72" s="12"/>
      <c r="C72" s="12"/>
      <c r="D72" s="12"/>
      <c r="E72" s="12"/>
      <c r="F72" s="12"/>
      <c r="G72" s="12"/>
      <c r="H72" s="12"/>
      <c r="I72" s="12"/>
      <c r="J72" s="12"/>
      <c r="K72" s="12"/>
      <c r="L72" s="12"/>
      <c r="M72" s="12"/>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s="2" customFormat="1" x14ac:dyDescent="0.2">
      <c r="A73" s="1"/>
      <c r="B73" s="12"/>
      <c r="C73" s="12"/>
      <c r="D73" s="12"/>
      <c r="E73" s="12"/>
      <c r="F73" s="12"/>
      <c r="G73" s="12"/>
      <c r="H73" s="12"/>
      <c r="I73" s="12"/>
      <c r="J73" s="12"/>
      <c r="K73" s="12"/>
      <c r="L73" s="12"/>
      <c r="M73" s="12"/>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s="2" customForma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s="2" customForma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s="2"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s="2"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s="2"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s="2"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s="2"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s="2"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s="2"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s="2"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s="2"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s="2"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s="2" customForma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s="2" customForma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s="2"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s="2" customForma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s="2" customForma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s="2" customForma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s="2" customForma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s="2" customForma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s="2" customForma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s="2" customForma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s="2" customForma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s="2" customForma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s="2" customForma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s="2" customForma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s="2" customForma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s="2" customForma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s="2" customForma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s="2" customForma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sheetData>
  <pageMargins left="0.7" right="0.7" top="0.75" bottom="0.75" header="0.3" footer="0.3"/>
  <pageSetup scale="62" fitToHeight="0" orientation="landscape" r:id="rId1"/>
  <headerFooter alignWithMargins="0"/>
  <rowBreaks count="1" manualBreakCount="1">
    <brk id="35" max="16383" man="1"/>
  </rowBreaks>
  <colBreaks count="1" manualBreakCount="1">
    <brk id="13" max="6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35572-A0E7-461E-BA51-9CDA9A7EAF75}">
  <sheetPr>
    <tabColor rgb="FF00B050"/>
    <pageSetUpPr fitToPage="1"/>
  </sheetPr>
  <dimension ref="A1:BH105"/>
  <sheetViews>
    <sheetView showGridLines="0" topLeftCell="A28" zoomScaleNormal="100" zoomScaleSheetLayoutView="100" workbookViewId="0">
      <selection activeCell="P53" sqref="P53"/>
    </sheetView>
  </sheetViews>
  <sheetFormatPr defaultRowHeight="12.75" x14ac:dyDescent="0.2"/>
  <cols>
    <col min="1" max="1" width="34.140625" style="1" customWidth="1"/>
    <col min="2" max="4" width="11.85546875" style="1" bestFit="1" customWidth="1"/>
    <col min="5" max="5" width="10.85546875" style="1" bestFit="1" customWidth="1"/>
    <col min="6" max="12" width="11.85546875" style="1" bestFit="1" customWidth="1"/>
    <col min="13" max="13" width="15.140625" style="1" customWidth="1"/>
    <col min="14" max="14" width="12.85546875" style="1" bestFit="1" customWidth="1"/>
    <col min="15" max="15" width="11.85546875" style="1" bestFit="1" customWidth="1"/>
    <col min="16" max="16" width="11.28515625" style="1" bestFit="1" customWidth="1"/>
    <col min="17" max="16384" width="9.140625" style="1"/>
  </cols>
  <sheetData>
    <row r="1" spans="1:29" x14ac:dyDescent="0.2">
      <c r="A1" s="3" t="s">
        <v>15</v>
      </c>
      <c r="B1" s="26"/>
      <c r="C1" s="26"/>
      <c r="D1" s="26"/>
      <c r="E1" s="26"/>
      <c r="F1" s="26"/>
      <c r="G1" s="26"/>
      <c r="H1" s="26"/>
      <c r="I1" s="26"/>
      <c r="J1" s="26"/>
      <c r="K1" s="26"/>
      <c r="L1" s="26"/>
      <c r="M1" s="26"/>
      <c r="N1" s="6"/>
    </row>
    <row r="2" spans="1:29" x14ac:dyDescent="0.2">
      <c r="A2" s="3" t="s">
        <v>10</v>
      </c>
      <c r="B2" s="26"/>
      <c r="C2" s="26"/>
      <c r="D2" s="26"/>
      <c r="E2" s="26"/>
      <c r="F2" s="26"/>
      <c r="G2" s="26"/>
      <c r="H2" s="26"/>
      <c r="I2" s="26"/>
      <c r="J2" s="26"/>
      <c r="K2" s="144"/>
      <c r="L2" s="26"/>
      <c r="M2" s="26"/>
      <c r="N2" s="6"/>
    </row>
    <row r="3" spans="1:29" ht="15" x14ac:dyDescent="0.25">
      <c r="A3" s="3" t="s">
        <v>16</v>
      </c>
      <c r="B3" s="110"/>
      <c r="C3" s="26"/>
      <c r="D3" s="26"/>
      <c r="E3" s="26"/>
      <c r="F3" s="26"/>
      <c r="G3" s="26"/>
      <c r="H3" s="26"/>
      <c r="I3" s="26"/>
      <c r="J3" s="26"/>
      <c r="K3" s="144"/>
      <c r="L3" s="26"/>
      <c r="M3" s="26"/>
      <c r="N3" s="6"/>
    </row>
    <row r="4" spans="1:29" x14ac:dyDescent="0.2">
      <c r="A4" s="3" t="str">
        <f>+'RSA-1 CPA Eff. 1.1.2024'!A4</f>
        <v>Effective January 1, 2024</v>
      </c>
      <c r="B4" s="26"/>
      <c r="C4" s="26"/>
      <c r="D4" s="26"/>
      <c r="E4" s="26"/>
      <c r="F4" s="26"/>
      <c r="G4" s="26"/>
      <c r="H4" s="26"/>
      <c r="I4" s="26"/>
      <c r="J4" s="26"/>
      <c r="K4" s="26"/>
      <c r="L4" s="26"/>
      <c r="M4" s="26"/>
      <c r="N4" s="6"/>
    </row>
    <row r="5" spans="1:29" x14ac:dyDescent="0.2">
      <c r="A5" s="3"/>
      <c r="B5" s="26"/>
      <c r="C5" s="26"/>
      <c r="D5" s="26"/>
      <c r="E5" s="26"/>
      <c r="F5" s="26"/>
      <c r="G5" s="26"/>
      <c r="H5" s="26"/>
      <c r="I5" s="26"/>
      <c r="J5" s="26"/>
      <c r="K5" s="26"/>
      <c r="L5" s="26"/>
      <c r="M5" s="26"/>
      <c r="N5" s="40" t="s">
        <v>27</v>
      </c>
    </row>
    <row r="6" spans="1:29" ht="13.5" thickBot="1" x14ac:dyDescent="0.25">
      <c r="A6" s="60" t="s">
        <v>18</v>
      </c>
      <c r="B6" s="28">
        <f>'RSA-1 CPA Eff. 1.1.2023'!B6</f>
        <v>44501</v>
      </c>
      <c r="C6" s="28">
        <f>'RSA-1 CPA Eff. 1.1.2023'!C6</f>
        <v>44532</v>
      </c>
      <c r="D6" s="28">
        <f>'RSA-1 CPA Eff. 1.1.2023'!D6</f>
        <v>44563</v>
      </c>
      <c r="E6" s="28">
        <f>'RSA-1 CPA Eff. 1.1.2023'!E6</f>
        <v>44594</v>
      </c>
      <c r="F6" s="28">
        <f>'RSA-1 CPA Eff. 1.1.2023'!F6</f>
        <v>44625</v>
      </c>
      <c r="G6" s="28">
        <f>'RSA-1 CPA Eff. 1.1.2023'!G6</f>
        <v>44656</v>
      </c>
      <c r="H6" s="28">
        <f>'RSA-1 CPA Eff. 1.1.2023'!H6</f>
        <v>44687</v>
      </c>
      <c r="I6" s="28">
        <f>'RSA-1 CPA Eff. 1.1.2023'!I6</f>
        <v>44718</v>
      </c>
      <c r="J6" s="28">
        <f>'RSA-1 CPA Eff. 1.1.2023'!J6</f>
        <v>44749</v>
      </c>
      <c r="K6" s="28">
        <f>'RSA-1 CPA Eff. 1.1.2023'!K6</f>
        <v>44780</v>
      </c>
      <c r="L6" s="28">
        <f>'RSA-1 CPA Eff. 1.1.2023'!L6</f>
        <v>44811</v>
      </c>
      <c r="M6" s="28">
        <f>'RSA-1 CPA Eff. 1.1.2023'!M6</f>
        <v>44842</v>
      </c>
      <c r="N6" s="58" t="s">
        <v>1</v>
      </c>
      <c r="O6" s="59"/>
      <c r="P6" s="59"/>
      <c r="Q6" s="59"/>
    </row>
    <row r="7" spans="1:29" x14ac:dyDescent="0.2">
      <c r="B7" s="4"/>
      <c r="C7" s="4"/>
      <c r="D7" s="4"/>
      <c r="E7" s="4"/>
      <c r="F7" s="4"/>
      <c r="G7" s="4"/>
      <c r="H7" s="4"/>
      <c r="I7" s="4"/>
      <c r="J7" s="4"/>
      <c r="K7" s="61"/>
      <c r="L7" s="4"/>
      <c r="M7" s="4"/>
      <c r="N7" s="40"/>
      <c r="O7" s="59"/>
      <c r="P7" s="59"/>
      <c r="Q7" s="59"/>
    </row>
    <row r="8" spans="1:29" x14ac:dyDescent="0.2">
      <c r="A8" s="3" t="s">
        <v>2</v>
      </c>
      <c r="B8" s="31"/>
      <c r="C8" s="31"/>
      <c r="D8" s="31"/>
      <c r="E8" s="31"/>
      <c r="F8" s="31"/>
      <c r="G8" s="31"/>
      <c r="H8" s="31"/>
      <c r="I8" s="31"/>
      <c r="J8" s="31"/>
      <c r="K8" s="31"/>
      <c r="L8" s="31"/>
      <c r="M8" s="31"/>
    </row>
    <row r="9" spans="1:29" x14ac:dyDescent="0.2">
      <c r="A9" s="1" t="s">
        <v>51</v>
      </c>
      <c r="B9" s="152">
        <f>+'[1]Joe''s Comm Credit'!B9</f>
        <v>60.977740945365241</v>
      </c>
      <c r="C9" s="152">
        <f>+'[1]Joe''s Comm Credit'!C9</f>
        <v>56.616906032006554</v>
      </c>
      <c r="D9" s="152">
        <f>+'[1]Joe''s Comm Credit'!D9</f>
        <v>106.34170012290042</v>
      </c>
      <c r="E9" s="152">
        <f>+'[1]Joe''s Comm Credit'!E9</f>
        <v>58.328832026413529</v>
      </c>
      <c r="F9" s="152">
        <f>+'[1]Joe''s Comm Credit'!F9</f>
        <v>83.738008163265306</v>
      </c>
      <c r="G9" s="152">
        <f>+'[1]Joe''s Comm Credit'!G9</f>
        <v>64.131546688605511</v>
      </c>
      <c r="H9" s="152">
        <f>+'[1]Joe''s Comm Credit'!H9</f>
        <v>60.841573583367293</v>
      </c>
      <c r="I9" s="152">
        <f>+'[1]Joe''s Comm Credit'!I9</f>
        <v>62.923614604462479</v>
      </c>
      <c r="J9" s="152">
        <f>+'[1]Joe''s Comm Credit'!J9</f>
        <v>67.064543973941369</v>
      </c>
      <c r="K9" s="152">
        <f>+'[1]Joe''s Comm Credit'!K9</f>
        <v>77.33281135902638</v>
      </c>
      <c r="L9" s="152">
        <f>+'[1]Joe''s Comm Credit'!L9</f>
        <v>71.23254678600486</v>
      </c>
      <c r="M9" s="152">
        <f>+'[1]Joe''s Comm Credit'!M9</f>
        <v>62.943743842364512</v>
      </c>
      <c r="N9" s="27">
        <f>SUM(B9:M9)</f>
        <v>832.47356812772341</v>
      </c>
      <c r="O9" s="23"/>
      <c r="P9" s="23"/>
      <c r="Q9" s="23"/>
      <c r="R9" s="23"/>
      <c r="S9" s="23"/>
      <c r="T9" s="23"/>
      <c r="U9" s="23"/>
      <c r="V9" s="23"/>
      <c r="W9" s="23"/>
      <c r="X9" s="23"/>
      <c r="Y9" s="23"/>
      <c r="Z9" s="23"/>
      <c r="AA9" s="23"/>
      <c r="AB9" s="23"/>
      <c r="AC9" s="23"/>
    </row>
    <row r="10" spans="1:29" x14ac:dyDescent="0.2">
      <c r="A10" s="1" t="s">
        <v>11</v>
      </c>
      <c r="B10" s="152">
        <f>+'[1]Joe''s Comm Credit'!B10</f>
        <v>8.31</v>
      </c>
      <c r="C10" s="152">
        <f>+'[1]Joe''s Comm Credit'!C10</f>
        <v>8.51</v>
      </c>
      <c r="D10" s="152">
        <f>+'[1]Joe''s Comm Credit'!D10</f>
        <v>10.66</v>
      </c>
      <c r="E10" s="152">
        <f>+'[1]Joe''s Comm Credit'!E10</f>
        <v>6.62</v>
      </c>
      <c r="F10" s="152">
        <f>+'[1]Joe''s Comm Credit'!F10</f>
        <v>8.6</v>
      </c>
      <c r="G10" s="152">
        <f>+'[1]Joe''s Comm Credit'!G10</f>
        <v>6.79</v>
      </c>
      <c r="H10" s="152">
        <f>+'[1]Joe''s Comm Credit'!H10</f>
        <v>8.94</v>
      </c>
      <c r="I10" s="152">
        <f>+'[1]Joe''s Comm Credit'!I10</f>
        <v>7.02</v>
      </c>
      <c r="J10" s="152">
        <f>+'[1]Joe''s Comm Credit'!J10</f>
        <v>7.1</v>
      </c>
      <c r="K10" s="152">
        <f>+'[1]Joe''s Comm Credit'!K10</f>
        <v>9.32</v>
      </c>
      <c r="L10" s="152">
        <f>+'[1]Joe''s Comm Credit'!L10</f>
        <v>8.0299999999999994</v>
      </c>
      <c r="M10" s="152">
        <f>+'[1]Joe''s Comm Credit'!M10</f>
        <v>6</v>
      </c>
      <c r="N10" s="27">
        <f>SUM(B10:M10)</f>
        <v>95.9</v>
      </c>
      <c r="O10" s="23"/>
      <c r="Q10" s="23"/>
    </row>
    <row r="11" spans="1:29" s="3" customFormat="1" x14ac:dyDescent="0.2">
      <c r="A11" s="3" t="s">
        <v>12</v>
      </c>
      <c r="B11" s="29">
        <f>SUM(B9:B10)</f>
        <v>69.287740945365243</v>
      </c>
      <c r="C11" s="29">
        <f t="shared" ref="C11:J11" si="0">SUM(C9:C10)</f>
        <v>65.126906032006559</v>
      </c>
      <c r="D11" s="29">
        <f t="shared" si="0"/>
        <v>117.00170012290042</v>
      </c>
      <c r="E11" s="29">
        <f>SUM(E9:E10)</f>
        <v>64.948832026413527</v>
      </c>
      <c r="F11" s="29">
        <f>SUM(F9:F10)</f>
        <v>92.3380081632653</v>
      </c>
      <c r="G11" s="29">
        <f t="shared" si="0"/>
        <v>70.921546688605517</v>
      </c>
      <c r="H11" s="29">
        <f>SUM(H9:H10)</f>
        <v>69.78157358336729</v>
      </c>
      <c r="I11" s="29">
        <f>SUM(I9:I10)</f>
        <v>69.943614604462482</v>
      </c>
      <c r="J11" s="29">
        <f t="shared" si="0"/>
        <v>74.164543973941363</v>
      </c>
      <c r="K11" s="29">
        <f>SUM(K9:K10)</f>
        <v>86.652811359026373</v>
      </c>
      <c r="L11" s="29">
        <f>SUM(L9:L10)</f>
        <v>79.262546786004862</v>
      </c>
      <c r="M11" s="29">
        <f>SUM(M9:M10)</f>
        <v>68.943743842364512</v>
      </c>
      <c r="N11" s="30">
        <f>SUM(B11:M11)</f>
        <v>928.3735681277235</v>
      </c>
      <c r="O11" s="30"/>
      <c r="P11" s="141">
        <f>+'[1]Joe''s Comm Credit'!$N$11-N11</f>
        <v>0</v>
      </c>
    </row>
    <row r="12" spans="1:29" x14ac:dyDescent="0.2">
      <c r="B12" s="2"/>
      <c r="C12" s="2"/>
      <c r="D12" s="2"/>
      <c r="E12" s="2"/>
      <c r="F12" s="2"/>
      <c r="G12" s="2"/>
      <c r="H12" s="2"/>
      <c r="I12" s="2"/>
      <c r="J12" s="2"/>
      <c r="K12" s="2"/>
      <c r="L12" s="2"/>
      <c r="M12" s="2"/>
      <c r="N12" s="27"/>
      <c r="O12" s="62"/>
    </row>
    <row r="13" spans="1:29" x14ac:dyDescent="0.2">
      <c r="A13" s="3" t="s">
        <v>52</v>
      </c>
      <c r="B13" s="31"/>
      <c r="C13" s="31"/>
      <c r="D13" s="31"/>
      <c r="E13" s="31"/>
      <c r="F13" s="31"/>
      <c r="G13" s="31"/>
      <c r="H13" s="31"/>
      <c r="I13" s="31"/>
      <c r="J13" s="31"/>
      <c r="K13" s="31"/>
      <c r="L13" s="31"/>
      <c r="M13" s="31"/>
    </row>
    <row r="14" spans="1:29" s="23" customFormat="1" x14ac:dyDescent="0.2">
      <c r="A14" s="23" t="s">
        <v>51</v>
      </c>
      <c r="B14" s="129">
        <f>+'RSA-1 CPA Eff. 1.1.2024'!B12</f>
        <v>-117.39685000000004</v>
      </c>
      <c r="C14" s="129">
        <f>+'RSA-1 CPA Eff. 1.1.2024'!C12</f>
        <v>-131.00376</v>
      </c>
      <c r="D14" s="129">
        <f>+'RSA-1 CPA Eff. 1.1.2024'!D12</f>
        <v>-130.912564</v>
      </c>
      <c r="E14" s="129">
        <f>+'RSA-1 CPA Eff. 1.1.2024'!E12</f>
        <v>-114.59896399999998</v>
      </c>
      <c r="F14" s="129">
        <f>+'RSA-1 CPA Eff. 1.1.2024'!F12</f>
        <v>-115.28181599999996</v>
      </c>
      <c r="G14" s="129">
        <f>+'RSA-1 CPA Eff. 1.1.2024'!G12</f>
        <v>-111.80251600000003</v>
      </c>
      <c r="H14" s="129">
        <f>+'RSA-1 CPA Eff. 1.1.2024'!H12</f>
        <v>-106.30761599999997</v>
      </c>
      <c r="I14" s="129">
        <f>+'RSA-1 CPA Eff. 1.1.2024'!I12</f>
        <v>-109.36141599999999</v>
      </c>
      <c r="J14" s="129">
        <f>+'RSA-1 CPA Eff. 1.1.2024'!J12</f>
        <v>-122.21801600000001</v>
      </c>
      <c r="K14" s="129">
        <f>+'RSA-1 CPA Eff. 1.1.2024'!K12</f>
        <v>-124.96461600000004</v>
      </c>
      <c r="L14" s="129">
        <f>+'RSA-1 CPA Eff. 1.1.2024'!L12</f>
        <v>-116.22791600000001</v>
      </c>
      <c r="M14" s="129">
        <f>+'RSA-1 CPA Eff. 1.1.2024'!M12</f>
        <v>-105.89291600000003</v>
      </c>
      <c r="N14" s="32"/>
    </row>
    <row r="15" spans="1:29" x14ac:dyDescent="0.2">
      <c r="A15" s="1" t="s">
        <v>11</v>
      </c>
      <c r="B15" s="129">
        <f>+'[1]Joe''s Comm Credit'!B$16</f>
        <v>-33</v>
      </c>
      <c r="C15" s="129">
        <f>+'[1]Joe''s Comm Credit'!C$16</f>
        <v>-33</v>
      </c>
      <c r="D15" s="129">
        <f>+'[1]Joe''s Comm Credit'!D$16</f>
        <v>-33</v>
      </c>
      <c r="E15" s="129">
        <f>+'[1]Joe''s Comm Credit'!E$16</f>
        <v>-33</v>
      </c>
      <c r="F15" s="129">
        <f>+'[1]Joe''s Comm Credit'!F$16</f>
        <v>-33</v>
      </c>
      <c r="G15" s="129">
        <f>+'[1]Joe''s Comm Credit'!G$16</f>
        <v>-33</v>
      </c>
      <c r="H15" s="129">
        <f>+'[1]Joe''s Comm Credit'!H$16</f>
        <v>-33</v>
      </c>
      <c r="I15" s="129">
        <f>+'[1]Joe''s Comm Credit'!I$16</f>
        <v>-33</v>
      </c>
      <c r="J15" s="129">
        <f>+'[1]Joe''s Comm Credit'!J$16</f>
        <v>-33</v>
      </c>
      <c r="K15" s="129">
        <f>+'[1]Joe''s Comm Credit'!K$16</f>
        <v>-33</v>
      </c>
      <c r="L15" s="129">
        <f>+'[1]Joe''s Comm Credit'!L$16</f>
        <v>-33</v>
      </c>
      <c r="M15" s="129">
        <f>+'[1]Joe''s Comm Credit'!M$16</f>
        <v>-33</v>
      </c>
      <c r="N15" s="17"/>
      <c r="O15" s="24"/>
    </row>
    <row r="17" spans="1:19" x14ac:dyDescent="0.2">
      <c r="A17" s="3" t="s">
        <v>53</v>
      </c>
    </row>
    <row r="18" spans="1:19" x14ac:dyDescent="0.2">
      <c r="A18" s="68" t="s">
        <v>51</v>
      </c>
      <c r="B18" s="34">
        <f>B9*B14</f>
        <v>-7158.5947071019036</v>
      </c>
      <c r="C18" s="34">
        <f t="shared" ref="C18:M18" si="1">C9*C14</f>
        <v>-7417.0275697595389</v>
      </c>
      <c r="D18" s="34">
        <f t="shared" si="1"/>
        <v>-13921.464623208009</v>
      </c>
      <c r="E18" s="34">
        <f t="shared" si="1"/>
        <v>-6684.4237215570101</v>
      </c>
      <c r="F18" s="34">
        <f t="shared" si="1"/>
        <v>-9653.4696492840467</v>
      </c>
      <c r="G18" s="34">
        <f t="shared" si="1"/>
        <v>-7170.0682747575665</v>
      </c>
      <c r="H18" s="34">
        <f t="shared" si="1"/>
        <v>-6467.9226413363522</v>
      </c>
      <c r="I18" s="34">
        <f t="shared" si="1"/>
        <v>-6881.4155929822964</v>
      </c>
      <c r="J18" s="34">
        <f t="shared" si="1"/>
        <v>-8196.4955084398698</v>
      </c>
      <c r="K18" s="34">
        <f t="shared" si="1"/>
        <v>-9663.865075681173</v>
      </c>
      <c r="L18" s="34">
        <f t="shared" si="1"/>
        <v>-8279.2104643098428</v>
      </c>
      <c r="M18" s="34">
        <f t="shared" si="1"/>
        <v>-6665.296579425024</v>
      </c>
      <c r="N18" s="11">
        <f>SUM(B18:M18)</f>
        <v>-98159.254407842629</v>
      </c>
      <c r="O18" s="14"/>
      <c r="Q18" s="1" t="s">
        <v>48</v>
      </c>
    </row>
    <row r="19" spans="1:19" x14ac:dyDescent="0.2">
      <c r="A19" s="1" t="s">
        <v>11</v>
      </c>
      <c r="B19" s="34">
        <f>+B15*B10</f>
        <v>-274.23</v>
      </c>
      <c r="C19" s="34">
        <f t="shared" ref="C19:M19" si="2">+C15*C10</f>
        <v>-280.83</v>
      </c>
      <c r="D19" s="34">
        <f t="shared" si="2"/>
        <v>-351.78000000000003</v>
      </c>
      <c r="E19" s="34">
        <f t="shared" si="2"/>
        <v>-218.46</v>
      </c>
      <c r="F19" s="34">
        <f t="shared" si="2"/>
        <v>-283.8</v>
      </c>
      <c r="G19" s="34">
        <f t="shared" si="2"/>
        <v>-224.07</v>
      </c>
      <c r="H19" s="34">
        <f t="shared" si="2"/>
        <v>-295.02</v>
      </c>
      <c r="I19" s="34">
        <f t="shared" si="2"/>
        <v>-231.66</v>
      </c>
      <c r="J19" s="34">
        <f t="shared" si="2"/>
        <v>-234.29999999999998</v>
      </c>
      <c r="K19" s="34">
        <f t="shared" si="2"/>
        <v>-307.56</v>
      </c>
      <c r="L19" s="34">
        <f t="shared" si="2"/>
        <v>-264.98999999999995</v>
      </c>
      <c r="M19" s="34">
        <f t="shared" si="2"/>
        <v>-198</v>
      </c>
      <c r="N19" s="11">
        <f>SUM(B19:M19)</f>
        <v>-3164.7</v>
      </c>
      <c r="O19" s="38"/>
      <c r="Q19" s="1" t="s">
        <v>48</v>
      </c>
    </row>
    <row r="20" spans="1:19" s="3" customFormat="1" x14ac:dyDescent="0.2">
      <c r="A20" s="134" t="s">
        <v>58</v>
      </c>
      <c r="B20" s="135">
        <f>+B18+B19</f>
        <v>-7432.8247071019032</v>
      </c>
      <c r="C20" s="135">
        <f>+C18+C19</f>
        <v>-7697.8575697595388</v>
      </c>
      <c r="D20" s="135">
        <f t="shared" ref="D20:I20" si="3">+D18+D19</f>
        <v>-14273.244623208009</v>
      </c>
      <c r="E20" s="135">
        <f t="shared" si="3"/>
        <v>-6902.8837215570102</v>
      </c>
      <c r="F20" s="135">
        <f t="shared" si="3"/>
        <v>-9937.269649284046</v>
      </c>
      <c r="G20" s="135">
        <f t="shared" si="3"/>
        <v>-7394.1382747575663</v>
      </c>
      <c r="H20" s="135">
        <f t="shared" si="3"/>
        <v>-6762.9426413363526</v>
      </c>
      <c r="I20" s="135">
        <f t="shared" si="3"/>
        <v>-7113.0755929822963</v>
      </c>
      <c r="J20" s="135">
        <f>+J18+J19</f>
        <v>-8430.7955084398691</v>
      </c>
      <c r="K20" s="135">
        <f>+K18+K19</f>
        <v>-9971.4250756811725</v>
      </c>
      <c r="L20" s="135">
        <f>+L18+L19</f>
        <v>-8544.2004643098426</v>
      </c>
      <c r="M20" s="135">
        <f>+M18+M19</f>
        <v>-6863.296579425024</v>
      </c>
      <c r="N20" s="135">
        <f>SUM(N18:N19)</f>
        <v>-101323.95440784263</v>
      </c>
      <c r="O20" s="63"/>
      <c r="P20" s="64">
        <f>+'[2]Joe''s Comm Credit'!$N$21-N20</f>
        <v>52253.253151823512</v>
      </c>
      <c r="R20" s="3" t="e">
        <f>-GETPIVOTDATA("Amount",'[3]JE Query'!$L$115,"Abreviated  Description","Joe SF Reg")</f>
        <v>#REF!</v>
      </c>
      <c r="S20" s="140" t="e">
        <f>+R20-N20</f>
        <v>#REF!</v>
      </c>
    </row>
    <row r="21" spans="1:19" x14ac:dyDescent="0.2">
      <c r="B21" s="12"/>
      <c r="C21" s="12"/>
      <c r="D21" s="12"/>
      <c r="E21" s="12"/>
      <c r="F21" s="12"/>
      <c r="G21" s="12"/>
      <c r="H21" s="12"/>
      <c r="I21" s="12"/>
      <c r="J21" s="12"/>
      <c r="K21" s="12"/>
      <c r="L21" s="12"/>
      <c r="M21" s="12"/>
      <c r="N21" s="12"/>
    </row>
    <row r="22" spans="1:19" s="5" customFormat="1" x14ac:dyDescent="0.2">
      <c r="A22" s="3" t="s">
        <v>6</v>
      </c>
      <c r="B22" s="150">
        <f>+'[1]Joe''s Comm Credit'!B$23</f>
        <v>4603</v>
      </c>
      <c r="C22" s="150">
        <f>+'[1]Joe''s Comm Credit'!C$23</f>
        <v>4590</v>
      </c>
      <c r="D22" s="150">
        <f>+'[1]Joe''s Comm Credit'!D$23</f>
        <v>4598</v>
      </c>
      <c r="E22" s="150">
        <f>+'[1]Joe''s Comm Credit'!E$23</f>
        <v>4562</v>
      </c>
      <c r="F22" s="150">
        <f>+'[1]Joe''s Comm Credit'!F$23</f>
        <v>4616</v>
      </c>
      <c r="G22" s="150">
        <f>+'[1]Joe''s Comm Credit'!G$23</f>
        <v>4578</v>
      </c>
      <c r="H22" s="150">
        <f>+'[1]Joe''s Comm Credit'!H$23</f>
        <v>4622</v>
      </c>
      <c r="I22" s="150">
        <f>+'[1]Joe''s Comm Credit'!I$23</f>
        <v>4646</v>
      </c>
      <c r="J22" s="150">
        <f>+'[1]Joe''s Comm Credit'!J$23</f>
        <v>4628</v>
      </c>
      <c r="K22" s="150">
        <f>+'[1]Joe''s Comm Credit'!K$23</f>
        <v>4646</v>
      </c>
      <c r="L22" s="150">
        <f>+'[1]Joe''s Comm Credit'!L$23</f>
        <v>4632</v>
      </c>
      <c r="M22" s="150">
        <f>+'[1]Joe''s Comm Credit'!M$23</f>
        <v>4588</v>
      </c>
      <c r="N22" s="7">
        <f>SUM(B22:M22)</f>
        <v>55309</v>
      </c>
      <c r="P22" s="150">
        <f>+'[1]Joe''s Comm Credit'!$N$23-N22</f>
        <v>0</v>
      </c>
      <c r="Q22" s="14"/>
    </row>
    <row r="23" spans="1:19" s="5" customFormat="1" x14ac:dyDescent="0.2">
      <c r="N23" s="7"/>
      <c r="Q23" s="14"/>
    </row>
    <row r="24" spans="1:19" x14ac:dyDescent="0.2">
      <c r="A24" s="1" t="s">
        <v>59</v>
      </c>
      <c r="B24" s="16">
        <f t="shared" ref="B24:M24" si="4">+IFERROR(B20/B22,0)</f>
        <v>-1.6147783417557904</v>
      </c>
      <c r="C24" s="16">
        <f t="shared" si="4"/>
        <v>-1.6770931524530586</v>
      </c>
      <c r="D24" s="16">
        <f t="shared" si="4"/>
        <v>-3.1042289306672486</v>
      </c>
      <c r="E24" s="16">
        <f t="shared" si="4"/>
        <v>-1.5131266377810193</v>
      </c>
      <c r="F24" s="16">
        <f t="shared" si="4"/>
        <v>-2.1527880522712404</v>
      </c>
      <c r="G24" s="16">
        <f t="shared" si="4"/>
        <v>-1.615145975263776</v>
      </c>
      <c r="H24" s="16">
        <f t="shared" si="4"/>
        <v>-1.4632069756244812</v>
      </c>
      <c r="I24" s="16">
        <f t="shared" si="4"/>
        <v>-1.5310106743397107</v>
      </c>
      <c r="J24" s="16">
        <f t="shared" si="4"/>
        <v>-1.8216930657821671</v>
      </c>
      <c r="K24" s="16">
        <f t="shared" si="4"/>
        <v>-2.1462387162464855</v>
      </c>
      <c r="L24" s="16">
        <f t="shared" si="4"/>
        <v>-1.8446028636247502</v>
      </c>
      <c r="M24" s="16">
        <f t="shared" si="4"/>
        <v>-1.4959234044082441</v>
      </c>
      <c r="N24" s="17"/>
      <c r="O24" s="37"/>
    </row>
    <row r="25" spans="1:19" x14ac:dyDescent="0.2">
      <c r="A25" s="1" t="s">
        <v>55</v>
      </c>
      <c r="B25" s="151">
        <f>+'Joe''s CPA Eff. 1.1.2023'!$M$25</f>
        <v>-0.57999999999999996</v>
      </c>
      <c r="C25" s="151">
        <f>+'Joe''s CPA Eff. 1.1.2023'!$M$25</f>
        <v>-0.57999999999999996</v>
      </c>
      <c r="D25" s="151">
        <f>-'Joe''s CPA Eff. 1.1.2023'!$N$30</f>
        <v>-0.91</v>
      </c>
      <c r="E25" s="151">
        <f>-'Joe''s CPA Eff. 1.1.2023'!$N$30</f>
        <v>-0.91</v>
      </c>
      <c r="F25" s="151">
        <f>-'Joe''s CPA Eff. 1.1.2023'!$N$30</f>
        <v>-0.91</v>
      </c>
      <c r="G25" s="151">
        <f>-'Joe''s CPA Eff. 1.1.2023'!$N$30</f>
        <v>-0.91</v>
      </c>
      <c r="H25" s="151">
        <f>-'Joe''s CPA Eff. 1.1.2023'!$N$30</f>
        <v>-0.91</v>
      </c>
      <c r="I25" s="151">
        <f>-'Joe''s CPA Eff. 1.1.2023'!$N$30</f>
        <v>-0.91</v>
      </c>
      <c r="J25" s="151">
        <f>-'Joe''s CPA Eff. 1.1.2023'!$N$30</f>
        <v>-0.91</v>
      </c>
      <c r="K25" s="151">
        <f>-'Joe''s CPA Eff. 1.1.2023'!$N$30</f>
        <v>-0.91</v>
      </c>
      <c r="L25" s="151">
        <f>-'Joe''s CPA Eff. 1.1.2023'!$N$30</f>
        <v>-0.91</v>
      </c>
      <c r="M25" s="151">
        <f>-'Joe''s CPA Eff. 1.1.2023'!$N$30</f>
        <v>-0.91</v>
      </c>
      <c r="N25" s="17"/>
      <c r="O25" s="19"/>
    </row>
    <row r="26" spans="1:19" x14ac:dyDescent="0.2">
      <c r="A26" s="1" t="s">
        <v>56</v>
      </c>
      <c r="B26" s="10">
        <f>+B22*B25</f>
        <v>-2669.74</v>
      </c>
      <c r="C26" s="10">
        <f t="shared" ref="C26:M26" si="5">+C22*C25</f>
        <v>-2662.2</v>
      </c>
      <c r="D26" s="10">
        <f t="shared" si="5"/>
        <v>-4184.18</v>
      </c>
      <c r="E26" s="10">
        <f t="shared" si="5"/>
        <v>-4151.42</v>
      </c>
      <c r="F26" s="10">
        <f t="shared" si="5"/>
        <v>-4200.5600000000004</v>
      </c>
      <c r="G26" s="10">
        <f t="shared" si="5"/>
        <v>-4165.9800000000005</v>
      </c>
      <c r="H26" s="10">
        <f t="shared" si="5"/>
        <v>-4206.0200000000004</v>
      </c>
      <c r="I26" s="10">
        <f t="shared" si="5"/>
        <v>-4227.8600000000006</v>
      </c>
      <c r="J26" s="10">
        <f t="shared" si="5"/>
        <v>-4211.4800000000005</v>
      </c>
      <c r="K26" s="10">
        <f t="shared" si="5"/>
        <v>-4227.8600000000006</v>
      </c>
      <c r="L26" s="10">
        <f t="shared" si="5"/>
        <v>-4215.12</v>
      </c>
      <c r="M26" s="10">
        <f t="shared" si="5"/>
        <v>-4175.08</v>
      </c>
      <c r="N26" s="17"/>
      <c r="O26" s="19"/>
    </row>
    <row r="27" spans="1:19" ht="13.5" thickBot="1" x14ac:dyDescent="0.25">
      <c r="A27" s="133" t="s">
        <v>57</v>
      </c>
      <c r="B27" s="136">
        <f>+B26-B20</f>
        <v>4763.0847071019034</v>
      </c>
      <c r="C27" s="136">
        <f t="shared" ref="C27:M27" si="6">+C26-C20</f>
        <v>5035.657569759539</v>
      </c>
      <c r="D27" s="136">
        <f t="shared" si="6"/>
        <v>10089.064623208009</v>
      </c>
      <c r="E27" s="136">
        <f t="shared" si="6"/>
        <v>2751.4637215570101</v>
      </c>
      <c r="F27" s="136">
        <f t="shared" si="6"/>
        <v>5736.7096492840456</v>
      </c>
      <c r="G27" s="136">
        <f t="shared" si="6"/>
        <v>3228.1582747575658</v>
      </c>
      <c r="H27" s="136">
        <f t="shared" si="6"/>
        <v>2556.9226413363522</v>
      </c>
      <c r="I27" s="136">
        <f t="shared" si="6"/>
        <v>2885.2155929822957</v>
      </c>
      <c r="J27" s="136">
        <f t="shared" si="6"/>
        <v>4219.3155084398686</v>
      </c>
      <c r="K27" s="136">
        <f t="shared" si="6"/>
        <v>5743.5650756811719</v>
      </c>
      <c r="L27" s="136">
        <f t="shared" si="6"/>
        <v>4329.0804643098427</v>
      </c>
      <c r="M27" s="136">
        <f t="shared" si="6"/>
        <v>2688.2165794250241</v>
      </c>
      <c r="N27" s="136">
        <f>SUM(B27:M27)</f>
        <v>54026.454407842641</v>
      </c>
      <c r="O27" s="5"/>
      <c r="P27" s="153">
        <f>+'[1]Joe''s Comm Credit'!$N$27+N27</f>
        <v>-461.15999999998894</v>
      </c>
      <c r="Q27" s="130" t="s">
        <v>44</v>
      </c>
    </row>
    <row r="28" spans="1:19" x14ac:dyDescent="0.2">
      <c r="B28" s="5"/>
      <c r="C28" s="5"/>
      <c r="D28" s="5"/>
      <c r="E28" s="5"/>
      <c r="F28" s="5"/>
      <c r="G28" s="5"/>
      <c r="H28" s="5"/>
      <c r="I28" s="5"/>
      <c r="J28" s="5"/>
      <c r="K28" s="5"/>
      <c r="L28" s="5"/>
      <c r="M28" s="5"/>
      <c r="N28" s="21"/>
    </row>
    <row r="29" spans="1:19" x14ac:dyDescent="0.2">
      <c r="B29" s="45"/>
      <c r="C29" s="45"/>
      <c r="D29" s="45"/>
      <c r="E29" s="45"/>
      <c r="F29" s="45"/>
      <c r="G29" s="45"/>
      <c r="H29" s="45"/>
      <c r="I29" s="45"/>
      <c r="J29" s="45"/>
      <c r="K29" s="45"/>
      <c r="L29" s="45"/>
      <c r="M29" s="72" t="s">
        <v>19</v>
      </c>
      <c r="N29" s="17">
        <f>ROUND(N27/N22,2)</f>
        <v>0.98</v>
      </c>
      <c r="P29" s="31"/>
    </row>
    <row r="30" spans="1:19" x14ac:dyDescent="0.2">
      <c r="B30" s="49"/>
      <c r="C30" s="49"/>
      <c r="D30" s="49"/>
      <c r="E30" s="49"/>
      <c r="F30" s="49"/>
      <c r="G30" s="49"/>
      <c r="H30" s="49"/>
      <c r="I30" s="49"/>
      <c r="J30" s="49"/>
      <c r="K30" s="49"/>
      <c r="L30" s="22"/>
      <c r="M30" s="72" t="s">
        <v>60</v>
      </c>
      <c r="N30" s="120">
        <f>-ROUND(N20/N22,2)</f>
        <v>1.83</v>
      </c>
      <c r="P30" s="31"/>
    </row>
    <row r="31" spans="1:19" x14ac:dyDescent="0.2">
      <c r="B31" s="49"/>
      <c r="C31" s="22"/>
      <c r="D31" s="22"/>
      <c r="E31" s="22"/>
      <c r="F31" s="22"/>
      <c r="G31" s="22"/>
      <c r="H31" s="22"/>
      <c r="I31" s="22"/>
      <c r="J31" s="22"/>
      <c r="K31" s="22"/>
      <c r="L31" s="22"/>
      <c r="M31" s="73" t="s">
        <v>41</v>
      </c>
      <c r="N31" s="44">
        <f>SUM(N29:N30)</f>
        <v>2.81</v>
      </c>
      <c r="P31" s="31"/>
    </row>
    <row r="32" spans="1:19" ht="15" x14ac:dyDescent="0.25">
      <c r="B32" s="127"/>
      <c r="C32" s="22"/>
      <c r="D32" s="22"/>
      <c r="E32" s="22"/>
      <c r="F32" s="22"/>
      <c r="G32" s="22"/>
      <c r="H32" s="22"/>
      <c r="I32" s="22"/>
      <c r="J32" s="22"/>
      <c r="K32" s="22"/>
      <c r="L32" s="22"/>
      <c r="M32" s="22"/>
      <c r="N32" s="44"/>
    </row>
    <row r="33" spans="1:17" x14ac:dyDescent="0.2">
      <c r="B33" s="126"/>
      <c r="C33" s="22"/>
      <c r="D33" s="22"/>
      <c r="E33" s="22"/>
      <c r="F33" s="22"/>
      <c r="G33" s="22"/>
      <c r="H33" s="22"/>
      <c r="I33" s="22"/>
      <c r="M33" s="72" t="s">
        <v>42</v>
      </c>
      <c r="N33" s="154">
        <f>+'Joe''s CPA Eff. 1.1.2023'!N31</f>
        <v>1.05</v>
      </c>
      <c r="O33" s="13"/>
      <c r="P33" s="8"/>
    </row>
    <row r="34" spans="1:17" x14ac:dyDescent="0.2">
      <c r="M34" s="72" t="s">
        <v>9</v>
      </c>
      <c r="N34" s="17">
        <f>+N31-N33</f>
        <v>1.76</v>
      </c>
      <c r="O34" s="71">
        <f>N34/N33</f>
        <v>1.6761904761904762</v>
      </c>
    </row>
    <row r="35" spans="1:17" x14ac:dyDescent="0.2">
      <c r="M35" s="72" t="s">
        <v>34</v>
      </c>
      <c r="N35" s="11">
        <f>N34*N22</f>
        <v>97343.84</v>
      </c>
      <c r="O35" s="13"/>
      <c r="P35" s="8"/>
    </row>
    <row r="36" spans="1:17" x14ac:dyDescent="0.2">
      <c r="A36" s="65"/>
      <c r="N36" s="23"/>
    </row>
    <row r="37" spans="1:17" x14ac:dyDescent="0.2">
      <c r="A37" s="65"/>
      <c r="B37" s="3"/>
      <c r="C37" s="3"/>
      <c r="D37" s="3"/>
      <c r="E37" s="3"/>
      <c r="F37" s="3"/>
      <c r="G37" s="3"/>
      <c r="H37" s="3"/>
      <c r="I37" s="3"/>
      <c r="J37" s="3"/>
      <c r="K37" s="3"/>
      <c r="L37" s="3"/>
      <c r="M37" s="3"/>
      <c r="N37" s="40" t="s">
        <v>27</v>
      </c>
      <c r="O37" s="33"/>
    </row>
    <row r="38" spans="1:17" ht="13.5" thickBot="1" x14ac:dyDescent="0.25">
      <c r="A38" s="60" t="s">
        <v>13</v>
      </c>
      <c r="B38" s="28">
        <f t="shared" ref="B38:M38" si="7">B6</f>
        <v>44501</v>
      </c>
      <c r="C38" s="28">
        <f t="shared" si="7"/>
        <v>44532</v>
      </c>
      <c r="D38" s="28">
        <f t="shared" si="7"/>
        <v>44563</v>
      </c>
      <c r="E38" s="28">
        <f t="shared" si="7"/>
        <v>44594</v>
      </c>
      <c r="F38" s="28">
        <f t="shared" si="7"/>
        <v>44625</v>
      </c>
      <c r="G38" s="28">
        <f t="shared" si="7"/>
        <v>44656</v>
      </c>
      <c r="H38" s="28">
        <f t="shared" si="7"/>
        <v>44687</v>
      </c>
      <c r="I38" s="28">
        <f t="shared" si="7"/>
        <v>44718</v>
      </c>
      <c r="J38" s="28">
        <f t="shared" si="7"/>
        <v>44749</v>
      </c>
      <c r="K38" s="28">
        <f t="shared" si="7"/>
        <v>44780</v>
      </c>
      <c r="L38" s="28">
        <f t="shared" si="7"/>
        <v>44811</v>
      </c>
      <c r="M38" s="28">
        <f t="shared" si="7"/>
        <v>44842</v>
      </c>
      <c r="N38" s="58" t="s">
        <v>1</v>
      </c>
      <c r="O38" s="38"/>
      <c r="P38" s="67"/>
    </row>
    <row r="39" spans="1:17" x14ac:dyDescent="0.2">
      <c r="A39" s="60"/>
      <c r="B39" s="4"/>
      <c r="C39" s="4"/>
      <c r="D39" s="4"/>
      <c r="E39" s="4"/>
      <c r="F39" s="4"/>
      <c r="G39" s="4"/>
      <c r="H39" s="4"/>
      <c r="I39" s="4"/>
      <c r="J39" s="4"/>
      <c r="K39" s="4"/>
      <c r="L39" s="4"/>
      <c r="M39" s="4"/>
      <c r="N39" s="40"/>
      <c r="O39" s="38"/>
      <c r="P39" s="67"/>
    </row>
    <row r="40" spans="1:17" x14ac:dyDescent="0.2">
      <c r="A40" s="3" t="s">
        <v>2</v>
      </c>
      <c r="N40" s="23"/>
    </row>
    <row r="41" spans="1:17" x14ac:dyDescent="0.2">
      <c r="A41" s="1" t="s">
        <v>51</v>
      </c>
      <c r="B41" s="148">
        <f>+'[1]Joe''s Comm Credit'!B39</f>
        <v>3.7622590546347481</v>
      </c>
      <c r="C41" s="148">
        <f>+'[1]Joe''s Comm Credit'!C39</f>
        <v>3.5030939679934354</v>
      </c>
      <c r="D41" s="148">
        <f>+'[1]Joe''s Comm Credit'!D39</f>
        <v>6.5682998770995473</v>
      </c>
      <c r="E41" s="148">
        <f>+'[1]Joe''s Comm Credit'!E39</f>
        <v>3.6311679735864648</v>
      </c>
      <c r="F41" s="148">
        <f>+'[1]Joe''s Comm Credit'!F39</f>
        <v>5.1519918367346946</v>
      </c>
      <c r="G41" s="148">
        <f>+'[1]Joe''s Comm Credit'!G39</f>
        <v>3.9784533113944889</v>
      </c>
      <c r="H41" s="148">
        <f>+'[1]Joe''s Comm Credit'!H39</f>
        <v>3.738426416632691</v>
      </c>
      <c r="I41" s="148">
        <f>+'[1]Joe''s Comm Credit'!I39</f>
        <v>3.8463853955375242</v>
      </c>
      <c r="J41" s="148">
        <f>+'[1]Joe''s Comm Credit'!J39</f>
        <v>4.1154560260586237</v>
      </c>
      <c r="K41" s="148">
        <f>+'[1]Joe''s Comm Credit'!K39</f>
        <v>4.7271886409736217</v>
      </c>
      <c r="L41" s="148">
        <f>+'[1]Joe''s Comm Credit'!L39</f>
        <v>4.3674532139951197</v>
      </c>
      <c r="M41" s="148">
        <f>+'[1]Joe''s Comm Credit'!M39</f>
        <v>3.8962561576354702</v>
      </c>
      <c r="N41" s="27">
        <f t="shared" ref="N41:N42" si="8">SUM(B41:M41)</f>
        <v>51.286431872276431</v>
      </c>
      <c r="P41" s="31"/>
    </row>
    <row r="42" spans="1:17" x14ac:dyDescent="0.2">
      <c r="A42" s="1" t="s">
        <v>11</v>
      </c>
      <c r="B42" s="148">
        <f>+'[1]Joe''s Comm Credit'!B40</f>
        <v>0.46</v>
      </c>
      <c r="C42" s="148">
        <f>+'[1]Joe''s Comm Credit'!C40</f>
        <v>0.46</v>
      </c>
      <c r="D42" s="148">
        <f>+'[1]Joe''s Comm Credit'!D40</f>
        <v>0.57999999999999996</v>
      </c>
      <c r="E42" s="148">
        <f>+'[1]Joe''s Comm Credit'!E40</f>
        <v>0.36</v>
      </c>
      <c r="F42" s="148">
        <f>+'[1]Joe''s Comm Credit'!F40</f>
        <v>0.47</v>
      </c>
      <c r="G42" s="148">
        <f>+'[1]Joe''s Comm Credit'!G40</f>
        <v>0.37</v>
      </c>
      <c r="H42" s="148">
        <f>+'[1]Joe''s Comm Credit'!H40</f>
        <v>0.47</v>
      </c>
      <c r="I42" s="148">
        <f>+'[1]Joe''s Comm Credit'!I40</f>
        <v>0.38</v>
      </c>
      <c r="J42" s="148">
        <f>+'[1]Joe''s Comm Credit'!J40</f>
        <v>0.38</v>
      </c>
      <c r="K42" s="148">
        <f>+'[1]Joe''s Comm Credit'!K40</f>
        <v>0.5</v>
      </c>
      <c r="L42" s="148">
        <f>+'[1]Joe''s Comm Credit'!L40</f>
        <v>0.43</v>
      </c>
      <c r="M42" s="148">
        <f>+'[1]Joe''s Comm Credit'!M40</f>
        <v>0.32</v>
      </c>
      <c r="N42" s="27">
        <f t="shared" si="8"/>
        <v>5.18</v>
      </c>
      <c r="O42" s="69"/>
      <c r="P42" s="31"/>
    </row>
    <row r="43" spans="1:17" x14ac:dyDescent="0.2">
      <c r="A43" s="3" t="s">
        <v>12</v>
      </c>
      <c r="B43" s="29">
        <f t="shared" ref="B43:M43" si="9">SUM(B41:B42)</f>
        <v>4.2222590546347485</v>
      </c>
      <c r="C43" s="29">
        <f t="shared" si="9"/>
        <v>3.9630939679934354</v>
      </c>
      <c r="D43" s="29">
        <f t="shared" si="9"/>
        <v>7.1482998770995474</v>
      </c>
      <c r="E43" s="29">
        <f t="shared" si="9"/>
        <v>3.9911679735864647</v>
      </c>
      <c r="F43" s="29">
        <f t="shared" si="9"/>
        <v>5.6219918367346944</v>
      </c>
      <c r="G43" s="29">
        <f t="shared" si="9"/>
        <v>4.348453311394489</v>
      </c>
      <c r="H43" s="29">
        <f t="shared" si="9"/>
        <v>4.2084264166326912</v>
      </c>
      <c r="I43" s="29">
        <f t="shared" si="9"/>
        <v>4.2263853955375241</v>
      </c>
      <c r="J43" s="29">
        <f t="shared" si="9"/>
        <v>4.4954560260586236</v>
      </c>
      <c r="K43" s="29">
        <f t="shared" si="9"/>
        <v>5.2271886409736217</v>
      </c>
      <c r="L43" s="29">
        <f>SUM(L41:L42)</f>
        <v>4.7974532139951194</v>
      </c>
      <c r="M43" s="29">
        <f t="shared" si="9"/>
        <v>4.2162561576354705</v>
      </c>
      <c r="N43" s="30">
        <f>SUM(N41:N42)</f>
        <v>56.466431872276431</v>
      </c>
      <c r="P43" s="31">
        <f>+'[1]Joe''s Comm Credit'!$N$41-N43</f>
        <v>0</v>
      </c>
    </row>
    <row r="44" spans="1:17" x14ac:dyDescent="0.2">
      <c r="B44" s="2"/>
      <c r="C44" s="2"/>
      <c r="D44" s="2"/>
      <c r="E44" s="2"/>
      <c r="F44" s="2"/>
      <c r="G44" s="2"/>
      <c r="H44" s="2"/>
      <c r="I44" s="2"/>
      <c r="J44" s="2"/>
      <c r="K44" s="2"/>
      <c r="L44" s="2"/>
      <c r="M44" s="2"/>
      <c r="N44" s="31"/>
    </row>
    <row r="45" spans="1:17" x14ac:dyDescent="0.2">
      <c r="A45" s="3" t="s">
        <v>52</v>
      </c>
    </row>
    <row r="46" spans="1:17" x14ac:dyDescent="0.2">
      <c r="A46" s="23" t="s">
        <v>51</v>
      </c>
      <c r="B46" s="129">
        <f t="shared" ref="B46:M47" si="10">+B14</f>
        <v>-117.39685000000004</v>
      </c>
      <c r="C46" s="129">
        <f t="shared" si="10"/>
        <v>-131.00376</v>
      </c>
      <c r="D46" s="129">
        <f t="shared" si="10"/>
        <v>-130.912564</v>
      </c>
      <c r="E46" s="129">
        <f t="shared" si="10"/>
        <v>-114.59896399999998</v>
      </c>
      <c r="F46" s="129">
        <f t="shared" si="10"/>
        <v>-115.28181599999996</v>
      </c>
      <c r="G46" s="129">
        <f t="shared" si="10"/>
        <v>-111.80251600000003</v>
      </c>
      <c r="H46" s="129">
        <f t="shared" si="10"/>
        <v>-106.30761599999997</v>
      </c>
      <c r="I46" s="129">
        <f t="shared" si="10"/>
        <v>-109.36141599999999</v>
      </c>
      <c r="J46" s="129">
        <f t="shared" si="10"/>
        <v>-122.21801600000001</v>
      </c>
      <c r="K46" s="129">
        <f t="shared" si="10"/>
        <v>-124.96461600000004</v>
      </c>
      <c r="L46" s="129">
        <f t="shared" si="10"/>
        <v>-116.22791600000001</v>
      </c>
      <c r="M46" s="129">
        <f t="shared" si="10"/>
        <v>-105.89291600000003</v>
      </c>
    </row>
    <row r="47" spans="1:17" x14ac:dyDescent="0.2">
      <c r="A47" s="1" t="s">
        <v>11</v>
      </c>
      <c r="B47" s="129">
        <f t="shared" si="10"/>
        <v>-33</v>
      </c>
      <c r="C47" s="129">
        <f t="shared" si="10"/>
        <v>-33</v>
      </c>
      <c r="D47" s="129">
        <f t="shared" si="10"/>
        <v>-33</v>
      </c>
      <c r="E47" s="129">
        <f t="shared" si="10"/>
        <v>-33</v>
      </c>
      <c r="F47" s="129">
        <f t="shared" si="10"/>
        <v>-33</v>
      </c>
      <c r="G47" s="129">
        <f t="shared" si="10"/>
        <v>-33</v>
      </c>
      <c r="H47" s="129">
        <f t="shared" si="10"/>
        <v>-33</v>
      </c>
      <c r="I47" s="129">
        <f t="shared" si="10"/>
        <v>-33</v>
      </c>
      <c r="J47" s="129">
        <f t="shared" si="10"/>
        <v>-33</v>
      </c>
      <c r="K47" s="129">
        <f t="shared" si="10"/>
        <v>-33</v>
      </c>
      <c r="L47" s="129">
        <f t="shared" si="10"/>
        <v>-33</v>
      </c>
      <c r="M47" s="129">
        <f t="shared" si="10"/>
        <v>-33</v>
      </c>
      <c r="Q47" s="1" t="s">
        <v>45</v>
      </c>
    </row>
    <row r="48" spans="1:17" x14ac:dyDescent="0.2">
      <c r="B48" s="2"/>
      <c r="C48" s="2"/>
      <c r="D48" s="2"/>
      <c r="E48" s="2"/>
      <c r="F48" s="2"/>
      <c r="G48" s="2"/>
      <c r="H48" s="2"/>
      <c r="I48" s="2"/>
      <c r="J48" s="2"/>
      <c r="K48" s="2"/>
      <c r="L48" s="2"/>
      <c r="M48" s="2"/>
    </row>
    <row r="49" spans="1:17" x14ac:dyDescent="0.2">
      <c r="A49" s="3" t="s">
        <v>53</v>
      </c>
      <c r="B49" s="2"/>
      <c r="C49" s="2"/>
      <c r="D49" s="2"/>
      <c r="E49" s="2"/>
      <c r="F49" s="2"/>
      <c r="G49" s="2"/>
      <c r="H49" s="2"/>
      <c r="I49" s="2"/>
      <c r="J49" s="2"/>
      <c r="K49" s="2"/>
      <c r="L49" s="2"/>
      <c r="M49" s="2"/>
    </row>
    <row r="50" spans="1:17" x14ac:dyDescent="0.2">
      <c r="A50" s="68" t="s">
        <v>51</v>
      </c>
      <c r="B50" s="10">
        <f t="shared" ref="B50:M50" si="11">+B41*B46</f>
        <v>-441.6773618980975</v>
      </c>
      <c r="C50" s="10">
        <f t="shared" si="11"/>
        <v>-458.91848144045969</v>
      </c>
      <c r="D50" s="10">
        <f t="shared" si="11"/>
        <v>-859.87297803198669</v>
      </c>
      <c r="E50" s="10">
        <f t="shared" si="11"/>
        <v>-416.12808788298815</v>
      </c>
      <c r="F50" s="10">
        <f t="shared" si="11"/>
        <v>-593.93097495595089</v>
      </c>
      <c r="G50" s="10">
        <f t="shared" si="11"/>
        <v>-444.80109000243544</v>
      </c>
      <c r="H50" s="10">
        <f t="shared" si="11"/>
        <v>-397.42319994364402</v>
      </c>
      <c r="I50" s="10">
        <f t="shared" si="11"/>
        <v>-420.64615333770371</v>
      </c>
      <c r="J50" s="10">
        <f t="shared" si="11"/>
        <v>-502.98287044012932</v>
      </c>
      <c r="K50" s="10">
        <f t="shared" si="11"/>
        <v>-590.73131327883061</v>
      </c>
      <c r="L50" s="10">
        <f t="shared" si="11"/>
        <v>-507.61998529015483</v>
      </c>
      <c r="M50" s="10">
        <f t="shared" si="11"/>
        <v>-412.58592601497571</v>
      </c>
      <c r="N50" s="11">
        <f>SUM(B50:M50)</f>
        <v>-6047.3184225173563</v>
      </c>
      <c r="Q50" s="1" t="s">
        <v>48</v>
      </c>
    </row>
    <row r="51" spans="1:17" x14ac:dyDescent="0.2">
      <c r="A51" s="1" t="s">
        <v>11</v>
      </c>
      <c r="B51" s="10">
        <f t="shared" ref="B51:M51" si="12">+B47*B42</f>
        <v>-15.180000000000001</v>
      </c>
      <c r="C51" s="10">
        <f t="shared" si="12"/>
        <v>-15.180000000000001</v>
      </c>
      <c r="D51" s="10">
        <f t="shared" si="12"/>
        <v>-19.139999999999997</v>
      </c>
      <c r="E51" s="10">
        <f t="shared" si="12"/>
        <v>-11.879999999999999</v>
      </c>
      <c r="F51" s="10">
        <f t="shared" si="12"/>
        <v>-15.51</v>
      </c>
      <c r="G51" s="10">
        <f t="shared" si="12"/>
        <v>-12.209999999999999</v>
      </c>
      <c r="H51" s="10">
        <f t="shared" si="12"/>
        <v>-15.51</v>
      </c>
      <c r="I51" s="10">
        <f t="shared" si="12"/>
        <v>-12.540000000000001</v>
      </c>
      <c r="J51" s="10">
        <f t="shared" si="12"/>
        <v>-12.540000000000001</v>
      </c>
      <c r="K51" s="10">
        <f t="shared" si="12"/>
        <v>-16.5</v>
      </c>
      <c r="L51" s="10">
        <f t="shared" si="12"/>
        <v>-14.19</v>
      </c>
      <c r="M51" s="10">
        <f t="shared" si="12"/>
        <v>-10.56</v>
      </c>
      <c r="N51" s="11">
        <f>SUM(B51:M51)</f>
        <v>-170.94</v>
      </c>
      <c r="Q51" s="1" t="s">
        <v>48</v>
      </c>
    </row>
    <row r="52" spans="1:17" x14ac:dyDescent="0.2">
      <c r="A52" s="134" t="s">
        <v>58</v>
      </c>
      <c r="B52" s="135">
        <f t="shared" ref="B52:I52" si="13">+B50+B51</f>
        <v>-456.85736189809751</v>
      </c>
      <c r="C52" s="135">
        <f t="shared" si="13"/>
        <v>-474.09848144045969</v>
      </c>
      <c r="D52" s="135">
        <f t="shared" si="13"/>
        <v>-879.01297803198668</v>
      </c>
      <c r="E52" s="135">
        <f t="shared" si="13"/>
        <v>-428.00808788298815</v>
      </c>
      <c r="F52" s="135">
        <f t="shared" si="13"/>
        <v>-609.44097495595088</v>
      </c>
      <c r="G52" s="135">
        <f t="shared" si="13"/>
        <v>-457.01109000243542</v>
      </c>
      <c r="H52" s="135">
        <f t="shared" si="13"/>
        <v>-412.93319994364401</v>
      </c>
      <c r="I52" s="135">
        <f t="shared" si="13"/>
        <v>-433.18615333770373</v>
      </c>
      <c r="J52" s="135">
        <f>+J50+J51</f>
        <v>-515.52287044012928</v>
      </c>
      <c r="K52" s="135">
        <f>+K50+K51</f>
        <v>-607.23131327883061</v>
      </c>
      <c r="L52" s="135">
        <f>+L50+L51</f>
        <v>-521.80998529015483</v>
      </c>
      <c r="M52" s="135">
        <f>+M50+M51</f>
        <v>-423.14592601497571</v>
      </c>
      <c r="N52" s="135">
        <f>SUM(N50:N51)</f>
        <v>-6218.2584225173559</v>
      </c>
      <c r="P52" s="2">
        <f>+'[1]Joe''s Comm Credit'!$N$51-N52</f>
        <v>-4.0300746486536809E-3</v>
      </c>
    </row>
    <row r="53" spans="1:17" x14ac:dyDescent="0.2">
      <c r="B53" s="5"/>
      <c r="C53" s="5"/>
      <c r="D53" s="5"/>
      <c r="E53" s="5"/>
      <c r="F53" s="5"/>
      <c r="G53" s="5"/>
      <c r="H53" s="5"/>
      <c r="I53" s="5"/>
      <c r="J53" s="5"/>
      <c r="K53" s="5"/>
      <c r="L53" s="5"/>
      <c r="M53" s="5"/>
      <c r="N53" s="8"/>
    </row>
    <row r="54" spans="1:17" x14ac:dyDescent="0.2">
      <c r="A54" s="3" t="s">
        <v>6</v>
      </c>
      <c r="B54" s="5">
        <f>+'[1]Joe''s Comm Credit'!B$53</f>
        <v>284</v>
      </c>
      <c r="C54" s="5">
        <f>+'[1]Joe''s Comm Credit'!C$53</f>
        <v>284</v>
      </c>
      <c r="D54" s="5">
        <f>+'[1]Joe''s Comm Credit'!D$53</f>
        <v>284</v>
      </c>
      <c r="E54" s="5">
        <f>+'[1]Joe''s Comm Credit'!E$53</f>
        <v>284</v>
      </c>
      <c r="F54" s="5">
        <f>+'[1]Joe''s Comm Credit'!F$53</f>
        <v>284</v>
      </c>
      <c r="G54" s="5">
        <f>+'[1]Joe''s Comm Credit'!G$53</f>
        <v>284</v>
      </c>
      <c r="H54" s="5">
        <f>+'[1]Joe''s Comm Credit'!H$53</f>
        <v>284</v>
      </c>
      <c r="I54" s="5">
        <f>+'[1]Joe''s Comm Credit'!I$53</f>
        <v>284</v>
      </c>
      <c r="J54" s="5">
        <f>+'[1]Joe''s Comm Credit'!J$53</f>
        <v>284</v>
      </c>
      <c r="K54" s="5">
        <f>+'[1]Joe''s Comm Credit'!K$53</f>
        <v>284</v>
      </c>
      <c r="L54" s="5">
        <f>+'[1]Joe''s Comm Credit'!L$53</f>
        <v>284</v>
      </c>
      <c r="M54" s="5">
        <f>+'[1]Joe''s Comm Credit'!M$53</f>
        <v>284</v>
      </c>
      <c r="N54" s="7">
        <f>SUM(B54:M54)</f>
        <v>3408</v>
      </c>
      <c r="P54" s="2">
        <f>+'[1]Joe''s Comm Credit'!$N$53-N54</f>
        <v>0</v>
      </c>
    </row>
    <row r="55" spans="1:17" x14ac:dyDescent="0.2">
      <c r="A55" s="5"/>
      <c r="N55" s="8"/>
    </row>
    <row r="56" spans="1:17" x14ac:dyDescent="0.2">
      <c r="A56" s="1" t="s">
        <v>59</v>
      </c>
      <c r="B56" s="16">
        <f t="shared" ref="B56:M56" si="14">IFERROR(B52/B54,0)</f>
        <v>-1.60865268273978</v>
      </c>
      <c r="C56" s="16">
        <f t="shared" si="14"/>
        <v>-1.6693608501424637</v>
      </c>
      <c r="D56" s="16">
        <f t="shared" si="14"/>
        <v>-3.0951161198309389</v>
      </c>
      <c r="E56" s="16">
        <f t="shared" si="14"/>
        <v>-1.5070707319823526</v>
      </c>
      <c r="F56" s="16">
        <f t="shared" si="14"/>
        <v>-2.1459189259012357</v>
      </c>
      <c r="G56" s="16">
        <f t="shared" si="14"/>
        <v>-1.6091939788818148</v>
      </c>
      <c r="H56" s="16">
        <f t="shared" si="14"/>
        <v>-1.4539901406466338</v>
      </c>
      <c r="I56" s="16">
        <f t="shared" si="14"/>
        <v>-1.5253033568229004</v>
      </c>
      <c r="J56" s="16">
        <f t="shared" si="14"/>
        <v>-1.8152213747891877</v>
      </c>
      <c r="K56" s="16">
        <f t="shared" si="14"/>
        <v>-2.1381384270381361</v>
      </c>
      <c r="L56" s="16">
        <f t="shared" si="14"/>
        <v>-1.8373591031343479</v>
      </c>
      <c r="M56" s="16">
        <f t="shared" si="14"/>
        <v>-1.4899504437147033</v>
      </c>
      <c r="N56" s="17"/>
    </row>
    <row r="57" spans="1:17" x14ac:dyDescent="0.2">
      <c r="A57" s="1" t="s">
        <v>55</v>
      </c>
      <c r="B57" s="151">
        <f>+'Joe''s CPA Eff. 1.1.2023'!$M$57</f>
        <v>-0.57999999999999996</v>
      </c>
      <c r="C57" s="151">
        <f>+'Joe''s CPA Eff. 1.1.2023'!$M$57</f>
        <v>-0.57999999999999996</v>
      </c>
      <c r="D57" s="151">
        <f>-'Joe''s CPA Eff. 1.1.2023'!$N$62</f>
        <v>-0.88</v>
      </c>
      <c r="E57" s="151">
        <f>-'Joe''s CPA Eff. 1.1.2023'!$N$62</f>
        <v>-0.88</v>
      </c>
      <c r="F57" s="151">
        <f>-'Joe''s CPA Eff. 1.1.2023'!$N$62</f>
        <v>-0.88</v>
      </c>
      <c r="G57" s="151">
        <f>-'Joe''s CPA Eff. 1.1.2023'!$N$62</f>
        <v>-0.88</v>
      </c>
      <c r="H57" s="151">
        <f>-'Joe''s CPA Eff. 1.1.2023'!$N$62</f>
        <v>-0.88</v>
      </c>
      <c r="I57" s="151">
        <f>-'Joe''s CPA Eff. 1.1.2023'!$N$62</f>
        <v>-0.88</v>
      </c>
      <c r="J57" s="151">
        <f>-'Joe''s CPA Eff. 1.1.2023'!$N$62</f>
        <v>-0.88</v>
      </c>
      <c r="K57" s="151">
        <f>-'Joe''s CPA Eff. 1.1.2023'!$N$62</f>
        <v>-0.88</v>
      </c>
      <c r="L57" s="151">
        <f>-'Joe''s CPA Eff. 1.1.2023'!$N$62</f>
        <v>-0.88</v>
      </c>
      <c r="M57" s="151">
        <f>-'Joe''s CPA Eff. 1.1.2023'!$N$62</f>
        <v>-0.88</v>
      </c>
      <c r="N57" s="17"/>
    </row>
    <row r="58" spans="1:17" x14ac:dyDescent="0.2">
      <c r="A58" s="1" t="s">
        <v>56</v>
      </c>
      <c r="B58" s="10">
        <f>+B57*B54</f>
        <v>-164.72</v>
      </c>
      <c r="C58" s="10">
        <f t="shared" ref="C58:M58" si="15">+C57*C54</f>
        <v>-164.72</v>
      </c>
      <c r="D58" s="10">
        <f t="shared" si="15"/>
        <v>-249.92</v>
      </c>
      <c r="E58" s="10">
        <f t="shared" si="15"/>
        <v>-249.92</v>
      </c>
      <c r="F58" s="10">
        <f t="shared" si="15"/>
        <v>-249.92</v>
      </c>
      <c r="G58" s="10">
        <f t="shared" si="15"/>
        <v>-249.92</v>
      </c>
      <c r="H58" s="10">
        <f t="shared" si="15"/>
        <v>-249.92</v>
      </c>
      <c r="I58" s="10">
        <f t="shared" si="15"/>
        <v>-249.92</v>
      </c>
      <c r="J58" s="10">
        <f t="shared" si="15"/>
        <v>-249.92</v>
      </c>
      <c r="K58" s="10">
        <f t="shared" si="15"/>
        <v>-249.92</v>
      </c>
      <c r="L58" s="10">
        <f t="shared" si="15"/>
        <v>-249.92</v>
      </c>
      <c r="M58" s="10">
        <f t="shared" si="15"/>
        <v>-249.92</v>
      </c>
      <c r="N58" s="17"/>
    </row>
    <row r="59" spans="1:17" ht="13.5" thickBot="1" x14ac:dyDescent="0.25">
      <c r="A59" s="133" t="s">
        <v>57</v>
      </c>
      <c r="B59" s="136">
        <f>+B58-B52</f>
        <v>292.13736189809754</v>
      </c>
      <c r="C59" s="136">
        <f t="shared" ref="C59:M59" si="16">+C58-C52</f>
        <v>309.37848144045972</v>
      </c>
      <c r="D59" s="136">
        <f t="shared" si="16"/>
        <v>629.09297803198672</v>
      </c>
      <c r="E59" s="136">
        <f t="shared" si="16"/>
        <v>178.08808788298816</v>
      </c>
      <c r="F59" s="136">
        <f t="shared" si="16"/>
        <v>359.52097495595092</v>
      </c>
      <c r="G59" s="136">
        <f t="shared" si="16"/>
        <v>207.09109000243544</v>
      </c>
      <c r="H59" s="136">
        <f t="shared" si="16"/>
        <v>163.01319994364403</v>
      </c>
      <c r="I59" s="136">
        <f t="shared" si="16"/>
        <v>183.26615333770374</v>
      </c>
      <c r="J59" s="136">
        <f t="shared" si="16"/>
        <v>265.60287044012932</v>
      </c>
      <c r="K59" s="136">
        <f t="shared" si="16"/>
        <v>357.31131327883065</v>
      </c>
      <c r="L59" s="136">
        <f t="shared" si="16"/>
        <v>271.88998529015487</v>
      </c>
      <c r="M59" s="136">
        <f t="shared" si="16"/>
        <v>173.22592601497573</v>
      </c>
      <c r="N59" s="136">
        <f>SUM(B59:M59)</f>
        <v>3389.618422517357</v>
      </c>
      <c r="P59" s="131">
        <f>+'[4]Joe''s Comm Credit'!$N$57-N59</f>
        <v>632.1720356514129</v>
      </c>
      <c r="Q59" s="130" t="s">
        <v>44</v>
      </c>
    </row>
    <row r="61" spans="1:17" ht="15" x14ac:dyDescent="0.25">
      <c r="A61" s="55"/>
      <c r="B61" s="45"/>
      <c r="C61" s="45"/>
      <c r="D61" s="45"/>
      <c r="E61" s="45"/>
      <c r="F61" s="45"/>
      <c r="G61" s="45"/>
      <c r="H61" s="45"/>
      <c r="I61" s="45"/>
      <c r="J61" s="45"/>
      <c r="K61" s="45"/>
      <c r="L61" s="45"/>
      <c r="M61" s="72" t="s">
        <v>19</v>
      </c>
      <c r="N61" s="17">
        <f>ROUND(N59/N54,2)</f>
        <v>0.99</v>
      </c>
    </row>
    <row r="62" spans="1:17" x14ac:dyDescent="0.2">
      <c r="B62" s="49"/>
      <c r="C62" s="49"/>
      <c r="D62" s="49"/>
      <c r="E62" s="49"/>
      <c r="F62" s="49"/>
      <c r="G62" s="49"/>
      <c r="H62" s="49"/>
      <c r="I62" s="49"/>
      <c r="J62" s="49"/>
      <c r="K62" s="49"/>
      <c r="L62" s="22"/>
      <c r="M62" s="72" t="s">
        <v>60</v>
      </c>
      <c r="N62" s="120">
        <f>-ROUND(N52/N54,2)</f>
        <v>1.82</v>
      </c>
    </row>
    <row r="63" spans="1:17" ht="15" x14ac:dyDescent="0.25">
      <c r="A63" s="55"/>
      <c r="B63" s="57"/>
      <c r="C63" s="57"/>
      <c r="D63" s="57"/>
      <c r="E63" s="57"/>
      <c r="F63" s="57"/>
      <c r="G63" s="57"/>
      <c r="H63" s="57"/>
      <c r="I63" s="57"/>
      <c r="J63" s="57"/>
      <c r="K63" s="57"/>
      <c r="L63" s="57"/>
      <c r="M63" s="73" t="s">
        <v>41</v>
      </c>
      <c r="N63" s="44">
        <f>SUM(N61:N62)</f>
        <v>2.81</v>
      </c>
    </row>
    <row r="64" spans="1:17" ht="15" x14ac:dyDescent="0.25">
      <c r="B64" s="125"/>
      <c r="C64" s="22"/>
      <c r="D64" s="22"/>
      <c r="E64" s="22"/>
      <c r="F64" s="22"/>
      <c r="G64" s="22"/>
      <c r="H64" s="22"/>
      <c r="I64" s="22"/>
      <c r="J64" s="22"/>
      <c r="K64" s="22"/>
      <c r="L64" s="22"/>
      <c r="M64" s="22"/>
      <c r="N64" s="44"/>
    </row>
    <row r="65" spans="1:60" ht="15" x14ac:dyDescent="0.25">
      <c r="A65" s="55"/>
      <c r="B65" s="70"/>
      <c r="C65" s="70"/>
      <c r="D65" s="70"/>
      <c r="E65" s="70"/>
      <c r="F65" s="70"/>
      <c r="G65" s="70"/>
      <c r="H65" s="70"/>
      <c r="I65" s="70"/>
      <c r="J65" s="70"/>
      <c r="K65" s="70"/>
      <c r="L65" s="70"/>
      <c r="M65" s="72" t="s">
        <v>42</v>
      </c>
      <c r="N65" s="154">
        <f>+'Joe''s CPA Eff. 1.1.2023'!N63</f>
        <v>0.99</v>
      </c>
    </row>
    <row r="66" spans="1:60" x14ac:dyDescent="0.2">
      <c r="B66" s="25"/>
      <c r="C66" s="25"/>
      <c r="D66" s="25"/>
      <c r="E66" s="25"/>
      <c r="F66" s="25"/>
      <c r="G66" s="25"/>
      <c r="H66" s="25"/>
      <c r="I66" s="25"/>
      <c r="J66" s="25"/>
      <c r="K66" s="25"/>
      <c r="L66" s="25"/>
      <c r="M66" s="72" t="s">
        <v>9</v>
      </c>
      <c r="N66" s="17">
        <f>+N63-N65</f>
        <v>1.82</v>
      </c>
      <c r="O66" s="71">
        <f>N66/N65</f>
        <v>1.8383838383838385</v>
      </c>
    </row>
    <row r="67" spans="1:60" x14ac:dyDescent="0.2">
      <c r="B67" s="25"/>
      <c r="C67" s="25"/>
      <c r="D67" s="25"/>
      <c r="E67" s="25"/>
      <c r="F67" s="25"/>
      <c r="G67" s="25"/>
      <c r="H67" s="25"/>
      <c r="I67" s="25"/>
      <c r="J67" s="25"/>
      <c r="K67" s="25"/>
      <c r="L67" s="25"/>
      <c r="M67" s="72" t="s">
        <v>34</v>
      </c>
      <c r="N67" s="11">
        <f>N66*N54</f>
        <v>6202.56</v>
      </c>
    </row>
    <row r="69" spans="1:60" x14ac:dyDescent="0.2">
      <c r="B69" s="12"/>
      <c r="C69" s="12"/>
      <c r="D69" s="12"/>
      <c r="E69" s="12"/>
      <c r="F69" s="12"/>
      <c r="G69" s="12"/>
      <c r="H69" s="12"/>
      <c r="I69" s="12"/>
      <c r="J69" s="12"/>
      <c r="K69" s="12"/>
      <c r="L69" s="12"/>
      <c r="M69" s="12"/>
    </row>
    <row r="70" spans="1:60" x14ac:dyDescent="0.2">
      <c r="B70" s="12"/>
      <c r="C70" s="12"/>
      <c r="D70" s="12"/>
      <c r="E70" s="12"/>
      <c r="F70" s="12"/>
      <c r="G70" s="12"/>
      <c r="H70" s="12"/>
      <c r="I70" s="12"/>
      <c r="J70" s="12"/>
      <c r="K70" s="12"/>
      <c r="L70" s="12"/>
      <c r="M70" s="12"/>
    </row>
    <row r="71" spans="1:60" x14ac:dyDescent="0.2">
      <c r="B71" s="12"/>
      <c r="C71" s="12"/>
      <c r="D71" s="12"/>
      <c r="E71" s="12"/>
      <c r="F71" s="12"/>
      <c r="G71" s="12"/>
      <c r="H71" s="12"/>
      <c r="I71" s="12"/>
      <c r="J71" s="12"/>
      <c r="K71" s="12"/>
      <c r="L71" s="12"/>
      <c r="M71" s="12"/>
    </row>
    <row r="73" spans="1:60" x14ac:dyDescent="0.2">
      <c r="B73" s="12"/>
      <c r="C73" s="12"/>
      <c r="D73" s="12"/>
      <c r="E73" s="12"/>
      <c r="F73" s="12"/>
      <c r="G73" s="12"/>
      <c r="H73" s="12"/>
      <c r="I73" s="12"/>
      <c r="J73" s="12"/>
      <c r="K73" s="12"/>
      <c r="L73" s="12"/>
      <c r="M73" s="12"/>
    </row>
    <row r="74" spans="1:60" s="2" customFormat="1" x14ac:dyDescent="0.2">
      <c r="A74" s="1"/>
      <c r="B74" s="12"/>
      <c r="C74" s="12"/>
      <c r="D74" s="12"/>
      <c r="E74" s="12"/>
      <c r="F74" s="12"/>
      <c r="G74" s="12"/>
      <c r="H74" s="12"/>
      <c r="I74" s="12"/>
      <c r="J74" s="12"/>
      <c r="K74" s="12"/>
      <c r="L74" s="12"/>
      <c r="M74" s="12"/>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s="2" customFormat="1" x14ac:dyDescent="0.2">
      <c r="A75" s="1"/>
      <c r="B75" s="12"/>
      <c r="C75" s="12"/>
      <c r="D75" s="12"/>
      <c r="E75" s="12"/>
      <c r="F75" s="12"/>
      <c r="G75" s="12"/>
      <c r="H75" s="12"/>
      <c r="I75" s="12"/>
      <c r="J75" s="12"/>
      <c r="K75" s="12"/>
      <c r="L75" s="12"/>
      <c r="M75" s="12"/>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s="2"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s="2"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s="2"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s="2"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s="2"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s="2"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s="2"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s="2"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s="2"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s="2"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s="2" customForma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s="2" customForma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s="2"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s="2" customForma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s="2" customForma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s="2" customForma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s="2" customForma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s="2" customForma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s="2" customForma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s="2" customForma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s="2" customForma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s="2" customForma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s="2" customForma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s="2" customForma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s="2" customForma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s="2" customForma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s="2" customForma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s="2" customForma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spans="1:60" s="2" customForma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spans="1:60" s="2" customForma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sheetData>
  <pageMargins left="0.7" right="0.7" top="0.75" bottom="0.75" header="0.3" footer="0.3"/>
  <pageSetup scale="60" fitToHeight="0" orientation="landscape" r:id="rId1"/>
  <headerFooter alignWithMargins="0"/>
  <rowBreaks count="1" manualBreakCount="1">
    <brk id="36" max="16383" man="1"/>
  </rowBreaks>
  <colBreaks count="1" manualBreakCount="1">
    <brk id="13" max="6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I36"/>
  <sheetViews>
    <sheetView showGridLines="0" zoomScaleNormal="100" zoomScaleSheetLayoutView="100" workbookViewId="0">
      <pane xSplit="1" ySplit="6" topLeftCell="B7" activePane="bottomRight" state="frozen"/>
      <selection activeCell="B40" sqref="B40"/>
      <selection pane="topRight" activeCell="B40" sqref="B40"/>
      <selection pane="bottomLeft" activeCell="B40" sqref="B40"/>
      <selection pane="bottomRight" activeCell="N27" sqref="N27"/>
    </sheetView>
  </sheetViews>
  <sheetFormatPr defaultRowHeight="12.75" x14ac:dyDescent="0.2"/>
  <cols>
    <col min="1" max="1" width="37.85546875" style="1" customWidth="1"/>
    <col min="2" max="12" width="11.85546875" style="1" bestFit="1" customWidth="1"/>
    <col min="13" max="13" width="12.85546875" style="1" customWidth="1"/>
    <col min="14" max="14" width="12.85546875" style="1" bestFit="1" customWidth="1"/>
    <col min="15" max="15" width="2.140625" style="2" customWidth="1"/>
    <col min="16" max="16" width="9.140625" style="1"/>
    <col min="17" max="17" width="12" style="1" customWidth="1"/>
    <col min="18" max="18" width="9.140625" style="1"/>
    <col min="19" max="19" width="11.85546875" style="1" bestFit="1" customWidth="1"/>
    <col min="20" max="20" width="10.28515625" style="1" bestFit="1" customWidth="1"/>
    <col min="21" max="16384" width="9.140625" style="1"/>
  </cols>
  <sheetData>
    <row r="1" spans="1:35" x14ac:dyDescent="0.2">
      <c r="A1" s="3" t="s">
        <v>15</v>
      </c>
    </row>
    <row r="2" spans="1:35" x14ac:dyDescent="0.2">
      <c r="A2" s="39" t="s">
        <v>0</v>
      </c>
      <c r="K2" s="143"/>
    </row>
    <row r="3" spans="1:35" x14ac:dyDescent="0.2">
      <c r="A3" s="3" t="s">
        <v>16</v>
      </c>
      <c r="K3" s="143"/>
    </row>
    <row r="4" spans="1:35" x14ac:dyDescent="0.2">
      <c r="A4" s="3" t="s">
        <v>50</v>
      </c>
      <c r="N4" s="6"/>
    </row>
    <row r="5" spans="1:35" x14ac:dyDescent="0.2">
      <c r="B5" s="3"/>
      <c r="C5" s="3"/>
      <c r="D5" s="3"/>
      <c r="E5" s="3"/>
      <c r="F5" s="3"/>
      <c r="G5" s="3"/>
      <c r="H5" s="3"/>
      <c r="I5" s="3"/>
      <c r="J5" s="3"/>
      <c r="K5" s="3"/>
      <c r="L5" s="3"/>
      <c r="M5" s="3"/>
      <c r="N5" s="40" t="s">
        <v>27</v>
      </c>
      <c r="P5" s="41"/>
      <c r="Q5" s="41"/>
      <c r="R5" s="41"/>
      <c r="S5" s="41"/>
      <c r="T5" s="41"/>
      <c r="U5" s="41"/>
      <c r="V5" s="41"/>
      <c r="W5" s="41"/>
      <c r="X5" s="41"/>
      <c r="Y5" s="41"/>
      <c r="Z5" s="41"/>
      <c r="AA5" s="41"/>
      <c r="AB5" s="41"/>
      <c r="AC5" s="41"/>
    </row>
    <row r="6" spans="1:35" ht="13.5" thickBot="1" x14ac:dyDescent="0.25">
      <c r="A6" s="6"/>
      <c r="B6" s="28">
        <v>44501</v>
      </c>
      <c r="C6" s="28">
        <f>+B6+31</f>
        <v>44532</v>
      </c>
      <c r="D6" s="28">
        <f t="shared" ref="D6:M6" si="0">+C6+31</f>
        <v>44563</v>
      </c>
      <c r="E6" s="28">
        <f t="shared" si="0"/>
        <v>44594</v>
      </c>
      <c r="F6" s="28">
        <f t="shared" si="0"/>
        <v>44625</v>
      </c>
      <c r="G6" s="28">
        <f t="shared" si="0"/>
        <v>44656</v>
      </c>
      <c r="H6" s="28">
        <f t="shared" si="0"/>
        <v>44687</v>
      </c>
      <c r="I6" s="28">
        <f t="shared" si="0"/>
        <v>44718</v>
      </c>
      <c r="J6" s="28">
        <f t="shared" si="0"/>
        <v>44749</v>
      </c>
      <c r="K6" s="28">
        <f t="shared" si="0"/>
        <v>44780</v>
      </c>
      <c r="L6" s="28">
        <f t="shared" si="0"/>
        <v>44811</v>
      </c>
      <c r="M6" s="28">
        <f t="shared" si="0"/>
        <v>44842</v>
      </c>
      <c r="N6" s="40" t="s">
        <v>1</v>
      </c>
      <c r="P6" s="41"/>
      <c r="Q6" s="41"/>
      <c r="R6" s="41"/>
      <c r="S6" s="41"/>
      <c r="T6" s="41"/>
      <c r="U6" s="41"/>
      <c r="V6" s="41"/>
      <c r="W6" s="41"/>
      <c r="X6" s="41"/>
      <c r="Y6" s="41"/>
      <c r="Z6" s="41"/>
      <c r="AA6" s="41"/>
      <c r="AB6" s="41"/>
      <c r="AC6" s="41"/>
    </row>
    <row r="7" spans="1:35" ht="12.75" customHeight="1" x14ac:dyDescent="0.2">
      <c r="A7" s="42"/>
      <c r="B7" s="2"/>
      <c r="C7" s="2"/>
      <c r="D7" s="2"/>
      <c r="E7" s="2"/>
      <c r="F7" s="2"/>
      <c r="G7" s="2"/>
      <c r="H7" s="2"/>
      <c r="I7" s="2"/>
      <c r="J7" s="2"/>
      <c r="K7" s="2"/>
      <c r="L7" s="2"/>
      <c r="M7" s="2"/>
      <c r="N7" s="6"/>
    </row>
    <row r="8" spans="1:35" ht="12.75" customHeight="1" x14ac:dyDescent="0.2">
      <c r="A8" s="3" t="s">
        <v>2</v>
      </c>
    </row>
    <row r="9" spans="1:35" x14ac:dyDescent="0.2">
      <c r="A9" s="1" t="s">
        <v>51</v>
      </c>
      <c r="B9" s="79">
        <f>+'[2]Designated RSA-1 Comm Credi'!B9</f>
        <v>167.55999999999997</v>
      </c>
      <c r="C9" s="79">
        <f>+'[2]Designated RSA-1 Comm Credi'!C9</f>
        <v>143.56</v>
      </c>
      <c r="D9" s="79">
        <f>+'[2]Designated RSA-1 Comm Credi'!D9</f>
        <v>211.52999999999997</v>
      </c>
      <c r="E9" s="79">
        <f>+'[2]Designated RSA-1 Comm Credi'!E9</f>
        <v>144.15</v>
      </c>
      <c r="F9" s="79">
        <f>+'[2]Designated RSA-1 Comm Credi'!F9</f>
        <v>182.29</v>
      </c>
      <c r="G9" s="79">
        <f>+'[2]Designated RSA-1 Comm Credi'!G9</f>
        <v>157.68000000000004</v>
      </c>
      <c r="H9" s="79">
        <f>+'[2]Designated RSA-1 Comm Credi'!H9</f>
        <v>171.44999999999996</v>
      </c>
      <c r="I9" s="79">
        <f>+'[2]Designated RSA-1 Comm Credi'!I9</f>
        <v>165.42000000000004</v>
      </c>
      <c r="J9" s="79">
        <f>+'[2]Designated RSA-1 Comm Credi'!J9</f>
        <v>171.76999999999998</v>
      </c>
      <c r="K9" s="79">
        <f>+'[2]Designated RSA-1 Comm Credi'!K9</f>
        <v>167.76000000000005</v>
      </c>
      <c r="L9" s="79">
        <f>+'[2]Designated RSA-1 Comm Credi'!L9</f>
        <v>177.18000000000004</v>
      </c>
      <c r="M9" s="79">
        <f>+'[2]Designated RSA-1 Comm Credi'!M9</f>
        <v>143.01000000000002</v>
      </c>
      <c r="N9" s="27">
        <f>SUM(B9:M9)</f>
        <v>2003.3600000000001</v>
      </c>
      <c r="P9" s="23"/>
      <c r="Q9" s="145">
        <f>+'[2]Designated RSA-1 Comm Credi'!$N$9-N9</f>
        <v>0</v>
      </c>
      <c r="R9" s="23"/>
      <c r="S9" s="23"/>
      <c r="T9" s="23"/>
      <c r="U9" s="23"/>
      <c r="V9" s="23"/>
      <c r="W9" s="23"/>
      <c r="X9" s="23"/>
      <c r="Y9" s="23"/>
      <c r="Z9" s="23"/>
      <c r="AA9" s="23"/>
      <c r="AB9" s="23"/>
      <c r="AC9" s="23"/>
      <c r="AD9" s="23"/>
      <c r="AE9" s="23"/>
      <c r="AF9" s="23"/>
      <c r="AG9" s="23"/>
      <c r="AH9" s="23"/>
      <c r="AI9" s="23"/>
    </row>
    <row r="10" spans="1:35" x14ac:dyDescent="0.2">
      <c r="B10" s="2"/>
      <c r="C10" s="2"/>
      <c r="D10" s="2"/>
      <c r="E10" s="2"/>
      <c r="F10" s="2"/>
      <c r="G10" s="2"/>
      <c r="H10" s="2"/>
      <c r="I10" s="2"/>
      <c r="J10" s="2"/>
      <c r="K10" s="2"/>
      <c r="L10" s="2"/>
      <c r="M10" s="2"/>
      <c r="N10" s="7"/>
    </row>
    <row r="11" spans="1:35" x14ac:dyDescent="0.2">
      <c r="N11" s="8"/>
    </row>
    <row r="12" spans="1:35" x14ac:dyDescent="0.2">
      <c r="A12" s="3" t="s">
        <v>52</v>
      </c>
      <c r="B12" s="137">
        <f>+'[2]Designated RSA-1 Comm Credi'!B13</f>
        <v>-1.0219340000000019</v>
      </c>
      <c r="C12" s="137">
        <f>+'[2]Designated RSA-1 Comm Credi'!C13</f>
        <v>-27.709968999999997</v>
      </c>
      <c r="D12" s="137">
        <f>+'[2]Designated RSA-1 Comm Credi'!D13</f>
        <v>-40.545234000000001</v>
      </c>
      <c r="E12" s="137">
        <f>+'[2]Designated RSA-1 Comm Credi'!E13</f>
        <v>-41.559449999999998</v>
      </c>
      <c r="F12" s="137">
        <f>+'[2]Designated RSA-1 Comm Credi'!F13</f>
        <v>-29.144149999999993</v>
      </c>
      <c r="G12" s="137">
        <f>+'[2]Designated RSA-1 Comm Credi'!G13</f>
        <v>-25.152250000000006</v>
      </c>
      <c r="H12" s="137">
        <f>+'[2]Designated RSA-1 Comm Credi'!H13</f>
        <v>-28.64445000000001</v>
      </c>
      <c r="I12" s="137">
        <f>+'[2]Designated RSA-1 Comm Credi'!I13</f>
        <v>-35.214649999999985</v>
      </c>
      <c r="J12" s="137">
        <f>+'[2]Designated RSA-1 Comm Credi'!J13</f>
        <v>-49.875250000000015</v>
      </c>
      <c r="K12" s="137">
        <f>+'[2]Designated RSA-1 Comm Credi'!K13</f>
        <v>-65.193149999999989</v>
      </c>
      <c r="L12" s="137">
        <f>+'[2]Designated RSA-1 Comm Credi'!L13</f>
        <v>-115.70665</v>
      </c>
      <c r="M12" s="137">
        <f>+'[2]Designated RSA-1 Comm Credi'!M13</f>
        <v>-144.03354999999999</v>
      </c>
      <c r="N12" s="17"/>
      <c r="P12" s="18"/>
      <c r="Q12" s="23"/>
      <c r="R12" s="146" t="s">
        <v>45</v>
      </c>
      <c r="S12" s="146"/>
      <c r="T12" s="23"/>
      <c r="U12" s="23"/>
      <c r="V12" s="23"/>
      <c r="W12" s="23"/>
      <c r="X12" s="23"/>
      <c r="Y12" s="23"/>
      <c r="Z12" s="23"/>
      <c r="AA12" s="23"/>
      <c r="AB12" s="23"/>
      <c r="AC12" s="23"/>
      <c r="AD12" s="23"/>
    </row>
    <row r="13" spans="1:35" x14ac:dyDescent="0.2">
      <c r="N13" s="8"/>
      <c r="S13" s="1" t="s">
        <v>61</v>
      </c>
      <c r="T13" s="1" t="s">
        <v>62</v>
      </c>
    </row>
    <row r="14" spans="1:35" x14ac:dyDescent="0.2">
      <c r="A14" s="134" t="s">
        <v>53</v>
      </c>
      <c r="B14" s="135">
        <f t="shared" ref="B14:J14" si="1">+B9*B12</f>
        <v>-171.2352610400003</v>
      </c>
      <c r="C14" s="135">
        <f t="shared" si="1"/>
        <v>-3978.0431496399997</v>
      </c>
      <c r="D14" s="135">
        <f t="shared" si="1"/>
        <v>-8576.5333480199988</v>
      </c>
      <c r="E14" s="135">
        <f t="shared" si="1"/>
        <v>-5990.7947174999999</v>
      </c>
      <c r="F14" s="135">
        <f t="shared" si="1"/>
        <v>-5312.6871034999986</v>
      </c>
      <c r="G14" s="135">
        <f t="shared" si="1"/>
        <v>-3966.006780000002</v>
      </c>
      <c r="H14" s="135">
        <f t="shared" si="1"/>
        <v>-4911.0909525000006</v>
      </c>
      <c r="I14" s="135">
        <f t="shared" si="1"/>
        <v>-5825.2074029999994</v>
      </c>
      <c r="J14" s="135">
        <f t="shared" si="1"/>
        <v>-8567.0716925000015</v>
      </c>
      <c r="K14" s="135">
        <f>+K9*K12</f>
        <v>-10936.802844000002</v>
      </c>
      <c r="L14" s="135">
        <f>+L9*L12</f>
        <v>-20500.904247000002</v>
      </c>
      <c r="M14" s="135">
        <f>+M9*M12</f>
        <v>-20598.2379855</v>
      </c>
      <c r="N14" s="135">
        <f>SUM(B14:M14)</f>
        <v>-99334.615484200011</v>
      </c>
      <c r="O14" s="132"/>
      <c r="P14" s="43"/>
      <c r="Q14" s="147">
        <f>+'[2]Designated RSA-1 Comm Credi'!$N$16-N14</f>
        <v>0</v>
      </c>
      <c r="R14" s="1" t="s">
        <v>61</v>
      </c>
      <c r="S14" s="138" t="e">
        <f>-+GETPIVOTDATA("Amount",'[3]JE Query'!$L$115,"Abreviated  Description","RSA Reg Co")</f>
        <v>#REF!</v>
      </c>
      <c r="T14" s="142" t="e">
        <f>+S14-N14</f>
        <v>#REF!</v>
      </c>
    </row>
    <row r="15" spans="1:35" x14ac:dyDescent="0.2">
      <c r="N15" s="8"/>
    </row>
    <row r="16" spans="1:35" s="5" customFormat="1" x14ac:dyDescent="0.2">
      <c r="A16" s="3" t="s">
        <v>6</v>
      </c>
      <c r="B16" s="81">
        <f>+'[2]Designated RSA-1 Comm Credi'!B18</f>
        <v>10658</v>
      </c>
      <c r="C16" s="81">
        <f>+'[2]Designated RSA-1 Comm Credi'!C18</f>
        <v>10753</v>
      </c>
      <c r="D16" s="81">
        <f>+'[2]Designated RSA-1 Comm Credi'!D18</f>
        <v>10684</v>
      </c>
      <c r="E16" s="81">
        <f>+'[2]Designated RSA-1 Comm Credi'!E18</f>
        <v>10695</v>
      </c>
      <c r="F16" s="81">
        <f>+'[2]Designated RSA-1 Comm Credi'!F18</f>
        <v>10823</v>
      </c>
      <c r="G16" s="81">
        <f>+'[2]Designated RSA-1 Comm Credi'!G18</f>
        <v>10854</v>
      </c>
      <c r="H16" s="81">
        <f>+'[2]Designated RSA-1 Comm Credi'!H18</f>
        <v>10894</v>
      </c>
      <c r="I16" s="81">
        <f>+'[2]Designated RSA-1 Comm Credi'!I18</f>
        <v>10965</v>
      </c>
      <c r="J16" s="81">
        <f>+'[2]Designated RSA-1 Comm Credi'!J18</f>
        <v>11029</v>
      </c>
      <c r="K16" s="81">
        <f>+'[2]Designated RSA-1 Comm Credi'!K18</f>
        <v>11180</v>
      </c>
      <c r="L16" s="81">
        <f>+'[2]Designated RSA-1 Comm Credi'!L18</f>
        <v>11170</v>
      </c>
      <c r="M16" s="81">
        <f>+'[2]Designated RSA-1 Comm Credi'!M18</f>
        <v>11131</v>
      </c>
      <c r="N16" s="21">
        <f>SUM(B16:M16)</f>
        <v>130836</v>
      </c>
      <c r="O16" s="2"/>
      <c r="P16" s="13"/>
      <c r="Q16" s="12">
        <f>+'[2]Designated RSA-1 Comm Credi'!$N$18-N16</f>
        <v>0</v>
      </c>
      <c r="R16" s="14"/>
    </row>
    <row r="17" spans="1:19" s="5" customFormat="1" x14ac:dyDescent="0.2">
      <c r="A17" s="15"/>
      <c r="N17" s="7"/>
      <c r="O17" s="2"/>
      <c r="P17" s="13"/>
      <c r="Q17" s="12"/>
      <c r="R17" s="14"/>
    </row>
    <row r="18" spans="1:19" x14ac:dyDescent="0.2">
      <c r="A18" s="1" t="s">
        <v>54</v>
      </c>
      <c r="B18" s="16">
        <f t="shared" ref="B18:M18" si="2">+IFERROR(B14/B16,0)</f>
        <v>-1.6066359639707289E-2</v>
      </c>
      <c r="C18" s="16">
        <f t="shared" si="2"/>
        <v>-0.36994728444527109</v>
      </c>
      <c r="D18" s="16">
        <f t="shared" si="2"/>
        <v>-0.80274553987457875</v>
      </c>
      <c r="E18" s="16">
        <f t="shared" si="2"/>
        <v>-0.56014910869565215</v>
      </c>
      <c r="F18" s="16">
        <f t="shared" si="2"/>
        <v>-0.49087010103483308</v>
      </c>
      <c r="G18" s="16">
        <f t="shared" si="2"/>
        <v>-0.36539587064676637</v>
      </c>
      <c r="H18" s="16">
        <f t="shared" si="2"/>
        <v>-0.45080695359831108</v>
      </c>
      <c r="I18" s="16">
        <f t="shared" si="2"/>
        <v>-0.53125466511627906</v>
      </c>
      <c r="J18" s="16">
        <f t="shared" si="2"/>
        <v>-0.77677683312177004</v>
      </c>
      <c r="K18" s="16">
        <f t="shared" si="2"/>
        <v>-0.97824712379248668</v>
      </c>
      <c r="L18" s="16">
        <f t="shared" si="2"/>
        <v>-1.8353540059982096</v>
      </c>
      <c r="M18" s="16">
        <f t="shared" si="2"/>
        <v>-1.8505289718354145</v>
      </c>
      <c r="N18" s="17"/>
      <c r="P18" s="18"/>
    </row>
    <row r="19" spans="1:19" x14ac:dyDescent="0.2">
      <c r="A19" s="1" t="s">
        <v>55</v>
      </c>
      <c r="B19" s="88">
        <f>+'RSA-1 CPA Eff. 1.1.2022'!$M$19</f>
        <v>-1.54</v>
      </c>
      <c r="C19" s="88">
        <f>+'RSA-1 CPA Eff. 1.1.2022'!$M$19</f>
        <v>-1.54</v>
      </c>
      <c r="D19" s="88">
        <f>+'RSA-1 CPA Eff. 1.1.2022'!$N$23</f>
        <v>-0.5</v>
      </c>
      <c r="E19" s="88">
        <f>+'RSA-1 CPA Eff. 1.1.2022'!$N$23</f>
        <v>-0.5</v>
      </c>
      <c r="F19" s="88">
        <f>+'RSA-1 CPA Eff. 1.1.2022'!$N$23</f>
        <v>-0.5</v>
      </c>
      <c r="G19" s="88">
        <f>+'RSA-1 CPA Eff. 1.1.2022'!$N$23</f>
        <v>-0.5</v>
      </c>
      <c r="H19" s="88">
        <f>+'RSA-1 CPA Eff. 1.1.2022'!$N$23</f>
        <v>-0.5</v>
      </c>
      <c r="I19" s="88">
        <f>+'RSA-1 CPA Eff. 1.1.2022'!$N$23</f>
        <v>-0.5</v>
      </c>
      <c r="J19" s="88">
        <f>+'RSA-1 CPA Eff. 1.1.2022'!$N$23</f>
        <v>-0.5</v>
      </c>
      <c r="K19" s="88">
        <f>+'RSA-1 CPA Eff. 1.1.2022'!$N$23</f>
        <v>-0.5</v>
      </c>
      <c r="L19" s="88">
        <f>+'RSA-1 CPA Eff. 1.1.2022'!$N$23</f>
        <v>-0.5</v>
      </c>
      <c r="M19" s="88">
        <f>+'RSA-1 CPA Eff. 1.1.2022'!$N$23</f>
        <v>-0.5</v>
      </c>
      <c r="N19" s="17"/>
      <c r="P19" s="19"/>
    </row>
    <row r="20" spans="1:19" x14ac:dyDescent="0.2">
      <c r="A20" s="1" t="s">
        <v>56</v>
      </c>
      <c r="B20" s="10">
        <f>+B19*B16</f>
        <v>-16413.32</v>
      </c>
      <c r="C20" s="10">
        <f t="shared" ref="C20:M20" si="3">+C19*C16</f>
        <v>-16559.62</v>
      </c>
      <c r="D20" s="10">
        <f t="shared" si="3"/>
        <v>-5342</v>
      </c>
      <c r="E20" s="10">
        <f t="shared" si="3"/>
        <v>-5347.5</v>
      </c>
      <c r="F20" s="10">
        <f t="shared" si="3"/>
        <v>-5411.5</v>
      </c>
      <c r="G20" s="10">
        <f t="shared" si="3"/>
        <v>-5427</v>
      </c>
      <c r="H20" s="10">
        <f t="shared" si="3"/>
        <v>-5447</v>
      </c>
      <c r="I20" s="10">
        <f t="shared" si="3"/>
        <v>-5482.5</v>
      </c>
      <c r="J20" s="10">
        <f t="shared" si="3"/>
        <v>-5514.5</v>
      </c>
      <c r="K20" s="10">
        <f t="shared" si="3"/>
        <v>-5590</v>
      </c>
      <c r="L20" s="10">
        <f t="shared" si="3"/>
        <v>-5585</v>
      </c>
      <c r="M20" s="10">
        <f t="shared" si="3"/>
        <v>-5565.5</v>
      </c>
      <c r="N20" s="17"/>
      <c r="P20" s="19"/>
    </row>
    <row r="21" spans="1:19" ht="13.5" thickBot="1" x14ac:dyDescent="0.25">
      <c r="A21" s="133" t="s">
        <v>57</v>
      </c>
      <c r="B21" s="136">
        <f>+B20-B14</f>
        <v>-16242.084738959999</v>
      </c>
      <c r="C21" s="136">
        <f t="shared" ref="C21:M21" si="4">+C20-C14</f>
        <v>-12581.576850359999</v>
      </c>
      <c r="D21" s="136">
        <f t="shared" si="4"/>
        <v>3234.5333480199988</v>
      </c>
      <c r="E21" s="136">
        <f t="shared" si="4"/>
        <v>643.29471749999993</v>
      </c>
      <c r="F21" s="136">
        <f t="shared" si="4"/>
        <v>-98.812896500001443</v>
      </c>
      <c r="G21" s="136">
        <f t="shared" si="4"/>
        <v>-1460.993219999998</v>
      </c>
      <c r="H21" s="136">
        <f t="shared" si="4"/>
        <v>-535.90904749999936</v>
      </c>
      <c r="I21" s="136">
        <f t="shared" si="4"/>
        <v>342.70740299999943</v>
      </c>
      <c r="J21" s="136">
        <f t="shared" si="4"/>
        <v>3052.5716925000015</v>
      </c>
      <c r="K21" s="136">
        <f t="shared" si="4"/>
        <v>5346.8028440000016</v>
      </c>
      <c r="L21" s="136">
        <f t="shared" si="4"/>
        <v>14915.904247000002</v>
      </c>
      <c r="M21" s="136">
        <f t="shared" si="4"/>
        <v>15032.7379855</v>
      </c>
      <c r="N21" s="136">
        <f>SUM(B21:M21)</f>
        <v>11649.175484200012</v>
      </c>
      <c r="P21" s="5"/>
      <c r="Q21" s="147">
        <f>-'[2]Designated RSA-1 Comm Credi'!$N$22-N21</f>
        <v>0</v>
      </c>
      <c r="R21" s="1" t="s">
        <v>43</v>
      </c>
    </row>
    <row r="22" spans="1:19" x14ac:dyDescent="0.2">
      <c r="B22" s="5"/>
      <c r="C22" s="5"/>
      <c r="D22" s="5"/>
      <c r="E22" s="5"/>
      <c r="F22" s="5"/>
      <c r="G22" s="5"/>
      <c r="H22" s="5"/>
      <c r="I22" s="5"/>
      <c r="J22" s="5"/>
      <c r="K22" s="5"/>
      <c r="L22" s="5"/>
      <c r="M22" s="5"/>
      <c r="N22" s="21"/>
    </row>
    <row r="23" spans="1:19" ht="15" x14ac:dyDescent="0.25">
      <c r="A23" s="55"/>
      <c r="B23" s="45"/>
      <c r="C23" s="45"/>
      <c r="D23" s="45"/>
      <c r="E23" s="45"/>
      <c r="F23" s="45"/>
      <c r="G23" s="45"/>
      <c r="H23" s="45"/>
      <c r="I23" s="45"/>
      <c r="J23" s="45"/>
      <c r="K23" s="45"/>
      <c r="L23" s="45"/>
      <c r="M23" s="72" t="s">
        <v>19</v>
      </c>
      <c r="N23" s="52">
        <f>ROUND(N21/N16,2)</f>
        <v>0.09</v>
      </c>
      <c r="O23" s="22"/>
      <c r="Q23" s="46"/>
    </row>
    <row r="24" spans="1:19" x14ac:dyDescent="0.2">
      <c r="B24" s="49"/>
      <c r="C24" s="49"/>
      <c r="D24" s="49"/>
      <c r="E24" s="49"/>
      <c r="F24" s="49"/>
      <c r="G24" s="49"/>
      <c r="H24" s="49"/>
      <c r="I24" s="49"/>
      <c r="J24" s="49"/>
      <c r="K24" s="49"/>
      <c r="L24" s="22"/>
      <c r="M24" s="72" t="s">
        <v>60</v>
      </c>
      <c r="N24" s="118">
        <f>-ROUND(N14/N16,2)</f>
        <v>0.76</v>
      </c>
      <c r="O24" s="22"/>
      <c r="Q24" s="18"/>
    </row>
    <row r="25" spans="1:19" x14ac:dyDescent="0.2">
      <c r="B25" s="22"/>
      <c r="C25" s="22"/>
      <c r="D25" s="22"/>
      <c r="E25" s="22"/>
      <c r="F25" s="22"/>
      <c r="G25" s="22"/>
      <c r="H25" s="22"/>
      <c r="I25" s="22"/>
      <c r="J25" s="22"/>
      <c r="K25" s="22"/>
      <c r="L25" s="22"/>
      <c r="M25" s="73" t="s">
        <v>41</v>
      </c>
      <c r="N25" s="53">
        <f>+N23+N24</f>
        <v>0.85</v>
      </c>
      <c r="O25" s="22"/>
      <c r="Q25" s="46"/>
    </row>
    <row r="26" spans="1:19" ht="15" x14ac:dyDescent="0.25">
      <c r="B26" s="125"/>
      <c r="C26" s="22"/>
      <c r="D26" s="22"/>
      <c r="E26" s="22"/>
      <c r="F26" s="22"/>
      <c r="G26" s="22"/>
      <c r="H26" s="22"/>
      <c r="I26" s="22"/>
      <c r="J26" s="22"/>
      <c r="K26" s="22"/>
      <c r="L26" s="22"/>
      <c r="M26" s="22"/>
      <c r="N26" s="52"/>
      <c r="O26" s="22"/>
    </row>
    <row r="27" spans="1:19" x14ac:dyDescent="0.2">
      <c r="A27" s="3"/>
      <c r="B27" s="126"/>
      <c r="C27" s="22"/>
      <c r="D27" s="22"/>
      <c r="E27" s="22"/>
      <c r="F27" s="22"/>
      <c r="G27" s="22"/>
      <c r="H27" s="22"/>
      <c r="I27" s="22"/>
      <c r="J27" s="22"/>
      <c r="K27" s="22"/>
      <c r="L27" s="22"/>
      <c r="M27" s="72" t="s">
        <v>42</v>
      </c>
      <c r="N27" s="88">
        <f>+'RSA-1 CPA Eff. 1.1.2022'!N24</f>
        <v>-0.55000000000000004</v>
      </c>
      <c r="O27" s="1"/>
      <c r="P27" s="47"/>
      <c r="Q27" s="48"/>
    </row>
    <row r="28" spans="1:19" x14ac:dyDescent="0.2">
      <c r="A28" s="3"/>
      <c r="B28" s="22"/>
      <c r="C28" s="22"/>
      <c r="D28" s="22"/>
      <c r="E28" s="22"/>
      <c r="F28" s="22"/>
      <c r="G28" s="22"/>
      <c r="H28" s="22"/>
      <c r="I28" s="22"/>
      <c r="J28" s="22"/>
      <c r="K28" s="22"/>
      <c r="L28" s="22"/>
      <c r="M28" s="72" t="s">
        <v>9</v>
      </c>
      <c r="N28" s="9">
        <f>+N25-N27</f>
        <v>1.4</v>
      </c>
      <c r="O28" s="1"/>
      <c r="P28" s="71">
        <f>N28/N27</f>
        <v>-2.545454545454545</v>
      </c>
    </row>
    <row r="29" spans="1:19" x14ac:dyDescent="0.2">
      <c r="B29" s="49"/>
      <c r="C29" s="49"/>
      <c r="D29" s="49"/>
      <c r="E29" s="49"/>
      <c r="F29" s="49"/>
      <c r="G29" s="49"/>
      <c r="H29" s="49"/>
      <c r="I29" s="49"/>
      <c r="J29" s="49"/>
      <c r="K29" s="49"/>
      <c r="L29" s="22"/>
      <c r="M29" s="72" t="s">
        <v>34</v>
      </c>
      <c r="N29" s="34">
        <f>N28*N16</f>
        <v>183170.4</v>
      </c>
      <c r="O29" s="1"/>
      <c r="P29" s="50"/>
    </row>
    <row r="30" spans="1:19" x14ac:dyDescent="0.2">
      <c r="B30" s="22"/>
      <c r="C30" s="22"/>
      <c r="D30" s="22"/>
      <c r="E30" s="22"/>
      <c r="F30" s="22"/>
      <c r="G30" s="22"/>
      <c r="H30" s="22"/>
      <c r="I30" s="22"/>
      <c r="J30" s="22"/>
      <c r="K30" s="22"/>
      <c r="L30" s="22"/>
      <c r="M30" s="22"/>
      <c r="N30" s="109"/>
      <c r="P30" s="33"/>
    </row>
    <row r="31" spans="1:19" x14ac:dyDescent="0.2">
      <c r="N31" s="31"/>
      <c r="P31" s="19"/>
    </row>
    <row r="32" spans="1:19" x14ac:dyDescent="0.2">
      <c r="P32" s="5"/>
      <c r="Q32" s="12"/>
      <c r="R32" s="1" t="s">
        <v>63</v>
      </c>
      <c r="S32" s="139">
        <f>+N14</f>
        <v>-99334.615484200011</v>
      </c>
    </row>
    <row r="33" spans="13:19" x14ac:dyDescent="0.2">
      <c r="M33" s="54"/>
      <c r="N33" s="30"/>
      <c r="Q33" s="46"/>
      <c r="R33" s="1" t="s">
        <v>64</v>
      </c>
      <c r="S33" s="139">
        <f>+'Joe''s CPA Eff. 1.1.2023'!N20</f>
        <v>-49070.701256019107</v>
      </c>
    </row>
    <row r="34" spans="13:19" x14ac:dyDescent="0.2">
      <c r="M34" s="54"/>
      <c r="N34" s="51"/>
      <c r="Q34" s="18"/>
      <c r="R34" s="1" t="s">
        <v>65</v>
      </c>
      <c r="S34" s="139">
        <f>+'Joe''s CPA Eff. 1.1.2023'!N52</f>
        <v>-3049.7192579108937</v>
      </c>
    </row>
    <row r="35" spans="13:19" ht="15" x14ac:dyDescent="0.25">
      <c r="M35" s="55"/>
      <c r="N35" s="27"/>
      <c r="Q35" s="46"/>
      <c r="S35" s="139">
        <f>SUM(S32:S34)</f>
        <v>-151455.03599813001</v>
      </c>
    </row>
    <row r="36" spans="13:19" ht="15" x14ac:dyDescent="0.25">
      <c r="M36" s="55"/>
      <c r="N36" s="56"/>
      <c r="S36" s="139"/>
    </row>
  </sheetData>
  <pageMargins left="0.25" right="0.25" top="0.75" bottom="0.75" header="0.3" footer="0.3"/>
  <pageSetup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BH105"/>
  <sheetViews>
    <sheetView showGridLines="0" tabSelected="1" topLeftCell="A19" zoomScaleNormal="100" zoomScaleSheetLayoutView="100" workbookViewId="0">
      <selection activeCell="J30" sqref="J30"/>
    </sheetView>
  </sheetViews>
  <sheetFormatPr defaultRowHeight="12.75" x14ac:dyDescent="0.2"/>
  <cols>
    <col min="1" max="1" width="34.140625" style="1" customWidth="1"/>
    <col min="2" max="4" width="11.85546875" style="1" bestFit="1" customWidth="1"/>
    <col min="5" max="5" width="10.85546875" style="1" bestFit="1" customWidth="1"/>
    <col min="6" max="12" width="11.85546875" style="1" bestFit="1" customWidth="1"/>
    <col min="13" max="13" width="15.140625" style="1" customWidth="1"/>
    <col min="14" max="14" width="12.85546875" style="1" bestFit="1" customWidth="1"/>
    <col min="15" max="15" width="11.85546875" style="1" bestFit="1" customWidth="1"/>
    <col min="16" max="16" width="11.28515625" style="1" bestFit="1" customWidth="1"/>
    <col min="17" max="16384" width="9.140625" style="1"/>
  </cols>
  <sheetData>
    <row r="1" spans="1:29" x14ac:dyDescent="0.2">
      <c r="A1" s="3" t="s">
        <v>15</v>
      </c>
      <c r="B1" s="26"/>
      <c r="C1" s="26"/>
      <c r="D1" s="26"/>
      <c r="E1" s="26"/>
      <c r="F1" s="26"/>
      <c r="G1" s="26"/>
      <c r="H1" s="26"/>
      <c r="I1" s="26"/>
      <c r="J1" s="26"/>
      <c r="K1" s="26"/>
      <c r="L1" s="26"/>
      <c r="M1" s="26"/>
      <c r="N1" s="6"/>
    </row>
    <row r="2" spans="1:29" x14ac:dyDescent="0.2">
      <c r="A2" s="3" t="s">
        <v>10</v>
      </c>
      <c r="B2" s="26"/>
      <c r="C2" s="26"/>
      <c r="D2" s="26"/>
      <c r="E2" s="26"/>
      <c r="F2" s="26"/>
      <c r="G2" s="26"/>
      <c r="H2" s="26"/>
      <c r="I2" s="26"/>
      <c r="J2" s="26"/>
      <c r="K2" s="144"/>
      <c r="L2" s="26"/>
      <c r="M2" s="26"/>
      <c r="N2" s="6"/>
    </row>
    <row r="3" spans="1:29" ht="15" x14ac:dyDescent="0.25">
      <c r="A3" s="3" t="s">
        <v>16</v>
      </c>
      <c r="B3" s="110"/>
      <c r="C3" s="26"/>
      <c r="D3" s="26"/>
      <c r="E3" s="26"/>
      <c r="F3" s="26"/>
      <c r="G3" s="26"/>
      <c r="H3" s="26"/>
      <c r="I3" s="26"/>
      <c r="J3" s="26"/>
      <c r="K3" s="144"/>
      <c r="L3" s="26"/>
      <c r="M3" s="26"/>
      <c r="N3" s="6"/>
    </row>
    <row r="4" spans="1:29" x14ac:dyDescent="0.2">
      <c r="A4" s="3" t="str">
        <f>'RSA-1 CPA Eff. 1.1.2023'!A4</f>
        <v>Effective January 1, 2023</v>
      </c>
      <c r="B4" s="26"/>
      <c r="C4" s="26"/>
      <c r="D4" s="26"/>
      <c r="E4" s="26"/>
      <c r="F4" s="26"/>
      <c r="G4" s="26"/>
      <c r="H4" s="26"/>
      <c r="I4" s="26"/>
      <c r="J4" s="26"/>
      <c r="K4" s="26"/>
      <c r="L4" s="26"/>
      <c r="M4" s="26"/>
      <c r="N4" s="6"/>
    </row>
    <row r="5" spans="1:29" x14ac:dyDescent="0.2">
      <c r="A5" s="3"/>
      <c r="B5" s="26"/>
      <c r="C5" s="26"/>
      <c r="D5" s="26"/>
      <c r="E5" s="26"/>
      <c r="F5" s="26"/>
      <c r="G5" s="26"/>
      <c r="H5" s="26"/>
      <c r="I5" s="26"/>
      <c r="J5" s="26"/>
      <c r="K5" s="26"/>
      <c r="L5" s="26"/>
      <c r="M5" s="26"/>
      <c r="N5" s="40" t="s">
        <v>27</v>
      </c>
    </row>
    <row r="6" spans="1:29" ht="13.5" thickBot="1" x14ac:dyDescent="0.25">
      <c r="A6" s="60" t="s">
        <v>18</v>
      </c>
      <c r="B6" s="28">
        <f>'RSA-1 CPA Eff. 1.1.2023'!B6</f>
        <v>44501</v>
      </c>
      <c r="C6" s="28">
        <f>'RSA-1 CPA Eff. 1.1.2023'!C6</f>
        <v>44532</v>
      </c>
      <c r="D6" s="28">
        <f>'RSA-1 CPA Eff. 1.1.2023'!D6</f>
        <v>44563</v>
      </c>
      <c r="E6" s="28">
        <f>'RSA-1 CPA Eff. 1.1.2023'!E6</f>
        <v>44594</v>
      </c>
      <c r="F6" s="28">
        <f>'RSA-1 CPA Eff. 1.1.2023'!F6</f>
        <v>44625</v>
      </c>
      <c r="G6" s="28">
        <f>'RSA-1 CPA Eff. 1.1.2023'!G6</f>
        <v>44656</v>
      </c>
      <c r="H6" s="28">
        <f>'RSA-1 CPA Eff. 1.1.2023'!H6</f>
        <v>44687</v>
      </c>
      <c r="I6" s="28">
        <f>'RSA-1 CPA Eff. 1.1.2023'!I6</f>
        <v>44718</v>
      </c>
      <c r="J6" s="28">
        <f>'RSA-1 CPA Eff. 1.1.2023'!J6</f>
        <v>44749</v>
      </c>
      <c r="K6" s="28">
        <f>'RSA-1 CPA Eff. 1.1.2023'!K6</f>
        <v>44780</v>
      </c>
      <c r="L6" s="28">
        <f>'RSA-1 CPA Eff. 1.1.2023'!L6</f>
        <v>44811</v>
      </c>
      <c r="M6" s="28">
        <f>'RSA-1 CPA Eff. 1.1.2023'!M6</f>
        <v>44842</v>
      </c>
      <c r="N6" s="58" t="s">
        <v>1</v>
      </c>
      <c r="O6" s="59"/>
      <c r="P6" s="59"/>
      <c r="Q6" s="59"/>
    </row>
    <row r="7" spans="1:29" x14ac:dyDescent="0.2">
      <c r="B7" s="4"/>
      <c r="C7" s="4"/>
      <c r="D7" s="4"/>
      <c r="E7" s="4"/>
      <c r="F7" s="4"/>
      <c r="G7" s="4"/>
      <c r="H7" s="4"/>
      <c r="I7" s="4"/>
      <c r="J7" s="4"/>
      <c r="K7" s="61"/>
      <c r="L7" s="4"/>
      <c r="M7" s="4"/>
      <c r="N7" s="40"/>
      <c r="O7" s="59"/>
      <c r="P7" s="59"/>
      <c r="Q7" s="59"/>
    </row>
    <row r="8" spans="1:29" x14ac:dyDescent="0.2">
      <c r="A8" s="3" t="s">
        <v>2</v>
      </c>
      <c r="B8" s="31"/>
      <c r="C8" s="31"/>
      <c r="D8" s="31"/>
      <c r="E8" s="31"/>
      <c r="F8" s="31"/>
      <c r="G8" s="31"/>
      <c r="H8" s="31"/>
      <c r="I8" s="31"/>
      <c r="J8" s="31"/>
      <c r="K8" s="31"/>
      <c r="L8" s="31"/>
      <c r="M8" s="31"/>
    </row>
    <row r="9" spans="1:29" x14ac:dyDescent="0.2">
      <c r="A9" s="1" t="s">
        <v>51</v>
      </c>
      <c r="B9" s="97">
        <f>+'[2]Joe''s Comm Credit'!B9</f>
        <v>77.625291622481441</v>
      </c>
      <c r="C9" s="97">
        <f>+'[2]Joe''s Comm Credit'!C9</f>
        <v>75.053718592964842</v>
      </c>
      <c r="D9" s="97">
        <f>+'[2]Joe''s Comm Credit'!D9</f>
        <v>102.07746672300868</v>
      </c>
      <c r="E9" s="97">
        <f>+'[2]Joe''s Comm Credit'!E9</f>
        <v>80.036608236536452</v>
      </c>
      <c r="F9" s="97">
        <f>+'[2]Joe''s Comm Credit'!F9</f>
        <v>92.84850188837602</v>
      </c>
      <c r="G9" s="97">
        <f>+'[2]Joe''s Comm Credit'!G9</f>
        <v>81.488908634748057</v>
      </c>
      <c r="H9" s="97">
        <f>+'[2]Joe''s Comm Credit'!H9</f>
        <v>82.614029380902394</v>
      </c>
      <c r="I9" s="97">
        <f>+'[2]Joe''s Comm Credit'!I9</f>
        <v>64.299506998119909</v>
      </c>
      <c r="J9" s="97">
        <f>+'[2]Joe''s Comm Credit'!J9</f>
        <v>67.96283572767021</v>
      </c>
      <c r="K9" s="97">
        <f>+'[2]Joe''s Comm Credit'!K9</f>
        <v>77.000102901831653</v>
      </c>
      <c r="L9" s="97">
        <f>+'[2]Joe''s Comm Credit'!L9</f>
        <v>80.175976185588155</v>
      </c>
      <c r="M9" s="97">
        <f>+'[2]Joe''s Comm Credit'!M9</f>
        <v>62.148023780237821</v>
      </c>
      <c r="N9" s="27">
        <f>SUM(B9:M9)</f>
        <v>943.3309706724657</v>
      </c>
      <c r="O9" s="23"/>
      <c r="P9" s="23"/>
      <c r="Q9" s="23"/>
      <c r="R9" s="23"/>
      <c r="S9" s="23"/>
      <c r="T9" s="23"/>
      <c r="U9" s="23"/>
      <c r="V9" s="23"/>
      <c r="W9" s="23"/>
      <c r="X9" s="23"/>
      <c r="Y9" s="23"/>
      <c r="Z9" s="23"/>
      <c r="AA9" s="23"/>
      <c r="AB9" s="23"/>
      <c r="AC9" s="23"/>
    </row>
    <row r="10" spans="1:29" x14ac:dyDescent="0.2">
      <c r="A10" s="1" t="s">
        <v>11</v>
      </c>
      <c r="B10" s="97">
        <f>+'[2]Joe''s Comm Credit'!B10</f>
        <v>8.3000000000000007</v>
      </c>
      <c r="C10" s="97">
        <f>+'[2]Joe''s Comm Credit'!C10</f>
        <v>5.93</v>
      </c>
      <c r="D10" s="97">
        <f>+'[2]Joe''s Comm Credit'!D10</f>
        <v>11.63</v>
      </c>
      <c r="E10" s="97">
        <f>+'[2]Joe''s Comm Credit'!E10</f>
        <v>7.94</v>
      </c>
      <c r="F10" s="97">
        <f>+'[2]Joe''s Comm Credit'!F10</f>
        <v>10.1</v>
      </c>
      <c r="G10" s="97">
        <f>+'[2]Joe''s Comm Credit'!G10</f>
        <v>7.64</v>
      </c>
      <c r="H10" s="97">
        <f>+'[2]Joe''s Comm Credit'!H10</f>
        <v>8.61</v>
      </c>
      <c r="I10" s="97">
        <f>+'[2]Joe''s Comm Credit'!I10</f>
        <v>10.050000000000001</v>
      </c>
      <c r="J10" s="97">
        <f>+'[2]Joe''s Comm Credit'!J10</f>
        <v>7.93</v>
      </c>
      <c r="K10" s="97">
        <f>+'[2]Joe''s Comm Credit'!K10</f>
        <v>8.86</v>
      </c>
      <c r="L10" s="97">
        <f>+'[2]Joe''s Comm Credit'!L10</f>
        <v>8.2899999999999991</v>
      </c>
      <c r="M10" s="97">
        <f>+'[2]Joe''s Comm Credit'!M10</f>
        <v>8.43</v>
      </c>
      <c r="N10" s="27">
        <f>SUM(B10:M10)</f>
        <v>103.71000000000001</v>
      </c>
      <c r="O10" s="23"/>
      <c r="Q10" s="23"/>
    </row>
    <row r="11" spans="1:29" s="3" customFormat="1" x14ac:dyDescent="0.2">
      <c r="A11" s="3" t="s">
        <v>12</v>
      </c>
      <c r="B11" s="29">
        <f>SUM(B9:B10)</f>
        <v>85.925291622481438</v>
      </c>
      <c r="C11" s="29">
        <f t="shared" ref="C11:J11" si="0">SUM(C9:C10)</f>
        <v>80.983718592964834</v>
      </c>
      <c r="D11" s="29">
        <f t="shared" si="0"/>
        <v>113.70746672300868</v>
      </c>
      <c r="E11" s="29">
        <f>SUM(E9:E10)</f>
        <v>87.97660823653645</v>
      </c>
      <c r="F11" s="29">
        <f>SUM(F9:F10)</f>
        <v>102.94850188837601</v>
      </c>
      <c r="G11" s="29">
        <f t="shared" si="0"/>
        <v>89.128908634748058</v>
      </c>
      <c r="H11" s="29">
        <f>SUM(H9:H10)</f>
        <v>91.224029380902394</v>
      </c>
      <c r="I11" s="29">
        <f>SUM(I9:I10)</f>
        <v>74.349506998119907</v>
      </c>
      <c r="J11" s="29">
        <f t="shared" si="0"/>
        <v>75.892835727670217</v>
      </c>
      <c r="K11" s="29">
        <f>SUM(K9:K10)</f>
        <v>85.860102901831652</v>
      </c>
      <c r="L11" s="29">
        <f>SUM(L9:L10)</f>
        <v>88.465976185588147</v>
      </c>
      <c r="M11" s="29">
        <f>SUM(M9:M10)</f>
        <v>70.578023780237828</v>
      </c>
      <c r="N11" s="30">
        <f>SUM(B11:M11)</f>
        <v>1047.0409706724656</v>
      </c>
      <c r="O11" s="30"/>
      <c r="P11" s="141">
        <f>+'[2]Joe''s Comm Credit'!$N$11-N11</f>
        <v>0</v>
      </c>
    </row>
    <row r="12" spans="1:29" x14ac:dyDescent="0.2">
      <c r="B12" s="2"/>
      <c r="C12" s="2"/>
      <c r="D12" s="2"/>
      <c r="E12" s="2"/>
      <c r="F12" s="2"/>
      <c r="G12" s="2"/>
      <c r="H12" s="2"/>
      <c r="I12" s="2"/>
      <c r="J12" s="2"/>
      <c r="K12" s="2"/>
      <c r="L12" s="2"/>
      <c r="M12" s="2"/>
      <c r="N12" s="27"/>
      <c r="O12" s="62"/>
    </row>
    <row r="13" spans="1:29" x14ac:dyDescent="0.2">
      <c r="A13" s="3" t="s">
        <v>52</v>
      </c>
      <c r="B13" s="31"/>
      <c r="C13" s="31"/>
      <c r="D13" s="31"/>
      <c r="E13" s="31"/>
      <c r="F13" s="31"/>
      <c r="G13" s="31"/>
      <c r="H13" s="31"/>
      <c r="I13" s="31"/>
      <c r="J13" s="31"/>
      <c r="K13" s="31"/>
      <c r="L13" s="31"/>
      <c r="M13" s="31"/>
    </row>
    <row r="14" spans="1:29" s="23" customFormat="1" x14ac:dyDescent="0.2">
      <c r="A14" s="23" t="s">
        <v>51</v>
      </c>
      <c r="B14" s="129">
        <f>'RSA-1 CPA Eff. 1.1.2023'!B12</f>
        <v>-1.0219340000000019</v>
      </c>
      <c r="C14" s="129">
        <f>'RSA-1 CPA Eff. 1.1.2023'!C12</f>
        <v>-27.709968999999997</v>
      </c>
      <c r="D14" s="129">
        <f>'RSA-1 CPA Eff. 1.1.2023'!D12</f>
        <v>-40.545234000000001</v>
      </c>
      <c r="E14" s="129">
        <f>'RSA-1 CPA Eff. 1.1.2023'!E12</f>
        <v>-41.559449999999998</v>
      </c>
      <c r="F14" s="129">
        <f>'RSA-1 CPA Eff. 1.1.2023'!F12</f>
        <v>-29.144149999999993</v>
      </c>
      <c r="G14" s="129">
        <f>'RSA-1 CPA Eff. 1.1.2023'!G12</f>
        <v>-25.152250000000006</v>
      </c>
      <c r="H14" s="129">
        <f>'RSA-1 CPA Eff. 1.1.2023'!H12</f>
        <v>-28.64445000000001</v>
      </c>
      <c r="I14" s="129">
        <f>'RSA-1 CPA Eff. 1.1.2023'!I12</f>
        <v>-35.214649999999985</v>
      </c>
      <c r="J14" s="129">
        <f>'RSA-1 CPA Eff. 1.1.2023'!J12</f>
        <v>-49.875250000000015</v>
      </c>
      <c r="K14" s="129">
        <f>'RSA-1 CPA Eff. 1.1.2023'!K12</f>
        <v>-65.193149999999989</v>
      </c>
      <c r="L14" s="129">
        <f>'RSA-1 CPA Eff. 1.1.2023'!L12</f>
        <v>-115.70665</v>
      </c>
      <c r="M14" s="129">
        <f>'RSA-1 CPA Eff. 1.1.2023'!M12</f>
        <v>-144.03354999999999</v>
      </c>
      <c r="N14" s="32"/>
    </row>
    <row r="15" spans="1:29" x14ac:dyDescent="0.2">
      <c r="A15" s="1" t="s">
        <v>11</v>
      </c>
      <c r="B15" s="129">
        <f>+'[4]Joe''s Comm Credit'!B16</f>
        <v>-33</v>
      </c>
      <c r="C15" s="129">
        <f>+'[4]Joe''s Comm Credit'!C16</f>
        <v>-33</v>
      </c>
      <c r="D15" s="129">
        <f>+'[4]Joe''s Comm Credit'!D16</f>
        <v>-33</v>
      </c>
      <c r="E15" s="129">
        <f>+'[4]Joe''s Comm Credit'!E16</f>
        <v>-33</v>
      </c>
      <c r="F15" s="129">
        <f>+'[4]Joe''s Comm Credit'!F16</f>
        <v>-33</v>
      </c>
      <c r="G15" s="129">
        <f>+'[4]Joe''s Comm Credit'!G16</f>
        <v>-33</v>
      </c>
      <c r="H15" s="129">
        <f>+'[4]Joe''s Comm Credit'!H16</f>
        <v>-33</v>
      </c>
      <c r="I15" s="129">
        <f>+'[4]Joe''s Comm Credit'!I16</f>
        <v>-33</v>
      </c>
      <c r="J15" s="129">
        <f>+'[4]Joe''s Comm Credit'!J16</f>
        <v>-33</v>
      </c>
      <c r="K15" s="129">
        <f>+'[4]Joe''s Comm Credit'!K16</f>
        <v>-33</v>
      </c>
      <c r="L15" s="129">
        <f>+'[4]Joe''s Comm Credit'!L16</f>
        <v>-33</v>
      </c>
      <c r="M15" s="129">
        <f>+'[4]Joe''s Comm Credit'!M16</f>
        <v>-33</v>
      </c>
      <c r="N15" s="17"/>
      <c r="O15" s="24"/>
    </row>
    <row r="17" spans="1:19" x14ac:dyDescent="0.2">
      <c r="A17" s="3" t="s">
        <v>53</v>
      </c>
    </row>
    <row r="18" spans="1:19" x14ac:dyDescent="0.2">
      <c r="A18" s="68" t="s">
        <v>51</v>
      </c>
      <c r="B18" s="34">
        <f>B9*B14</f>
        <v>-79.327924768929094</v>
      </c>
      <c r="C18" s="34">
        <f t="shared" ref="C18:M18" si="1">C9*C14</f>
        <v>-2079.736215545779</v>
      </c>
      <c r="D18" s="34">
        <f t="shared" si="1"/>
        <v>-4138.7547744116</v>
      </c>
      <c r="E18" s="34">
        <f t="shared" si="1"/>
        <v>-3326.2774181759246</v>
      </c>
      <c r="F18" s="34">
        <f t="shared" si="1"/>
        <v>-2705.9906663101133</v>
      </c>
      <c r="G18" s="34">
        <f t="shared" si="1"/>
        <v>-2049.6294022083421</v>
      </c>
      <c r="H18" s="34">
        <f t="shared" si="1"/>
        <v>-2366.4334338997905</v>
      </c>
      <c r="I18" s="34">
        <f t="shared" si="1"/>
        <v>-2264.2846341113423</v>
      </c>
      <c r="J18" s="34">
        <f t="shared" si="1"/>
        <v>-3389.6634226264846</v>
      </c>
      <c r="K18" s="34">
        <f t="shared" si="1"/>
        <v>-5019.879258494545</v>
      </c>
      <c r="L18" s="34">
        <f t="shared" si="1"/>
        <v>-9276.8936149141828</v>
      </c>
      <c r="M18" s="34">
        <f t="shared" si="1"/>
        <v>-8951.4004905520724</v>
      </c>
      <c r="N18" s="11">
        <f>SUM(B18:M18)</f>
        <v>-45648.271256019107</v>
      </c>
      <c r="O18" s="14"/>
      <c r="Q18" s="1" t="s">
        <v>48</v>
      </c>
    </row>
    <row r="19" spans="1:19" x14ac:dyDescent="0.2">
      <c r="A19" s="1" t="s">
        <v>11</v>
      </c>
      <c r="B19" s="34">
        <f>+B15*B10</f>
        <v>-273.90000000000003</v>
      </c>
      <c r="C19" s="34">
        <f t="shared" ref="C19:M19" si="2">+C15*C10</f>
        <v>-195.69</v>
      </c>
      <c r="D19" s="34">
        <f t="shared" si="2"/>
        <v>-383.79</v>
      </c>
      <c r="E19" s="34">
        <f t="shared" si="2"/>
        <v>-262.02000000000004</v>
      </c>
      <c r="F19" s="34">
        <f t="shared" si="2"/>
        <v>-333.3</v>
      </c>
      <c r="G19" s="34">
        <f t="shared" si="2"/>
        <v>-252.11999999999998</v>
      </c>
      <c r="H19" s="34">
        <f t="shared" si="2"/>
        <v>-284.13</v>
      </c>
      <c r="I19" s="34">
        <f t="shared" si="2"/>
        <v>-331.65000000000003</v>
      </c>
      <c r="J19" s="34">
        <f t="shared" si="2"/>
        <v>-261.69</v>
      </c>
      <c r="K19" s="34">
        <f t="shared" si="2"/>
        <v>-292.38</v>
      </c>
      <c r="L19" s="34">
        <f t="shared" si="2"/>
        <v>-273.57</v>
      </c>
      <c r="M19" s="34">
        <f t="shared" si="2"/>
        <v>-278.19</v>
      </c>
      <c r="N19" s="11">
        <f>SUM(B19:M19)</f>
        <v>-3422.4300000000003</v>
      </c>
      <c r="O19" s="38"/>
      <c r="Q19" s="1" t="s">
        <v>48</v>
      </c>
    </row>
    <row r="20" spans="1:19" s="3" customFormat="1" x14ac:dyDescent="0.2">
      <c r="A20" s="134" t="s">
        <v>58</v>
      </c>
      <c r="B20" s="135">
        <f>+B18+B19</f>
        <v>-353.22792476892914</v>
      </c>
      <c r="C20" s="135">
        <f>+C18+C19</f>
        <v>-2275.4262155457791</v>
      </c>
      <c r="D20" s="135">
        <f t="shared" ref="D20:I20" si="3">+D18+D19</f>
        <v>-4522.5447744116</v>
      </c>
      <c r="E20" s="135">
        <f t="shared" si="3"/>
        <v>-3588.2974181759246</v>
      </c>
      <c r="F20" s="135">
        <f t="shared" si="3"/>
        <v>-3039.2906663101135</v>
      </c>
      <c r="G20" s="135">
        <f t="shared" si="3"/>
        <v>-2301.749402208342</v>
      </c>
      <c r="H20" s="135">
        <f t="shared" si="3"/>
        <v>-2650.5634338997907</v>
      </c>
      <c r="I20" s="135">
        <f t="shared" si="3"/>
        <v>-2595.9346341113423</v>
      </c>
      <c r="J20" s="135">
        <f>+J18+J19</f>
        <v>-3651.3534226264846</v>
      </c>
      <c r="K20" s="135">
        <f>+K18+K19</f>
        <v>-5312.2592584945451</v>
      </c>
      <c r="L20" s="135">
        <f>+L18+L19</f>
        <v>-9550.4636149141825</v>
      </c>
      <c r="M20" s="135">
        <f>+M18+M19</f>
        <v>-9229.5904905520729</v>
      </c>
      <c r="N20" s="135">
        <f>SUM(N18:N19)</f>
        <v>-49070.701256019107</v>
      </c>
      <c r="O20" s="63"/>
      <c r="P20" s="64">
        <f>+'[2]Joe''s Comm Credit'!$N$21-N20</f>
        <v>0</v>
      </c>
      <c r="R20" s="3" t="e">
        <f>-GETPIVOTDATA("Amount",'[3]JE Query'!$L$115,"Abreviated  Description","Joe SF Reg")</f>
        <v>#REF!</v>
      </c>
      <c r="S20" s="140" t="e">
        <f>+R20-N20</f>
        <v>#REF!</v>
      </c>
    </row>
    <row r="21" spans="1:19" x14ac:dyDescent="0.2">
      <c r="B21" s="12"/>
      <c r="C21" s="12"/>
      <c r="D21" s="12"/>
      <c r="E21" s="12"/>
      <c r="F21" s="12"/>
      <c r="G21" s="12"/>
      <c r="H21" s="12"/>
      <c r="I21" s="12"/>
      <c r="J21" s="12"/>
      <c r="K21" s="12"/>
      <c r="L21" s="12"/>
      <c r="M21" s="12"/>
      <c r="N21" s="12"/>
    </row>
    <row r="22" spans="1:19" s="5" customFormat="1" x14ac:dyDescent="0.2">
      <c r="A22" s="3" t="s">
        <v>6</v>
      </c>
      <c r="B22" s="81">
        <f>+'[2]Joe''s Comm Credit'!B23</f>
        <v>4423</v>
      </c>
      <c r="C22" s="81">
        <f>+'[2]Joe''s Comm Credit'!C23</f>
        <v>4488</v>
      </c>
      <c r="D22" s="81">
        <f>+'[2]Joe''s Comm Credit'!D23</f>
        <v>4459</v>
      </c>
      <c r="E22" s="81">
        <f>+'[2]Joe''s Comm Credit'!E23</f>
        <v>4447</v>
      </c>
      <c r="F22" s="81">
        <f>+'[2]Joe''s Comm Credit'!F23</f>
        <v>4478</v>
      </c>
      <c r="G22" s="81">
        <f>+'[2]Joe''s Comm Credit'!G23</f>
        <v>4495</v>
      </c>
      <c r="H22" s="81">
        <f>+'[2]Joe''s Comm Credit'!H23</f>
        <v>4481</v>
      </c>
      <c r="I22" s="81">
        <f>+'[2]Joe''s Comm Credit'!I23</f>
        <v>4502</v>
      </c>
      <c r="J22" s="81">
        <f>+'[2]Joe''s Comm Credit'!J23</f>
        <v>4518</v>
      </c>
      <c r="K22" s="81">
        <f>+'[2]Joe''s Comm Credit'!K23</f>
        <v>4575</v>
      </c>
      <c r="L22" s="81">
        <f>+'[2]Joe''s Comm Credit'!L23</f>
        <v>4587</v>
      </c>
      <c r="M22" s="81">
        <f>+'[2]Joe''s Comm Credit'!M23</f>
        <v>4594</v>
      </c>
      <c r="N22" s="7">
        <f>SUM(B22:M22)</f>
        <v>54047</v>
      </c>
      <c r="P22" s="81">
        <f>+'[2]Joe''s Comm Credit'!$N$23-N22</f>
        <v>0</v>
      </c>
      <c r="Q22" s="14"/>
    </row>
    <row r="23" spans="1:19" s="5" customFormat="1" x14ac:dyDescent="0.2">
      <c r="N23" s="7"/>
      <c r="Q23" s="14"/>
    </row>
    <row r="24" spans="1:19" x14ac:dyDescent="0.2">
      <c r="A24" s="1" t="s">
        <v>59</v>
      </c>
      <c r="B24" s="16">
        <f t="shared" ref="B24:M24" si="4">+IFERROR(B20/B22,0)</f>
        <v>-7.9861615367155581E-2</v>
      </c>
      <c r="C24" s="16">
        <f t="shared" si="4"/>
        <v>-0.50700227619112725</v>
      </c>
      <c r="D24" s="16">
        <f t="shared" si="4"/>
        <v>-1.0142509025368021</v>
      </c>
      <c r="E24" s="16">
        <f t="shared" si="4"/>
        <v>-0.80690294989339428</v>
      </c>
      <c r="F24" s="16">
        <f t="shared" si="4"/>
        <v>-0.67871609341449612</v>
      </c>
      <c r="G24" s="16">
        <f t="shared" si="4"/>
        <v>-0.51206883252688362</v>
      </c>
      <c r="H24" s="16">
        <f t="shared" si="4"/>
        <v>-0.59151158980133689</v>
      </c>
      <c r="I24" s="16">
        <f t="shared" si="4"/>
        <v>-0.57661808842988505</v>
      </c>
      <c r="J24" s="16">
        <f t="shared" si="4"/>
        <v>-0.80817915507447646</v>
      </c>
      <c r="K24" s="16">
        <f t="shared" si="4"/>
        <v>-1.1611495646982612</v>
      </c>
      <c r="L24" s="16">
        <f t="shared" si="4"/>
        <v>-2.0820718584944804</v>
      </c>
      <c r="M24" s="16">
        <f t="shared" si="4"/>
        <v>-2.0090532195368032</v>
      </c>
      <c r="N24" s="17"/>
      <c r="O24" s="37"/>
    </row>
    <row r="25" spans="1:19" x14ac:dyDescent="0.2">
      <c r="A25" s="1" t="s">
        <v>55</v>
      </c>
      <c r="B25" s="88">
        <f>+'Joe''s CPA Eff. 1.1.2022'!$M$25</f>
        <v>-1.72</v>
      </c>
      <c r="C25" s="88">
        <f>+'Joe''s CPA Eff. 1.1.2022'!$M$25</f>
        <v>-1.72</v>
      </c>
      <c r="D25" s="88">
        <f>+'Joe''s CPA Eff. 1.1.2022'!$N$29</f>
        <v>-0.57999999999999996</v>
      </c>
      <c r="E25" s="88">
        <f>+'Joe''s CPA Eff. 1.1.2022'!$N$29</f>
        <v>-0.57999999999999996</v>
      </c>
      <c r="F25" s="88">
        <f>+'Joe''s CPA Eff. 1.1.2022'!$N$29</f>
        <v>-0.57999999999999996</v>
      </c>
      <c r="G25" s="88">
        <f>+'Joe''s CPA Eff. 1.1.2022'!$N$29</f>
        <v>-0.57999999999999996</v>
      </c>
      <c r="H25" s="88">
        <f>+'Joe''s CPA Eff. 1.1.2022'!$N$29</f>
        <v>-0.57999999999999996</v>
      </c>
      <c r="I25" s="88">
        <f>+'Joe''s CPA Eff. 1.1.2022'!$N$29</f>
        <v>-0.57999999999999996</v>
      </c>
      <c r="J25" s="88">
        <f>+'Joe''s CPA Eff. 1.1.2022'!$N$29</f>
        <v>-0.57999999999999996</v>
      </c>
      <c r="K25" s="88">
        <f>+'Joe''s CPA Eff. 1.1.2022'!$N$29</f>
        <v>-0.57999999999999996</v>
      </c>
      <c r="L25" s="88">
        <f>+'Joe''s CPA Eff. 1.1.2022'!$N$29</f>
        <v>-0.57999999999999996</v>
      </c>
      <c r="M25" s="88">
        <f>+'Joe''s CPA Eff. 1.1.2022'!$N$29</f>
        <v>-0.57999999999999996</v>
      </c>
      <c r="N25" s="17"/>
      <c r="O25" s="19"/>
    </row>
    <row r="26" spans="1:19" x14ac:dyDescent="0.2">
      <c r="A26" s="1" t="s">
        <v>56</v>
      </c>
      <c r="B26" s="10">
        <f>+B22*B25</f>
        <v>-7607.5599999999995</v>
      </c>
      <c r="C26" s="10">
        <f t="shared" ref="C26:M26" si="5">+C22*C25</f>
        <v>-7719.36</v>
      </c>
      <c r="D26" s="10">
        <f t="shared" si="5"/>
        <v>-2586.2199999999998</v>
      </c>
      <c r="E26" s="10">
        <f t="shared" si="5"/>
        <v>-2579.2599999999998</v>
      </c>
      <c r="F26" s="10">
        <f t="shared" si="5"/>
        <v>-2597.2399999999998</v>
      </c>
      <c r="G26" s="10">
        <f t="shared" si="5"/>
        <v>-2607.1</v>
      </c>
      <c r="H26" s="10">
        <f t="shared" si="5"/>
        <v>-2598.98</v>
      </c>
      <c r="I26" s="10">
        <f t="shared" si="5"/>
        <v>-2611.16</v>
      </c>
      <c r="J26" s="10">
        <f t="shared" si="5"/>
        <v>-2620.4399999999996</v>
      </c>
      <c r="K26" s="10">
        <f t="shared" si="5"/>
        <v>-2653.5</v>
      </c>
      <c r="L26" s="10">
        <f t="shared" si="5"/>
        <v>-2660.46</v>
      </c>
      <c r="M26" s="10">
        <f t="shared" si="5"/>
        <v>-2664.52</v>
      </c>
      <c r="N26" s="17"/>
      <c r="O26" s="19"/>
    </row>
    <row r="27" spans="1:19" ht="13.5" thickBot="1" x14ac:dyDescent="0.25">
      <c r="A27" s="133" t="s">
        <v>57</v>
      </c>
      <c r="B27" s="136">
        <f>+B26-B20</f>
        <v>-7254.3320752310701</v>
      </c>
      <c r="C27" s="136">
        <f t="shared" ref="C27:M27" si="6">+C26-C20</f>
        <v>-5443.9337844542206</v>
      </c>
      <c r="D27" s="136">
        <f t="shared" si="6"/>
        <v>1936.3247744116002</v>
      </c>
      <c r="E27" s="136">
        <f t="shared" si="6"/>
        <v>1009.0374181759248</v>
      </c>
      <c r="F27" s="136">
        <f t="shared" si="6"/>
        <v>442.05066631011368</v>
      </c>
      <c r="G27" s="136">
        <f t="shared" si="6"/>
        <v>-305.35059779165795</v>
      </c>
      <c r="H27" s="136">
        <f t="shared" si="6"/>
        <v>51.583433899790634</v>
      </c>
      <c r="I27" s="136">
        <f t="shared" si="6"/>
        <v>-15.225365888657507</v>
      </c>
      <c r="J27" s="136">
        <f t="shared" si="6"/>
        <v>1030.913422626485</v>
      </c>
      <c r="K27" s="136">
        <f t="shared" si="6"/>
        <v>2658.7592584945451</v>
      </c>
      <c r="L27" s="136">
        <f t="shared" si="6"/>
        <v>6890.0036149141824</v>
      </c>
      <c r="M27" s="136">
        <f t="shared" si="6"/>
        <v>6565.0704905520724</v>
      </c>
      <c r="N27" s="136">
        <f>SUM(B27:M27)</f>
        <v>7564.9012560191068</v>
      </c>
      <c r="O27" s="5"/>
      <c r="P27" s="31">
        <f>+'[4]Joe''s Comm Credit'!$N$27-N27</f>
        <v>54023.216466859492</v>
      </c>
      <c r="Q27" s="130" t="s">
        <v>44</v>
      </c>
    </row>
    <row r="28" spans="1:19" x14ac:dyDescent="0.2">
      <c r="B28" s="5"/>
      <c r="C28" s="5"/>
      <c r="D28" s="5"/>
      <c r="E28" s="5"/>
      <c r="F28" s="5"/>
      <c r="G28" s="5"/>
      <c r="H28" s="5"/>
      <c r="I28" s="5"/>
      <c r="J28" s="5"/>
      <c r="K28" s="5"/>
      <c r="L28" s="5"/>
      <c r="M28" s="5"/>
      <c r="N28" s="21"/>
    </row>
    <row r="29" spans="1:19" x14ac:dyDescent="0.2">
      <c r="B29" s="45"/>
      <c r="C29" s="45"/>
      <c r="D29" s="45"/>
      <c r="E29" s="45"/>
      <c r="F29" s="45"/>
      <c r="G29" s="45"/>
      <c r="H29" s="45"/>
      <c r="I29" s="45"/>
      <c r="J29" s="45"/>
      <c r="K29" s="45"/>
      <c r="L29" s="45"/>
      <c r="M29" s="72" t="s">
        <v>19</v>
      </c>
      <c r="N29" s="17">
        <f>ROUND(N27/N22,2)</f>
        <v>0.14000000000000001</v>
      </c>
      <c r="P29" s="31"/>
    </row>
    <row r="30" spans="1:19" x14ac:dyDescent="0.2">
      <c r="B30" s="49"/>
      <c r="C30" s="49"/>
      <c r="D30" s="49"/>
      <c r="E30" s="49"/>
      <c r="F30" s="49"/>
      <c r="G30" s="49"/>
      <c r="H30" s="49"/>
      <c r="I30" s="49"/>
      <c r="J30" s="49"/>
      <c r="K30" s="49"/>
      <c r="L30" s="22"/>
      <c r="M30" s="72" t="s">
        <v>60</v>
      </c>
      <c r="N30" s="120">
        <f>-ROUND(N20/N22,2)</f>
        <v>0.91</v>
      </c>
      <c r="P30" s="31"/>
    </row>
    <row r="31" spans="1:19" x14ac:dyDescent="0.2">
      <c r="B31" s="49"/>
      <c r="C31" s="22"/>
      <c r="D31" s="22"/>
      <c r="E31" s="22"/>
      <c r="F31" s="22"/>
      <c r="G31" s="22"/>
      <c r="H31" s="22"/>
      <c r="I31" s="22"/>
      <c r="J31" s="22"/>
      <c r="K31" s="22"/>
      <c r="L31" s="22"/>
      <c r="M31" s="73" t="s">
        <v>41</v>
      </c>
      <c r="N31" s="44">
        <f>SUM(N29:N30)</f>
        <v>1.05</v>
      </c>
      <c r="P31" s="31"/>
    </row>
    <row r="32" spans="1:19" ht="15" x14ac:dyDescent="0.25">
      <c r="B32" s="127"/>
      <c r="C32" s="22"/>
      <c r="D32" s="22"/>
      <c r="E32" s="22"/>
      <c r="F32" s="22"/>
      <c r="G32" s="22"/>
      <c r="H32" s="22"/>
      <c r="I32" s="22"/>
      <c r="J32" s="22"/>
      <c r="K32" s="22"/>
      <c r="L32" s="22"/>
      <c r="M32" s="22"/>
      <c r="N32" s="44"/>
    </row>
    <row r="33" spans="1:17" x14ac:dyDescent="0.2">
      <c r="B33" s="126"/>
      <c r="C33" s="22"/>
      <c r="D33" s="22"/>
      <c r="E33" s="22"/>
      <c r="F33" s="22"/>
      <c r="G33" s="22"/>
      <c r="H33" s="22"/>
      <c r="I33" s="22"/>
      <c r="M33" s="72" t="s">
        <v>42</v>
      </c>
      <c r="N33" s="98">
        <f>+'Joe''s CPA Eff. 1.1.2022'!N30</f>
        <v>-0.57999999999999996</v>
      </c>
      <c r="O33" s="13"/>
      <c r="P33" s="8"/>
    </row>
    <row r="34" spans="1:17" x14ac:dyDescent="0.2">
      <c r="M34" s="72" t="s">
        <v>9</v>
      </c>
      <c r="N34" s="17">
        <f>+N31-N33</f>
        <v>1.63</v>
      </c>
      <c r="O34" s="71">
        <f>N34/N33</f>
        <v>-2.8103448275862069</v>
      </c>
    </row>
    <row r="35" spans="1:17" x14ac:dyDescent="0.2">
      <c r="M35" s="72" t="s">
        <v>34</v>
      </c>
      <c r="N35" s="11">
        <f>N34*N22</f>
        <v>88096.61</v>
      </c>
      <c r="O35" s="13"/>
      <c r="P35" s="8"/>
    </row>
    <row r="36" spans="1:17" x14ac:dyDescent="0.2">
      <c r="A36" s="65"/>
      <c r="N36" s="23"/>
    </row>
    <row r="37" spans="1:17" x14ac:dyDescent="0.2">
      <c r="A37" s="65"/>
      <c r="B37" s="3"/>
      <c r="C37" s="3"/>
      <c r="D37" s="3"/>
      <c r="E37" s="3"/>
      <c r="F37" s="3"/>
      <c r="G37" s="3"/>
      <c r="H37" s="3"/>
      <c r="I37" s="3"/>
      <c r="J37" s="3"/>
      <c r="K37" s="3"/>
      <c r="L37" s="3"/>
      <c r="M37" s="3"/>
      <c r="N37" s="40" t="s">
        <v>27</v>
      </c>
      <c r="O37" s="33"/>
    </row>
    <row r="38" spans="1:17" ht="13.5" thickBot="1" x14ac:dyDescent="0.25">
      <c r="A38" s="60" t="s">
        <v>13</v>
      </c>
      <c r="B38" s="28">
        <f t="shared" ref="B38:M38" si="7">B6</f>
        <v>44501</v>
      </c>
      <c r="C38" s="28">
        <f t="shared" si="7"/>
        <v>44532</v>
      </c>
      <c r="D38" s="28">
        <f t="shared" si="7"/>
        <v>44563</v>
      </c>
      <c r="E38" s="28">
        <f t="shared" si="7"/>
        <v>44594</v>
      </c>
      <c r="F38" s="28">
        <f t="shared" si="7"/>
        <v>44625</v>
      </c>
      <c r="G38" s="28">
        <f t="shared" si="7"/>
        <v>44656</v>
      </c>
      <c r="H38" s="28">
        <f t="shared" si="7"/>
        <v>44687</v>
      </c>
      <c r="I38" s="28">
        <f t="shared" si="7"/>
        <v>44718</v>
      </c>
      <c r="J38" s="28">
        <f t="shared" si="7"/>
        <v>44749</v>
      </c>
      <c r="K38" s="28">
        <f t="shared" si="7"/>
        <v>44780</v>
      </c>
      <c r="L38" s="28">
        <f t="shared" si="7"/>
        <v>44811</v>
      </c>
      <c r="M38" s="28">
        <f t="shared" si="7"/>
        <v>44842</v>
      </c>
      <c r="N38" s="58" t="s">
        <v>1</v>
      </c>
      <c r="O38" s="38"/>
      <c r="P38" s="67"/>
    </row>
    <row r="39" spans="1:17" x14ac:dyDescent="0.2">
      <c r="A39" s="60"/>
      <c r="B39" s="4"/>
      <c r="C39" s="4"/>
      <c r="D39" s="4"/>
      <c r="E39" s="4"/>
      <c r="F39" s="4"/>
      <c r="G39" s="4"/>
      <c r="H39" s="4"/>
      <c r="I39" s="4"/>
      <c r="J39" s="4"/>
      <c r="K39" s="4"/>
      <c r="L39" s="4"/>
      <c r="M39" s="4"/>
      <c r="N39" s="40"/>
      <c r="O39" s="38"/>
      <c r="P39" s="67"/>
    </row>
    <row r="40" spans="1:17" x14ac:dyDescent="0.2">
      <c r="A40" s="3" t="s">
        <v>2</v>
      </c>
      <c r="N40" s="23"/>
    </row>
    <row r="41" spans="1:17" x14ac:dyDescent="0.2">
      <c r="A41" s="1" t="s">
        <v>51</v>
      </c>
      <c r="B41" s="79">
        <f>+'[2]Joe''s Comm Credit'!B39</f>
        <v>5.1247083775185605</v>
      </c>
      <c r="C41" s="79">
        <f>+'[2]Joe''s Comm Credit'!C39</f>
        <v>4.8162814070351772</v>
      </c>
      <c r="D41" s="79">
        <f>+'[2]Joe''s Comm Credit'!D39</f>
        <v>6.2725332769913393</v>
      </c>
      <c r="E41" s="79">
        <f>+'[2]Joe''s Comm Credit'!E39</f>
        <v>5.183391763463562</v>
      </c>
      <c r="F41" s="79">
        <f>+'[2]Joe''s Comm Credit'!F39</f>
        <v>5.9714981116240011</v>
      </c>
      <c r="G41" s="79">
        <f>+'[2]Joe''s Comm Credit'!G39</f>
        <v>5.2210913652519224</v>
      </c>
      <c r="H41" s="79">
        <f>+'[2]Joe''s Comm Credit'!H39</f>
        <v>5.2359706190975857</v>
      </c>
      <c r="I41" s="79">
        <f>+'[2]Joe''s Comm Credit'!I39</f>
        <v>4.0704930018800951</v>
      </c>
      <c r="J41" s="79">
        <f>+'[2]Joe''s Comm Credit'!J39</f>
        <v>4.2871642723297896</v>
      </c>
      <c r="K41" s="79">
        <f>+'[2]Joe''s Comm Credit'!K39</f>
        <v>4.7798970981683482</v>
      </c>
      <c r="L41" s="79">
        <f>+'[2]Joe''s Comm Credit'!L39</f>
        <v>4.9640238144118314</v>
      </c>
      <c r="M41" s="79">
        <f>+'[2]Joe''s Comm Credit'!M39</f>
        <v>3.8419762197621949</v>
      </c>
      <c r="N41" s="27">
        <f t="shared" ref="N41:N42" si="8">SUM(B41:M41)</f>
        <v>59.769029327534405</v>
      </c>
      <c r="P41" s="31"/>
    </row>
    <row r="42" spans="1:17" x14ac:dyDescent="0.2">
      <c r="A42" s="1" t="s">
        <v>11</v>
      </c>
      <c r="B42" s="79">
        <f>+'[2]Joe''s Comm Credit'!B40</f>
        <v>0.47</v>
      </c>
      <c r="C42" s="79">
        <f>+'[2]Joe''s Comm Credit'!C40</f>
        <v>0.34</v>
      </c>
      <c r="D42" s="79">
        <f>+'[2]Joe''s Comm Credit'!D40</f>
        <v>0.65</v>
      </c>
      <c r="E42" s="79">
        <f>+'[2]Joe''s Comm Credit'!E40</f>
        <v>0.45</v>
      </c>
      <c r="F42" s="79">
        <f>+'[2]Joe''s Comm Credit'!F40</f>
        <v>0.56000000000000005</v>
      </c>
      <c r="G42" s="79">
        <f>+'[2]Joe''s Comm Credit'!G40</f>
        <v>0.42</v>
      </c>
      <c r="H42" s="79">
        <f>+'[2]Joe''s Comm Credit'!H40</f>
        <v>0.47</v>
      </c>
      <c r="I42" s="79">
        <f>+'[2]Joe''s Comm Credit'!I40</f>
        <v>0.55000000000000004</v>
      </c>
      <c r="J42" s="79">
        <f>+'[2]Joe''s Comm Credit'!J40</f>
        <v>0.44</v>
      </c>
      <c r="K42" s="79">
        <f>+'[2]Joe''s Comm Credit'!K40</f>
        <v>0.48</v>
      </c>
      <c r="L42" s="79">
        <f>+'[2]Joe''s Comm Credit'!L40</f>
        <v>0.45</v>
      </c>
      <c r="M42" s="79">
        <f>+'[2]Joe''s Comm Credit'!M40</f>
        <v>0.46</v>
      </c>
      <c r="N42" s="27">
        <f t="shared" si="8"/>
        <v>5.74</v>
      </c>
      <c r="O42" s="69"/>
      <c r="P42" s="31"/>
    </row>
    <row r="43" spans="1:17" x14ac:dyDescent="0.2">
      <c r="A43" s="3" t="s">
        <v>12</v>
      </c>
      <c r="B43" s="29">
        <f t="shared" ref="B43:M43" si="9">SUM(B41:B42)</f>
        <v>5.5947083775185602</v>
      </c>
      <c r="C43" s="29">
        <f t="shared" si="9"/>
        <v>5.156281407035177</v>
      </c>
      <c r="D43" s="29">
        <f t="shared" si="9"/>
        <v>6.9225332769913397</v>
      </c>
      <c r="E43" s="29">
        <f t="shared" si="9"/>
        <v>5.6333917634635622</v>
      </c>
      <c r="F43" s="29">
        <f t="shared" si="9"/>
        <v>6.5314981116240016</v>
      </c>
      <c r="G43" s="29">
        <f t="shared" si="9"/>
        <v>5.6410913652519223</v>
      </c>
      <c r="H43" s="29">
        <f t="shared" si="9"/>
        <v>5.7059706190975854</v>
      </c>
      <c r="I43" s="29">
        <f t="shared" si="9"/>
        <v>4.6204930018800949</v>
      </c>
      <c r="J43" s="29">
        <f t="shared" si="9"/>
        <v>4.72716427232979</v>
      </c>
      <c r="K43" s="29">
        <f t="shared" si="9"/>
        <v>5.2598970981683486</v>
      </c>
      <c r="L43" s="29">
        <f>SUM(L41:L42)</f>
        <v>5.4140238144118316</v>
      </c>
      <c r="M43" s="29">
        <f t="shared" si="9"/>
        <v>4.3019762197621949</v>
      </c>
      <c r="N43" s="30">
        <f>SUM(N41:N42)</f>
        <v>65.509029327534407</v>
      </c>
      <c r="P43" s="31">
        <f>+'[2]Joe''s Comm Credit'!$N$41-N43</f>
        <v>0</v>
      </c>
    </row>
    <row r="44" spans="1:17" x14ac:dyDescent="0.2">
      <c r="B44" s="2"/>
      <c r="C44" s="2"/>
      <c r="D44" s="2"/>
      <c r="E44" s="2"/>
      <c r="F44" s="2"/>
      <c r="G44" s="2"/>
      <c r="H44" s="2"/>
      <c r="I44" s="2"/>
      <c r="J44" s="2"/>
      <c r="K44" s="2"/>
      <c r="L44" s="2"/>
      <c r="M44" s="2"/>
      <c r="N44" s="31"/>
    </row>
    <row r="45" spans="1:17" x14ac:dyDescent="0.2">
      <c r="A45" s="3" t="s">
        <v>52</v>
      </c>
    </row>
    <row r="46" spans="1:17" x14ac:dyDescent="0.2">
      <c r="A46" s="23" t="s">
        <v>51</v>
      </c>
      <c r="B46" s="129">
        <f t="shared" ref="B46:M46" si="10">+B14</f>
        <v>-1.0219340000000019</v>
      </c>
      <c r="C46" s="129">
        <f t="shared" si="10"/>
        <v>-27.709968999999997</v>
      </c>
      <c r="D46" s="129">
        <f t="shared" si="10"/>
        <v>-40.545234000000001</v>
      </c>
      <c r="E46" s="129">
        <f t="shared" si="10"/>
        <v>-41.559449999999998</v>
      </c>
      <c r="F46" s="129">
        <f t="shared" si="10"/>
        <v>-29.144149999999993</v>
      </c>
      <c r="G46" s="129">
        <f t="shared" si="10"/>
        <v>-25.152250000000006</v>
      </c>
      <c r="H46" s="129">
        <f t="shared" si="10"/>
        <v>-28.64445000000001</v>
      </c>
      <c r="I46" s="129">
        <f t="shared" si="10"/>
        <v>-35.214649999999985</v>
      </c>
      <c r="J46" s="129">
        <f t="shared" si="10"/>
        <v>-49.875250000000015</v>
      </c>
      <c r="K46" s="129">
        <f t="shared" si="10"/>
        <v>-65.193149999999989</v>
      </c>
      <c r="L46" s="129">
        <f t="shared" si="10"/>
        <v>-115.70665</v>
      </c>
      <c r="M46" s="129">
        <f t="shared" si="10"/>
        <v>-144.03354999999999</v>
      </c>
    </row>
    <row r="47" spans="1:17" x14ac:dyDescent="0.2">
      <c r="A47" s="1" t="s">
        <v>11</v>
      </c>
      <c r="B47" s="129">
        <f t="shared" ref="B47:M47" si="11">+B15</f>
        <v>-33</v>
      </c>
      <c r="C47" s="129">
        <f t="shared" si="11"/>
        <v>-33</v>
      </c>
      <c r="D47" s="129">
        <f t="shared" si="11"/>
        <v>-33</v>
      </c>
      <c r="E47" s="129">
        <f t="shared" si="11"/>
        <v>-33</v>
      </c>
      <c r="F47" s="129">
        <f t="shared" si="11"/>
        <v>-33</v>
      </c>
      <c r="G47" s="129">
        <f t="shared" si="11"/>
        <v>-33</v>
      </c>
      <c r="H47" s="129">
        <f t="shared" si="11"/>
        <v>-33</v>
      </c>
      <c r="I47" s="129">
        <f t="shared" si="11"/>
        <v>-33</v>
      </c>
      <c r="J47" s="129">
        <f t="shared" si="11"/>
        <v>-33</v>
      </c>
      <c r="K47" s="129">
        <f t="shared" si="11"/>
        <v>-33</v>
      </c>
      <c r="L47" s="129">
        <f t="shared" si="11"/>
        <v>-33</v>
      </c>
      <c r="M47" s="129">
        <f t="shared" si="11"/>
        <v>-33</v>
      </c>
      <c r="Q47" s="1" t="s">
        <v>45</v>
      </c>
    </row>
    <row r="48" spans="1:17" x14ac:dyDescent="0.2">
      <c r="B48" s="2"/>
      <c r="C48" s="2"/>
      <c r="D48" s="2"/>
      <c r="E48" s="2"/>
      <c r="F48" s="2"/>
      <c r="G48" s="2"/>
      <c r="H48" s="2"/>
      <c r="I48" s="2"/>
      <c r="J48" s="2"/>
      <c r="K48" s="2"/>
      <c r="L48" s="2"/>
      <c r="M48" s="2"/>
    </row>
    <row r="49" spans="1:17" x14ac:dyDescent="0.2">
      <c r="A49" s="3" t="s">
        <v>53</v>
      </c>
      <c r="B49" s="2"/>
      <c r="C49" s="2"/>
      <c r="D49" s="2"/>
      <c r="E49" s="2"/>
      <c r="F49" s="2"/>
      <c r="G49" s="2"/>
      <c r="H49" s="2"/>
      <c r="I49" s="2"/>
      <c r="J49" s="2"/>
      <c r="K49" s="2"/>
      <c r="L49" s="2"/>
      <c r="M49" s="2"/>
    </row>
    <row r="50" spans="1:17" x14ac:dyDescent="0.2">
      <c r="A50" s="68" t="s">
        <v>51</v>
      </c>
      <c r="B50" s="10">
        <f t="shared" ref="B50:M50" si="12">+B41*B46</f>
        <v>-5.2371137310710623</v>
      </c>
      <c r="C50" s="10">
        <f t="shared" si="12"/>
        <v>-133.45900848422113</v>
      </c>
      <c r="D50" s="10">
        <f t="shared" si="12"/>
        <v>-254.32132948840066</v>
      </c>
      <c r="E50" s="10">
        <f t="shared" si="12"/>
        <v>-215.41891082407571</v>
      </c>
      <c r="F50" s="10">
        <f t="shared" si="12"/>
        <v>-174.0342366898866</v>
      </c>
      <c r="G50" s="10">
        <f t="shared" si="12"/>
        <v>-131.32219529165769</v>
      </c>
      <c r="H50" s="10">
        <f t="shared" si="12"/>
        <v>-149.98149860020987</v>
      </c>
      <c r="I50" s="10">
        <f t="shared" si="12"/>
        <v>-143.34098638865683</v>
      </c>
      <c r="J50" s="10">
        <f t="shared" si="12"/>
        <v>-213.82338987351639</v>
      </c>
      <c r="K50" s="10">
        <f t="shared" si="12"/>
        <v>-311.61654850545381</v>
      </c>
      <c r="L50" s="10">
        <f t="shared" si="12"/>
        <v>-574.37056608581474</v>
      </c>
      <c r="M50" s="10">
        <f t="shared" si="12"/>
        <v>-553.37347394792903</v>
      </c>
      <c r="N50" s="11">
        <f>SUM(B50:M50)</f>
        <v>-2860.2992579108936</v>
      </c>
      <c r="Q50" s="1" t="s">
        <v>48</v>
      </c>
    </row>
    <row r="51" spans="1:17" x14ac:dyDescent="0.2">
      <c r="A51" s="1" t="s">
        <v>11</v>
      </c>
      <c r="B51" s="10">
        <f t="shared" ref="B51:M51" si="13">+B47*B42</f>
        <v>-15.51</v>
      </c>
      <c r="C51" s="10">
        <f t="shared" si="13"/>
        <v>-11.22</v>
      </c>
      <c r="D51" s="10">
        <f t="shared" si="13"/>
        <v>-21.45</v>
      </c>
      <c r="E51" s="10">
        <f t="shared" si="13"/>
        <v>-14.85</v>
      </c>
      <c r="F51" s="10">
        <f t="shared" si="13"/>
        <v>-18.48</v>
      </c>
      <c r="G51" s="10">
        <f t="shared" si="13"/>
        <v>-13.86</v>
      </c>
      <c r="H51" s="10">
        <f t="shared" si="13"/>
        <v>-15.51</v>
      </c>
      <c r="I51" s="10">
        <f t="shared" si="13"/>
        <v>-18.150000000000002</v>
      </c>
      <c r="J51" s="10">
        <f t="shared" si="13"/>
        <v>-14.52</v>
      </c>
      <c r="K51" s="10">
        <f t="shared" si="13"/>
        <v>-15.84</v>
      </c>
      <c r="L51" s="10">
        <f t="shared" si="13"/>
        <v>-14.85</v>
      </c>
      <c r="M51" s="10">
        <f t="shared" si="13"/>
        <v>-15.180000000000001</v>
      </c>
      <c r="N51" s="11">
        <f>SUM(B51:M51)</f>
        <v>-189.42000000000002</v>
      </c>
      <c r="Q51" s="1" t="s">
        <v>48</v>
      </c>
    </row>
    <row r="52" spans="1:17" x14ac:dyDescent="0.2">
      <c r="A52" s="134" t="s">
        <v>58</v>
      </c>
      <c r="B52" s="135">
        <f t="shared" ref="B52:I52" si="14">+B50+B51</f>
        <v>-20.74711373107106</v>
      </c>
      <c r="C52" s="135">
        <f t="shared" si="14"/>
        <v>-144.67900848422113</v>
      </c>
      <c r="D52" s="135">
        <f t="shared" si="14"/>
        <v>-275.77132948840068</v>
      </c>
      <c r="E52" s="135">
        <f t="shared" si="14"/>
        <v>-230.2689108240757</v>
      </c>
      <c r="F52" s="135">
        <f t="shared" si="14"/>
        <v>-192.51423668988659</v>
      </c>
      <c r="G52" s="135">
        <f t="shared" si="14"/>
        <v>-145.18219529165771</v>
      </c>
      <c r="H52" s="135">
        <f t="shared" si="14"/>
        <v>-165.49149860020987</v>
      </c>
      <c r="I52" s="135">
        <f t="shared" si="14"/>
        <v>-161.49098638865684</v>
      </c>
      <c r="J52" s="135">
        <f>+J50+J51</f>
        <v>-228.3433898735164</v>
      </c>
      <c r="K52" s="135">
        <f>+K50+K51</f>
        <v>-327.45654850545378</v>
      </c>
      <c r="L52" s="135">
        <f>+L50+L51</f>
        <v>-589.22056608581477</v>
      </c>
      <c r="M52" s="135">
        <f>+M50+M51</f>
        <v>-568.55347394792898</v>
      </c>
      <c r="N52" s="135">
        <f>SUM(N50:N51)</f>
        <v>-3049.7192579108937</v>
      </c>
      <c r="P52" s="2">
        <f>+'[2]Joe''s Comm Credit'!$N$51-N52</f>
        <v>-5.9728988335336908E-3</v>
      </c>
    </row>
    <row r="53" spans="1:17" x14ac:dyDescent="0.2">
      <c r="B53" s="5"/>
      <c r="C53" s="5"/>
      <c r="D53" s="5"/>
      <c r="E53" s="5"/>
      <c r="F53" s="5"/>
      <c r="G53" s="5"/>
      <c r="H53" s="5"/>
      <c r="I53" s="5"/>
      <c r="J53" s="5"/>
      <c r="K53" s="5"/>
      <c r="L53" s="5"/>
      <c r="M53" s="5"/>
      <c r="N53" s="8"/>
    </row>
    <row r="54" spans="1:17" x14ac:dyDescent="0.2">
      <c r="A54" s="3" t="s">
        <v>6</v>
      </c>
      <c r="B54" s="5">
        <f>+'[4]Joe''s Comm Credit'!B53</f>
        <v>291</v>
      </c>
      <c r="C54" s="5">
        <f>+'[4]Joe''s Comm Credit'!C53</f>
        <v>291</v>
      </c>
      <c r="D54" s="5">
        <f>+'[4]Joe''s Comm Credit'!D53</f>
        <v>291</v>
      </c>
      <c r="E54" s="5">
        <f>+'[4]Joe''s Comm Credit'!E53</f>
        <v>291</v>
      </c>
      <c r="F54" s="5">
        <f>+'[4]Joe''s Comm Credit'!F53</f>
        <v>291</v>
      </c>
      <c r="G54" s="5">
        <f>+'[4]Joe''s Comm Credit'!G53</f>
        <v>291</v>
      </c>
      <c r="H54" s="5">
        <f>+'[4]Joe''s Comm Credit'!H53</f>
        <v>291</v>
      </c>
      <c r="I54" s="5">
        <f>+'[4]Joe''s Comm Credit'!I53</f>
        <v>291</v>
      </c>
      <c r="J54" s="5">
        <f>+'[4]Joe''s Comm Credit'!J53</f>
        <v>291</v>
      </c>
      <c r="K54" s="5">
        <f>+'[4]Joe''s Comm Credit'!K53</f>
        <v>292</v>
      </c>
      <c r="L54" s="5">
        <f>+'[4]Joe''s Comm Credit'!L53</f>
        <v>281</v>
      </c>
      <c r="M54" s="5">
        <f>+'[4]Joe''s Comm Credit'!M53</f>
        <v>292</v>
      </c>
      <c r="N54" s="7">
        <f>SUM(B54:M54)</f>
        <v>3484</v>
      </c>
      <c r="P54" s="2">
        <f>+'[4]Joe''s Comm Credit'!$N$53-N54</f>
        <v>0</v>
      </c>
    </row>
    <row r="55" spans="1:17" x14ac:dyDescent="0.2">
      <c r="A55" s="5"/>
      <c r="N55" s="8"/>
    </row>
    <row r="56" spans="1:17" x14ac:dyDescent="0.2">
      <c r="A56" s="1" t="s">
        <v>59</v>
      </c>
      <c r="B56" s="16">
        <f t="shared" ref="B56:M56" si="15">IFERROR(B52/B54,0)</f>
        <v>-7.1295923474471001E-2</v>
      </c>
      <c r="C56" s="16">
        <f t="shared" si="15"/>
        <v>-0.49717872331347468</v>
      </c>
      <c r="D56" s="16">
        <f t="shared" si="15"/>
        <v>-0.94766779892921194</v>
      </c>
      <c r="E56" s="16">
        <f t="shared" si="15"/>
        <v>-0.7913020990518066</v>
      </c>
      <c r="F56" s="16">
        <f t="shared" si="15"/>
        <v>-0.66156095082435251</v>
      </c>
      <c r="G56" s="16">
        <f t="shared" si="15"/>
        <v>-0.49890788760019833</v>
      </c>
      <c r="H56" s="16">
        <f t="shared" si="15"/>
        <v>-0.56869930790450129</v>
      </c>
      <c r="I56" s="16">
        <f t="shared" si="15"/>
        <v>-0.55495184325998914</v>
      </c>
      <c r="J56" s="16">
        <f t="shared" si="15"/>
        <v>-0.78468518856878489</v>
      </c>
      <c r="K56" s="16">
        <f t="shared" si="15"/>
        <v>-1.1214265359775815</v>
      </c>
      <c r="L56" s="16">
        <f t="shared" si="15"/>
        <v>-2.0968703419424015</v>
      </c>
      <c r="M56" s="16">
        <f t="shared" si="15"/>
        <v>-1.947100938177839</v>
      </c>
      <c r="N56" s="17"/>
    </row>
    <row r="57" spans="1:17" x14ac:dyDescent="0.2">
      <c r="A57" s="1" t="s">
        <v>55</v>
      </c>
      <c r="B57" s="88">
        <f>+'Joe''s CPA Eff. 1.1.2022'!$M$56</f>
        <v>-1.71</v>
      </c>
      <c r="C57" s="88">
        <f>+'Joe''s CPA Eff. 1.1.2022'!$M$56</f>
        <v>-1.71</v>
      </c>
      <c r="D57" s="88">
        <f>+'Joe''s CPA Eff. 1.1.2022'!$N$60</f>
        <v>-0.57999999999999996</v>
      </c>
      <c r="E57" s="88">
        <f>+'Joe''s CPA Eff. 1.1.2022'!$N$60</f>
        <v>-0.57999999999999996</v>
      </c>
      <c r="F57" s="88">
        <f>+'Joe''s CPA Eff. 1.1.2022'!$N$60</f>
        <v>-0.57999999999999996</v>
      </c>
      <c r="G57" s="88">
        <f>+'Joe''s CPA Eff. 1.1.2022'!$N$60</f>
        <v>-0.57999999999999996</v>
      </c>
      <c r="H57" s="88">
        <f>+'Joe''s CPA Eff. 1.1.2022'!$N$60</f>
        <v>-0.57999999999999996</v>
      </c>
      <c r="I57" s="88">
        <f>+'Joe''s CPA Eff. 1.1.2022'!$N$60</f>
        <v>-0.57999999999999996</v>
      </c>
      <c r="J57" s="88">
        <f>+'Joe''s CPA Eff. 1.1.2022'!$N$60</f>
        <v>-0.57999999999999996</v>
      </c>
      <c r="K57" s="88">
        <f>+'Joe''s CPA Eff. 1.1.2022'!$N$60</f>
        <v>-0.57999999999999996</v>
      </c>
      <c r="L57" s="88">
        <f>+'Joe''s CPA Eff. 1.1.2022'!$N$60</f>
        <v>-0.57999999999999996</v>
      </c>
      <c r="M57" s="88">
        <f>+'Joe''s CPA Eff. 1.1.2022'!$N$60</f>
        <v>-0.57999999999999996</v>
      </c>
      <c r="N57" s="17"/>
    </row>
    <row r="58" spans="1:17" x14ac:dyDescent="0.2">
      <c r="A58" s="1" t="s">
        <v>56</v>
      </c>
      <c r="B58" s="10">
        <f>+B57*B54</f>
        <v>-497.61</v>
      </c>
      <c r="C58" s="10">
        <f t="shared" ref="C58:M58" si="16">+C57*C54</f>
        <v>-497.61</v>
      </c>
      <c r="D58" s="10">
        <f t="shared" si="16"/>
        <v>-168.78</v>
      </c>
      <c r="E58" s="10">
        <f t="shared" si="16"/>
        <v>-168.78</v>
      </c>
      <c r="F58" s="10">
        <f t="shared" si="16"/>
        <v>-168.78</v>
      </c>
      <c r="G58" s="10">
        <f t="shared" si="16"/>
        <v>-168.78</v>
      </c>
      <c r="H58" s="10">
        <f t="shared" si="16"/>
        <v>-168.78</v>
      </c>
      <c r="I58" s="10">
        <f t="shared" si="16"/>
        <v>-168.78</v>
      </c>
      <c r="J58" s="10">
        <f t="shared" si="16"/>
        <v>-168.78</v>
      </c>
      <c r="K58" s="10">
        <f t="shared" si="16"/>
        <v>-169.35999999999999</v>
      </c>
      <c r="L58" s="10">
        <f t="shared" si="16"/>
        <v>-162.97999999999999</v>
      </c>
      <c r="M58" s="10">
        <f t="shared" si="16"/>
        <v>-169.35999999999999</v>
      </c>
      <c r="N58" s="17"/>
    </row>
    <row r="59" spans="1:17" ht="13.5" thickBot="1" x14ac:dyDescent="0.25">
      <c r="A59" s="133" t="s">
        <v>57</v>
      </c>
      <c r="B59" s="136">
        <f>+B58-B52</f>
        <v>-476.86288626892895</v>
      </c>
      <c r="C59" s="136">
        <f t="shared" ref="C59:M59" si="17">+C58-C52</f>
        <v>-352.93099151577889</v>
      </c>
      <c r="D59" s="136">
        <f t="shared" si="17"/>
        <v>106.99132948840068</v>
      </c>
      <c r="E59" s="136">
        <f t="shared" si="17"/>
        <v>61.488910824075703</v>
      </c>
      <c r="F59" s="136">
        <f t="shared" si="17"/>
        <v>23.734236689886586</v>
      </c>
      <c r="G59" s="136">
        <f t="shared" si="17"/>
        <v>-23.597804708342295</v>
      </c>
      <c r="H59" s="136">
        <f t="shared" si="17"/>
        <v>-3.2885013997901353</v>
      </c>
      <c r="I59" s="136">
        <f t="shared" si="17"/>
        <v>-7.2890136113431652</v>
      </c>
      <c r="J59" s="136">
        <f t="shared" si="17"/>
        <v>59.5633898735164</v>
      </c>
      <c r="K59" s="136">
        <f t="shared" si="17"/>
        <v>158.0965485054538</v>
      </c>
      <c r="L59" s="136">
        <f t="shared" si="17"/>
        <v>426.24056608581475</v>
      </c>
      <c r="M59" s="136">
        <f t="shared" si="17"/>
        <v>399.19347394792896</v>
      </c>
      <c r="N59" s="136">
        <f>SUM(B59:M59)</f>
        <v>371.33925791089337</v>
      </c>
      <c r="P59" s="131">
        <f>+'[4]Joe''s Comm Credit'!$N$57-N59</f>
        <v>3650.4512002578767</v>
      </c>
      <c r="Q59" s="130" t="s">
        <v>44</v>
      </c>
    </row>
    <row r="61" spans="1:17" ht="15" x14ac:dyDescent="0.25">
      <c r="A61" s="55"/>
      <c r="B61" s="45"/>
      <c r="C61" s="45"/>
      <c r="D61" s="45"/>
      <c r="E61" s="45"/>
      <c r="F61" s="45"/>
      <c r="G61" s="45"/>
      <c r="H61" s="45"/>
      <c r="I61" s="45"/>
      <c r="J61" s="45"/>
      <c r="K61" s="45"/>
      <c r="L61" s="45"/>
      <c r="M61" s="72" t="s">
        <v>19</v>
      </c>
      <c r="N61" s="17">
        <f>ROUND(N59/N54,2)</f>
        <v>0.11</v>
      </c>
    </row>
    <row r="62" spans="1:17" x14ac:dyDescent="0.2">
      <c r="B62" s="49"/>
      <c r="C62" s="49"/>
      <c r="D62" s="49"/>
      <c r="E62" s="49"/>
      <c r="F62" s="49"/>
      <c r="G62" s="49"/>
      <c r="H62" s="49"/>
      <c r="I62" s="49"/>
      <c r="J62" s="49"/>
      <c r="K62" s="49"/>
      <c r="L62" s="22"/>
      <c r="M62" s="72" t="s">
        <v>60</v>
      </c>
      <c r="N62" s="120">
        <f>-ROUND(N52/N54,2)</f>
        <v>0.88</v>
      </c>
    </row>
    <row r="63" spans="1:17" ht="15" x14ac:dyDescent="0.25">
      <c r="A63" s="55"/>
      <c r="B63" s="57"/>
      <c r="C63" s="57"/>
      <c r="D63" s="57"/>
      <c r="E63" s="57"/>
      <c r="F63" s="57"/>
      <c r="G63" s="57"/>
      <c r="H63" s="57"/>
      <c r="I63" s="57"/>
      <c r="J63" s="57"/>
      <c r="K63" s="57"/>
      <c r="L63" s="57"/>
      <c r="M63" s="73" t="s">
        <v>41</v>
      </c>
      <c r="N63" s="44">
        <f>SUM(N61:N62)</f>
        <v>0.99</v>
      </c>
    </row>
    <row r="64" spans="1:17" ht="15" x14ac:dyDescent="0.25">
      <c r="B64" s="125"/>
      <c r="C64" s="22"/>
      <c r="D64" s="22"/>
      <c r="E64" s="22"/>
      <c r="F64" s="22"/>
      <c r="G64" s="22"/>
      <c r="H64" s="22"/>
      <c r="I64" s="22"/>
      <c r="J64" s="22"/>
      <c r="K64" s="22"/>
      <c r="L64" s="22"/>
      <c r="M64" s="22"/>
      <c r="N64" s="44"/>
    </row>
    <row r="65" spans="1:60" ht="15" x14ac:dyDescent="0.25">
      <c r="A65" s="55"/>
      <c r="B65" s="70"/>
      <c r="C65" s="70"/>
      <c r="D65" s="70"/>
      <c r="E65" s="70"/>
      <c r="F65" s="70"/>
      <c r="G65" s="70"/>
      <c r="H65" s="70"/>
      <c r="I65" s="70"/>
      <c r="J65" s="70"/>
      <c r="K65" s="70"/>
      <c r="L65" s="70"/>
      <c r="M65" s="72" t="s">
        <v>42</v>
      </c>
      <c r="N65" s="98">
        <f>+'Joe''s CPA Eff. 1.1.2022'!N61</f>
        <v>-0.56999999999999995</v>
      </c>
    </row>
    <row r="66" spans="1:60" x14ac:dyDescent="0.2">
      <c r="B66" s="25"/>
      <c r="C66" s="25"/>
      <c r="D66" s="25"/>
      <c r="E66" s="25"/>
      <c r="F66" s="25"/>
      <c r="G66" s="25"/>
      <c r="H66" s="25"/>
      <c r="I66" s="25"/>
      <c r="J66" s="25"/>
      <c r="K66" s="25"/>
      <c r="L66" s="25"/>
      <c r="M66" s="72" t="s">
        <v>9</v>
      </c>
      <c r="N66" s="17">
        <f>+N63-N65</f>
        <v>1.56</v>
      </c>
      <c r="O66" s="71">
        <f>N66/N65</f>
        <v>-2.7368421052631584</v>
      </c>
    </row>
    <row r="67" spans="1:60" x14ac:dyDescent="0.2">
      <c r="B67" s="25"/>
      <c r="C67" s="25"/>
      <c r="D67" s="25"/>
      <c r="E67" s="25"/>
      <c r="F67" s="25"/>
      <c r="G67" s="25"/>
      <c r="H67" s="25"/>
      <c r="I67" s="25"/>
      <c r="J67" s="25"/>
      <c r="K67" s="25"/>
      <c r="L67" s="25"/>
      <c r="M67" s="72" t="s">
        <v>34</v>
      </c>
      <c r="N67" s="11">
        <f>N66*N54</f>
        <v>5435.04</v>
      </c>
    </row>
    <row r="69" spans="1:60" x14ac:dyDescent="0.2">
      <c r="B69" s="12"/>
      <c r="C69" s="12"/>
      <c r="D69" s="12"/>
      <c r="E69" s="12"/>
      <c r="F69" s="12"/>
      <c r="G69" s="12"/>
      <c r="H69" s="12"/>
      <c r="I69" s="12"/>
      <c r="J69" s="12"/>
      <c r="K69" s="12"/>
      <c r="L69" s="12"/>
      <c r="M69" s="12"/>
    </row>
    <row r="70" spans="1:60" x14ac:dyDescent="0.2">
      <c r="B70" s="12"/>
      <c r="C70" s="12"/>
      <c r="D70" s="12"/>
      <c r="E70" s="12"/>
      <c r="F70" s="12"/>
      <c r="G70" s="12"/>
      <c r="H70" s="12"/>
      <c r="I70" s="12"/>
      <c r="J70" s="12"/>
      <c r="K70" s="12"/>
      <c r="L70" s="12"/>
      <c r="M70" s="12"/>
    </row>
    <row r="71" spans="1:60" x14ac:dyDescent="0.2">
      <c r="B71" s="12"/>
      <c r="C71" s="12"/>
      <c r="D71" s="12"/>
      <c r="E71" s="12"/>
      <c r="F71" s="12"/>
      <c r="G71" s="12"/>
      <c r="H71" s="12"/>
      <c r="I71" s="12"/>
      <c r="J71" s="12"/>
      <c r="K71" s="12"/>
      <c r="L71" s="12"/>
      <c r="M71" s="12"/>
    </row>
    <row r="73" spans="1:60" x14ac:dyDescent="0.2">
      <c r="B73" s="12"/>
      <c r="C73" s="12"/>
      <c r="D73" s="12"/>
      <c r="E73" s="12"/>
      <c r="F73" s="12"/>
      <c r="G73" s="12"/>
      <c r="H73" s="12"/>
      <c r="I73" s="12"/>
      <c r="J73" s="12"/>
      <c r="K73" s="12"/>
      <c r="L73" s="12"/>
      <c r="M73" s="12"/>
    </row>
    <row r="74" spans="1:60" s="2" customFormat="1" x14ac:dyDescent="0.2">
      <c r="A74" s="1"/>
      <c r="B74" s="12"/>
      <c r="C74" s="12"/>
      <c r="D74" s="12"/>
      <c r="E74" s="12"/>
      <c r="F74" s="12"/>
      <c r="G74" s="12"/>
      <c r="H74" s="12"/>
      <c r="I74" s="12"/>
      <c r="J74" s="12"/>
      <c r="K74" s="12"/>
      <c r="L74" s="12"/>
      <c r="M74" s="12"/>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s="2" customFormat="1" x14ac:dyDescent="0.2">
      <c r="A75" s="1"/>
      <c r="B75" s="12"/>
      <c r="C75" s="12"/>
      <c r="D75" s="12"/>
      <c r="E75" s="12"/>
      <c r="F75" s="12"/>
      <c r="G75" s="12"/>
      <c r="H75" s="12"/>
      <c r="I75" s="12"/>
      <c r="J75" s="12"/>
      <c r="K75" s="12"/>
      <c r="L75" s="12"/>
      <c r="M75" s="12"/>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s="2"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s="2"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s="2"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s="2"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s="2"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s="2"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s="2"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s="2"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s="2"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s="2"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s="2" customForma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s="2" customForma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s="2"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s="2" customForma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s="2" customForma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s="2" customForma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s="2" customForma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s="2" customForma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s="2" customForma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s="2" customForma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s="2" customForma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s="2" customForma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s="2" customForma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s="2" customForma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s="2" customForma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s="2" customForma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s="2" customForma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s="2" customForma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spans="1:60" s="2" customForma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spans="1:60" s="2" customForma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sheetData>
  <pageMargins left="0.7" right="0.7" top="0.75" bottom="0.75" header="0.3" footer="0.3"/>
  <pageSetup scale="60" fitToHeight="0" orientation="landscape" r:id="rId1"/>
  <headerFooter alignWithMargins="0"/>
  <rowBreaks count="1" manualBreakCount="1">
    <brk id="36" max="16383" man="1"/>
  </rowBreaks>
  <colBreaks count="1" manualBreakCount="1">
    <brk id="13" max="6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I35"/>
  <sheetViews>
    <sheetView showGridLines="0" view="pageBreakPreview" zoomScaleNormal="100" zoomScaleSheetLayoutView="100" workbookViewId="0">
      <pane xSplit="1" ySplit="6" topLeftCell="B11" activePane="bottomRight" state="frozen"/>
      <selection activeCell="N24" sqref="N24"/>
      <selection pane="topRight" activeCell="N24" sqref="N24"/>
      <selection pane="bottomLeft" activeCell="N24" sqref="N24"/>
      <selection pane="bottomRight" activeCell="N24" sqref="N24"/>
    </sheetView>
  </sheetViews>
  <sheetFormatPr defaultRowHeight="12.75" x14ac:dyDescent="0.2"/>
  <cols>
    <col min="1" max="1" width="24" style="1" customWidth="1"/>
    <col min="2" max="12" width="11.85546875" style="1" bestFit="1" customWidth="1"/>
    <col min="13" max="13" width="12.85546875" style="1" customWidth="1"/>
    <col min="14" max="14" width="12.85546875" style="1" bestFit="1" customWidth="1"/>
    <col min="15" max="15" width="2.140625" style="2" customWidth="1"/>
    <col min="16" max="16" width="9.140625" style="1"/>
    <col min="17" max="17" width="12" style="1" customWidth="1"/>
    <col min="18" max="16384" width="9.140625" style="1"/>
  </cols>
  <sheetData>
    <row r="1" spans="1:35" x14ac:dyDescent="0.2">
      <c r="A1" s="3" t="s">
        <v>15</v>
      </c>
    </row>
    <row r="2" spans="1:35" x14ac:dyDescent="0.2">
      <c r="A2" s="39" t="s">
        <v>0</v>
      </c>
    </row>
    <row r="3" spans="1:35" x14ac:dyDescent="0.2">
      <c r="A3" s="3" t="s">
        <v>16</v>
      </c>
    </row>
    <row r="4" spans="1:35" x14ac:dyDescent="0.2">
      <c r="A4" s="3" t="s">
        <v>46</v>
      </c>
      <c r="N4" s="6"/>
    </row>
    <row r="5" spans="1:35" x14ac:dyDescent="0.2">
      <c r="B5" s="3"/>
      <c r="C5" s="3"/>
      <c r="D5" s="3"/>
      <c r="E5" s="3"/>
      <c r="F5" s="3"/>
      <c r="G5" s="3"/>
      <c r="H5" s="3"/>
      <c r="I5" s="3"/>
      <c r="J5" s="3"/>
      <c r="K5" s="3"/>
      <c r="L5" s="3"/>
      <c r="M5" s="3"/>
      <c r="N5" s="40" t="s">
        <v>27</v>
      </c>
      <c r="P5" s="41"/>
      <c r="Q5" s="41"/>
      <c r="R5" s="41"/>
      <c r="S5" s="41"/>
      <c r="T5" s="41"/>
      <c r="U5" s="41"/>
      <c r="V5" s="41"/>
      <c r="W5" s="41"/>
      <c r="X5" s="41"/>
      <c r="Y5" s="41"/>
      <c r="Z5" s="41"/>
      <c r="AA5" s="41"/>
      <c r="AB5" s="41"/>
      <c r="AC5" s="41"/>
    </row>
    <row r="6" spans="1:35" ht="13.5" thickBot="1" x14ac:dyDescent="0.25">
      <c r="A6" s="6"/>
      <c r="B6" s="28">
        <v>44136</v>
      </c>
      <c r="C6" s="28">
        <f>+B6+31</f>
        <v>44167</v>
      </c>
      <c r="D6" s="28">
        <f t="shared" ref="D6:M6" si="0">+C6+31</f>
        <v>44198</v>
      </c>
      <c r="E6" s="28">
        <f t="shared" si="0"/>
        <v>44229</v>
      </c>
      <c r="F6" s="28">
        <f t="shared" si="0"/>
        <v>44260</v>
      </c>
      <c r="G6" s="28">
        <f t="shared" si="0"/>
        <v>44291</v>
      </c>
      <c r="H6" s="28">
        <f t="shared" si="0"/>
        <v>44322</v>
      </c>
      <c r="I6" s="28">
        <f t="shared" si="0"/>
        <v>44353</v>
      </c>
      <c r="J6" s="28">
        <f t="shared" si="0"/>
        <v>44384</v>
      </c>
      <c r="K6" s="28">
        <f t="shared" si="0"/>
        <v>44415</v>
      </c>
      <c r="L6" s="28">
        <f t="shared" si="0"/>
        <v>44446</v>
      </c>
      <c r="M6" s="28">
        <f t="shared" si="0"/>
        <v>44477</v>
      </c>
      <c r="N6" s="40" t="s">
        <v>1</v>
      </c>
      <c r="P6" s="41"/>
      <c r="Q6" s="41"/>
      <c r="R6" s="41"/>
      <c r="S6" s="41"/>
      <c r="T6" s="41"/>
      <c r="U6" s="41"/>
      <c r="V6" s="41"/>
      <c r="W6" s="41"/>
      <c r="X6" s="41"/>
      <c r="Y6" s="41"/>
      <c r="Z6" s="41"/>
      <c r="AA6" s="41"/>
      <c r="AB6" s="41"/>
      <c r="AC6" s="41"/>
    </row>
    <row r="7" spans="1:35" ht="12.75" customHeight="1" x14ac:dyDescent="0.2">
      <c r="A7" s="42"/>
      <c r="B7" s="2"/>
      <c r="C7" s="2"/>
      <c r="D7" s="2"/>
      <c r="E7" s="2"/>
      <c r="F7" s="2"/>
      <c r="G7" s="2"/>
      <c r="H7" s="2"/>
      <c r="I7" s="2"/>
      <c r="J7" s="2"/>
      <c r="K7" s="2"/>
      <c r="L7" s="2"/>
      <c r="M7" s="2"/>
      <c r="N7" s="6"/>
    </row>
    <row r="8" spans="1:35" ht="12.75" customHeight="1" x14ac:dyDescent="0.2">
      <c r="A8" s="3" t="s">
        <v>2</v>
      </c>
    </row>
    <row r="9" spans="1:35" x14ac:dyDescent="0.2">
      <c r="A9" s="1" t="s">
        <v>3</v>
      </c>
      <c r="B9" s="2">
        <f>+'[4]Designated RSA-1 Comm Credi'!B9</f>
        <v>166.68</v>
      </c>
      <c r="C9" s="2">
        <f>+'[4]Designated RSA-1 Comm Credi'!C9</f>
        <v>169.69000000000011</v>
      </c>
      <c r="D9" s="2">
        <f>+'[4]Designated RSA-1 Comm Credi'!D9</f>
        <v>190.78000000000003</v>
      </c>
      <c r="E9" s="2">
        <f>+'[4]Designated RSA-1 Comm Credi'!E9</f>
        <v>132.33000000000004</v>
      </c>
      <c r="F9" s="2">
        <f>+'[4]Designated RSA-1 Comm Credi'!F9</f>
        <v>167.64</v>
      </c>
      <c r="G9" s="2">
        <f>+'[4]Designated RSA-1 Comm Credi'!G9</f>
        <v>153.04000000000002</v>
      </c>
      <c r="H9" s="2">
        <f>+'[4]Designated RSA-1 Comm Credi'!H9</f>
        <v>158.83000000000001</v>
      </c>
      <c r="I9" s="2">
        <f>+'[4]Designated RSA-1 Comm Credi'!I9</f>
        <v>142.24999999999994</v>
      </c>
      <c r="J9" s="2">
        <f>+'[4]Designated RSA-1 Comm Credi'!J9</f>
        <v>154.55999999999997</v>
      </c>
      <c r="K9" s="2">
        <f>+'[4]Designated RSA-1 Comm Credi'!K9</f>
        <v>122.88000000000001</v>
      </c>
      <c r="L9" s="2">
        <f>+'[4]Designated RSA-1 Comm Credi'!L9</f>
        <v>165.93000000000006</v>
      </c>
      <c r="M9" s="2">
        <f>+'[4]Designated RSA-1 Comm Credi'!M9</f>
        <v>150.65999999999997</v>
      </c>
      <c r="N9" s="27">
        <f>SUM(B9:M9)</f>
        <v>1875.27</v>
      </c>
      <c r="P9" s="23"/>
      <c r="Q9" s="2">
        <f>+'[4]Designated RSA-1 Comm Credi'!$N$9-N9</f>
        <v>0</v>
      </c>
      <c r="R9" s="23"/>
      <c r="S9" s="23"/>
      <c r="T9" s="23"/>
      <c r="U9" s="23"/>
      <c r="V9" s="23"/>
      <c r="W9" s="23"/>
      <c r="X9" s="23"/>
      <c r="Y9" s="23"/>
      <c r="Z9" s="23"/>
      <c r="AA9" s="23"/>
      <c r="AB9" s="23"/>
      <c r="AC9" s="23"/>
      <c r="AD9" s="23"/>
      <c r="AE9" s="23"/>
      <c r="AF9" s="23"/>
      <c r="AG9" s="23"/>
      <c r="AH9" s="23"/>
      <c r="AI9" s="23"/>
    </row>
    <row r="10" spans="1:35" x14ac:dyDescent="0.2">
      <c r="B10" s="2"/>
      <c r="C10" s="2"/>
      <c r="D10" s="2"/>
      <c r="E10" s="2"/>
      <c r="F10" s="2"/>
      <c r="G10" s="2"/>
      <c r="H10" s="2"/>
      <c r="I10" s="2"/>
      <c r="J10" s="2"/>
      <c r="K10" s="2"/>
      <c r="L10" s="2"/>
      <c r="M10" s="2"/>
      <c r="N10" s="7"/>
    </row>
    <row r="11" spans="1:35" x14ac:dyDescent="0.2">
      <c r="A11" s="3" t="s">
        <v>4</v>
      </c>
      <c r="N11" s="8"/>
    </row>
    <row r="12" spans="1:35" x14ac:dyDescent="0.2">
      <c r="A12" s="1" t="s">
        <v>3</v>
      </c>
      <c r="B12" s="128">
        <f>+'[4]Designated RSA-1 Comm Credi'!B13</f>
        <v>-72.580631999999994</v>
      </c>
      <c r="C12" s="128">
        <f>+'[4]Designated RSA-1 Comm Credi'!C13</f>
        <v>-63.204141999999969</v>
      </c>
      <c r="D12" s="128">
        <f>+'[4]Designated RSA-1 Comm Credi'!D13</f>
        <v>-60.236732000000011</v>
      </c>
      <c r="E12" s="128">
        <f>+'[4]Designated RSA-1 Comm Credi'!E13</f>
        <v>-69.997131999999993</v>
      </c>
      <c r="F12" s="128">
        <f>+'[4]Designated RSA-1 Comm Credi'!F13</f>
        <v>-64.593232</v>
      </c>
      <c r="G12" s="128">
        <f>+'[4]Designated RSA-1 Comm Credi'!G13</f>
        <v>-47.949631999999994</v>
      </c>
      <c r="H12" s="128">
        <f>+'[4]Designated RSA-1 Comm Credi'!H13</f>
        <v>-41.422732000000003</v>
      </c>
      <c r="I12" s="128">
        <f>+'[4]Designated RSA-1 Comm Credi'!I13</f>
        <v>-19.477295999999996</v>
      </c>
      <c r="J12" s="128">
        <f>+'[4]Designated RSA-1 Comm Credi'!J13</f>
        <v>0.85818400000000883</v>
      </c>
      <c r="K12" s="128">
        <f>+'[4]Designated RSA-1 Comm Credi'!K13</f>
        <v>14.16164400000001</v>
      </c>
      <c r="L12" s="128">
        <f>+'[4]Designated RSA-1 Comm Credi'!L13</f>
        <v>19.965324000000006</v>
      </c>
      <c r="M12" s="128">
        <f>+'[4]Designated RSA-1 Comm Credi'!M13</f>
        <v>17.212044000000009</v>
      </c>
      <c r="N12" s="17"/>
      <c r="P12" s="18"/>
      <c r="Q12" s="23"/>
      <c r="R12" s="23" t="s">
        <v>45</v>
      </c>
      <c r="S12" s="23"/>
      <c r="T12" s="23"/>
      <c r="U12" s="23"/>
      <c r="V12" s="23"/>
      <c r="W12" s="23"/>
      <c r="X12" s="23"/>
      <c r="Y12" s="23"/>
      <c r="Z12" s="23"/>
      <c r="AA12" s="23"/>
      <c r="AB12" s="23"/>
      <c r="AC12" s="23"/>
      <c r="AD12" s="23"/>
    </row>
    <row r="13" spans="1:35" x14ac:dyDescent="0.2">
      <c r="N13" s="8"/>
    </row>
    <row r="14" spans="1:35" x14ac:dyDescent="0.2">
      <c r="A14" s="134" t="s">
        <v>5</v>
      </c>
      <c r="B14" s="135">
        <f t="shared" ref="B14:J14" si="1">+B9*B12</f>
        <v>-12097.739741759999</v>
      </c>
      <c r="C14" s="135">
        <f t="shared" si="1"/>
        <v>-10725.110855980001</v>
      </c>
      <c r="D14" s="135">
        <f t="shared" si="1"/>
        <v>-11491.963730960004</v>
      </c>
      <c r="E14" s="135">
        <f t="shared" si="1"/>
        <v>-9262.7204775600021</v>
      </c>
      <c r="F14" s="135">
        <f t="shared" si="1"/>
        <v>-10828.409412479999</v>
      </c>
      <c r="G14" s="135">
        <f t="shared" si="1"/>
        <v>-7338.2116812800004</v>
      </c>
      <c r="H14" s="135">
        <f t="shared" si="1"/>
        <v>-6579.1725235600006</v>
      </c>
      <c r="I14" s="135">
        <f t="shared" si="1"/>
        <v>-2770.6453559999982</v>
      </c>
      <c r="J14" s="135">
        <f t="shared" si="1"/>
        <v>132.64091904000134</v>
      </c>
      <c r="K14" s="135">
        <f>+K9*K12</f>
        <v>1740.1828147200013</v>
      </c>
      <c r="L14" s="135">
        <f>+L9*L12</f>
        <v>3312.8462113200021</v>
      </c>
      <c r="M14" s="135">
        <f>+M9*M12</f>
        <v>2593.166549040001</v>
      </c>
      <c r="N14" s="135">
        <f>SUM(B14:M14)</f>
        <v>-63315.137285459976</v>
      </c>
      <c r="O14" s="132"/>
      <c r="P14" s="43"/>
      <c r="Q14" s="12">
        <f>+'[4]Designated RSA-1 Comm Credi'!$N$16-N14</f>
        <v>0</v>
      </c>
      <c r="R14" s="1" t="s">
        <v>47</v>
      </c>
    </row>
    <row r="15" spans="1:35" x14ac:dyDescent="0.2">
      <c r="N15" s="8"/>
    </row>
    <row r="16" spans="1:35" s="5" customFormat="1" x14ac:dyDescent="0.2">
      <c r="A16" s="3" t="s">
        <v>6</v>
      </c>
      <c r="B16" s="5">
        <f>+'[4]Designated RSA-1 Comm Credi'!B18</f>
        <v>10373</v>
      </c>
      <c r="C16" s="5">
        <f>+'[4]Designated RSA-1 Comm Credi'!C18</f>
        <v>10369</v>
      </c>
      <c r="D16" s="5">
        <f>+'[4]Designated RSA-1 Comm Credi'!D18</f>
        <v>10369</v>
      </c>
      <c r="E16" s="5">
        <f>+'[4]Designated RSA-1 Comm Credi'!E18</f>
        <v>10378</v>
      </c>
      <c r="F16" s="5">
        <f>+'[4]Designated RSA-1 Comm Credi'!F18</f>
        <v>10429</v>
      </c>
      <c r="G16" s="5">
        <f>+'[4]Designated RSA-1 Comm Credi'!G18</f>
        <v>10591</v>
      </c>
      <c r="H16" s="5">
        <f>+'[4]Designated RSA-1 Comm Credi'!H18</f>
        <v>10540</v>
      </c>
      <c r="I16" s="5">
        <f>+'[4]Designated RSA-1 Comm Credi'!I18</f>
        <v>10705</v>
      </c>
      <c r="J16" s="5">
        <f>+'[4]Designated RSA-1 Comm Credi'!J18</f>
        <v>10706</v>
      </c>
      <c r="K16" s="5">
        <f>+'[4]Designated RSA-1 Comm Credi'!K18</f>
        <v>10832</v>
      </c>
      <c r="L16" s="5">
        <f>+'[4]Designated RSA-1 Comm Credi'!L18</f>
        <v>10819</v>
      </c>
      <c r="M16" s="5">
        <f>+'[4]Designated RSA-1 Comm Credi'!M18</f>
        <v>10778</v>
      </c>
      <c r="N16" s="21">
        <f>SUM(B16:M16)</f>
        <v>126889</v>
      </c>
      <c r="O16" s="2"/>
      <c r="P16" s="13"/>
      <c r="Q16" s="12">
        <f>+'[4]Designated RSA-1 Comm Credi'!$N$18-N16</f>
        <v>0</v>
      </c>
      <c r="R16" s="14"/>
    </row>
    <row r="17" spans="1:18" s="5" customFormat="1" x14ac:dyDescent="0.2">
      <c r="A17" s="15"/>
      <c r="N17" s="7"/>
      <c r="O17" s="2"/>
      <c r="P17" s="13"/>
      <c r="Q17" s="12"/>
      <c r="R17" s="14"/>
    </row>
    <row r="18" spans="1:18" x14ac:dyDescent="0.2">
      <c r="A18" s="1" t="s">
        <v>7</v>
      </c>
      <c r="B18" s="16">
        <f t="shared" ref="B18:M18" si="2">+IFERROR(B14/B16,0)</f>
        <v>-1.1662720275484428</v>
      </c>
      <c r="C18" s="16">
        <f t="shared" si="2"/>
        <v>-1.0343437994001352</v>
      </c>
      <c r="D18" s="16">
        <f t="shared" si="2"/>
        <v>-1.108300099427139</v>
      </c>
      <c r="E18" s="16">
        <f t="shared" si="2"/>
        <v>-0.8925342529928697</v>
      </c>
      <c r="F18" s="16">
        <f t="shared" si="2"/>
        <v>-1.0382979588148431</v>
      </c>
      <c r="G18" s="16">
        <f t="shared" si="2"/>
        <v>-0.69287240876971012</v>
      </c>
      <c r="H18" s="16">
        <f t="shared" si="2"/>
        <v>-0.62420991684629989</v>
      </c>
      <c r="I18" s="16">
        <f t="shared" si="2"/>
        <v>-0.2588178753853338</v>
      </c>
      <c r="J18" s="16">
        <f t="shared" si="2"/>
        <v>1.2389400246590821E-2</v>
      </c>
      <c r="K18" s="16">
        <f t="shared" si="2"/>
        <v>0.16065203237813896</v>
      </c>
      <c r="L18" s="16">
        <f t="shared" si="2"/>
        <v>0.30620632325723285</v>
      </c>
      <c r="M18" s="16">
        <f t="shared" si="2"/>
        <v>0.24059812108368908</v>
      </c>
      <c r="N18" s="17"/>
      <c r="P18" s="18"/>
    </row>
    <row r="19" spans="1:18" x14ac:dyDescent="0.2">
      <c r="A19" s="1" t="s">
        <v>8</v>
      </c>
      <c r="B19" s="16">
        <f>+'RSA-1 CPA Eff. 1.1.2021'!$M$19</f>
        <v>-1.5945397579791578</v>
      </c>
      <c r="C19" s="16">
        <f>+'RSA-1 CPA Eff. 1.1.2021'!$M$19</f>
        <v>-1.5945397579791578</v>
      </c>
      <c r="D19" s="16">
        <f>+'RSA-1 CPA Eff. 1.1.2021'!$N$23</f>
        <v>-1.54</v>
      </c>
      <c r="E19" s="16">
        <f>+'RSA-1 CPA Eff. 1.1.2021'!$N$23</f>
        <v>-1.54</v>
      </c>
      <c r="F19" s="16">
        <f>+'RSA-1 CPA Eff. 1.1.2021'!$N$23</f>
        <v>-1.54</v>
      </c>
      <c r="G19" s="16">
        <f>+'RSA-1 CPA Eff. 1.1.2021'!$N$23</f>
        <v>-1.54</v>
      </c>
      <c r="H19" s="16">
        <f>+'RSA-1 CPA Eff. 1.1.2021'!$N$23</f>
        <v>-1.54</v>
      </c>
      <c r="I19" s="16">
        <f>+'RSA-1 CPA Eff. 1.1.2021'!$N$23</f>
        <v>-1.54</v>
      </c>
      <c r="J19" s="16">
        <f>+'RSA-1 CPA Eff. 1.1.2021'!$N$23</f>
        <v>-1.54</v>
      </c>
      <c r="K19" s="16">
        <f>+'RSA-1 CPA Eff. 1.1.2021'!$N$23</f>
        <v>-1.54</v>
      </c>
      <c r="L19" s="16">
        <f>+'RSA-1 CPA Eff. 1.1.2021'!$N$23</f>
        <v>-1.54</v>
      </c>
      <c r="M19" s="16">
        <f>+'RSA-1 CPA Eff. 1.1.2021'!$N$23</f>
        <v>-1.54</v>
      </c>
      <c r="N19" s="17"/>
      <c r="P19" s="19"/>
    </row>
    <row r="20" spans="1:18" ht="13.5" thickBot="1" x14ac:dyDescent="0.25">
      <c r="A20" s="133" t="s">
        <v>17</v>
      </c>
      <c r="B20" s="136">
        <f>+(B18-B19)*B16</f>
        <v>4442.4211677578069</v>
      </c>
      <c r="C20" s="136">
        <f>+(C18-C19)*C16</f>
        <v>5808.6718945058856</v>
      </c>
      <c r="D20" s="136">
        <f t="shared" ref="D20:M20" si="3">+(D18-D19)*D16</f>
        <v>4476.2962690399954</v>
      </c>
      <c r="E20" s="136">
        <f t="shared" si="3"/>
        <v>6719.3995224399987</v>
      </c>
      <c r="F20" s="136">
        <f t="shared" si="3"/>
        <v>5232.2505875200013</v>
      </c>
      <c r="G20" s="136">
        <f t="shared" si="3"/>
        <v>8971.9283187199999</v>
      </c>
      <c r="H20" s="136">
        <f t="shared" si="3"/>
        <v>9652.4274764399997</v>
      </c>
      <c r="I20" s="136">
        <f t="shared" si="3"/>
        <v>13715.054644000002</v>
      </c>
      <c r="J20" s="136">
        <f t="shared" si="3"/>
        <v>16619.880919040002</v>
      </c>
      <c r="K20" s="136">
        <f t="shared" si="3"/>
        <v>18421.462814720002</v>
      </c>
      <c r="L20" s="136">
        <f t="shared" si="3"/>
        <v>19974.106211320002</v>
      </c>
      <c r="M20" s="136">
        <f t="shared" si="3"/>
        <v>19191.286549040004</v>
      </c>
      <c r="N20" s="136">
        <f>SUM(B20:M20)</f>
        <v>133225.1863745437</v>
      </c>
      <c r="P20" s="5"/>
      <c r="Q20" s="12">
        <f>+'[4]Designated RSA-1 Comm Credi'!$N$22-N20</f>
        <v>-94.163660003687255</v>
      </c>
      <c r="R20" s="1" t="s">
        <v>43</v>
      </c>
    </row>
    <row r="21" spans="1:18" x14ac:dyDescent="0.2">
      <c r="B21" s="5"/>
      <c r="C21" s="5"/>
      <c r="D21" s="5"/>
      <c r="E21" s="5"/>
      <c r="F21" s="5"/>
      <c r="G21" s="5"/>
      <c r="H21" s="5"/>
      <c r="I21" s="5"/>
      <c r="J21" s="5"/>
      <c r="K21" s="5"/>
      <c r="L21" s="5"/>
      <c r="M21" s="5"/>
      <c r="N21" s="21"/>
    </row>
    <row r="22" spans="1:18" ht="15" x14ac:dyDescent="0.25">
      <c r="A22" s="55"/>
      <c r="B22" s="45"/>
      <c r="C22" s="45"/>
      <c r="D22" s="45"/>
      <c r="E22" s="45"/>
      <c r="F22" s="45"/>
      <c r="G22" s="45"/>
      <c r="H22" s="45"/>
      <c r="I22" s="45"/>
      <c r="J22" s="45"/>
      <c r="K22" s="45"/>
      <c r="L22" s="45"/>
      <c r="M22" s="72" t="s">
        <v>19</v>
      </c>
      <c r="N22" s="52">
        <f>ROUND(N20/N16,2)</f>
        <v>1.05</v>
      </c>
      <c r="O22" s="22"/>
      <c r="Q22" s="46"/>
    </row>
    <row r="23" spans="1:18" x14ac:dyDescent="0.2">
      <c r="B23" s="49"/>
      <c r="C23" s="49"/>
      <c r="D23" s="49"/>
      <c r="E23" s="49"/>
      <c r="F23" s="49"/>
      <c r="G23" s="49"/>
      <c r="H23" s="49"/>
      <c r="I23" s="49"/>
      <c r="J23" s="49"/>
      <c r="K23" s="49"/>
      <c r="L23" s="22"/>
      <c r="M23" s="72" t="s">
        <v>49</v>
      </c>
      <c r="N23" s="118">
        <f>ROUND(N14/N16,2)</f>
        <v>-0.5</v>
      </c>
      <c r="O23" s="22"/>
      <c r="Q23" s="18"/>
    </row>
    <row r="24" spans="1:18" x14ac:dyDescent="0.2">
      <c r="B24" s="22"/>
      <c r="C24" s="22"/>
      <c r="D24" s="22"/>
      <c r="E24" s="22"/>
      <c r="F24" s="22"/>
      <c r="G24" s="22"/>
      <c r="H24" s="22"/>
      <c r="I24" s="22"/>
      <c r="J24" s="22"/>
      <c r="K24" s="22"/>
      <c r="L24" s="22"/>
      <c r="M24" s="73" t="s">
        <v>41</v>
      </c>
      <c r="N24" s="53">
        <f>-N22-N23</f>
        <v>-0.55000000000000004</v>
      </c>
      <c r="O24" s="22"/>
      <c r="Q24" s="46"/>
    </row>
    <row r="25" spans="1:18" ht="15" x14ac:dyDescent="0.25">
      <c r="B25" s="125"/>
      <c r="C25" s="22"/>
      <c r="D25" s="22"/>
      <c r="E25" s="22"/>
      <c r="F25" s="22"/>
      <c r="G25" s="22"/>
      <c r="H25" s="22"/>
      <c r="I25" s="22"/>
      <c r="J25" s="22"/>
      <c r="K25" s="22"/>
      <c r="L25" s="22"/>
      <c r="M25" s="22"/>
      <c r="N25" s="52"/>
      <c r="O25" s="22"/>
    </row>
    <row r="26" spans="1:18" x14ac:dyDescent="0.2">
      <c r="A26" s="3"/>
      <c r="B26" s="126"/>
      <c r="C26" s="22"/>
      <c r="D26" s="22"/>
      <c r="E26" s="22"/>
      <c r="F26" s="22"/>
      <c r="G26" s="22"/>
      <c r="H26" s="22"/>
      <c r="I26" s="22"/>
      <c r="J26" s="22"/>
      <c r="K26" s="22"/>
      <c r="L26" s="22"/>
      <c r="M26" s="72" t="s">
        <v>42</v>
      </c>
      <c r="N26" s="16">
        <f>+'RSA-1 CPA Eff. 1.1.2021'!N24</f>
        <v>1.51</v>
      </c>
      <c r="O26" s="1"/>
      <c r="P26" s="47"/>
      <c r="Q26" s="48"/>
    </row>
    <row r="27" spans="1:18" x14ac:dyDescent="0.2">
      <c r="A27" s="3"/>
      <c r="B27" s="22"/>
      <c r="C27" s="22"/>
      <c r="D27" s="22"/>
      <c r="E27" s="22"/>
      <c r="F27" s="22"/>
      <c r="G27" s="22"/>
      <c r="H27" s="22"/>
      <c r="I27" s="22"/>
      <c r="J27" s="22"/>
      <c r="K27" s="22"/>
      <c r="L27" s="22"/>
      <c r="M27" s="72" t="s">
        <v>9</v>
      </c>
      <c r="N27" s="9">
        <f>+N24-N26</f>
        <v>-2.06</v>
      </c>
      <c r="O27" s="1"/>
      <c r="P27" s="71">
        <f>N27/N26</f>
        <v>-1.3642384105960266</v>
      </c>
    </row>
    <row r="28" spans="1:18" x14ac:dyDescent="0.2">
      <c r="B28" s="49"/>
      <c r="C28" s="49"/>
      <c r="D28" s="49"/>
      <c r="E28" s="49"/>
      <c r="F28" s="49"/>
      <c r="G28" s="49"/>
      <c r="H28" s="49"/>
      <c r="I28" s="49"/>
      <c r="J28" s="49"/>
      <c r="K28" s="49"/>
      <c r="L28" s="22"/>
      <c r="M28" s="72" t="s">
        <v>34</v>
      </c>
      <c r="N28" s="34">
        <f>N27*N16</f>
        <v>-261391.34</v>
      </c>
      <c r="O28" s="1"/>
      <c r="P28" s="50"/>
    </row>
    <row r="29" spans="1:18" x14ac:dyDescent="0.2">
      <c r="B29" s="22"/>
      <c r="C29" s="22"/>
      <c r="D29" s="22"/>
      <c r="E29" s="22"/>
      <c r="F29" s="22"/>
      <c r="G29" s="22"/>
      <c r="H29" s="22"/>
      <c r="I29" s="22"/>
      <c r="J29" s="22"/>
      <c r="K29" s="22"/>
      <c r="L29" s="22"/>
      <c r="M29" s="22"/>
      <c r="N29" s="109"/>
      <c r="P29" s="33"/>
    </row>
    <row r="30" spans="1:18" x14ac:dyDescent="0.2">
      <c r="N30" s="31"/>
      <c r="P30" s="19"/>
    </row>
    <row r="31" spans="1:18" x14ac:dyDescent="0.2">
      <c r="P31" s="5"/>
      <c r="Q31" s="12"/>
    </row>
    <row r="32" spans="1:18" x14ac:dyDescent="0.2">
      <c r="M32" s="54"/>
      <c r="N32" s="30"/>
      <c r="Q32" s="46"/>
    </row>
    <row r="33" spans="13:17" x14ac:dyDescent="0.2">
      <c r="M33" s="54"/>
      <c r="N33" s="51"/>
      <c r="Q33" s="18"/>
    </row>
    <row r="34" spans="13:17" ht="15" x14ac:dyDescent="0.25">
      <c r="M34" s="55"/>
      <c r="N34" s="27"/>
      <c r="Q34" s="46"/>
    </row>
    <row r="35" spans="13:17" ht="15" x14ac:dyDescent="0.25">
      <c r="M35" s="55"/>
      <c r="N35" s="56"/>
    </row>
  </sheetData>
  <pageMargins left="0.7" right="0.7" top="0.75" bottom="0.75" header="0.3" footer="0.3"/>
  <pageSetup scale="56"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BH103"/>
  <sheetViews>
    <sheetView showGridLines="0" view="pageBreakPreview" topLeftCell="A24" zoomScaleNormal="100" zoomScaleSheetLayoutView="100" workbookViewId="0">
      <selection activeCell="N61" sqref="N61"/>
    </sheetView>
  </sheetViews>
  <sheetFormatPr defaultRowHeight="12.75" x14ac:dyDescent="0.2"/>
  <cols>
    <col min="1" max="1" width="21.85546875" style="1" customWidth="1"/>
    <col min="2" max="4" width="11.85546875" style="1" bestFit="1" customWidth="1"/>
    <col min="5" max="5" width="10.85546875" style="1" bestFit="1" customWidth="1"/>
    <col min="6" max="12" width="11.85546875" style="1" bestFit="1" customWidth="1"/>
    <col min="13" max="13" width="15.140625" style="1" customWidth="1"/>
    <col min="14" max="14" width="12.85546875" style="1" bestFit="1" customWidth="1"/>
    <col min="15" max="15" width="11.85546875" style="1" bestFit="1" customWidth="1"/>
    <col min="16" max="16" width="11.28515625" style="1" bestFit="1" customWidth="1"/>
    <col min="17" max="16384" width="9.140625" style="1"/>
  </cols>
  <sheetData>
    <row r="1" spans="1:29" x14ac:dyDescent="0.2">
      <c r="A1" s="3" t="s">
        <v>15</v>
      </c>
      <c r="B1" s="26"/>
      <c r="C1" s="26"/>
      <c r="D1" s="26"/>
      <c r="E1" s="26"/>
      <c r="F1" s="26"/>
      <c r="G1" s="26"/>
      <c r="H1" s="26"/>
      <c r="I1" s="26"/>
      <c r="J1" s="26"/>
      <c r="K1" s="26"/>
      <c r="L1" s="26"/>
      <c r="M1" s="26"/>
      <c r="N1" s="6"/>
    </row>
    <row r="2" spans="1:29" x14ac:dyDescent="0.2">
      <c r="A2" s="3" t="s">
        <v>10</v>
      </c>
      <c r="B2" s="26"/>
      <c r="C2" s="26"/>
      <c r="D2" s="26"/>
      <c r="E2" s="26"/>
      <c r="F2" s="26"/>
      <c r="G2" s="26"/>
      <c r="H2" s="26"/>
      <c r="I2" s="26"/>
      <c r="J2" s="26"/>
      <c r="K2" s="26"/>
      <c r="L2" s="26"/>
      <c r="M2" s="26"/>
      <c r="N2" s="6"/>
    </row>
    <row r="3" spans="1:29" ht="15" x14ac:dyDescent="0.25">
      <c r="A3" s="3" t="s">
        <v>16</v>
      </c>
      <c r="B3" s="110"/>
      <c r="C3" s="26"/>
      <c r="D3" s="26"/>
      <c r="E3" s="26"/>
      <c r="F3" s="26"/>
      <c r="G3" s="26"/>
      <c r="H3" s="26"/>
      <c r="I3" s="26"/>
      <c r="J3" s="26"/>
      <c r="K3" s="26"/>
      <c r="L3" s="26"/>
      <c r="M3" s="26"/>
      <c r="N3" s="6"/>
    </row>
    <row r="4" spans="1:29" x14ac:dyDescent="0.2">
      <c r="A4" s="3" t="str">
        <f>'RSA-1 CPA Eff. 1.1.2022'!A4</f>
        <v>Effective January 1, 2022</v>
      </c>
      <c r="B4" s="26"/>
      <c r="C4" s="26"/>
      <c r="D4" s="26"/>
      <c r="E4" s="26"/>
      <c r="F4" s="26"/>
      <c r="G4" s="26"/>
      <c r="H4" s="26"/>
      <c r="I4" s="26"/>
      <c r="J4" s="26"/>
      <c r="K4" s="26"/>
      <c r="L4" s="26"/>
      <c r="M4" s="26"/>
      <c r="N4" s="6"/>
    </row>
    <row r="5" spans="1:29" x14ac:dyDescent="0.2">
      <c r="A5" s="3"/>
      <c r="B5" s="26"/>
      <c r="C5" s="26"/>
      <c r="D5" s="26"/>
      <c r="E5" s="26"/>
      <c r="F5" s="26"/>
      <c r="G5" s="26"/>
      <c r="H5" s="26"/>
      <c r="I5" s="26"/>
      <c r="J5" s="26"/>
      <c r="K5" s="26"/>
      <c r="L5" s="26"/>
      <c r="M5" s="26"/>
      <c r="N5" s="40" t="s">
        <v>27</v>
      </c>
    </row>
    <row r="6" spans="1:29" ht="13.5" thickBot="1" x14ac:dyDescent="0.25">
      <c r="A6" s="60" t="s">
        <v>18</v>
      </c>
      <c r="B6" s="28">
        <f>'RSA-1 CPA Eff. 1.1.2022'!B6</f>
        <v>44136</v>
      </c>
      <c r="C6" s="28">
        <f>'RSA-1 CPA Eff. 1.1.2022'!C6</f>
        <v>44167</v>
      </c>
      <c r="D6" s="28">
        <f>'RSA-1 CPA Eff. 1.1.2022'!D6</f>
        <v>44198</v>
      </c>
      <c r="E6" s="28">
        <f>'RSA-1 CPA Eff. 1.1.2022'!E6</f>
        <v>44229</v>
      </c>
      <c r="F6" s="28">
        <f>'RSA-1 CPA Eff. 1.1.2022'!F6</f>
        <v>44260</v>
      </c>
      <c r="G6" s="28">
        <f>'RSA-1 CPA Eff. 1.1.2022'!G6</f>
        <v>44291</v>
      </c>
      <c r="H6" s="28">
        <f>'RSA-1 CPA Eff. 1.1.2022'!H6</f>
        <v>44322</v>
      </c>
      <c r="I6" s="28">
        <f>'RSA-1 CPA Eff. 1.1.2022'!I6</f>
        <v>44353</v>
      </c>
      <c r="J6" s="28">
        <f>'RSA-1 CPA Eff. 1.1.2022'!J6</f>
        <v>44384</v>
      </c>
      <c r="K6" s="28">
        <f>'RSA-1 CPA Eff. 1.1.2022'!K6</f>
        <v>44415</v>
      </c>
      <c r="L6" s="28">
        <f>'RSA-1 CPA Eff. 1.1.2022'!L6</f>
        <v>44446</v>
      </c>
      <c r="M6" s="28">
        <f>'RSA-1 CPA Eff. 1.1.2022'!M6</f>
        <v>44477</v>
      </c>
      <c r="N6" s="58" t="s">
        <v>1</v>
      </c>
      <c r="O6" s="59"/>
      <c r="P6" s="59"/>
      <c r="Q6" s="59"/>
    </row>
    <row r="7" spans="1:29" x14ac:dyDescent="0.2">
      <c r="B7" s="4"/>
      <c r="C7" s="4"/>
      <c r="D7" s="4"/>
      <c r="E7" s="4"/>
      <c r="F7" s="4"/>
      <c r="G7" s="4"/>
      <c r="H7" s="4"/>
      <c r="I7" s="4"/>
      <c r="J7" s="4"/>
      <c r="K7" s="61"/>
      <c r="L7" s="4"/>
      <c r="M7" s="4"/>
      <c r="N7" s="40"/>
      <c r="O7" s="59"/>
      <c r="P7" s="59"/>
      <c r="Q7" s="59"/>
    </row>
    <row r="8" spans="1:29" x14ac:dyDescent="0.2">
      <c r="A8" s="3" t="s">
        <v>2</v>
      </c>
      <c r="B8" s="31"/>
      <c r="C8" s="31"/>
      <c r="D8" s="31"/>
      <c r="E8" s="31"/>
      <c r="F8" s="31"/>
      <c r="G8" s="31"/>
      <c r="H8" s="31"/>
      <c r="I8" s="31"/>
      <c r="J8" s="31"/>
      <c r="K8" s="31"/>
      <c r="L8" s="31"/>
      <c r="M8" s="31"/>
    </row>
    <row r="9" spans="1:29" x14ac:dyDescent="0.2">
      <c r="A9" s="1" t="s">
        <v>3</v>
      </c>
      <c r="B9" s="111">
        <f>+'[4]Joe''s Comm Credit'!B9</f>
        <v>64.975363695229888</v>
      </c>
      <c r="C9" s="111">
        <f>+'[4]Joe''s Comm Credit'!C9</f>
        <v>68.42223870967743</v>
      </c>
      <c r="D9" s="111">
        <f>+'[4]Joe''s Comm Credit'!D9</f>
        <v>75.536166917616697</v>
      </c>
      <c r="E9" s="111">
        <f>+'[4]Joe''s Comm Credit'!E9</f>
        <v>61.702168597168615</v>
      </c>
      <c r="F9" s="111">
        <f>+'[4]Joe''s Comm Credit'!F9</f>
        <v>86.401736334405143</v>
      </c>
      <c r="G9" s="111">
        <f>+'[4]Joe''s Comm Credit'!G9</f>
        <v>75.837104648694577</v>
      </c>
      <c r="H9" s="111">
        <f>+'[4]Joe''s Comm Credit'!H9</f>
        <v>68.54918232280103</v>
      </c>
      <c r="I9" s="111">
        <f>+'[4]Joe''s Comm Credit'!I9</f>
        <v>68.522133220910632</v>
      </c>
      <c r="J9" s="111">
        <f>+'[4]Joe''s Comm Credit'!J9</f>
        <v>68.82439949431101</v>
      </c>
      <c r="K9" s="111">
        <f>+'[4]Joe''s Comm Credit'!K9</f>
        <v>89.252640402347041</v>
      </c>
      <c r="L9" s="111">
        <f>+'[4]Joe''s Comm Credit'!L9</f>
        <v>91.882944514501858</v>
      </c>
      <c r="M9" s="111">
        <f>+'[4]Joe''s Comm Credit'!M9</f>
        <v>81.580335429769363</v>
      </c>
      <c r="N9" s="27">
        <f>SUM(B9:M9)</f>
        <v>901.48641428743338</v>
      </c>
      <c r="O9" s="23"/>
      <c r="P9" s="23"/>
      <c r="Q9" s="23"/>
      <c r="R9" s="23"/>
      <c r="S9" s="23"/>
      <c r="T9" s="23"/>
      <c r="U9" s="23"/>
      <c r="V9" s="23"/>
      <c r="W9" s="23"/>
      <c r="X9" s="23"/>
      <c r="Y9" s="23"/>
      <c r="Z9" s="23"/>
      <c r="AA9" s="23"/>
      <c r="AB9" s="23"/>
      <c r="AC9" s="23"/>
    </row>
    <row r="10" spans="1:29" x14ac:dyDescent="0.2">
      <c r="A10" s="1" t="s">
        <v>11</v>
      </c>
      <c r="B10" s="111">
        <f>+'[4]Joe''s Comm Credit'!B10</f>
        <v>9.52</v>
      </c>
      <c r="C10" s="111">
        <f>+'[4]Joe''s Comm Credit'!C10</f>
        <v>11.08</v>
      </c>
      <c r="D10" s="111">
        <f>+'[4]Joe''s Comm Credit'!D10</f>
        <v>10.85</v>
      </c>
      <c r="E10" s="111">
        <f>+'[4]Joe''s Comm Credit'!E10</f>
        <v>9.1</v>
      </c>
      <c r="F10" s="111">
        <f>+'[4]Joe''s Comm Credit'!F10</f>
        <v>9.73</v>
      </c>
      <c r="G10" s="111">
        <f>+'[4]Joe''s Comm Credit'!G10</f>
        <v>9.8800000000000008</v>
      </c>
      <c r="H10" s="111">
        <f>+'[4]Joe''s Comm Credit'!H10</f>
        <v>9.1999999999999993</v>
      </c>
      <c r="I10" s="111">
        <f>+'[4]Joe''s Comm Credit'!I10</f>
        <v>9.15</v>
      </c>
      <c r="J10" s="111">
        <f>+'[4]Joe''s Comm Credit'!J10</f>
        <v>10.72</v>
      </c>
      <c r="K10" s="111">
        <f>+'[4]Joe''s Comm Credit'!K10</f>
        <v>9.51</v>
      </c>
      <c r="L10" s="111">
        <f>+'[4]Joe''s Comm Credit'!L10</f>
        <v>8.2200000000000006</v>
      </c>
      <c r="M10" s="111">
        <f>+'[4]Joe''s Comm Credit'!M10</f>
        <v>8.43</v>
      </c>
      <c r="N10" s="27">
        <f>SUM(B10:M10)</f>
        <v>115.39000000000001</v>
      </c>
      <c r="O10" s="23"/>
      <c r="Q10" s="23"/>
    </row>
    <row r="11" spans="1:29" s="3" customFormat="1" x14ac:dyDescent="0.2">
      <c r="A11" s="3" t="s">
        <v>12</v>
      </c>
      <c r="B11" s="29">
        <f>SUM(B9:B10)</f>
        <v>74.495363695229884</v>
      </c>
      <c r="C11" s="29">
        <f t="shared" ref="C11:J11" si="0">SUM(C9:C10)</f>
        <v>79.502238709677428</v>
      </c>
      <c r="D11" s="29">
        <f t="shared" si="0"/>
        <v>86.386166917616691</v>
      </c>
      <c r="E11" s="29">
        <f>SUM(E9:E10)</f>
        <v>70.802168597168617</v>
      </c>
      <c r="F11" s="29">
        <f>SUM(F9:F10)</f>
        <v>96.131736334405147</v>
      </c>
      <c r="G11" s="29">
        <f t="shared" si="0"/>
        <v>85.717104648694573</v>
      </c>
      <c r="H11" s="29">
        <f>SUM(H9:H10)</f>
        <v>77.749182322801033</v>
      </c>
      <c r="I11" s="29">
        <f>SUM(I9:I10)</f>
        <v>77.672133220910638</v>
      </c>
      <c r="J11" s="29">
        <f t="shared" si="0"/>
        <v>79.544399494311008</v>
      </c>
      <c r="K11" s="29">
        <f>SUM(K9:K10)</f>
        <v>98.762640402347046</v>
      </c>
      <c r="L11" s="29">
        <f>SUM(L9:L10)</f>
        <v>100.10294451450186</v>
      </c>
      <c r="M11" s="29">
        <f>SUM(M9:M10)</f>
        <v>90.010335429769356</v>
      </c>
      <c r="N11" s="30">
        <f>SUM(B11:M11)</f>
        <v>1016.8764142874334</v>
      </c>
      <c r="O11" s="30"/>
      <c r="P11" s="109">
        <f>+'[4]Joe''s Comm Credit'!$N$11-N11</f>
        <v>0</v>
      </c>
    </row>
    <row r="12" spans="1:29" x14ac:dyDescent="0.2">
      <c r="B12" s="2"/>
      <c r="C12" s="2"/>
      <c r="D12" s="2"/>
      <c r="E12" s="2"/>
      <c r="F12" s="2"/>
      <c r="G12" s="2"/>
      <c r="H12" s="2"/>
      <c r="I12" s="2"/>
      <c r="J12" s="2"/>
      <c r="K12" s="2"/>
      <c r="L12" s="2"/>
      <c r="M12" s="2"/>
      <c r="N12" s="27"/>
      <c r="O12" s="62"/>
    </row>
    <row r="13" spans="1:29" x14ac:dyDescent="0.2">
      <c r="A13" s="3" t="s">
        <v>4</v>
      </c>
      <c r="B13" s="31"/>
      <c r="C13" s="31"/>
      <c r="D13" s="31"/>
      <c r="E13" s="31"/>
      <c r="F13" s="31"/>
      <c r="G13" s="31"/>
      <c r="H13" s="31"/>
      <c r="I13" s="31"/>
      <c r="J13" s="31"/>
      <c r="K13" s="31"/>
      <c r="L13" s="31"/>
      <c r="M13" s="31"/>
    </row>
    <row r="14" spans="1:29" s="23" customFormat="1" x14ac:dyDescent="0.2">
      <c r="A14" s="23" t="s">
        <v>3</v>
      </c>
      <c r="B14" s="129">
        <f>'RSA-1 CPA Eff. 1.1.2022'!B12</f>
        <v>-72.580631999999994</v>
      </c>
      <c r="C14" s="129">
        <f>'RSA-1 CPA Eff. 1.1.2022'!C12</f>
        <v>-63.204141999999969</v>
      </c>
      <c r="D14" s="129">
        <f>'RSA-1 CPA Eff. 1.1.2022'!D12</f>
        <v>-60.236732000000011</v>
      </c>
      <c r="E14" s="129">
        <f>'RSA-1 CPA Eff. 1.1.2022'!E12</f>
        <v>-69.997131999999993</v>
      </c>
      <c r="F14" s="129">
        <f>'RSA-1 CPA Eff. 1.1.2022'!F12</f>
        <v>-64.593232</v>
      </c>
      <c r="G14" s="129">
        <f>'RSA-1 CPA Eff. 1.1.2022'!G12</f>
        <v>-47.949631999999994</v>
      </c>
      <c r="H14" s="129">
        <f>'RSA-1 CPA Eff. 1.1.2022'!H12</f>
        <v>-41.422732000000003</v>
      </c>
      <c r="I14" s="129">
        <f>'RSA-1 CPA Eff. 1.1.2022'!I12</f>
        <v>-19.477295999999996</v>
      </c>
      <c r="J14" s="129">
        <f>'RSA-1 CPA Eff. 1.1.2022'!J12</f>
        <v>0.85818400000000883</v>
      </c>
      <c r="K14" s="129">
        <f>'RSA-1 CPA Eff. 1.1.2022'!K12</f>
        <v>14.16164400000001</v>
      </c>
      <c r="L14" s="129">
        <f>'RSA-1 CPA Eff. 1.1.2022'!L12</f>
        <v>19.965324000000006</v>
      </c>
      <c r="M14" s="129">
        <f>'RSA-1 CPA Eff. 1.1.2022'!M12</f>
        <v>17.212044000000009</v>
      </c>
      <c r="N14" s="32"/>
    </row>
    <row r="15" spans="1:29" x14ac:dyDescent="0.2">
      <c r="A15" s="1" t="s">
        <v>11</v>
      </c>
      <c r="B15" s="129">
        <f>+'[4]Joe''s Comm Credit'!B16</f>
        <v>-33</v>
      </c>
      <c r="C15" s="129">
        <f>+'[4]Joe''s Comm Credit'!C16</f>
        <v>-33</v>
      </c>
      <c r="D15" s="129">
        <f>+'[4]Joe''s Comm Credit'!D16</f>
        <v>-33</v>
      </c>
      <c r="E15" s="129">
        <f>+'[4]Joe''s Comm Credit'!E16</f>
        <v>-33</v>
      </c>
      <c r="F15" s="129">
        <f>+'[4]Joe''s Comm Credit'!F16</f>
        <v>-33</v>
      </c>
      <c r="G15" s="129">
        <f>+'[4]Joe''s Comm Credit'!G16</f>
        <v>-33</v>
      </c>
      <c r="H15" s="129">
        <f>+'[4]Joe''s Comm Credit'!H16</f>
        <v>-33</v>
      </c>
      <c r="I15" s="129">
        <f>+'[4]Joe''s Comm Credit'!I16</f>
        <v>-33</v>
      </c>
      <c r="J15" s="129">
        <f>+'[4]Joe''s Comm Credit'!J16</f>
        <v>-33</v>
      </c>
      <c r="K15" s="129">
        <f>+'[4]Joe''s Comm Credit'!K16</f>
        <v>-33</v>
      </c>
      <c r="L15" s="129">
        <f>+'[4]Joe''s Comm Credit'!L16</f>
        <v>-33</v>
      </c>
      <c r="M15" s="129">
        <f>+'[4]Joe''s Comm Credit'!M16</f>
        <v>-33</v>
      </c>
      <c r="N15" s="17"/>
      <c r="O15" s="24"/>
    </row>
    <row r="17" spans="1:17" x14ac:dyDescent="0.2">
      <c r="A17" s="3" t="s">
        <v>5</v>
      </c>
    </row>
    <row r="18" spans="1:17" x14ac:dyDescent="0.2">
      <c r="A18" s="68" t="s">
        <v>3</v>
      </c>
      <c r="B18" s="34">
        <f>B9*B14</f>
        <v>-4715.9529614296407</v>
      </c>
      <c r="C18" s="34">
        <f t="shared" ref="C18:M18" si="1">C9*C14</f>
        <v>-4324.5688913643471</v>
      </c>
      <c r="D18" s="34">
        <f t="shared" si="1"/>
        <v>-4550.0518429237436</v>
      </c>
      <c r="E18" s="34">
        <f t="shared" si="1"/>
        <v>-4318.9748399822656</v>
      </c>
      <c r="F18" s="34">
        <f t="shared" si="1"/>
        <v>-5580.967400251061</v>
      </c>
      <c r="G18" s="34">
        <f t="shared" si="1"/>
        <v>-3636.3612598503937</v>
      </c>
      <c r="H18" s="34">
        <f t="shared" si="1"/>
        <v>-2839.4944081765248</v>
      </c>
      <c r="I18" s="34">
        <f t="shared" si="1"/>
        <v>-1334.6258712951094</v>
      </c>
      <c r="J18" s="34">
        <f t="shared" si="1"/>
        <v>59.063998455626404</v>
      </c>
      <c r="K18" s="34">
        <f t="shared" si="1"/>
        <v>1263.9641194380565</v>
      </c>
      <c r="L18" s="34">
        <f t="shared" si="1"/>
        <v>1834.4727573060529</v>
      </c>
      <c r="M18" s="34">
        <f t="shared" si="1"/>
        <v>1404.16432295195</v>
      </c>
      <c r="N18" s="11">
        <f>SUM(B18:M18)</f>
        <v>-26739.332277121401</v>
      </c>
      <c r="O18" s="14"/>
      <c r="Q18" s="1" t="s">
        <v>48</v>
      </c>
    </row>
    <row r="19" spans="1:17" x14ac:dyDescent="0.2">
      <c r="A19" s="1" t="s">
        <v>11</v>
      </c>
      <c r="B19" s="34">
        <f>+B15*B10</f>
        <v>-314.15999999999997</v>
      </c>
      <c r="C19" s="34">
        <f t="shared" ref="C19:M19" si="2">+C15*C10</f>
        <v>-365.64</v>
      </c>
      <c r="D19" s="34">
        <f t="shared" si="2"/>
        <v>-358.05</v>
      </c>
      <c r="E19" s="34">
        <f t="shared" si="2"/>
        <v>-300.3</v>
      </c>
      <c r="F19" s="34">
        <f t="shared" si="2"/>
        <v>-321.09000000000003</v>
      </c>
      <c r="G19" s="34">
        <f t="shared" si="2"/>
        <v>-326.04000000000002</v>
      </c>
      <c r="H19" s="34">
        <f t="shared" si="2"/>
        <v>-303.59999999999997</v>
      </c>
      <c r="I19" s="34">
        <f t="shared" si="2"/>
        <v>-301.95</v>
      </c>
      <c r="J19" s="34">
        <f t="shared" si="2"/>
        <v>-353.76000000000005</v>
      </c>
      <c r="K19" s="34">
        <f t="shared" si="2"/>
        <v>-313.83</v>
      </c>
      <c r="L19" s="34">
        <f t="shared" si="2"/>
        <v>-271.26000000000005</v>
      </c>
      <c r="M19" s="34">
        <f t="shared" si="2"/>
        <v>-278.19</v>
      </c>
      <c r="N19" s="11">
        <f>SUM(B19:M19)</f>
        <v>-3807.87</v>
      </c>
      <c r="O19" s="38"/>
      <c r="Q19" s="1" t="s">
        <v>48</v>
      </c>
    </row>
    <row r="20" spans="1:17" s="3" customFormat="1" x14ac:dyDescent="0.2">
      <c r="A20" s="134" t="s">
        <v>14</v>
      </c>
      <c r="B20" s="135">
        <f>+B18+B19</f>
        <v>-5030.1129614296406</v>
      </c>
      <c r="C20" s="135">
        <f>+C18+C19</f>
        <v>-4690.2088913643474</v>
      </c>
      <c r="D20" s="135">
        <f t="shared" ref="D20:I20" si="3">+D18+D19</f>
        <v>-4908.1018429237438</v>
      </c>
      <c r="E20" s="135">
        <f t="shared" si="3"/>
        <v>-4619.2748399822658</v>
      </c>
      <c r="F20" s="135">
        <f t="shared" si="3"/>
        <v>-5902.0574002510612</v>
      </c>
      <c r="G20" s="135">
        <f t="shared" si="3"/>
        <v>-3962.4012598503937</v>
      </c>
      <c r="H20" s="135">
        <f t="shared" si="3"/>
        <v>-3143.0944081765247</v>
      </c>
      <c r="I20" s="135">
        <f t="shared" si="3"/>
        <v>-1636.5758712951094</v>
      </c>
      <c r="J20" s="135">
        <f>+J18+J19</f>
        <v>-294.69600154437364</v>
      </c>
      <c r="K20" s="135">
        <f>+K18+K19</f>
        <v>950.13411943805659</v>
      </c>
      <c r="L20" s="135">
        <f>+L18+L19</f>
        <v>1563.2127573060529</v>
      </c>
      <c r="M20" s="135">
        <f>+M18+M19</f>
        <v>1125.9743229519499</v>
      </c>
      <c r="N20" s="135">
        <f>SUM(N18:N19)</f>
        <v>-30547.2022771214</v>
      </c>
      <c r="O20" s="63"/>
      <c r="P20" s="64">
        <f>+'[4]Joe''s Comm Credit'!$N$21-N20</f>
        <v>0</v>
      </c>
    </row>
    <row r="21" spans="1:17" x14ac:dyDescent="0.2">
      <c r="B21" s="12"/>
      <c r="C21" s="12"/>
      <c r="D21" s="12"/>
      <c r="E21" s="12"/>
      <c r="F21" s="12"/>
      <c r="G21" s="12"/>
      <c r="H21" s="12"/>
      <c r="I21" s="12"/>
      <c r="J21" s="12"/>
      <c r="K21" s="12"/>
      <c r="L21" s="12"/>
      <c r="M21" s="12"/>
      <c r="N21" s="12"/>
    </row>
    <row r="22" spans="1:17" s="5" customFormat="1" x14ac:dyDescent="0.2">
      <c r="A22" s="3" t="s">
        <v>6</v>
      </c>
      <c r="B22" s="5">
        <f>+'[4]Joe''s Comm Credit'!B23</f>
        <v>4342</v>
      </c>
      <c r="C22" s="5">
        <f>+'[4]Joe''s Comm Credit'!C23</f>
        <v>4359</v>
      </c>
      <c r="D22" s="5">
        <f>+'[4]Joe''s Comm Credit'!D23</f>
        <v>4358</v>
      </c>
      <c r="E22" s="5">
        <f>+'[4]Joe''s Comm Credit'!E23</f>
        <v>4371</v>
      </c>
      <c r="F22" s="5">
        <f>+'[4]Joe''s Comm Credit'!F23</f>
        <v>4374</v>
      </c>
      <c r="G22" s="5">
        <f>+'[4]Joe''s Comm Credit'!G23</f>
        <v>4420</v>
      </c>
      <c r="H22" s="5">
        <f>+'[4]Joe''s Comm Credit'!H23</f>
        <v>4393</v>
      </c>
      <c r="I22" s="5">
        <f>+'[4]Joe''s Comm Credit'!I23</f>
        <v>4453</v>
      </c>
      <c r="J22" s="5">
        <f>+'[4]Joe''s Comm Credit'!J23</f>
        <v>4455</v>
      </c>
      <c r="K22" s="5">
        <f>+'[4]Joe''s Comm Credit'!K23</f>
        <v>4480</v>
      </c>
      <c r="L22" s="5">
        <f>+'[4]Joe''s Comm Credit'!L23</f>
        <v>4477</v>
      </c>
      <c r="M22" s="5">
        <f>+'[4]Joe''s Comm Credit'!M23</f>
        <v>4478</v>
      </c>
      <c r="N22" s="7">
        <f>SUM(B22:M22)</f>
        <v>52960</v>
      </c>
      <c r="P22" s="5">
        <f>+'[4]Joe''s Comm Credit'!$N$23-N22</f>
        <v>0</v>
      </c>
      <c r="Q22" s="14"/>
    </row>
    <row r="23" spans="1:17" s="5" customFormat="1" x14ac:dyDescent="0.2">
      <c r="N23" s="7"/>
      <c r="Q23" s="14"/>
    </row>
    <row r="24" spans="1:17" x14ac:dyDescent="0.2">
      <c r="A24" s="1" t="s">
        <v>7</v>
      </c>
      <c r="B24" s="16">
        <f t="shared" ref="B24:M24" si="4">+IFERROR(B20/B22,0)</f>
        <v>-1.1584783421072411</v>
      </c>
      <c r="C24" s="16">
        <f t="shared" si="4"/>
        <v>-1.0759827692967074</v>
      </c>
      <c r="D24" s="16">
        <f t="shared" si="4"/>
        <v>-1.1262280502349113</v>
      </c>
      <c r="E24" s="16">
        <f t="shared" si="4"/>
        <v>-1.0568004667083655</v>
      </c>
      <c r="F24" s="16">
        <f t="shared" si="4"/>
        <v>-1.3493501143692412</v>
      </c>
      <c r="G24" s="16">
        <f t="shared" si="4"/>
        <v>-0.89647087326931985</v>
      </c>
      <c r="H24" s="16">
        <f t="shared" si="4"/>
        <v>-0.71547789851502952</v>
      </c>
      <c r="I24" s="16">
        <f t="shared" si="4"/>
        <v>-0.36752209101619343</v>
      </c>
      <c r="J24" s="16">
        <f t="shared" si="4"/>
        <v>-6.61494952961557E-2</v>
      </c>
      <c r="K24" s="16">
        <f t="shared" si="4"/>
        <v>0.21208350880313764</v>
      </c>
      <c r="L24" s="16">
        <f t="shared" si="4"/>
        <v>0.34916523504714159</v>
      </c>
      <c r="M24" s="16">
        <f t="shared" si="4"/>
        <v>0.25144580682267753</v>
      </c>
      <c r="N24" s="17"/>
      <c r="O24" s="37"/>
    </row>
    <row r="25" spans="1:17" x14ac:dyDescent="0.2">
      <c r="A25" s="1" t="s">
        <v>8</v>
      </c>
      <c r="B25" s="16">
        <f>+'Joe''s CPA Eff. 1.1.2021'!$M$25</f>
        <v>-1.8374658676875288</v>
      </c>
      <c r="C25" s="16">
        <f>+'Joe''s CPA Eff. 1.1.2021'!$M$25</f>
        <v>-1.8374658676875288</v>
      </c>
      <c r="D25" s="16">
        <f>+'Joe''s CPA Eff. 1.1.2021'!$N$29</f>
        <v>-1.72</v>
      </c>
      <c r="E25" s="16">
        <f>+'Joe''s CPA Eff. 1.1.2021'!$N$29</f>
        <v>-1.72</v>
      </c>
      <c r="F25" s="16">
        <f>+'Joe''s CPA Eff. 1.1.2021'!$N$29</f>
        <v>-1.72</v>
      </c>
      <c r="G25" s="16">
        <f>+'Joe''s CPA Eff. 1.1.2021'!$N$29</f>
        <v>-1.72</v>
      </c>
      <c r="H25" s="16">
        <f>+'Joe''s CPA Eff. 1.1.2021'!$N$29</f>
        <v>-1.72</v>
      </c>
      <c r="I25" s="16">
        <f>+'Joe''s CPA Eff. 1.1.2021'!$N$29</f>
        <v>-1.72</v>
      </c>
      <c r="J25" s="16">
        <f>+'Joe''s CPA Eff. 1.1.2021'!$N$29</f>
        <v>-1.72</v>
      </c>
      <c r="K25" s="16">
        <f>+'Joe''s CPA Eff. 1.1.2021'!$N$29</f>
        <v>-1.72</v>
      </c>
      <c r="L25" s="16">
        <f>+'Joe''s CPA Eff. 1.1.2021'!$N$29</f>
        <v>-1.72</v>
      </c>
      <c r="M25" s="16">
        <f>+'Joe''s CPA Eff. 1.1.2021'!$N$29</f>
        <v>-1.72</v>
      </c>
      <c r="N25" s="17"/>
      <c r="O25" s="19"/>
    </row>
    <row r="26" spans="1:17" ht="13.5" thickBot="1" x14ac:dyDescent="0.25">
      <c r="A26" s="133" t="s">
        <v>17</v>
      </c>
      <c r="B26" s="136">
        <f>+(B24-B25)*B22</f>
        <v>2948.1638360696093</v>
      </c>
      <c r="C26" s="136">
        <f t="shared" ref="C26:I26" si="5">+(C24-C25)*C22</f>
        <v>3319.3048258855906</v>
      </c>
      <c r="D26" s="136">
        <f t="shared" si="5"/>
        <v>2587.6581570762564</v>
      </c>
      <c r="E26" s="136">
        <f t="shared" si="5"/>
        <v>2898.8451600177345</v>
      </c>
      <c r="F26" s="136">
        <f t="shared" si="5"/>
        <v>1621.2225997489388</v>
      </c>
      <c r="G26" s="136">
        <f t="shared" si="5"/>
        <v>3639.998740149606</v>
      </c>
      <c r="H26" s="136">
        <f t="shared" si="5"/>
        <v>4412.8655918234745</v>
      </c>
      <c r="I26" s="136">
        <f t="shared" si="5"/>
        <v>6022.5841287048906</v>
      </c>
      <c r="J26" s="136">
        <f>+(J24-J25)*J22</f>
        <v>7367.9039984556266</v>
      </c>
      <c r="K26" s="136">
        <f>+(K24-K25)*K22</f>
        <v>8655.734119438057</v>
      </c>
      <c r="L26" s="136">
        <f>+(L24-L25)*L22</f>
        <v>9263.6527573060539</v>
      </c>
      <c r="M26" s="136">
        <f>+(M24-M25)*M22</f>
        <v>8828.1343229519498</v>
      </c>
      <c r="N26" s="136">
        <f>SUM(B26:M26)</f>
        <v>61566.068237627784</v>
      </c>
      <c r="O26" s="5"/>
      <c r="P26" s="31">
        <f>+'[4]Joe''s Comm Credit'!$N$27-N26</f>
        <v>22.049485250812722</v>
      </c>
      <c r="Q26" s="130" t="s">
        <v>44</v>
      </c>
    </row>
    <row r="27" spans="1:17" x14ac:dyDescent="0.2">
      <c r="B27" s="5"/>
      <c r="C27" s="5"/>
      <c r="D27" s="5"/>
      <c r="E27" s="5"/>
      <c r="F27" s="5"/>
      <c r="G27" s="5"/>
      <c r="H27" s="5"/>
      <c r="I27" s="5"/>
      <c r="J27" s="5"/>
      <c r="K27" s="5"/>
      <c r="L27" s="5"/>
      <c r="M27" s="5"/>
      <c r="N27" s="21"/>
    </row>
    <row r="28" spans="1:17" x14ac:dyDescent="0.2">
      <c r="B28" s="45"/>
      <c r="C28" s="45"/>
      <c r="D28" s="45"/>
      <c r="E28" s="45"/>
      <c r="F28" s="45"/>
      <c r="G28" s="45"/>
      <c r="H28" s="45"/>
      <c r="I28" s="45"/>
      <c r="J28" s="45"/>
      <c r="K28" s="45"/>
      <c r="L28" s="45"/>
      <c r="M28" s="72" t="s">
        <v>19</v>
      </c>
      <c r="N28" s="17">
        <f>ROUND(N26/N22,2)</f>
        <v>1.1599999999999999</v>
      </c>
      <c r="P28" s="31"/>
    </row>
    <row r="29" spans="1:17" x14ac:dyDescent="0.2">
      <c r="B29" s="49"/>
      <c r="C29" s="49"/>
      <c r="D29" s="49"/>
      <c r="E29" s="49"/>
      <c r="F29" s="49"/>
      <c r="G29" s="49"/>
      <c r="H29" s="49"/>
      <c r="I29" s="49"/>
      <c r="J29" s="49"/>
      <c r="K29" s="49"/>
      <c r="L29" s="22"/>
      <c r="M29" s="72" t="s">
        <v>49</v>
      </c>
      <c r="N29" s="120">
        <f>ROUND(N20/N22,2)</f>
        <v>-0.57999999999999996</v>
      </c>
      <c r="P29" s="31"/>
    </row>
    <row r="30" spans="1:17" x14ac:dyDescent="0.2">
      <c r="B30" s="49"/>
      <c r="C30" s="22"/>
      <c r="D30" s="22"/>
      <c r="E30" s="22"/>
      <c r="F30" s="22"/>
      <c r="G30" s="22"/>
      <c r="H30" s="22"/>
      <c r="I30" s="22"/>
      <c r="J30" s="22"/>
      <c r="K30" s="22"/>
      <c r="L30" s="22"/>
      <c r="M30" s="73" t="s">
        <v>41</v>
      </c>
      <c r="N30" s="44">
        <f>-N28-N29</f>
        <v>-0.57999999999999996</v>
      </c>
      <c r="P30" s="31"/>
    </row>
    <row r="31" spans="1:17" ht="15" x14ac:dyDescent="0.25">
      <c r="B31" s="127"/>
      <c r="C31" s="22"/>
      <c r="D31" s="22"/>
      <c r="E31" s="22"/>
      <c r="F31" s="22"/>
      <c r="G31" s="22"/>
      <c r="H31" s="22"/>
      <c r="I31" s="22"/>
      <c r="J31" s="22"/>
      <c r="K31" s="22"/>
      <c r="L31" s="22"/>
      <c r="M31" s="22"/>
      <c r="N31" s="44"/>
    </row>
    <row r="32" spans="1:17" x14ac:dyDescent="0.2">
      <c r="B32" s="126"/>
      <c r="C32" s="22"/>
      <c r="D32" s="22"/>
      <c r="E32" s="22"/>
      <c r="F32" s="22"/>
      <c r="G32" s="22"/>
      <c r="H32" s="22"/>
      <c r="I32" s="22"/>
      <c r="M32" s="72" t="s">
        <v>42</v>
      </c>
      <c r="N32" s="32">
        <f>+'Joe''s CPA Eff. 1.1.2021'!N30</f>
        <v>1.68</v>
      </c>
      <c r="O32" s="13"/>
      <c r="P32" s="8"/>
    </row>
    <row r="33" spans="1:17" x14ac:dyDescent="0.2">
      <c r="M33" s="72" t="s">
        <v>9</v>
      </c>
      <c r="N33" s="17">
        <f>+N30-N32</f>
        <v>-2.2599999999999998</v>
      </c>
      <c r="O33" s="71">
        <f>N33/N32</f>
        <v>-1.3452380952380951</v>
      </c>
    </row>
    <row r="34" spans="1:17" x14ac:dyDescent="0.2">
      <c r="M34" s="72" t="s">
        <v>34</v>
      </c>
      <c r="N34" s="11">
        <f>N33*N22</f>
        <v>-119689.59999999999</v>
      </c>
      <c r="O34" s="13"/>
      <c r="P34" s="8"/>
    </row>
    <row r="35" spans="1:17" x14ac:dyDescent="0.2">
      <c r="A35" s="65"/>
      <c r="N35" s="23"/>
    </row>
    <row r="36" spans="1:17" x14ac:dyDescent="0.2">
      <c r="A36" s="65"/>
      <c r="B36" s="3"/>
      <c r="C36" s="3"/>
      <c r="D36" s="3"/>
      <c r="E36" s="3"/>
      <c r="F36" s="3"/>
      <c r="G36" s="3"/>
      <c r="H36" s="3"/>
      <c r="I36" s="3"/>
      <c r="J36" s="3"/>
      <c r="K36" s="3"/>
      <c r="L36" s="3"/>
      <c r="M36" s="3"/>
      <c r="N36" s="40" t="s">
        <v>27</v>
      </c>
      <c r="O36" s="33"/>
    </row>
    <row r="37" spans="1:17" ht="13.5" thickBot="1" x14ac:dyDescent="0.25">
      <c r="A37" s="60" t="s">
        <v>13</v>
      </c>
      <c r="B37" s="28">
        <f t="shared" ref="B37:M37" si="6">B6</f>
        <v>44136</v>
      </c>
      <c r="C37" s="28">
        <f t="shared" si="6"/>
        <v>44167</v>
      </c>
      <c r="D37" s="28">
        <f t="shared" si="6"/>
        <v>44198</v>
      </c>
      <c r="E37" s="28">
        <f t="shared" si="6"/>
        <v>44229</v>
      </c>
      <c r="F37" s="28">
        <f t="shared" si="6"/>
        <v>44260</v>
      </c>
      <c r="G37" s="28">
        <f t="shared" si="6"/>
        <v>44291</v>
      </c>
      <c r="H37" s="28">
        <f t="shared" si="6"/>
        <v>44322</v>
      </c>
      <c r="I37" s="28">
        <f t="shared" si="6"/>
        <v>44353</v>
      </c>
      <c r="J37" s="28">
        <f t="shared" si="6"/>
        <v>44384</v>
      </c>
      <c r="K37" s="28">
        <f t="shared" si="6"/>
        <v>44415</v>
      </c>
      <c r="L37" s="28">
        <f t="shared" si="6"/>
        <v>44446</v>
      </c>
      <c r="M37" s="28">
        <f t="shared" si="6"/>
        <v>44477</v>
      </c>
      <c r="N37" s="58" t="s">
        <v>1</v>
      </c>
      <c r="O37" s="38"/>
      <c r="P37" s="67"/>
    </row>
    <row r="38" spans="1:17" x14ac:dyDescent="0.2">
      <c r="A38" s="60"/>
      <c r="B38" s="4"/>
      <c r="C38" s="4"/>
      <c r="D38" s="4"/>
      <c r="E38" s="4"/>
      <c r="F38" s="4"/>
      <c r="G38" s="4"/>
      <c r="H38" s="4"/>
      <c r="I38" s="4"/>
      <c r="J38" s="4"/>
      <c r="K38" s="4"/>
      <c r="L38" s="4"/>
      <c r="M38" s="4"/>
      <c r="N38" s="40"/>
      <c r="O38" s="38"/>
      <c r="P38" s="67"/>
    </row>
    <row r="39" spans="1:17" x14ac:dyDescent="0.2">
      <c r="A39" s="3" t="s">
        <v>2</v>
      </c>
      <c r="N39" s="23"/>
    </row>
    <row r="40" spans="1:17" x14ac:dyDescent="0.2">
      <c r="A40" s="68" t="s">
        <v>3</v>
      </c>
      <c r="B40" s="2">
        <f>+'[4]Joe''s Comm Credit'!B39</f>
        <v>4.3546363047701258</v>
      </c>
      <c r="C40" s="2">
        <f>+'[4]Joe''s Comm Credit'!C39</f>
        <v>4.5677612903225802</v>
      </c>
      <c r="D40" s="2">
        <f>+'[4]Joe''s Comm Credit'!D39</f>
        <v>5.0438330823833155</v>
      </c>
      <c r="E40" s="2">
        <f>+'[4]Joe''s Comm Credit'!E39</f>
        <v>4.1078314028314011</v>
      </c>
      <c r="F40" s="2">
        <f>+'[4]Joe''s Comm Credit'!F39</f>
        <v>5.7482636655948491</v>
      </c>
      <c r="G40" s="2">
        <f>+'[4]Joe''s Comm Credit'!G39</f>
        <v>4.9928953513054486</v>
      </c>
      <c r="H40" s="2">
        <f>+'[4]Joe''s Comm Credit'!H39</f>
        <v>4.540817677198973</v>
      </c>
      <c r="I40" s="2">
        <f>+'[4]Joe''s Comm Credit'!I39</f>
        <v>4.4778667790893678</v>
      </c>
      <c r="J40" s="2">
        <f>+'[4]Joe''s Comm Credit'!J39</f>
        <v>4.4956005056889987</v>
      </c>
      <c r="K40" s="2">
        <f>+'[4]Joe''s Comm Credit'!K39</f>
        <v>5.8173595976529819</v>
      </c>
      <c r="L40" s="2">
        <f>+'[4]Joe''s Comm Credit'!L39</f>
        <v>5.7670554854981058</v>
      </c>
      <c r="M40" s="2">
        <f>+'[4]Joe''s Comm Credit'!M39</f>
        <v>5.3196645702306142</v>
      </c>
      <c r="N40" s="27">
        <f t="shared" ref="N40:N41" si="7">SUM(B40:M40)</f>
        <v>59.233585712566757</v>
      </c>
      <c r="P40" s="31"/>
    </row>
    <row r="41" spans="1:17" x14ac:dyDescent="0.2">
      <c r="A41" s="68" t="s">
        <v>11</v>
      </c>
      <c r="B41" s="2">
        <f>+'[4]Joe''s Comm Credit'!B40</f>
        <v>0.56000000000000005</v>
      </c>
      <c r="C41" s="2">
        <f>+'[4]Joe''s Comm Credit'!C40</f>
        <v>0.64</v>
      </c>
      <c r="D41" s="2">
        <f>+'[4]Joe''s Comm Credit'!D40</f>
        <v>0.62</v>
      </c>
      <c r="E41" s="2">
        <f>+'[4]Joe''s Comm Credit'!E40</f>
        <v>0.53</v>
      </c>
      <c r="F41" s="2">
        <f>+'[4]Joe''s Comm Credit'!F40</f>
        <v>0.55000000000000004</v>
      </c>
      <c r="G41" s="2">
        <f>+'[4]Joe''s Comm Credit'!G40</f>
        <v>0.56000000000000005</v>
      </c>
      <c r="H41" s="2">
        <f>+'[4]Joe''s Comm Credit'!H40</f>
        <v>0.53</v>
      </c>
      <c r="I41" s="2">
        <f>+'[4]Joe''s Comm Credit'!I40</f>
        <v>0.51</v>
      </c>
      <c r="J41" s="2">
        <f>+'[4]Joe''s Comm Credit'!J40</f>
        <v>0.6</v>
      </c>
      <c r="K41" s="2">
        <f>+'[4]Joe''s Comm Credit'!K40</f>
        <v>0.53</v>
      </c>
      <c r="L41" s="2">
        <f>+'[4]Joe''s Comm Credit'!L40</f>
        <v>0.46</v>
      </c>
      <c r="M41" s="2">
        <f>+'[4]Joe''s Comm Credit'!M40</f>
        <v>0.47</v>
      </c>
      <c r="N41" s="27">
        <f t="shared" si="7"/>
        <v>6.56</v>
      </c>
      <c r="O41" s="69"/>
      <c r="P41" s="31"/>
    </row>
    <row r="42" spans="1:17" x14ac:dyDescent="0.2">
      <c r="A42" s="66" t="s">
        <v>12</v>
      </c>
      <c r="B42" s="29">
        <f t="shared" ref="B42:M42" si="8">SUM(B40:B41)</f>
        <v>4.9146363047701254</v>
      </c>
      <c r="C42" s="29">
        <f t="shared" si="8"/>
        <v>5.2077612903225798</v>
      </c>
      <c r="D42" s="29">
        <f t="shared" si="8"/>
        <v>5.6638330823833156</v>
      </c>
      <c r="E42" s="29">
        <f t="shared" si="8"/>
        <v>4.6378314028314014</v>
      </c>
      <c r="F42" s="29">
        <f t="shared" si="8"/>
        <v>6.298263665594849</v>
      </c>
      <c r="G42" s="29">
        <f t="shared" si="8"/>
        <v>5.5528953513054482</v>
      </c>
      <c r="H42" s="29">
        <f t="shared" si="8"/>
        <v>5.0708176771989733</v>
      </c>
      <c r="I42" s="29">
        <f t="shared" si="8"/>
        <v>4.9878667790893676</v>
      </c>
      <c r="J42" s="29">
        <f t="shared" si="8"/>
        <v>5.0956005056889984</v>
      </c>
      <c r="K42" s="29">
        <f t="shared" si="8"/>
        <v>6.3473595976529822</v>
      </c>
      <c r="L42" s="29">
        <f>SUM(L40:L41)</f>
        <v>6.2270554854981057</v>
      </c>
      <c r="M42" s="29">
        <f t="shared" si="8"/>
        <v>5.789664570230614</v>
      </c>
      <c r="N42" s="30">
        <f>SUM(N40:N41)</f>
        <v>65.793585712566752</v>
      </c>
      <c r="P42" s="31">
        <f>+'[4]Joe''s Comm Credit'!$N$41-N42</f>
        <v>0</v>
      </c>
    </row>
    <row r="43" spans="1:17" x14ac:dyDescent="0.2">
      <c r="A43" s="68"/>
      <c r="B43" s="2"/>
      <c r="C43" s="2"/>
      <c r="D43" s="2"/>
      <c r="E43" s="2"/>
      <c r="F43" s="2"/>
      <c r="G43" s="2"/>
      <c r="H43" s="2"/>
      <c r="I43" s="2"/>
      <c r="J43" s="2"/>
      <c r="K43" s="2"/>
      <c r="L43" s="2"/>
      <c r="M43" s="2"/>
      <c r="N43" s="31"/>
    </row>
    <row r="44" spans="1:17" x14ac:dyDescent="0.2">
      <c r="A44" s="66" t="s">
        <v>4</v>
      </c>
    </row>
    <row r="45" spans="1:17" x14ac:dyDescent="0.2">
      <c r="A45" s="68" t="s">
        <v>3</v>
      </c>
      <c r="B45" s="129">
        <f t="shared" ref="B45:M46" si="9">+B14</f>
        <v>-72.580631999999994</v>
      </c>
      <c r="C45" s="129">
        <f t="shared" si="9"/>
        <v>-63.204141999999969</v>
      </c>
      <c r="D45" s="129">
        <f t="shared" si="9"/>
        <v>-60.236732000000011</v>
      </c>
      <c r="E45" s="129">
        <f t="shared" si="9"/>
        <v>-69.997131999999993</v>
      </c>
      <c r="F45" s="129">
        <f t="shared" si="9"/>
        <v>-64.593232</v>
      </c>
      <c r="G45" s="129">
        <f t="shared" si="9"/>
        <v>-47.949631999999994</v>
      </c>
      <c r="H45" s="129">
        <f t="shared" si="9"/>
        <v>-41.422732000000003</v>
      </c>
      <c r="I45" s="129">
        <f t="shared" si="9"/>
        <v>-19.477295999999996</v>
      </c>
      <c r="J45" s="129">
        <f t="shared" si="9"/>
        <v>0.85818400000000883</v>
      </c>
      <c r="K45" s="129">
        <f t="shared" si="9"/>
        <v>14.16164400000001</v>
      </c>
      <c r="L45" s="129">
        <f t="shared" si="9"/>
        <v>19.965324000000006</v>
      </c>
      <c r="M45" s="129">
        <f t="shared" si="9"/>
        <v>17.212044000000009</v>
      </c>
    </row>
    <row r="46" spans="1:17" x14ac:dyDescent="0.2">
      <c r="A46" s="68" t="s">
        <v>11</v>
      </c>
      <c r="B46" s="129">
        <f t="shared" si="9"/>
        <v>-33</v>
      </c>
      <c r="C46" s="129">
        <f t="shared" si="9"/>
        <v>-33</v>
      </c>
      <c r="D46" s="129">
        <f t="shared" si="9"/>
        <v>-33</v>
      </c>
      <c r="E46" s="129">
        <f t="shared" si="9"/>
        <v>-33</v>
      </c>
      <c r="F46" s="129">
        <f t="shared" si="9"/>
        <v>-33</v>
      </c>
      <c r="G46" s="129">
        <f t="shared" si="9"/>
        <v>-33</v>
      </c>
      <c r="H46" s="129">
        <f t="shared" si="9"/>
        <v>-33</v>
      </c>
      <c r="I46" s="129">
        <f t="shared" si="9"/>
        <v>-33</v>
      </c>
      <c r="J46" s="129">
        <f t="shared" si="9"/>
        <v>-33</v>
      </c>
      <c r="K46" s="129">
        <f t="shared" si="9"/>
        <v>-33</v>
      </c>
      <c r="L46" s="129">
        <f t="shared" si="9"/>
        <v>-33</v>
      </c>
      <c r="M46" s="129">
        <f t="shared" si="9"/>
        <v>-33</v>
      </c>
      <c r="Q46" s="1" t="s">
        <v>45</v>
      </c>
    </row>
    <row r="47" spans="1:17" x14ac:dyDescent="0.2">
      <c r="A47" s="68"/>
      <c r="B47" s="2"/>
      <c r="C47" s="2"/>
      <c r="D47" s="2"/>
      <c r="E47" s="2"/>
      <c r="F47" s="2"/>
      <c r="G47" s="2"/>
      <c r="H47" s="2"/>
      <c r="I47" s="2"/>
      <c r="J47" s="2"/>
      <c r="K47" s="2"/>
      <c r="L47" s="2"/>
      <c r="M47" s="2"/>
    </row>
    <row r="48" spans="1:17" x14ac:dyDescent="0.2">
      <c r="A48" s="3" t="s">
        <v>5</v>
      </c>
      <c r="B48" s="2"/>
      <c r="C48" s="2"/>
      <c r="D48" s="2"/>
      <c r="E48" s="2"/>
      <c r="F48" s="2"/>
      <c r="G48" s="2"/>
      <c r="H48" s="2"/>
      <c r="I48" s="2"/>
      <c r="J48" s="2"/>
      <c r="K48" s="2"/>
      <c r="L48" s="2"/>
      <c r="M48" s="2"/>
    </row>
    <row r="49" spans="1:17" x14ac:dyDescent="0.2">
      <c r="A49" s="68" t="s">
        <v>3</v>
      </c>
      <c r="B49" s="10">
        <f t="shared" ref="B49:M49" si="10">+B40*B45</f>
        <v>-316.06225513036031</v>
      </c>
      <c r="C49" s="10">
        <f t="shared" si="10"/>
        <v>-288.70143321565143</v>
      </c>
      <c r="D49" s="10">
        <f t="shared" si="10"/>
        <v>-303.82402163625773</v>
      </c>
      <c r="E49" s="10">
        <f t="shared" si="10"/>
        <v>-287.53641693773471</v>
      </c>
      <c r="F49" s="10">
        <f t="shared" si="10"/>
        <v>-371.29892854893853</v>
      </c>
      <c r="G49" s="10">
        <f t="shared" si="10"/>
        <v>-239.40749470960694</v>
      </c>
      <c r="H49" s="10">
        <f t="shared" si="10"/>
        <v>-188.0930737034756</v>
      </c>
      <c r="I49" s="10">
        <f t="shared" si="10"/>
        <v>-87.216736704890209</v>
      </c>
      <c r="J49" s="10">
        <f t="shared" si="10"/>
        <v>3.8580524243742476</v>
      </c>
      <c r="K49" s="10">
        <f t="shared" si="10"/>
        <v>82.383375641944824</v>
      </c>
      <c r="L49" s="10">
        <f t="shared" si="10"/>
        <v>115.14113129394701</v>
      </c>
      <c r="M49" s="10">
        <f t="shared" si="10"/>
        <v>91.562300648050467</v>
      </c>
      <c r="N49" s="11">
        <f>SUM(B49:M49)</f>
        <v>-1789.1955005785987</v>
      </c>
      <c r="Q49" s="1" t="s">
        <v>48</v>
      </c>
    </row>
    <row r="50" spans="1:17" x14ac:dyDescent="0.2">
      <c r="A50" s="68" t="s">
        <v>11</v>
      </c>
      <c r="B50" s="10">
        <f t="shared" ref="B50:M50" si="11">+B46*B41</f>
        <v>-18.48</v>
      </c>
      <c r="C50" s="10">
        <f t="shared" si="11"/>
        <v>-21.12</v>
      </c>
      <c r="D50" s="10">
        <f t="shared" si="11"/>
        <v>-20.46</v>
      </c>
      <c r="E50" s="10">
        <f t="shared" si="11"/>
        <v>-17.490000000000002</v>
      </c>
      <c r="F50" s="10">
        <f t="shared" si="11"/>
        <v>-18.150000000000002</v>
      </c>
      <c r="G50" s="10">
        <f t="shared" si="11"/>
        <v>-18.48</v>
      </c>
      <c r="H50" s="10">
        <f t="shared" si="11"/>
        <v>-17.490000000000002</v>
      </c>
      <c r="I50" s="10">
        <f t="shared" si="11"/>
        <v>-16.830000000000002</v>
      </c>
      <c r="J50" s="10">
        <f t="shared" si="11"/>
        <v>-19.8</v>
      </c>
      <c r="K50" s="10">
        <f t="shared" si="11"/>
        <v>-17.490000000000002</v>
      </c>
      <c r="L50" s="10">
        <f t="shared" si="11"/>
        <v>-15.180000000000001</v>
      </c>
      <c r="M50" s="10">
        <f t="shared" si="11"/>
        <v>-15.51</v>
      </c>
      <c r="N50" s="11">
        <f>SUM(B50:M50)</f>
        <v>-216.48000000000005</v>
      </c>
      <c r="Q50" s="1" t="s">
        <v>48</v>
      </c>
    </row>
    <row r="51" spans="1:17" x14ac:dyDescent="0.2">
      <c r="A51" s="134" t="s">
        <v>14</v>
      </c>
      <c r="B51" s="135">
        <f t="shared" ref="B51:I51" si="12">+B49+B50</f>
        <v>-334.54225513036033</v>
      </c>
      <c r="C51" s="135">
        <f t="shared" si="12"/>
        <v>-309.82143321565144</v>
      </c>
      <c r="D51" s="135">
        <f t="shared" si="12"/>
        <v>-324.28402163625771</v>
      </c>
      <c r="E51" s="135">
        <f t="shared" si="12"/>
        <v>-305.02641693773472</v>
      </c>
      <c r="F51" s="135">
        <f t="shared" si="12"/>
        <v>-389.44892854893851</v>
      </c>
      <c r="G51" s="135">
        <f t="shared" si="12"/>
        <v>-257.88749470960693</v>
      </c>
      <c r="H51" s="135">
        <f t="shared" si="12"/>
        <v>-205.58307370347561</v>
      </c>
      <c r="I51" s="135">
        <f t="shared" si="12"/>
        <v>-104.04673670489021</v>
      </c>
      <c r="J51" s="135">
        <f>+J49+J50</f>
        <v>-15.941947575625754</v>
      </c>
      <c r="K51" s="135">
        <f>+K49+K50</f>
        <v>64.893375641944829</v>
      </c>
      <c r="L51" s="135">
        <f>+L49+L50</f>
        <v>99.961131293947005</v>
      </c>
      <c r="M51" s="135">
        <f>+M49+M50</f>
        <v>76.052300648050462</v>
      </c>
      <c r="N51" s="135">
        <f>SUM(N49:N50)</f>
        <v>-2005.6755005785988</v>
      </c>
      <c r="P51" s="2">
        <f>+'[4]Joe''s Comm Credit'!$N$51-N51</f>
        <v>-1.404125263206879E-2</v>
      </c>
    </row>
    <row r="52" spans="1:17" x14ac:dyDescent="0.2">
      <c r="B52" s="5"/>
      <c r="C52" s="5"/>
      <c r="D52" s="5"/>
      <c r="E52" s="5"/>
      <c r="F52" s="5"/>
      <c r="G52" s="5"/>
      <c r="H52" s="5"/>
      <c r="I52" s="5"/>
      <c r="J52" s="5"/>
      <c r="K52" s="5"/>
      <c r="L52" s="5"/>
      <c r="M52" s="5"/>
      <c r="N52" s="8"/>
    </row>
    <row r="53" spans="1:17" x14ac:dyDescent="0.2">
      <c r="A53" s="66" t="s">
        <v>6</v>
      </c>
      <c r="B53" s="5">
        <f>+'[4]Joe''s Comm Credit'!B53</f>
        <v>291</v>
      </c>
      <c r="C53" s="5">
        <f>+'[4]Joe''s Comm Credit'!C53</f>
        <v>291</v>
      </c>
      <c r="D53" s="5">
        <f>+'[4]Joe''s Comm Credit'!D53</f>
        <v>291</v>
      </c>
      <c r="E53" s="5">
        <f>+'[4]Joe''s Comm Credit'!E53</f>
        <v>291</v>
      </c>
      <c r="F53" s="5">
        <f>+'[4]Joe''s Comm Credit'!F53</f>
        <v>291</v>
      </c>
      <c r="G53" s="5">
        <f>+'[4]Joe''s Comm Credit'!G53</f>
        <v>291</v>
      </c>
      <c r="H53" s="5">
        <f>+'[4]Joe''s Comm Credit'!H53</f>
        <v>291</v>
      </c>
      <c r="I53" s="5">
        <f>+'[4]Joe''s Comm Credit'!I53</f>
        <v>291</v>
      </c>
      <c r="J53" s="5">
        <f>+'[4]Joe''s Comm Credit'!J53</f>
        <v>291</v>
      </c>
      <c r="K53" s="5">
        <f>+'[4]Joe''s Comm Credit'!K53</f>
        <v>292</v>
      </c>
      <c r="L53" s="5">
        <f>+'[4]Joe''s Comm Credit'!L53</f>
        <v>281</v>
      </c>
      <c r="M53" s="5">
        <f>+'[4]Joe''s Comm Credit'!M53</f>
        <v>292</v>
      </c>
      <c r="N53" s="7">
        <f>SUM(B53:M53)</f>
        <v>3484</v>
      </c>
      <c r="P53" s="2">
        <f>+'[4]Joe''s Comm Credit'!$N$53-N53</f>
        <v>0</v>
      </c>
    </row>
    <row r="54" spans="1:17" x14ac:dyDescent="0.2">
      <c r="A54" s="68"/>
      <c r="N54" s="8"/>
    </row>
    <row r="55" spans="1:17" x14ac:dyDescent="0.2">
      <c r="A55" s="1" t="s">
        <v>7</v>
      </c>
      <c r="B55" s="16">
        <f t="shared" ref="B55:M55" si="13">IFERROR(B51/B53,0)</f>
        <v>-1.1496297427160149</v>
      </c>
      <c r="C55" s="16">
        <f t="shared" si="13"/>
        <v>-1.0646784646585961</v>
      </c>
      <c r="D55" s="16">
        <f t="shared" si="13"/>
        <v>-1.1143780812242532</v>
      </c>
      <c r="E55" s="16">
        <f t="shared" si="13"/>
        <v>-1.0482007454904974</v>
      </c>
      <c r="F55" s="16">
        <f t="shared" si="13"/>
        <v>-1.3383124692403385</v>
      </c>
      <c r="G55" s="16">
        <f t="shared" si="13"/>
        <v>-0.88621132202614061</v>
      </c>
      <c r="H55" s="16">
        <f t="shared" si="13"/>
        <v>-0.70647104365455538</v>
      </c>
      <c r="I55" s="16">
        <f t="shared" si="13"/>
        <v>-0.35754892338450245</v>
      </c>
      <c r="J55" s="16">
        <f t="shared" si="13"/>
        <v>-5.4783325002150357E-2</v>
      </c>
      <c r="K55" s="16">
        <f t="shared" si="13"/>
        <v>0.22223758781487954</v>
      </c>
      <c r="L55" s="16">
        <f t="shared" si="13"/>
        <v>0.3557335633236548</v>
      </c>
      <c r="M55" s="16">
        <f t="shared" si="13"/>
        <v>0.26045308441113174</v>
      </c>
      <c r="N55" s="17"/>
    </row>
    <row r="56" spans="1:17" x14ac:dyDescent="0.2">
      <c r="A56" s="1" t="s">
        <v>8</v>
      </c>
      <c r="B56" s="16">
        <f>+'Joe''s CPA Eff. 1.1.2021'!$M$56</f>
        <v>-1.8272175292549726</v>
      </c>
      <c r="C56" s="16">
        <f>+'Joe''s CPA Eff. 1.1.2021'!$M$56</f>
        <v>-1.8272175292549726</v>
      </c>
      <c r="D56" s="16">
        <f>+'Joe''s CPA Eff. 1.1.2021'!$N$60</f>
        <v>-1.71</v>
      </c>
      <c r="E56" s="16">
        <f>+'Joe''s CPA Eff. 1.1.2021'!$N$60</f>
        <v>-1.71</v>
      </c>
      <c r="F56" s="16">
        <f>+'Joe''s CPA Eff. 1.1.2021'!$N$60</f>
        <v>-1.71</v>
      </c>
      <c r="G56" s="16">
        <f>+'Joe''s CPA Eff. 1.1.2021'!$N$60</f>
        <v>-1.71</v>
      </c>
      <c r="H56" s="16">
        <f>+'Joe''s CPA Eff. 1.1.2021'!$N$60</f>
        <v>-1.71</v>
      </c>
      <c r="I56" s="16">
        <f>+'Joe''s CPA Eff. 1.1.2021'!$N$60</f>
        <v>-1.71</v>
      </c>
      <c r="J56" s="16">
        <f>+'Joe''s CPA Eff. 1.1.2021'!$N$60</f>
        <v>-1.71</v>
      </c>
      <c r="K56" s="16">
        <f>+'Joe''s CPA Eff. 1.1.2021'!$N$60</f>
        <v>-1.71</v>
      </c>
      <c r="L56" s="16">
        <f>+'Joe''s CPA Eff. 1.1.2021'!$N$60</f>
        <v>-1.71</v>
      </c>
      <c r="M56" s="16">
        <f>+'Joe''s CPA Eff. 1.1.2021'!$N$60</f>
        <v>-1.71</v>
      </c>
      <c r="N56" s="17"/>
    </row>
    <row r="57" spans="1:17" ht="13.5" thickBot="1" x14ac:dyDescent="0.25">
      <c r="A57" s="136" t="s">
        <v>17</v>
      </c>
      <c r="B57" s="136">
        <f>(B55-B56)*B53</f>
        <v>197.1780458828367</v>
      </c>
      <c r="C57" s="136">
        <f t="shared" ref="C57:I57" si="14">(C55-C56)*C53</f>
        <v>221.89886779754556</v>
      </c>
      <c r="D57" s="136">
        <f t="shared" si="14"/>
        <v>173.32597836374231</v>
      </c>
      <c r="E57" s="136">
        <f t="shared" si="14"/>
        <v>192.58358306226526</v>
      </c>
      <c r="F57" s="136">
        <f t="shared" si="14"/>
        <v>108.16107145106147</v>
      </c>
      <c r="G57" s="136">
        <f t="shared" si="14"/>
        <v>239.72250529039306</v>
      </c>
      <c r="H57" s="136">
        <f t="shared" si="14"/>
        <v>292.02692629652438</v>
      </c>
      <c r="I57" s="136">
        <f t="shared" si="14"/>
        <v>393.56326329510978</v>
      </c>
      <c r="J57" s="136">
        <f>(J55-J56)*J53</f>
        <v>481.66805242437425</v>
      </c>
      <c r="K57" s="136">
        <f>(K55-K56)*K53</f>
        <v>564.21337564194482</v>
      </c>
      <c r="L57" s="136">
        <f>(L55-L56)*L53</f>
        <v>580.471131293947</v>
      </c>
      <c r="M57" s="136">
        <f>(M55-M56)*M53</f>
        <v>575.37230064805044</v>
      </c>
      <c r="N57" s="136">
        <f>SUM(B57:M57)</f>
        <v>4020.1851014477952</v>
      </c>
      <c r="P57" s="131">
        <f>+'[4]Joe''s Comm Credit'!$N$57-N57</f>
        <v>1.6053567209746689</v>
      </c>
      <c r="Q57" s="130" t="s">
        <v>44</v>
      </c>
    </row>
    <row r="59" spans="1:17" ht="15" x14ac:dyDescent="0.25">
      <c r="A59" s="55"/>
      <c r="B59" s="45"/>
      <c r="C59" s="45"/>
      <c r="D59" s="45"/>
      <c r="E59" s="45"/>
      <c r="F59" s="45"/>
      <c r="G59" s="45"/>
      <c r="H59" s="45"/>
      <c r="I59" s="45"/>
      <c r="J59" s="45"/>
      <c r="K59" s="45"/>
      <c r="L59" s="45"/>
      <c r="M59" s="72" t="s">
        <v>19</v>
      </c>
      <c r="N59" s="17">
        <f>ROUND(N57/N53,2)</f>
        <v>1.1499999999999999</v>
      </c>
    </row>
    <row r="60" spans="1:17" x14ac:dyDescent="0.2">
      <c r="B60" s="49"/>
      <c r="C60" s="49"/>
      <c r="D60" s="49"/>
      <c r="E60" s="49"/>
      <c r="F60" s="49"/>
      <c r="G60" s="49"/>
      <c r="H60" s="49"/>
      <c r="I60" s="49"/>
      <c r="J60" s="49"/>
      <c r="K60" s="49"/>
      <c r="L60" s="22"/>
      <c r="M60" s="72" t="s">
        <v>49</v>
      </c>
      <c r="N60" s="120">
        <f>ROUND(N51/N53,2)</f>
        <v>-0.57999999999999996</v>
      </c>
    </row>
    <row r="61" spans="1:17" ht="15" x14ac:dyDescent="0.25">
      <c r="A61" s="55"/>
      <c r="B61" s="57"/>
      <c r="C61" s="57"/>
      <c r="D61" s="57"/>
      <c r="E61" s="57"/>
      <c r="F61" s="57"/>
      <c r="G61" s="57"/>
      <c r="H61" s="57"/>
      <c r="I61" s="57"/>
      <c r="J61" s="57"/>
      <c r="K61" s="57"/>
      <c r="L61" s="57"/>
      <c r="M61" s="73" t="s">
        <v>41</v>
      </c>
      <c r="N61" s="44">
        <f>-N59-N60</f>
        <v>-0.56999999999999995</v>
      </c>
    </row>
    <row r="62" spans="1:17" ht="15" x14ac:dyDescent="0.25">
      <c r="B62" s="125"/>
      <c r="C62" s="22"/>
      <c r="D62" s="22"/>
      <c r="E62" s="22"/>
      <c r="F62" s="22"/>
      <c r="G62" s="22"/>
      <c r="H62" s="22"/>
      <c r="I62" s="22"/>
      <c r="J62" s="22"/>
      <c r="K62" s="22"/>
      <c r="L62" s="22"/>
      <c r="M62" s="22"/>
      <c r="N62" s="44"/>
    </row>
    <row r="63" spans="1:17" ht="15" x14ac:dyDescent="0.25">
      <c r="A63" s="55"/>
      <c r="B63" s="70"/>
      <c r="C63" s="70"/>
      <c r="D63" s="70"/>
      <c r="E63" s="70"/>
      <c r="F63" s="70"/>
      <c r="G63" s="70"/>
      <c r="H63" s="70"/>
      <c r="I63" s="70"/>
      <c r="J63" s="70"/>
      <c r="K63" s="70"/>
      <c r="L63" s="70"/>
      <c r="M63" s="72" t="s">
        <v>42</v>
      </c>
      <c r="N63" s="32">
        <f>+'Joe''s CPA Eff. 1.1.2021'!N61</f>
        <v>1.67</v>
      </c>
    </row>
    <row r="64" spans="1:17" x14ac:dyDescent="0.2">
      <c r="B64" s="25"/>
      <c r="C64" s="25"/>
      <c r="D64" s="25"/>
      <c r="E64" s="25"/>
      <c r="F64" s="25"/>
      <c r="G64" s="25"/>
      <c r="H64" s="25"/>
      <c r="I64" s="25"/>
      <c r="J64" s="25"/>
      <c r="K64" s="25"/>
      <c r="L64" s="25"/>
      <c r="M64" s="72" t="s">
        <v>9</v>
      </c>
      <c r="N64" s="17">
        <f>+N61-N63</f>
        <v>-2.2399999999999998</v>
      </c>
      <c r="O64" s="71">
        <f>N64/N63</f>
        <v>-1.341317365269461</v>
      </c>
    </row>
    <row r="65" spans="1:60" x14ac:dyDescent="0.2">
      <c r="B65" s="25"/>
      <c r="C65" s="25"/>
      <c r="D65" s="25"/>
      <c r="E65" s="25"/>
      <c r="F65" s="25"/>
      <c r="G65" s="25"/>
      <c r="H65" s="25"/>
      <c r="I65" s="25"/>
      <c r="J65" s="25"/>
      <c r="K65" s="25"/>
      <c r="L65" s="25"/>
      <c r="M65" s="72" t="s">
        <v>34</v>
      </c>
      <c r="N65" s="11">
        <f>N64*N53</f>
        <v>-7804.1599999999989</v>
      </c>
    </row>
    <row r="67" spans="1:60" x14ac:dyDescent="0.2">
      <c r="B67" s="12"/>
      <c r="C67" s="12"/>
      <c r="D67" s="12"/>
      <c r="E67" s="12"/>
      <c r="F67" s="12"/>
      <c r="G67" s="12"/>
      <c r="H67" s="12"/>
      <c r="I67" s="12"/>
      <c r="J67" s="12"/>
      <c r="K67" s="12"/>
      <c r="L67" s="12"/>
      <c r="M67" s="12"/>
    </row>
    <row r="68" spans="1:60" x14ac:dyDescent="0.2">
      <c r="B68" s="12"/>
      <c r="C68" s="12"/>
      <c r="D68" s="12"/>
      <c r="E68" s="12"/>
      <c r="F68" s="12"/>
      <c r="G68" s="12"/>
      <c r="H68" s="12"/>
      <c r="I68" s="12"/>
      <c r="J68" s="12"/>
      <c r="K68" s="12"/>
      <c r="L68" s="12"/>
      <c r="M68" s="12"/>
    </row>
    <row r="69" spans="1:60" x14ac:dyDescent="0.2">
      <c r="B69" s="12"/>
      <c r="C69" s="12"/>
      <c r="D69" s="12"/>
      <c r="E69" s="12"/>
      <c r="F69" s="12"/>
      <c r="G69" s="12"/>
      <c r="H69" s="12"/>
      <c r="I69" s="12"/>
      <c r="J69" s="12"/>
      <c r="K69" s="12"/>
      <c r="L69" s="12"/>
      <c r="M69" s="12"/>
    </row>
    <row r="71" spans="1:60" x14ac:dyDescent="0.2">
      <c r="B71" s="12"/>
      <c r="C71" s="12"/>
      <c r="D71" s="12"/>
      <c r="E71" s="12"/>
      <c r="F71" s="12"/>
      <c r="G71" s="12"/>
      <c r="H71" s="12"/>
      <c r="I71" s="12"/>
      <c r="J71" s="12"/>
      <c r="K71" s="12"/>
      <c r="L71" s="12"/>
      <c r="M71" s="12"/>
    </row>
    <row r="72" spans="1:60" s="2" customFormat="1" x14ac:dyDescent="0.2">
      <c r="A72" s="1"/>
      <c r="B72" s="12"/>
      <c r="C72" s="12"/>
      <c r="D72" s="12"/>
      <c r="E72" s="12"/>
      <c r="F72" s="12"/>
      <c r="G72" s="12"/>
      <c r="H72" s="12"/>
      <c r="I72" s="12"/>
      <c r="J72" s="12"/>
      <c r="K72" s="12"/>
      <c r="L72" s="12"/>
      <c r="M72" s="12"/>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s="2" customFormat="1" x14ac:dyDescent="0.2">
      <c r="A73" s="1"/>
      <c r="B73" s="12"/>
      <c r="C73" s="12"/>
      <c r="D73" s="12"/>
      <c r="E73" s="12"/>
      <c r="F73" s="12"/>
      <c r="G73" s="12"/>
      <c r="H73" s="12"/>
      <c r="I73" s="12"/>
      <c r="J73" s="12"/>
      <c r="K73" s="12"/>
      <c r="L73" s="12"/>
      <c r="M73" s="12"/>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s="2" customForma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s="2" customForma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s="2"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s="2"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s="2"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s="2"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s="2"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s="2"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s="2"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s="2"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s="2"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s="2"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s="2" customForma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s="2" customForma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s="2"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s="2" customForma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s="2" customForma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s="2" customForma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s="2" customForma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s="2" customForma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s="2" customForma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s="2" customForma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s="2" customForma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s="2" customForma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s="2" customForma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s="2" customForma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s="2" customForma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s="2" customForma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s="2" customForma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s="2" customForma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sheetData>
  <pageMargins left="0.7" right="0.7" top="0.75" bottom="0.75" header="0.3" footer="0.3"/>
  <pageSetup scale="64" fitToHeight="0" orientation="landscape" r:id="rId1"/>
  <headerFooter alignWithMargins="0"/>
  <rowBreaks count="1" manualBreakCount="1">
    <brk id="35" max="16383" man="1"/>
  </rowBreaks>
  <colBreaks count="1" manualBreakCount="1">
    <brk id="13" max="6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AI35"/>
  <sheetViews>
    <sheetView showGridLines="0" view="pageBreakPreview" zoomScaleNormal="100" zoomScaleSheetLayoutView="100" workbookViewId="0">
      <pane xSplit="1" ySplit="6" topLeftCell="B7" activePane="bottomRight" state="frozen"/>
      <selection activeCell="T14" sqref="T14"/>
      <selection pane="topRight" activeCell="T14" sqref="T14"/>
      <selection pane="bottomLeft" activeCell="T14" sqref="T14"/>
      <selection pane="bottomRight" activeCell="N23" sqref="N23"/>
    </sheetView>
  </sheetViews>
  <sheetFormatPr defaultRowHeight="12.75" x14ac:dyDescent="0.2"/>
  <cols>
    <col min="1" max="1" width="24" style="1" customWidth="1"/>
    <col min="2" max="12" width="11.85546875" style="1" bestFit="1" customWidth="1"/>
    <col min="13" max="13" width="12.85546875" style="1" customWidth="1"/>
    <col min="14" max="14" width="12.85546875" style="1" bestFit="1" customWidth="1"/>
    <col min="15" max="15" width="2.140625" style="2" customWidth="1"/>
    <col min="16" max="16" width="9.140625" style="1"/>
    <col min="17" max="17" width="12" style="1" customWidth="1"/>
    <col min="18" max="16384" width="9.140625" style="1"/>
  </cols>
  <sheetData>
    <row r="1" spans="1:35" x14ac:dyDescent="0.2">
      <c r="A1" s="3" t="s">
        <v>15</v>
      </c>
    </row>
    <row r="2" spans="1:35" x14ac:dyDescent="0.2">
      <c r="A2" s="39" t="s">
        <v>0</v>
      </c>
    </row>
    <row r="3" spans="1:35" x14ac:dyDescent="0.2">
      <c r="A3" s="3" t="s">
        <v>16</v>
      </c>
    </row>
    <row r="4" spans="1:35" x14ac:dyDescent="0.2">
      <c r="A4" s="3" t="s">
        <v>39</v>
      </c>
      <c r="N4" s="6"/>
    </row>
    <row r="5" spans="1:35" x14ac:dyDescent="0.2">
      <c r="B5" s="3"/>
      <c r="C5" s="3"/>
      <c r="D5" s="3"/>
      <c r="E5" s="3"/>
      <c r="F5" s="3"/>
      <c r="G5" s="3"/>
      <c r="H5" s="3"/>
      <c r="I5" s="3"/>
      <c r="J5" s="3"/>
      <c r="K5" s="3"/>
      <c r="L5" s="3"/>
      <c r="M5" s="3"/>
      <c r="N5" s="40" t="s">
        <v>27</v>
      </c>
      <c r="P5" s="41"/>
      <c r="Q5" s="41"/>
      <c r="R5" s="41"/>
      <c r="S5" s="41"/>
      <c r="T5" s="41"/>
      <c r="U5" s="41"/>
      <c r="V5" s="41"/>
      <c r="W5" s="41"/>
      <c r="X5" s="41"/>
      <c r="Y5" s="41"/>
      <c r="Z5" s="41"/>
      <c r="AA5" s="41"/>
      <c r="AB5" s="41"/>
      <c r="AC5" s="41"/>
    </row>
    <row r="6" spans="1:35" ht="13.5" thickBot="1" x14ac:dyDescent="0.25">
      <c r="A6" s="6"/>
      <c r="B6" s="28">
        <v>43770</v>
      </c>
      <c r="C6" s="28">
        <f>+B6+31</f>
        <v>43801</v>
      </c>
      <c r="D6" s="28">
        <f t="shared" ref="D6:M6" si="0">+C6+31</f>
        <v>43832</v>
      </c>
      <c r="E6" s="28">
        <f t="shared" si="0"/>
        <v>43863</v>
      </c>
      <c r="F6" s="28">
        <f t="shared" si="0"/>
        <v>43894</v>
      </c>
      <c r="G6" s="28">
        <f t="shared" si="0"/>
        <v>43925</v>
      </c>
      <c r="H6" s="28">
        <f t="shared" si="0"/>
        <v>43956</v>
      </c>
      <c r="I6" s="28">
        <f t="shared" si="0"/>
        <v>43987</v>
      </c>
      <c r="J6" s="28">
        <f t="shared" si="0"/>
        <v>44018</v>
      </c>
      <c r="K6" s="28">
        <f t="shared" si="0"/>
        <v>44049</v>
      </c>
      <c r="L6" s="28">
        <f t="shared" si="0"/>
        <v>44080</v>
      </c>
      <c r="M6" s="28">
        <f t="shared" si="0"/>
        <v>44111</v>
      </c>
      <c r="N6" s="40" t="s">
        <v>1</v>
      </c>
      <c r="P6" s="41"/>
      <c r="Q6" s="41"/>
      <c r="R6" s="41"/>
      <c r="S6" s="41"/>
      <c r="T6" s="41"/>
      <c r="U6" s="41"/>
      <c r="V6" s="41"/>
      <c r="W6" s="41"/>
      <c r="X6" s="41"/>
      <c r="Y6" s="41"/>
      <c r="Z6" s="41"/>
      <c r="AA6" s="41"/>
      <c r="AB6" s="41"/>
      <c r="AC6" s="41"/>
    </row>
    <row r="7" spans="1:35" ht="12.75" customHeight="1" x14ac:dyDescent="0.2">
      <c r="A7" s="42"/>
      <c r="B7" s="2"/>
      <c r="C7" s="2"/>
      <c r="D7" s="2"/>
      <c r="E7" s="2"/>
      <c r="F7" s="2"/>
      <c r="G7" s="2"/>
      <c r="H7" s="2"/>
      <c r="I7" s="2"/>
      <c r="J7" s="2"/>
      <c r="K7" s="2"/>
      <c r="L7" s="2"/>
      <c r="M7" s="2"/>
      <c r="N7" s="6"/>
    </row>
    <row r="8" spans="1:35" ht="12.75" customHeight="1" x14ac:dyDescent="0.2">
      <c r="A8" s="3" t="s">
        <v>2</v>
      </c>
    </row>
    <row r="9" spans="1:35" x14ac:dyDescent="0.2">
      <c r="A9" s="1" t="s">
        <v>3</v>
      </c>
      <c r="B9" s="2">
        <f>+'[5]Designated RSA-1 Comm Credi'!B9</f>
        <v>135.32000000000002</v>
      </c>
      <c r="C9" s="2">
        <f>+'[5]Designated RSA-1 Comm Credi'!C9</f>
        <v>158.05000000000004</v>
      </c>
      <c r="D9" s="2">
        <f>+'[5]Designated RSA-1 Comm Credi'!D9</f>
        <v>174.72000000000006</v>
      </c>
      <c r="E9" s="2">
        <f>+'[5]Designated RSA-1 Comm Credi'!E9</f>
        <v>136.07</v>
      </c>
      <c r="F9" s="2">
        <f>+'[5]Designated RSA-1 Comm Credi'!F9</f>
        <v>144.13999999999996</v>
      </c>
      <c r="G9" s="2">
        <f>+'[5]Designated RSA-1 Comm Credi'!G9</f>
        <v>165.45999999999998</v>
      </c>
      <c r="H9" s="2">
        <f>+'[5]Designated RSA-1 Comm Credi'!H9</f>
        <v>153.18</v>
      </c>
      <c r="I9" s="2">
        <f>+'[5]Designated RSA-1 Comm Credi'!I9</f>
        <v>171.43999999999997</v>
      </c>
      <c r="J9" s="2">
        <f>+'[5]Designated RSA-1 Comm Credi'!J9</f>
        <v>178.31</v>
      </c>
      <c r="K9" s="2">
        <f>+'[5]Designated RSA-1 Comm Credi'!K9</f>
        <v>158.47999999999996</v>
      </c>
      <c r="L9" s="2">
        <f>+'[5]Designated RSA-1 Comm Credi'!L9</f>
        <v>164.29</v>
      </c>
      <c r="M9" s="2">
        <f>+'[5]Designated RSA-1 Comm Credi'!M9</f>
        <v>169.93000000000004</v>
      </c>
      <c r="N9" s="27">
        <f>SUM(B9:M9)</f>
        <v>1909.39</v>
      </c>
      <c r="P9" s="23"/>
      <c r="Q9" s="23"/>
      <c r="R9" s="23"/>
      <c r="S9" s="23"/>
      <c r="T9" s="23"/>
      <c r="U9" s="23"/>
      <c r="V9" s="23"/>
      <c r="W9" s="23"/>
      <c r="X9" s="23"/>
      <c r="Y9" s="23"/>
      <c r="Z9" s="23"/>
      <c r="AA9" s="23"/>
      <c r="AB9" s="23"/>
      <c r="AC9" s="23"/>
      <c r="AD9" s="23"/>
      <c r="AE9" s="23"/>
      <c r="AF9" s="23"/>
      <c r="AG9" s="23"/>
      <c r="AH9" s="23"/>
      <c r="AI9" s="23"/>
    </row>
    <row r="10" spans="1:35" x14ac:dyDescent="0.2">
      <c r="B10" s="2"/>
      <c r="C10" s="2"/>
      <c r="D10" s="2"/>
      <c r="E10" s="2"/>
      <c r="F10" s="2"/>
      <c r="G10" s="2"/>
      <c r="H10" s="2"/>
      <c r="I10" s="2"/>
      <c r="J10" s="2"/>
      <c r="K10" s="2"/>
      <c r="L10" s="2"/>
      <c r="M10" s="2"/>
      <c r="N10" s="7"/>
    </row>
    <row r="11" spans="1:35" x14ac:dyDescent="0.2">
      <c r="A11" s="3" t="s">
        <v>4</v>
      </c>
      <c r="N11" s="8"/>
    </row>
    <row r="12" spans="1:35" x14ac:dyDescent="0.2">
      <c r="A12" s="1" t="s">
        <v>3</v>
      </c>
      <c r="B12" s="128">
        <f>+'[5]Designated RSA-1 Comm Credi'!B13</f>
        <v>-112.07739999999998</v>
      </c>
      <c r="C12" s="128">
        <f>+'[5]Designated RSA-1 Comm Credi'!C13</f>
        <v>-111.72239999999998</v>
      </c>
      <c r="D12" s="128">
        <f>+'[5]Designated RSA-1 Comm Credi'!D13</f>
        <v>-105.466292</v>
      </c>
      <c r="E12" s="128">
        <f>+'[5]Designated RSA-1 Comm Credi'!E13</f>
        <v>-103.51889199999999</v>
      </c>
      <c r="F12" s="128">
        <f>+'[5]Designated RSA-1 Comm Credi'!F13</f>
        <v>-102.62899200000001</v>
      </c>
      <c r="G12" s="128">
        <f>+'[5]Designated RSA-1 Comm Credi'!G13</f>
        <v>-103.82879199999999</v>
      </c>
      <c r="H12" s="128">
        <f>+'[5]Designated RSA-1 Comm Credi'!H13</f>
        <v>-87.989891999999998</v>
      </c>
      <c r="I12" s="128">
        <f>+'[5]Designated RSA-1 Comm Credi'!I13</f>
        <v>-99.692811999999989</v>
      </c>
      <c r="J12" s="128">
        <f>+'[5]Designated RSA-1 Comm Credi'!J13</f>
        <v>-101.05185199999997</v>
      </c>
      <c r="K12" s="128">
        <f>+'[5]Designated RSA-1 Comm Credi'!K13</f>
        <v>-94.481131999999988</v>
      </c>
      <c r="L12" s="128">
        <f>+'[5]Designated RSA-1 Comm Credi'!L13</f>
        <v>-87.155441999999994</v>
      </c>
      <c r="M12" s="128">
        <f>+'[5]Designated RSA-1 Comm Credi'!M13</f>
        <v>-83.977722</v>
      </c>
      <c r="N12" s="17"/>
      <c r="P12" s="18"/>
      <c r="Q12" s="23"/>
      <c r="R12" s="23"/>
      <c r="S12" s="23"/>
      <c r="T12" s="23"/>
      <c r="U12" s="23"/>
      <c r="V12" s="23"/>
      <c r="W12" s="23"/>
      <c r="X12" s="23"/>
      <c r="Y12" s="23"/>
      <c r="Z12" s="23"/>
      <c r="AA12" s="23"/>
      <c r="AB12" s="23"/>
      <c r="AC12" s="23"/>
      <c r="AD12" s="23"/>
    </row>
    <row r="13" spans="1:35" x14ac:dyDescent="0.2">
      <c r="N13" s="8"/>
    </row>
    <row r="14" spans="1:35" x14ac:dyDescent="0.2">
      <c r="A14" s="3" t="s">
        <v>5</v>
      </c>
      <c r="B14" s="10">
        <f t="shared" ref="B14:J14" si="1">+B9*B12</f>
        <v>-15166.313768</v>
      </c>
      <c r="C14" s="10">
        <f t="shared" si="1"/>
        <v>-17657.725320000001</v>
      </c>
      <c r="D14" s="10">
        <f t="shared" si="1"/>
        <v>-18427.070538240005</v>
      </c>
      <c r="E14" s="10">
        <f t="shared" si="1"/>
        <v>-14085.815634439998</v>
      </c>
      <c r="F14" s="10">
        <f t="shared" si="1"/>
        <v>-14792.942906879996</v>
      </c>
      <c r="G14" s="10">
        <f t="shared" si="1"/>
        <v>-17179.511924319995</v>
      </c>
      <c r="H14" s="10">
        <f t="shared" si="1"/>
        <v>-13478.291656560001</v>
      </c>
      <c r="I14" s="10">
        <f t="shared" si="1"/>
        <v>-17091.335689279997</v>
      </c>
      <c r="J14" s="10">
        <f t="shared" si="1"/>
        <v>-18018.555730119995</v>
      </c>
      <c r="K14" s="10">
        <f>+K9*K12</f>
        <v>-14973.369799359994</v>
      </c>
      <c r="L14" s="10">
        <f>+L9*L12</f>
        <v>-14318.767566179999</v>
      </c>
      <c r="M14" s="10">
        <f>+M9*M12</f>
        <v>-14270.334299460003</v>
      </c>
      <c r="N14" s="11">
        <f>SUM(B14:M14)</f>
        <v>-189460.03483284</v>
      </c>
      <c r="P14" s="43"/>
      <c r="Q14" s="12"/>
    </row>
    <row r="15" spans="1:35" x14ac:dyDescent="0.2">
      <c r="N15" s="8"/>
    </row>
    <row r="16" spans="1:35" s="5" customFormat="1" x14ac:dyDescent="0.2">
      <c r="A16" s="3" t="s">
        <v>6</v>
      </c>
      <c r="B16" s="5">
        <f>+'[5]Designated RSA-1 Comm Credi'!B18</f>
        <v>10185</v>
      </c>
      <c r="C16" s="5">
        <f>+'[5]Designated RSA-1 Comm Credi'!C18</f>
        <v>10184</v>
      </c>
      <c r="D16" s="5">
        <f>+'[5]Designated RSA-1 Comm Credi'!D18</f>
        <v>10202</v>
      </c>
      <c r="E16" s="5">
        <f>+'[5]Designated RSA-1 Comm Credi'!E18</f>
        <v>10216</v>
      </c>
      <c r="F16" s="5">
        <f>+'[5]Designated RSA-1 Comm Credi'!F18</f>
        <v>10274</v>
      </c>
      <c r="G16" s="5">
        <f>+'[5]Designated RSA-1 Comm Credi'!G18</f>
        <v>10432</v>
      </c>
      <c r="H16" s="5">
        <f>+'[5]Designated RSA-1 Comm Credi'!H18</f>
        <v>10177</v>
      </c>
      <c r="I16" s="5">
        <f>+'[5]Designated RSA-1 Comm Credi'!I18</f>
        <v>10208</v>
      </c>
      <c r="J16" s="5">
        <f>+'[5]Designated RSA-1 Comm Credi'!J18</f>
        <v>10261</v>
      </c>
      <c r="K16" s="5">
        <f>+'[5]Designated RSA-1 Comm Credi'!K18</f>
        <v>10340</v>
      </c>
      <c r="L16" s="5">
        <f>+'[5]Designated RSA-1 Comm Credi'!L18</f>
        <v>10374</v>
      </c>
      <c r="M16" s="5">
        <f>+'[5]Designated RSA-1 Comm Credi'!M18</f>
        <v>10360</v>
      </c>
      <c r="N16" s="21">
        <f>SUM(B16:M16)</f>
        <v>123213</v>
      </c>
      <c r="O16" s="2"/>
      <c r="P16" s="13"/>
      <c r="Q16" s="12"/>
      <c r="R16" s="14"/>
    </row>
    <row r="17" spans="1:18" s="5" customFormat="1" x14ac:dyDescent="0.2">
      <c r="A17" s="15"/>
      <c r="N17" s="7"/>
      <c r="O17" s="2"/>
      <c r="P17" s="13"/>
      <c r="Q17" s="12"/>
      <c r="R17" s="14"/>
    </row>
    <row r="18" spans="1:18" x14ac:dyDescent="0.2">
      <c r="A18" s="1" t="s">
        <v>7</v>
      </c>
      <c r="B18" s="16">
        <f t="shared" ref="B18:M18" si="2">+IFERROR(B14/B16,0)</f>
        <v>-1.4890833351006383</v>
      </c>
      <c r="C18" s="16">
        <f t="shared" si="2"/>
        <v>-1.7338693362136686</v>
      </c>
      <c r="D18" s="16">
        <f t="shared" si="2"/>
        <v>-1.8062213819094299</v>
      </c>
      <c r="E18" s="16">
        <f t="shared" si="2"/>
        <v>-1.3787994943657007</v>
      </c>
      <c r="F18" s="16">
        <f t="shared" si="2"/>
        <v>-1.4398426033560441</v>
      </c>
      <c r="G18" s="16">
        <f t="shared" si="2"/>
        <v>-1.6468090418251529</v>
      </c>
      <c r="H18" s="16">
        <f t="shared" si="2"/>
        <v>-1.3243875067858899</v>
      </c>
      <c r="I18" s="16">
        <f t="shared" si="2"/>
        <v>-1.6743079632915356</v>
      </c>
      <c r="J18" s="16">
        <f t="shared" si="2"/>
        <v>-1.7560233632316533</v>
      </c>
      <c r="K18" s="16">
        <f t="shared" si="2"/>
        <v>-1.4481015279845255</v>
      </c>
      <c r="L18" s="16">
        <f t="shared" si="2"/>
        <v>-1.3802552117004048</v>
      </c>
      <c r="M18" s="16">
        <f t="shared" si="2"/>
        <v>-1.3774453957007724</v>
      </c>
      <c r="N18" s="17"/>
      <c r="P18" s="18"/>
    </row>
    <row r="19" spans="1:18" x14ac:dyDescent="0.2">
      <c r="A19" s="1" t="s">
        <v>8</v>
      </c>
      <c r="B19" s="16">
        <f>+'RSA-1 CPA Eff. 1.1.2020'!$G$19</f>
        <v>-1.435280438855316</v>
      </c>
      <c r="C19" s="16">
        <f>+'RSA-1 CPA Eff. 1.1.2020'!$G$19</f>
        <v>-1.435280438855316</v>
      </c>
      <c r="D19" s="16">
        <f>+'RSA-1 CPA Eff. 1.1.2020'!$G$23</f>
        <v>-1.5945397579791578</v>
      </c>
      <c r="E19" s="16">
        <f>+'RSA-1 CPA Eff. 1.1.2020'!$G$23</f>
        <v>-1.5945397579791578</v>
      </c>
      <c r="F19" s="16">
        <f>+'RSA-1 CPA Eff. 1.1.2020'!$G$23</f>
        <v>-1.5945397579791578</v>
      </c>
      <c r="G19" s="16">
        <f>+'RSA-1 CPA Eff. 1.1.2020'!$G$23</f>
        <v>-1.5945397579791578</v>
      </c>
      <c r="H19" s="16">
        <f>+'RSA-1 CPA Eff. 1.1.2020'!$G$23</f>
        <v>-1.5945397579791578</v>
      </c>
      <c r="I19" s="16">
        <f>+'RSA-1 CPA Eff. 1.1.2020'!$G$23</f>
        <v>-1.5945397579791578</v>
      </c>
      <c r="J19" s="16">
        <f>+'RSA-1 CPA Eff. 1.1.2020'!$G$23</f>
        <v>-1.5945397579791578</v>
      </c>
      <c r="K19" s="16">
        <f>+'RSA-1 CPA Eff. 1.1.2020'!$G$23</f>
        <v>-1.5945397579791578</v>
      </c>
      <c r="L19" s="16">
        <f>+'RSA-1 CPA Eff. 1.1.2020'!$G$23</f>
        <v>-1.5945397579791578</v>
      </c>
      <c r="M19" s="16">
        <f>+'RSA-1 CPA Eff. 1.1.2020'!$G$23</f>
        <v>-1.5945397579791578</v>
      </c>
      <c r="N19" s="17"/>
      <c r="P19" s="19"/>
    </row>
    <row r="20" spans="1:18" x14ac:dyDescent="0.2">
      <c r="A20" s="20" t="s">
        <v>17</v>
      </c>
      <c r="B20" s="20">
        <f>+(B18-B19)*B16</f>
        <v>-547.98249825860773</v>
      </c>
      <c r="C20" s="20">
        <f>+(C18-C19)*C16</f>
        <v>-3040.8293306974629</v>
      </c>
      <c r="D20" s="20">
        <f t="shared" ref="D20:M20" si="3">+(D18-D19)*D16</f>
        <v>-2159.5759273366361</v>
      </c>
      <c r="E20" s="20">
        <f t="shared" si="3"/>
        <v>2204.0025330750777</v>
      </c>
      <c r="F20" s="20">
        <f t="shared" si="3"/>
        <v>1589.3585665978705</v>
      </c>
      <c r="G20" s="20">
        <f t="shared" si="3"/>
        <v>-545.27316908142041</v>
      </c>
      <c r="H20" s="20">
        <f t="shared" si="3"/>
        <v>2749.3394603938877</v>
      </c>
      <c r="I20" s="20">
        <f t="shared" si="3"/>
        <v>-814.2738398287529</v>
      </c>
      <c r="J20" s="20">
        <f t="shared" si="3"/>
        <v>-1656.9832734958563</v>
      </c>
      <c r="K20" s="20">
        <f t="shared" si="3"/>
        <v>1514.171298144498</v>
      </c>
      <c r="L20" s="20">
        <f t="shared" si="3"/>
        <v>2222.9878830957841</v>
      </c>
      <c r="M20" s="20">
        <f t="shared" si="3"/>
        <v>2249.0975932040728</v>
      </c>
      <c r="N20" s="44">
        <f>SUM(B20:M20)</f>
        <v>3764.0392958124548</v>
      </c>
      <c r="P20" s="5"/>
      <c r="Q20" s="12"/>
    </row>
    <row r="21" spans="1:18" x14ac:dyDescent="0.2">
      <c r="B21" s="5"/>
      <c r="C21" s="5"/>
      <c r="D21" s="5"/>
      <c r="E21" s="5"/>
      <c r="F21" s="5"/>
      <c r="G21" s="5"/>
      <c r="H21" s="5"/>
      <c r="I21" s="5"/>
      <c r="J21" s="5"/>
      <c r="K21" s="5"/>
      <c r="L21" s="5"/>
      <c r="M21" s="5"/>
      <c r="N21" s="21"/>
    </row>
    <row r="22" spans="1:18" ht="15" x14ac:dyDescent="0.25">
      <c r="A22" s="55"/>
      <c r="B22" s="45"/>
      <c r="C22" s="45"/>
      <c r="D22" s="45"/>
      <c r="E22" s="45"/>
      <c r="F22" s="45"/>
      <c r="G22" s="45"/>
      <c r="H22" s="45"/>
      <c r="I22" s="45"/>
      <c r="J22" s="45"/>
      <c r="K22" s="45"/>
      <c r="L22" s="45"/>
      <c r="M22" s="72" t="s">
        <v>19</v>
      </c>
      <c r="N22" s="52">
        <f>ROUND(N20/N16,2)</f>
        <v>0.03</v>
      </c>
      <c r="O22" s="22"/>
      <c r="Q22" s="46"/>
    </row>
    <row r="23" spans="1:18" x14ac:dyDescent="0.2">
      <c r="B23" s="49"/>
      <c r="C23" s="49"/>
      <c r="D23" s="49"/>
      <c r="E23" s="49"/>
      <c r="F23" s="49"/>
      <c r="G23" s="49"/>
      <c r="H23" s="49"/>
      <c r="I23" s="49"/>
      <c r="J23" s="49"/>
      <c r="K23" s="49"/>
      <c r="L23" s="22"/>
      <c r="M23" s="72" t="s">
        <v>40</v>
      </c>
      <c r="N23" s="118">
        <f>ROUND(N14/N16,2)</f>
        <v>-1.54</v>
      </c>
      <c r="O23" s="22"/>
      <c r="Q23" s="18"/>
    </row>
    <row r="24" spans="1:18" x14ac:dyDescent="0.2">
      <c r="B24" s="22"/>
      <c r="C24" s="22"/>
      <c r="D24" s="22"/>
      <c r="E24" s="22"/>
      <c r="F24" s="22"/>
      <c r="G24" s="22"/>
      <c r="H24" s="22"/>
      <c r="I24" s="22"/>
      <c r="J24" s="22"/>
      <c r="K24" s="22"/>
      <c r="L24" s="22"/>
      <c r="M24" s="73" t="s">
        <v>41</v>
      </c>
      <c r="N24" s="53">
        <f>-N22-N23</f>
        <v>1.51</v>
      </c>
      <c r="O24" s="22"/>
      <c r="Q24" s="46"/>
    </row>
    <row r="25" spans="1:18" ht="15" x14ac:dyDescent="0.25">
      <c r="B25" s="125"/>
      <c r="C25" s="22"/>
      <c r="D25" s="22"/>
      <c r="E25" s="22"/>
      <c r="F25" s="22"/>
      <c r="G25" s="22"/>
      <c r="H25" s="22"/>
      <c r="I25" s="22"/>
      <c r="J25" s="22"/>
      <c r="K25" s="22"/>
      <c r="L25" s="22"/>
      <c r="M25" s="22"/>
      <c r="N25" s="52"/>
      <c r="O25" s="22"/>
    </row>
    <row r="26" spans="1:18" x14ac:dyDescent="0.2">
      <c r="A26" s="3"/>
      <c r="B26" s="126"/>
      <c r="C26" s="22"/>
      <c r="D26" s="22"/>
      <c r="E26" s="22"/>
      <c r="F26" s="22"/>
      <c r="G26" s="22"/>
      <c r="H26" s="22"/>
      <c r="I26" s="22"/>
      <c r="J26" s="22"/>
      <c r="K26" s="22"/>
      <c r="L26" s="22"/>
      <c r="M26" s="72" t="s">
        <v>42</v>
      </c>
      <c r="N26" s="16">
        <f>-'RSA-1 CPA Eff. 1.1.2020'!G24</f>
        <v>1.7345397579791579</v>
      </c>
      <c r="O26" s="1"/>
      <c r="P26" s="47"/>
      <c r="Q26" s="48"/>
    </row>
    <row r="27" spans="1:18" x14ac:dyDescent="0.2">
      <c r="A27" s="3"/>
      <c r="B27" s="22"/>
      <c r="C27" s="22"/>
      <c r="D27" s="22"/>
      <c r="E27" s="22"/>
      <c r="F27" s="22"/>
      <c r="G27" s="22"/>
      <c r="H27" s="22"/>
      <c r="I27" s="22"/>
      <c r="J27" s="22"/>
      <c r="K27" s="22"/>
      <c r="L27" s="22"/>
      <c r="M27" s="72" t="s">
        <v>9</v>
      </c>
      <c r="N27" s="9">
        <f>+N24-N26</f>
        <v>-0.22453975797915793</v>
      </c>
      <c r="O27" s="1"/>
      <c r="P27" s="71">
        <f>N27/N26</f>
        <v>-0.12945206758521355</v>
      </c>
    </row>
    <row r="28" spans="1:18" x14ac:dyDescent="0.2">
      <c r="B28" s="49"/>
      <c r="C28" s="49"/>
      <c r="D28" s="49"/>
      <c r="E28" s="49"/>
      <c r="F28" s="49"/>
      <c r="G28" s="49"/>
      <c r="H28" s="49"/>
      <c r="I28" s="49"/>
      <c r="J28" s="49"/>
      <c r="K28" s="49"/>
      <c r="L28" s="22"/>
      <c r="M28" s="72" t="s">
        <v>34</v>
      </c>
      <c r="N28" s="34">
        <f>N27*N16</f>
        <v>-27666.217199885985</v>
      </c>
      <c r="O28" s="1"/>
      <c r="P28" s="50"/>
    </row>
    <row r="29" spans="1:18" x14ac:dyDescent="0.2">
      <c r="B29" s="22"/>
      <c r="C29" s="22"/>
      <c r="D29" s="22"/>
      <c r="E29" s="22"/>
      <c r="F29" s="22"/>
      <c r="G29" s="22"/>
      <c r="H29" s="22"/>
      <c r="I29" s="22"/>
      <c r="J29" s="22"/>
      <c r="K29" s="22"/>
      <c r="L29" s="22"/>
      <c r="M29" s="22"/>
      <c r="N29" s="109"/>
      <c r="P29" s="33"/>
    </row>
    <row r="30" spans="1:18" x14ac:dyDescent="0.2">
      <c r="N30" s="31"/>
      <c r="P30" s="19"/>
    </row>
    <row r="31" spans="1:18" x14ac:dyDescent="0.2">
      <c r="P31" s="5"/>
      <c r="Q31" s="12"/>
    </row>
    <row r="32" spans="1:18" x14ac:dyDescent="0.2">
      <c r="M32" s="54"/>
      <c r="N32" s="30"/>
      <c r="Q32" s="46"/>
    </row>
    <row r="33" spans="13:17" x14ac:dyDescent="0.2">
      <c r="M33" s="54"/>
      <c r="N33" s="51"/>
      <c r="Q33" s="18"/>
    </row>
    <row r="34" spans="13:17" ht="15" x14ac:dyDescent="0.25">
      <c r="M34" s="55"/>
      <c r="N34" s="27"/>
      <c r="Q34" s="46"/>
    </row>
    <row r="35" spans="13:17" ht="15" x14ac:dyDescent="0.25">
      <c r="M35" s="55"/>
      <c r="N35" s="56"/>
    </row>
  </sheetData>
  <pageMargins left="0.7" right="0.7" top="0.75" bottom="0.75" header="0.3" footer="0.3"/>
  <pageSetup scale="56"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BH103"/>
  <sheetViews>
    <sheetView showGridLines="0" view="pageBreakPreview" topLeftCell="A22" zoomScaleNormal="100" zoomScaleSheetLayoutView="100" workbookViewId="0">
      <selection activeCell="D56" sqref="D56:M56"/>
    </sheetView>
  </sheetViews>
  <sheetFormatPr defaultRowHeight="12.75" x14ac:dyDescent="0.2"/>
  <cols>
    <col min="1" max="1" width="21.85546875" style="1" customWidth="1"/>
    <col min="2" max="4" width="11.85546875" style="1" bestFit="1" customWidth="1"/>
    <col min="5" max="5" width="10.85546875" style="1" bestFit="1" customWidth="1"/>
    <col min="6" max="12" width="11.85546875" style="1" bestFit="1" customWidth="1"/>
    <col min="13" max="13" width="15.140625" style="1" customWidth="1"/>
    <col min="14" max="14" width="12.85546875" style="1" bestFit="1" customWidth="1"/>
    <col min="15" max="15" width="11.85546875" style="1" bestFit="1" customWidth="1"/>
    <col min="16" max="16" width="11.28515625" style="1" bestFit="1" customWidth="1"/>
    <col min="17" max="16384" width="9.140625" style="1"/>
  </cols>
  <sheetData>
    <row r="1" spans="1:29" x14ac:dyDescent="0.2">
      <c r="A1" s="3" t="s">
        <v>15</v>
      </c>
      <c r="B1" s="26"/>
      <c r="C1" s="26"/>
      <c r="D1" s="26"/>
      <c r="E1" s="26"/>
      <c r="F1" s="26"/>
      <c r="G1" s="26"/>
      <c r="H1" s="26"/>
      <c r="I1" s="26"/>
      <c r="J1" s="26"/>
      <c r="K1" s="26"/>
      <c r="L1" s="26"/>
      <c r="M1" s="26"/>
      <c r="N1" s="6"/>
    </row>
    <row r="2" spans="1:29" x14ac:dyDescent="0.2">
      <c r="A2" s="3" t="s">
        <v>10</v>
      </c>
      <c r="B2" s="26"/>
      <c r="C2" s="26"/>
      <c r="D2" s="26"/>
      <c r="E2" s="26"/>
      <c r="F2" s="26"/>
      <c r="G2" s="26"/>
      <c r="H2" s="26"/>
      <c r="I2" s="26"/>
      <c r="J2" s="26"/>
      <c r="K2" s="26"/>
      <c r="L2" s="26"/>
      <c r="M2" s="26"/>
      <c r="N2" s="6"/>
    </row>
    <row r="3" spans="1:29" ht="15" x14ac:dyDescent="0.25">
      <c r="A3" s="3" t="s">
        <v>16</v>
      </c>
      <c r="B3" s="110"/>
      <c r="C3" s="26"/>
      <c r="D3" s="26"/>
      <c r="E3" s="26"/>
      <c r="F3" s="26"/>
      <c r="G3" s="26"/>
      <c r="H3" s="26"/>
      <c r="I3" s="26"/>
      <c r="J3" s="26"/>
      <c r="K3" s="26"/>
      <c r="L3" s="26"/>
      <c r="M3" s="26"/>
      <c r="N3" s="6"/>
    </row>
    <row r="4" spans="1:29" x14ac:dyDescent="0.2">
      <c r="A4" s="3" t="str">
        <f>'RSA-1 CPA Eff. 1.1.2021'!A4</f>
        <v>Effective January 1, 2021</v>
      </c>
      <c r="B4" s="26"/>
      <c r="C4" s="26"/>
      <c r="D4" s="26"/>
      <c r="E4" s="26"/>
      <c r="F4" s="26"/>
      <c r="G4" s="26"/>
      <c r="H4" s="26"/>
      <c r="I4" s="26"/>
      <c r="J4" s="26"/>
      <c r="K4" s="26"/>
      <c r="L4" s="26"/>
      <c r="M4" s="26"/>
      <c r="N4" s="6"/>
    </row>
    <row r="5" spans="1:29" x14ac:dyDescent="0.2">
      <c r="A5" s="3"/>
      <c r="B5" s="26"/>
      <c r="C5" s="26"/>
      <c r="D5" s="26"/>
      <c r="E5" s="26"/>
      <c r="F5" s="26"/>
      <c r="G5" s="26"/>
      <c r="H5" s="26"/>
      <c r="I5" s="26"/>
      <c r="J5" s="26"/>
      <c r="K5" s="26"/>
      <c r="L5" s="26"/>
      <c r="M5" s="26"/>
      <c r="N5" s="40" t="s">
        <v>27</v>
      </c>
    </row>
    <row r="6" spans="1:29" ht="13.5" thickBot="1" x14ac:dyDescent="0.25">
      <c r="A6" s="60" t="s">
        <v>18</v>
      </c>
      <c r="B6" s="28">
        <f>'RSA-1 CPA Eff. 1.1.2021'!B6</f>
        <v>43770</v>
      </c>
      <c r="C6" s="28">
        <f>'RSA-1 CPA Eff. 1.1.2021'!C6</f>
        <v>43801</v>
      </c>
      <c r="D6" s="28">
        <f>'RSA-1 CPA Eff. 1.1.2021'!D6</f>
        <v>43832</v>
      </c>
      <c r="E6" s="28">
        <f>'RSA-1 CPA Eff. 1.1.2021'!E6</f>
        <v>43863</v>
      </c>
      <c r="F6" s="28">
        <f>'RSA-1 CPA Eff. 1.1.2021'!F6</f>
        <v>43894</v>
      </c>
      <c r="G6" s="28">
        <f>'RSA-1 CPA Eff. 1.1.2021'!G6</f>
        <v>43925</v>
      </c>
      <c r="H6" s="28">
        <f>'RSA-1 CPA Eff. 1.1.2021'!H6</f>
        <v>43956</v>
      </c>
      <c r="I6" s="28">
        <f>'RSA-1 CPA Eff. 1.1.2021'!I6</f>
        <v>43987</v>
      </c>
      <c r="J6" s="28">
        <f>'RSA-1 CPA Eff. 1.1.2021'!J6</f>
        <v>44018</v>
      </c>
      <c r="K6" s="28">
        <f>'RSA-1 CPA Eff. 1.1.2021'!K6</f>
        <v>44049</v>
      </c>
      <c r="L6" s="28">
        <f>'RSA-1 CPA Eff. 1.1.2021'!L6</f>
        <v>44080</v>
      </c>
      <c r="M6" s="28">
        <f>'RSA-1 CPA Eff. 1.1.2021'!M6</f>
        <v>44111</v>
      </c>
      <c r="N6" s="58" t="s">
        <v>1</v>
      </c>
      <c r="O6" s="59"/>
      <c r="P6" s="59"/>
      <c r="Q6" s="59"/>
    </row>
    <row r="7" spans="1:29" x14ac:dyDescent="0.2">
      <c r="B7" s="4"/>
      <c r="C7" s="4"/>
      <c r="D7" s="4"/>
      <c r="E7" s="4"/>
      <c r="F7" s="4"/>
      <c r="G7" s="4"/>
      <c r="H7" s="4"/>
      <c r="I7" s="4"/>
      <c r="J7" s="4"/>
      <c r="K7" s="61"/>
      <c r="L7" s="4"/>
      <c r="M7" s="4"/>
      <c r="N7" s="40"/>
      <c r="O7" s="59"/>
      <c r="P7" s="59"/>
      <c r="Q7" s="59"/>
    </row>
    <row r="8" spans="1:29" x14ac:dyDescent="0.2">
      <c r="A8" s="3" t="s">
        <v>2</v>
      </c>
      <c r="B8" s="31"/>
      <c r="C8" s="31"/>
      <c r="D8" s="31"/>
      <c r="E8" s="31"/>
      <c r="F8" s="31"/>
      <c r="G8" s="31"/>
      <c r="H8" s="31"/>
      <c r="I8" s="31"/>
      <c r="J8" s="31"/>
      <c r="K8" s="31"/>
      <c r="L8" s="31"/>
      <c r="M8" s="31"/>
    </row>
    <row r="9" spans="1:29" x14ac:dyDescent="0.2">
      <c r="A9" s="1" t="s">
        <v>3</v>
      </c>
      <c r="B9" s="111">
        <f>+'[5]Joe''s Comm Credit'!B9</f>
        <v>59.907750336775926</v>
      </c>
      <c r="C9" s="111">
        <f>+'[5]Joe''s Comm Credit'!C9</f>
        <v>60.073245908989023</v>
      </c>
      <c r="D9" s="111">
        <f>+'[5]Joe''s Comm Credit'!D9</f>
        <v>69.494715118887399</v>
      </c>
      <c r="E9" s="111">
        <f>+'[5]Joe''s Comm Credit'!E9</f>
        <v>61.050224416517047</v>
      </c>
      <c r="F9" s="111">
        <f>+'[5]Joe''s Comm Credit'!F9</f>
        <v>72.914936284372914</v>
      </c>
      <c r="G9" s="111">
        <f>+'[5]Joe''s Comm Credit'!G9</f>
        <v>76.927226760874376</v>
      </c>
      <c r="H9" s="111">
        <f>+'[5]Joe''s Comm Credit'!H9</f>
        <v>75.202772255356763</v>
      </c>
      <c r="I9" s="111">
        <f>+'[5]Joe''s Comm Credit'!I9</f>
        <v>68.609576345984124</v>
      </c>
      <c r="J9" s="111">
        <f>+'[5]Joe''s Comm Credit'!J9</f>
        <v>64.290792642872773</v>
      </c>
      <c r="K9" s="111">
        <f>+'[5]Joe''s Comm Credit'!K9</f>
        <v>72.020540540540551</v>
      </c>
      <c r="L9" s="111">
        <f>+'[5]Joe''s Comm Credit'!L9</f>
        <v>88.765140004341191</v>
      </c>
      <c r="M9" s="111">
        <f>+'[5]Joe''s Comm Credit'!M9</f>
        <v>73.426473388143677</v>
      </c>
      <c r="N9" s="27">
        <f>SUM(B9:M9)</f>
        <v>842.68339400365585</v>
      </c>
      <c r="O9" s="23"/>
      <c r="P9" s="23"/>
      <c r="Q9" s="23"/>
      <c r="R9" s="23"/>
      <c r="S9" s="23"/>
      <c r="T9" s="23"/>
      <c r="U9" s="23"/>
      <c r="V9" s="23"/>
      <c r="W9" s="23"/>
      <c r="X9" s="23"/>
      <c r="Y9" s="23"/>
      <c r="Z9" s="23"/>
      <c r="AA9" s="23"/>
      <c r="AB9" s="23"/>
      <c r="AC9" s="23"/>
    </row>
    <row r="10" spans="1:29" x14ac:dyDescent="0.2">
      <c r="A10" s="1" t="s">
        <v>11</v>
      </c>
      <c r="B10" s="111">
        <f>+'[5]Joe''s Comm Credit'!B10</f>
        <v>6.97</v>
      </c>
      <c r="C10" s="111">
        <f>+'[5]Joe''s Comm Credit'!C10</f>
        <v>11.83</v>
      </c>
      <c r="D10" s="111">
        <f>+'[5]Joe''s Comm Credit'!D10</f>
        <v>9.66</v>
      </c>
      <c r="E10" s="111">
        <f>+'[5]Joe''s Comm Credit'!E10</f>
        <v>7.81</v>
      </c>
      <c r="F10" s="111">
        <f>+'[5]Joe''s Comm Credit'!F10</f>
        <v>8.41</v>
      </c>
      <c r="G10" s="111">
        <f>+'[5]Joe''s Comm Credit'!G10</f>
        <v>13.42</v>
      </c>
      <c r="H10" s="111">
        <f>+'[5]Joe''s Comm Credit'!H10</f>
        <v>16.02</v>
      </c>
      <c r="I10" s="111">
        <f>+'[5]Joe''s Comm Credit'!I10</f>
        <v>12.07</v>
      </c>
      <c r="J10" s="111">
        <f>+'[5]Joe''s Comm Credit'!J10</f>
        <v>11.62</v>
      </c>
      <c r="K10" s="111">
        <f>+'[5]Joe''s Comm Credit'!K10</f>
        <v>10.79</v>
      </c>
      <c r="L10" s="111">
        <f>+'[5]Joe''s Comm Credit'!L10</f>
        <v>11.29</v>
      </c>
      <c r="M10" s="111">
        <f>+'[5]Joe''s Comm Credit'!M10</f>
        <v>9.51</v>
      </c>
      <c r="N10" s="27">
        <f>SUM(B10:M10)</f>
        <v>129.39999999999998</v>
      </c>
      <c r="O10" s="23"/>
      <c r="Q10" s="23"/>
    </row>
    <row r="11" spans="1:29" s="3" customFormat="1" x14ac:dyDescent="0.2">
      <c r="A11" s="3" t="s">
        <v>12</v>
      </c>
      <c r="B11" s="29">
        <f>SUM(B9:B10)</f>
        <v>66.877750336775932</v>
      </c>
      <c r="C11" s="29">
        <f t="shared" ref="C11:J11" si="0">SUM(C9:C10)</f>
        <v>71.903245908989021</v>
      </c>
      <c r="D11" s="29">
        <f t="shared" si="0"/>
        <v>79.154715118887395</v>
      </c>
      <c r="E11" s="29">
        <f>SUM(E9:E10)</f>
        <v>68.860224416517042</v>
      </c>
      <c r="F11" s="29">
        <f>SUM(F9:F10)</f>
        <v>81.32493628437291</v>
      </c>
      <c r="G11" s="29">
        <f t="shared" si="0"/>
        <v>90.347226760874378</v>
      </c>
      <c r="H11" s="29">
        <f>SUM(H9:H10)</f>
        <v>91.222772255356759</v>
      </c>
      <c r="I11" s="29">
        <f>SUM(I9:I10)</f>
        <v>80.679576345984117</v>
      </c>
      <c r="J11" s="29">
        <f t="shared" si="0"/>
        <v>75.910792642872778</v>
      </c>
      <c r="K11" s="29">
        <f>SUM(K9:K10)</f>
        <v>82.810540540540558</v>
      </c>
      <c r="L11" s="29">
        <f>SUM(L9:L10)</f>
        <v>100.05514000434118</v>
      </c>
      <c r="M11" s="29">
        <f>SUM(M9:M10)</f>
        <v>82.936473388143682</v>
      </c>
      <c r="N11" s="30">
        <f>SUM(B11:M11)</f>
        <v>972.08339400365594</v>
      </c>
      <c r="O11" s="30"/>
    </row>
    <row r="12" spans="1:29" x14ac:dyDescent="0.2">
      <c r="B12" s="2"/>
      <c r="C12" s="2"/>
      <c r="D12" s="2"/>
      <c r="E12" s="2"/>
      <c r="F12" s="2"/>
      <c r="G12" s="2"/>
      <c r="H12" s="2"/>
      <c r="I12" s="2"/>
      <c r="J12" s="2"/>
      <c r="K12" s="2"/>
      <c r="L12" s="2"/>
      <c r="M12" s="2"/>
      <c r="N12" s="27"/>
      <c r="O12" s="62"/>
    </row>
    <row r="13" spans="1:29" x14ac:dyDescent="0.2">
      <c r="A13" s="3" t="s">
        <v>4</v>
      </c>
      <c r="B13" s="31"/>
      <c r="C13" s="31"/>
      <c r="D13" s="31"/>
      <c r="E13" s="31"/>
      <c r="F13" s="31"/>
      <c r="G13" s="31"/>
      <c r="H13" s="31"/>
      <c r="I13" s="31"/>
      <c r="J13" s="31"/>
      <c r="K13" s="31"/>
      <c r="L13" s="31"/>
      <c r="M13" s="31"/>
    </row>
    <row r="14" spans="1:29" s="23" customFormat="1" x14ac:dyDescent="0.2">
      <c r="A14" s="23" t="s">
        <v>3</v>
      </c>
      <c r="B14" s="129">
        <f>'RSA-1 CPA Eff. 1.1.2021'!B12</f>
        <v>-112.07739999999998</v>
      </c>
      <c r="C14" s="129">
        <f>'RSA-1 CPA Eff. 1.1.2021'!C12</f>
        <v>-111.72239999999998</v>
      </c>
      <c r="D14" s="129">
        <f>'RSA-1 CPA Eff. 1.1.2021'!D12</f>
        <v>-105.466292</v>
      </c>
      <c r="E14" s="129">
        <f>'RSA-1 CPA Eff. 1.1.2021'!E12</f>
        <v>-103.51889199999999</v>
      </c>
      <c r="F14" s="129">
        <f>'RSA-1 CPA Eff. 1.1.2021'!F12</f>
        <v>-102.62899200000001</v>
      </c>
      <c r="G14" s="129">
        <f>'RSA-1 CPA Eff. 1.1.2021'!G12</f>
        <v>-103.82879199999999</v>
      </c>
      <c r="H14" s="129">
        <f>'RSA-1 CPA Eff. 1.1.2021'!H12</f>
        <v>-87.989891999999998</v>
      </c>
      <c r="I14" s="129">
        <f>'RSA-1 CPA Eff. 1.1.2021'!I12</f>
        <v>-99.692811999999989</v>
      </c>
      <c r="J14" s="129">
        <f>'RSA-1 CPA Eff. 1.1.2021'!J12</f>
        <v>-101.05185199999997</v>
      </c>
      <c r="K14" s="129">
        <f>'RSA-1 CPA Eff. 1.1.2021'!K12</f>
        <v>-94.481131999999988</v>
      </c>
      <c r="L14" s="129">
        <f>'RSA-1 CPA Eff. 1.1.2021'!L12</f>
        <v>-87.155441999999994</v>
      </c>
      <c r="M14" s="129">
        <f>'RSA-1 CPA Eff. 1.1.2021'!M12</f>
        <v>-83.977722</v>
      </c>
      <c r="N14" s="32"/>
    </row>
    <row r="15" spans="1:29" x14ac:dyDescent="0.2">
      <c r="A15" s="1" t="s">
        <v>11</v>
      </c>
      <c r="B15" s="129">
        <f>+'[5]Joe''s Comm Credit'!B16</f>
        <v>-30</v>
      </c>
      <c r="C15" s="129">
        <f>+'[5]Joe''s Comm Credit'!C16</f>
        <v>-30</v>
      </c>
      <c r="D15" s="129">
        <f>+'[5]Joe''s Comm Credit'!D16</f>
        <v>-33</v>
      </c>
      <c r="E15" s="129">
        <f>+'[5]Joe''s Comm Credit'!E16</f>
        <v>-33</v>
      </c>
      <c r="F15" s="129">
        <f>+'[5]Joe''s Comm Credit'!F16</f>
        <v>-33</v>
      </c>
      <c r="G15" s="129">
        <f>+'[5]Joe''s Comm Credit'!G16</f>
        <v>-33</v>
      </c>
      <c r="H15" s="129">
        <f>+'[5]Joe''s Comm Credit'!H16</f>
        <v>-33</v>
      </c>
      <c r="I15" s="129">
        <f>+'[5]Joe''s Comm Credit'!I16</f>
        <v>-33</v>
      </c>
      <c r="J15" s="129">
        <f>+'[5]Joe''s Comm Credit'!J16</f>
        <v>-33</v>
      </c>
      <c r="K15" s="129">
        <f>+'[5]Joe''s Comm Credit'!K16</f>
        <v>-33</v>
      </c>
      <c r="L15" s="129">
        <f>+'[5]Joe''s Comm Credit'!L16</f>
        <v>-33</v>
      </c>
      <c r="M15" s="129">
        <f>+'[5]Joe''s Comm Credit'!M16</f>
        <v>-33</v>
      </c>
      <c r="N15" s="17"/>
      <c r="O15" s="24"/>
    </row>
    <row r="17" spans="1:17" x14ac:dyDescent="0.2">
      <c r="A17" s="3" t="s">
        <v>5</v>
      </c>
    </row>
    <row r="18" spans="1:17" x14ac:dyDescent="0.2">
      <c r="A18" s="68" t="s">
        <v>3</v>
      </c>
      <c r="B18" s="34">
        <f>B9*B14</f>
        <v>-6714.3048975949696</v>
      </c>
      <c r="C18" s="34">
        <f t="shared" ref="C18:M18" si="1">C9*C14</f>
        <v>-6711.5272087424337</v>
      </c>
      <c r="D18" s="34">
        <f t="shared" si="1"/>
        <v>-7329.3499171853928</v>
      </c>
      <c r="E18" s="34">
        <f t="shared" si="1"/>
        <v>-6319.8515879491906</v>
      </c>
      <c r="F18" s="34">
        <f t="shared" si="1"/>
        <v>-7483.1864126094179</v>
      </c>
      <c r="G18" s="34">
        <f t="shared" si="1"/>
        <v>-7987.2610264916584</v>
      </c>
      <c r="H18" s="34">
        <f t="shared" si="1"/>
        <v>-6617.0838088494374</v>
      </c>
      <c r="I18" s="34">
        <f t="shared" si="1"/>
        <v>-6839.8815960598413</v>
      </c>
      <c r="J18" s="34">
        <f t="shared" si="1"/>
        <v>-6496.7036631102665</v>
      </c>
      <c r="K18" s="34">
        <f t="shared" si="1"/>
        <v>-6804.5821975221625</v>
      </c>
      <c r="L18" s="34">
        <f t="shared" si="1"/>
        <v>-7736.365011270238</v>
      </c>
      <c r="M18" s="34">
        <f t="shared" si="1"/>
        <v>-6166.1879696299275</v>
      </c>
      <c r="N18" s="11">
        <f>SUM(B18:M18)</f>
        <v>-83206.28529701494</v>
      </c>
      <c r="O18" s="14"/>
    </row>
    <row r="19" spans="1:17" x14ac:dyDescent="0.2">
      <c r="A19" s="1" t="s">
        <v>11</v>
      </c>
      <c r="B19" s="34">
        <f>+B15*B10</f>
        <v>-209.1</v>
      </c>
      <c r="C19" s="34">
        <f t="shared" ref="C19:M19" si="2">+C15*C10</f>
        <v>-354.9</v>
      </c>
      <c r="D19" s="34">
        <f t="shared" si="2"/>
        <v>-318.78000000000003</v>
      </c>
      <c r="E19" s="34">
        <f t="shared" si="2"/>
        <v>-257.72999999999996</v>
      </c>
      <c r="F19" s="34">
        <f t="shared" si="2"/>
        <v>-277.53000000000003</v>
      </c>
      <c r="G19" s="34">
        <f t="shared" si="2"/>
        <v>-442.86</v>
      </c>
      <c r="H19" s="34">
        <f t="shared" si="2"/>
        <v>-528.66</v>
      </c>
      <c r="I19" s="34">
        <f t="shared" si="2"/>
        <v>-398.31</v>
      </c>
      <c r="J19" s="34">
        <f t="shared" si="2"/>
        <v>-383.46</v>
      </c>
      <c r="K19" s="34">
        <f t="shared" si="2"/>
        <v>-356.07</v>
      </c>
      <c r="L19" s="34">
        <f t="shared" si="2"/>
        <v>-372.57</v>
      </c>
      <c r="M19" s="34">
        <f t="shared" si="2"/>
        <v>-313.83</v>
      </c>
      <c r="N19" s="11">
        <f>SUM(B19:M19)</f>
        <v>-4213.8</v>
      </c>
      <c r="O19" s="38"/>
    </row>
    <row r="20" spans="1:17" s="3" customFormat="1" x14ac:dyDescent="0.2">
      <c r="A20" s="3" t="s">
        <v>14</v>
      </c>
      <c r="B20" s="35">
        <f>+B18+B19</f>
        <v>-6923.40489759497</v>
      </c>
      <c r="C20" s="35">
        <f>+C18+C19</f>
        <v>-7066.4272087424333</v>
      </c>
      <c r="D20" s="35">
        <f t="shared" ref="D20:I20" si="3">+D18+D19</f>
        <v>-7648.1299171853925</v>
      </c>
      <c r="E20" s="35">
        <f t="shared" si="3"/>
        <v>-6577.5815879491902</v>
      </c>
      <c r="F20" s="35">
        <f t="shared" si="3"/>
        <v>-7760.7164126094176</v>
      </c>
      <c r="G20" s="35">
        <f t="shared" si="3"/>
        <v>-8430.121026491659</v>
      </c>
      <c r="H20" s="35">
        <f t="shared" si="3"/>
        <v>-7145.7438088494373</v>
      </c>
      <c r="I20" s="35">
        <f t="shared" si="3"/>
        <v>-7238.1915960598417</v>
      </c>
      <c r="J20" s="35">
        <f>+J18+J19</f>
        <v>-6880.1636631102665</v>
      </c>
      <c r="K20" s="35">
        <f>+K18+K19</f>
        <v>-7160.6521975221622</v>
      </c>
      <c r="L20" s="35">
        <f>+L18+L19</f>
        <v>-8108.9350112702377</v>
      </c>
      <c r="M20" s="35">
        <f>+M18+M19</f>
        <v>-6480.0179696299274</v>
      </c>
      <c r="N20" s="36">
        <f>SUM(N18:N19)</f>
        <v>-87420.085297014943</v>
      </c>
      <c r="O20" s="63"/>
      <c r="P20" s="64"/>
    </row>
    <row r="21" spans="1:17" x14ac:dyDescent="0.2">
      <c r="B21" s="12"/>
      <c r="C21" s="12"/>
      <c r="D21" s="12"/>
      <c r="E21" s="12"/>
      <c r="F21" s="12"/>
      <c r="G21" s="12"/>
      <c r="H21" s="12"/>
      <c r="I21" s="12"/>
      <c r="J21" s="12"/>
      <c r="K21" s="12"/>
      <c r="L21" s="12"/>
      <c r="M21" s="12"/>
      <c r="N21" s="12"/>
    </row>
    <row r="22" spans="1:17" s="5" customFormat="1" x14ac:dyDescent="0.2">
      <c r="A22" s="3" t="s">
        <v>6</v>
      </c>
      <c r="B22" s="5">
        <f>+'[5]Joe''s Comm Credit'!B23</f>
        <v>4164</v>
      </c>
      <c r="C22" s="5">
        <f>+'[5]Joe''s Comm Credit'!C23</f>
        <v>4171</v>
      </c>
      <c r="D22" s="5">
        <f>+'[5]Joe''s Comm Credit'!D23</f>
        <v>4168</v>
      </c>
      <c r="E22" s="5">
        <f>+'[5]Joe''s Comm Credit'!E23</f>
        <v>4166</v>
      </c>
      <c r="F22" s="5">
        <f>+'[5]Joe''s Comm Credit'!F23</f>
        <v>4183</v>
      </c>
      <c r="G22" s="5">
        <f>+'[5]Joe''s Comm Credit'!G23</f>
        <v>4239</v>
      </c>
      <c r="H22" s="5">
        <f>+'[5]Joe''s Comm Credit'!H23</f>
        <v>4237</v>
      </c>
      <c r="I22" s="5">
        <f>+'[5]Joe''s Comm Credit'!I23</f>
        <v>4242</v>
      </c>
      <c r="J22" s="5">
        <f>+'[5]Joe''s Comm Credit'!J23</f>
        <v>4277</v>
      </c>
      <c r="K22" s="5">
        <f>+'[5]Joe''s Comm Credit'!K23</f>
        <v>4298</v>
      </c>
      <c r="L22" s="5">
        <f>+'[5]Joe''s Comm Credit'!L23</f>
        <v>4316</v>
      </c>
      <c r="M22" s="5">
        <f>+'[5]Joe''s Comm Credit'!M23</f>
        <v>4331</v>
      </c>
      <c r="N22" s="7">
        <f>SUM(B22:M22)</f>
        <v>50792</v>
      </c>
      <c r="Q22" s="14"/>
    </row>
    <row r="23" spans="1:17" s="5" customFormat="1" x14ac:dyDescent="0.2">
      <c r="N23" s="7"/>
      <c r="Q23" s="14"/>
    </row>
    <row r="24" spans="1:17" x14ac:dyDescent="0.2">
      <c r="A24" s="1" t="s">
        <v>7</v>
      </c>
      <c r="B24" s="16">
        <f t="shared" ref="B24:M24" si="4">+IFERROR(B20/B22,0)</f>
        <v>-1.6626812914493203</v>
      </c>
      <c r="C24" s="16">
        <f t="shared" si="4"/>
        <v>-1.6941805822925997</v>
      </c>
      <c r="D24" s="16">
        <f t="shared" si="4"/>
        <v>-1.8349639916471672</v>
      </c>
      <c r="E24" s="16">
        <f t="shared" si="4"/>
        <v>-1.5788722006599112</v>
      </c>
      <c r="F24" s="16">
        <f t="shared" si="4"/>
        <v>-1.8552991662943863</v>
      </c>
      <c r="G24" s="16">
        <f t="shared" si="4"/>
        <v>-1.9887051253813774</v>
      </c>
      <c r="H24" s="16">
        <f t="shared" si="4"/>
        <v>-1.6865102215835348</v>
      </c>
      <c r="I24" s="16">
        <f t="shared" si="4"/>
        <v>-1.706315793507742</v>
      </c>
      <c r="J24" s="16">
        <f t="shared" si="4"/>
        <v>-1.6086424276619748</v>
      </c>
      <c r="K24" s="16">
        <f t="shared" si="4"/>
        <v>-1.6660428565663477</v>
      </c>
      <c r="L24" s="16">
        <f t="shared" si="4"/>
        <v>-1.8788079266149762</v>
      </c>
      <c r="M24" s="16">
        <f t="shared" si="4"/>
        <v>-1.4961944053636407</v>
      </c>
      <c r="N24" s="17"/>
      <c r="O24" s="37"/>
    </row>
    <row r="25" spans="1:17" x14ac:dyDescent="0.2">
      <c r="A25" s="1" t="s">
        <v>8</v>
      </c>
      <c r="B25" s="16">
        <f>+'Joe''s CPA Eff 1.1.2020'!$G$25</f>
        <v>-1.3735000133956987</v>
      </c>
      <c r="C25" s="16">
        <f>+'Joe''s CPA Eff 1.1.2020'!$G$25</f>
        <v>-1.3735000133956987</v>
      </c>
      <c r="D25" s="16">
        <f>'Joe''s CPA Eff 1.1.2020'!$H$29</f>
        <v>-1.8374658676875288</v>
      </c>
      <c r="E25" s="16">
        <f>'Joe''s CPA Eff 1.1.2020'!$H$29</f>
        <v>-1.8374658676875288</v>
      </c>
      <c r="F25" s="16">
        <f>'Joe''s CPA Eff 1.1.2020'!$H$29</f>
        <v>-1.8374658676875288</v>
      </c>
      <c r="G25" s="16">
        <f>'Joe''s CPA Eff 1.1.2020'!$H$29</f>
        <v>-1.8374658676875288</v>
      </c>
      <c r="H25" s="16">
        <f>'Joe''s CPA Eff 1.1.2020'!$H$29</f>
        <v>-1.8374658676875288</v>
      </c>
      <c r="I25" s="16">
        <f>'Joe''s CPA Eff 1.1.2020'!$H$29</f>
        <v>-1.8374658676875288</v>
      </c>
      <c r="J25" s="16">
        <f>'Joe''s CPA Eff 1.1.2020'!$H$29</f>
        <v>-1.8374658676875288</v>
      </c>
      <c r="K25" s="16">
        <f>'Joe''s CPA Eff 1.1.2020'!$H$29</f>
        <v>-1.8374658676875288</v>
      </c>
      <c r="L25" s="16">
        <f>'Joe''s CPA Eff 1.1.2020'!$H$29</f>
        <v>-1.8374658676875288</v>
      </c>
      <c r="M25" s="16">
        <f>'Joe''s CPA Eff 1.1.2020'!$H$29</f>
        <v>-1.8374658676875288</v>
      </c>
      <c r="N25" s="17"/>
      <c r="O25" s="19"/>
    </row>
    <row r="26" spans="1:17" x14ac:dyDescent="0.2">
      <c r="A26" s="20" t="s">
        <v>17</v>
      </c>
      <c r="B26" s="20">
        <f>+(B24-B25)*B22</f>
        <v>-1204.1508418152803</v>
      </c>
      <c r="C26" s="20">
        <f t="shared" ref="C26:I26" si="5">+(C24-C25)*C22</f>
        <v>-1337.5586528689741</v>
      </c>
      <c r="D26" s="20">
        <f t="shared" si="5"/>
        <v>10.427819336227451</v>
      </c>
      <c r="E26" s="20">
        <f t="shared" si="5"/>
        <v>1077.3012168370551</v>
      </c>
      <c r="F26" s="20">
        <f t="shared" si="5"/>
        <v>-74.59668807248471</v>
      </c>
      <c r="G26" s="20">
        <f t="shared" si="5"/>
        <v>-641.10321336422419</v>
      </c>
      <c r="H26" s="20">
        <f t="shared" si="5"/>
        <v>639.59907254262271</v>
      </c>
      <c r="I26" s="20">
        <f t="shared" si="5"/>
        <v>556.33861467065583</v>
      </c>
      <c r="J26" s="20">
        <f>+(J24-J25)*J22</f>
        <v>978.67785298929448</v>
      </c>
      <c r="K26" s="20">
        <f>+(K24-K25)*K22</f>
        <v>736.77610179883675</v>
      </c>
      <c r="L26" s="20">
        <f>+(L24-L25)*L22</f>
        <v>-178.43232633086279</v>
      </c>
      <c r="M26" s="20">
        <f>+(M24-M25)*M22</f>
        <v>1478.0467033247596</v>
      </c>
      <c r="N26" s="44">
        <f>SUM(B26:M26)</f>
        <v>2041.3256590476258</v>
      </c>
      <c r="O26" s="5"/>
      <c r="P26" s="31"/>
    </row>
    <row r="27" spans="1:17" x14ac:dyDescent="0.2">
      <c r="B27" s="5"/>
      <c r="C27" s="5"/>
      <c r="D27" s="5"/>
      <c r="E27" s="5"/>
      <c r="F27" s="5"/>
      <c r="G27" s="5"/>
      <c r="H27" s="5"/>
      <c r="I27" s="5"/>
      <c r="J27" s="5"/>
      <c r="K27" s="5"/>
      <c r="L27" s="5"/>
      <c r="M27" s="5"/>
      <c r="N27" s="21"/>
    </row>
    <row r="28" spans="1:17" x14ac:dyDescent="0.2">
      <c r="B28" s="45"/>
      <c r="C28" s="45"/>
      <c r="D28" s="45"/>
      <c r="E28" s="45"/>
      <c r="F28" s="45"/>
      <c r="G28" s="45"/>
      <c r="H28" s="45"/>
      <c r="I28" s="45"/>
      <c r="J28" s="45"/>
      <c r="K28" s="45"/>
      <c r="L28" s="45"/>
      <c r="M28" s="72" t="s">
        <v>19</v>
      </c>
      <c r="N28" s="17">
        <f>ROUND(N26/N22,2)</f>
        <v>0.04</v>
      </c>
      <c r="P28" s="31"/>
    </row>
    <row r="29" spans="1:17" x14ac:dyDescent="0.2">
      <c r="B29" s="49"/>
      <c r="C29" s="49"/>
      <c r="D29" s="49"/>
      <c r="E29" s="49"/>
      <c r="F29" s="49"/>
      <c r="G29" s="49"/>
      <c r="H29" s="49"/>
      <c r="I29" s="49"/>
      <c r="J29" s="49"/>
      <c r="K29" s="49"/>
      <c r="L29" s="22"/>
      <c r="M29" s="72" t="s">
        <v>40</v>
      </c>
      <c r="N29" s="120">
        <f>ROUND(N20/N22,2)</f>
        <v>-1.72</v>
      </c>
      <c r="P29" s="31"/>
    </row>
    <row r="30" spans="1:17" x14ac:dyDescent="0.2">
      <c r="B30" s="49"/>
      <c r="C30" s="22"/>
      <c r="D30" s="22"/>
      <c r="E30" s="22"/>
      <c r="F30" s="22"/>
      <c r="G30" s="22"/>
      <c r="H30" s="22"/>
      <c r="I30" s="22"/>
      <c r="J30" s="22"/>
      <c r="K30" s="22"/>
      <c r="L30" s="22"/>
      <c r="M30" s="73" t="s">
        <v>41</v>
      </c>
      <c r="N30" s="44">
        <f>-N28-N29</f>
        <v>1.68</v>
      </c>
      <c r="P30" s="31"/>
    </row>
    <row r="31" spans="1:17" ht="15" x14ac:dyDescent="0.25">
      <c r="B31" s="127"/>
      <c r="C31" s="22"/>
      <c r="D31" s="22"/>
      <c r="E31" s="22"/>
      <c r="F31" s="22"/>
      <c r="G31" s="22"/>
      <c r="H31" s="22"/>
      <c r="I31" s="22"/>
      <c r="J31" s="22"/>
      <c r="K31" s="22"/>
      <c r="L31" s="22"/>
      <c r="M31" s="22"/>
      <c r="N31" s="44"/>
    </row>
    <row r="32" spans="1:17" x14ac:dyDescent="0.2">
      <c r="B32" s="126"/>
      <c r="C32" s="22"/>
      <c r="D32" s="22"/>
      <c r="E32" s="22"/>
      <c r="F32" s="22"/>
      <c r="G32" s="22"/>
      <c r="H32" s="22"/>
      <c r="I32" s="22"/>
      <c r="M32" s="72" t="s">
        <v>42</v>
      </c>
      <c r="N32" s="32">
        <f>-'Joe''s CPA Eff 1.1.2020'!H30</f>
        <v>2.0874658676875288</v>
      </c>
      <c r="O32" s="13"/>
      <c r="P32" s="8"/>
    </row>
    <row r="33" spans="1:16" x14ac:dyDescent="0.2">
      <c r="M33" s="72" t="s">
        <v>9</v>
      </c>
      <c r="N33" s="17">
        <f>+N30-N32</f>
        <v>-0.4074658676875289</v>
      </c>
      <c r="O33" s="71">
        <f>N33/N32</f>
        <v>-0.19519642164923875</v>
      </c>
    </row>
    <row r="34" spans="1:16" x14ac:dyDescent="0.2">
      <c r="M34" s="72" t="s">
        <v>34</v>
      </c>
      <c r="N34" s="11">
        <f>N33*N22</f>
        <v>-20696.006351584969</v>
      </c>
      <c r="O34" s="13"/>
      <c r="P34" s="8"/>
    </row>
    <row r="35" spans="1:16" x14ac:dyDescent="0.2">
      <c r="A35" s="65"/>
      <c r="N35" s="23"/>
    </row>
    <row r="36" spans="1:16" x14ac:dyDescent="0.2">
      <c r="A36" s="65"/>
      <c r="B36" s="3"/>
      <c r="C36" s="3"/>
      <c r="D36" s="3"/>
      <c r="E36" s="3"/>
      <c r="F36" s="3"/>
      <c r="G36" s="3"/>
      <c r="H36" s="3"/>
      <c r="I36" s="3"/>
      <c r="J36" s="3"/>
      <c r="K36" s="3"/>
      <c r="L36" s="3"/>
      <c r="M36" s="3"/>
      <c r="N36" s="40" t="s">
        <v>27</v>
      </c>
      <c r="O36" s="33"/>
    </row>
    <row r="37" spans="1:16" ht="13.5" thickBot="1" x14ac:dyDescent="0.25">
      <c r="A37" s="60" t="s">
        <v>13</v>
      </c>
      <c r="B37" s="28">
        <f t="shared" ref="B37:M37" si="6">B6</f>
        <v>43770</v>
      </c>
      <c r="C37" s="28">
        <f t="shared" si="6"/>
        <v>43801</v>
      </c>
      <c r="D37" s="28">
        <f t="shared" si="6"/>
        <v>43832</v>
      </c>
      <c r="E37" s="28">
        <f t="shared" si="6"/>
        <v>43863</v>
      </c>
      <c r="F37" s="28">
        <f t="shared" si="6"/>
        <v>43894</v>
      </c>
      <c r="G37" s="28">
        <f t="shared" si="6"/>
        <v>43925</v>
      </c>
      <c r="H37" s="28">
        <f t="shared" si="6"/>
        <v>43956</v>
      </c>
      <c r="I37" s="28">
        <f t="shared" si="6"/>
        <v>43987</v>
      </c>
      <c r="J37" s="28">
        <f t="shared" si="6"/>
        <v>44018</v>
      </c>
      <c r="K37" s="28">
        <f t="shared" si="6"/>
        <v>44049</v>
      </c>
      <c r="L37" s="28">
        <f t="shared" si="6"/>
        <v>44080</v>
      </c>
      <c r="M37" s="28">
        <f t="shared" si="6"/>
        <v>44111</v>
      </c>
      <c r="N37" s="58" t="s">
        <v>1</v>
      </c>
      <c r="O37" s="38"/>
      <c r="P37" s="67"/>
    </row>
    <row r="38" spans="1:16" x14ac:dyDescent="0.2">
      <c r="A38" s="60"/>
      <c r="B38" s="4"/>
      <c r="C38" s="4"/>
      <c r="D38" s="4"/>
      <c r="E38" s="4"/>
      <c r="F38" s="4"/>
      <c r="G38" s="4"/>
      <c r="H38" s="4"/>
      <c r="I38" s="4"/>
      <c r="J38" s="4"/>
      <c r="K38" s="4"/>
      <c r="L38" s="4"/>
      <c r="M38" s="4"/>
      <c r="N38" s="40"/>
      <c r="O38" s="38"/>
      <c r="P38" s="67"/>
    </row>
    <row r="39" spans="1:16" x14ac:dyDescent="0.2">
      <c r="A39" s="3" t="s">
        <v>2</v>
      </c>
      <c r="N39" s="23"/>
    </row>
    <row r="40" spans="1:16" x14ac:dyDescent="0.2">
      <c r="A40" s="68" t="s">
        <v>3</v>
      </c>
      <c r="B40" s="2">
        <f>+'[5]Joe''s Comm Credit'!B39</f>
        <v>4.1722496632240711</v>
      </c>
      <c r="C40" s="2">
        <f>+'[5]Joe''s Comm Credit'!C39</f>
        <v>4.1767540910109844</v>
      </c>
      <c r="D40" s="2">
        <f>+'[5]Joe''s Comm Credit'!D39</f>
        <v>4.8352848811126004</v>
      </c>
      <c r="E40" s="2">
        <f>+'[5]Joe''s Comm Credit'!E39</f>
        <v>4.2497755834829505</v>
      </c>
      <c r="F40" s="2">
        <f>+'[5]Joe''s Comm Credit'!F39</f>
        <v>5.0550637156270977</v>
      </c>
      <c r="G40" s="2">
        <f>+'[5]Joe''s Comm Credit'!G39</f>
        <v>5.2627732391256368</v>
      </c>
      <c r="H40" s="2">
        <f>+'[5]Joe''s Comm Credit'!H39</f>
        <v>5.1472277446432457</v>
      </c>
      <c r="I40" s="2">
        <f>+'[5]Joe''s Comm Credit'!I39</f>
        <v>4.6904236540158877</v>
      </c>
      <c r="J40" s="2">
        <f>+'[5]Joe''s Comm Credit'!J39</f>
        <v>4.3592073571272172</v>
      </c>
      <c r="K40" s="2">
        <f>+'[5]Joe''s Comm Credit'!K39</f>
        <v>4.8594594594594591</v>
      </c>
      <c r="L40" s="2">
        <f>+'[5]Joe''s Comm Credit'!L39</f>
        <v>5.9848599956587805</v>
      </c>
      <c r="M40" s="2">
        <f>+'[5]Joe''s Comm Credit'!M39</f>
        <v>4.9335266118563359</v>
      </c>
      <c r="N40" s="27">
        <f>SUM(B40:M40)</f>
        <v>57.726605996344269</v>
      </c>
      <c r="P40" s="31"/>
    </row>
    <row r="41" spans="1:16" x14ac:dyDescent="0.2">
      <c r="A41" s="68" t="s">
        <v>11</v>
      </c>
      <c r="B41" s="2">
        <f>+'[5]Joe''s Comm Credit'!B40</f>
        <v>0.41</v>
      </c>
      <c r="C41" s="2">
        <f>+'[5]Joe''s Comm Credit'!C40</f>
        <v>0.69</v>
      </c>
      <c r="D41" s="2">
        <f>+'[5]Joe''s Comm Credit'!D40</f>
        <v>0.56000000000000005</v>
      </c>
      <c r="E41" s="2">
        <f>+'[5]Joe''s Comm Credit'!E40</f>
        <v>0.46</v>
      </c>
      <c r="F41" s="2">
        <f>+'[5]Joe''s Comm Credit'!F40</f>
        <v>0.49</v>
      </c>
      <c r="G41" s="2">
        <f>+'[5]Joe''s Comm Credit'!G40</f>
        <v>0.77</v>
      </c>
      <c r="H41" s="2">
        <f>+'[5]Joe''s Comm Credit'!H40</f>
        <v>0.92</v>
      </c>
      <c r="I41" s="2">
        <f>+'[5]Joe''s Comm Credit'!I40</f>
        <v>0.69</v>
      </c>
      <c r="J41" s="2">
        <f>+'[5]Joe''s Comm Credit'!J40</f>
        <v>0.67</v>
      </c>
      <c r="K41" s="2">
        <f>+'[5]Joe''s Comm Credit'!K40</f>
        <v>0.6099999999999568</v>
      </c>
      <c r="L41" s="2">
        <f>+'[5]Joe''s Comm Credit'!L40</f>
        <v>0.64</v>
      </c>
      <c r="M41" s="2">
        <f>+'[5]Joe''s Comm Credit'!M40</f>
        <v>0.53</v>
      </c>
      <c r="N41" s="27">
        <f>SUM(B41:M41)</f>
        <v>7.4399999999999569</v>
      </c>
      <c r="O41" s="69"/>
      <c r="P41" s="31"/>
    </row>
    <row r="42" spans="1:16" x14ac:dyDescent="0.2">
      <c r="A42" s="66" t="s">
        <v>12</v>
      </c>
      <c r="B42" s="29">
        <f t="shared" ref="B42:M42" si="7">SUM(B40:B41)</f>
        <v>4.5822496632240712</v>
      </c>
      <c r="C42" s="29">
        <f t="shared" si="7"/>
        <v>4.8667540910109839</v>
      </c>
      <c r="D42" s="29">
        <f t="shared" si="7"/>
        <v>5.3952848811126</v>
      </c>
      <c r="E42" s="29">
        <f t="shared" si="7"/>
        <v>4.7097755834829504</v>
      </c>
      <c r="F42" s="29">
        <f t="shared" si="7"/>
        <v>5.5450637156270979</v>
      </c>
      <c r="G42" s="29">
        <f t="shared" si="7"/>
        <v>6.0327732391256372</v>
      </c>
      <c r="H42" s="29">
        <f t="shared" si="7"/>
        <v>6.0672277446432457</v>
      </c>
      <c r="I42" s="29">
        <f t="shared" si="7"/>
        <v>5.3804236540158872</v>
      </c>
      <c r="J42" s="29">
        <f t="shared" si="7"/>
        <v>5.0292073571272171</v>
      </c>
      <c r="K42" s="29">
        <f t="shared" si="7"/>
        <v>5.4694594594594159</v>
      </c>
      <c r="L42" s="29">
        <f>SUM(L40:L41)</f>
        <v>6.6248599956587801</v>
      </c>
      <c r="M42" s="29">
        <f t="shared" si="7"/>
        <v>5.4635266118563361</v>
      </c>
      <c r="N42" s="30">
        <f>SUM(N40:N41)</f>
        <v>65.166605996344231</v>
      </c>
    </row>
    <row r="43" spans="1:16" x14ac:dyDescent="0.2">
      <c r="A43" s="68"/>
      <c r="B43" s="2"/>
      <c r="C43" s="2"/>
      <c r="D43" s="2"/>
      <c r="E43" s="2"/>
      <c r="F43" s="2"/>
      <c r="G43" s="2"/>
      <c r="H43" s="2"/>
      <c r="I43" s="2"/>
      <c r="J43" s="2"/>
      <c r="K43" s="2"/>
      <c r="L43" s="2"/>
      <c r="M43" s="2"/>
      <c r="N43" s="31"/>
    </row>
    <row r="44" spans="1:16" x14ac:dyDescent="0.2">
      <c r="A44" s="66" t="s">
        <v>4</v>
      </c>
    </row>
    <row r="45" spans="1:16" x14ac:dyDescent="0.2">
      <c r="A45" s="68" t="s">
        <v>3</v>
      </c>
      <c r="B45" s="129">
        <f t="shared" ref="B45:M46" si="8">+B14</f>
        <v>-112.07739999999998</v>
      </c>
      <c r="C45" s="129">
        <f t="shared" si="8"/>
        <v>-111.72239999999998</v>
      </c>
      <c r="D45" s="129">
        <f t="shared" si="8"/>
        <v>-105.466292</v>
      </c>
      <c r="E45" s="129">
        <f t="shared" si="8"/>
        <v>-103.51889199999999</v>
      </c>
      <c r="F45" s="129">
        <f t="shared" si="8"/>
        <v>-102.62899200000001</v>
      </c>
      <c r="G45" s="129">
        <f t="shared" si="8"/>
        <v>-103.82879199999999</v>
      </c>
      <c r="H45" s="129">
        <f t="shared" si="8"/>
        <v>-87.989891999999998</v>
      </c>
      <c r="I45" s="129">
        <f t="shared" si="8"/>
        <v>-99.692811999999989</v>
      </c>
      <c r="J45" s="129">
        <f t="shared" si="8"/>
        <v>-101.05185199999997</v>
      </c>
      <c r="K45" s="129">
        <f t="shared" si="8"/>
        <v>-94.481131999999988</v>
      </c>
      <c r="L45" s="129">
        <f t="shared" si="8"/>
        <v>-87.155441999999994</v>
      </c>
      <c r="M45" s="129">
        <f t="shared" si="8"/>
        <v>-83.977722</v>
      </c>
    </row>
    <row r="46" spans="1:16" x14ac:dyDescent="0.2">
      <c r="A46" s="68" t="s">
        <v>11</v>
      </c>
      <c r="B46" s="129">
        <f t="shared" si="8"/>
        <v>-30</v>
      </c>
      <c r="C46" s="129">
        <f t="shared" si="8"/>
        <v>-30</v>
      </c>
      <c r="D46" s="129">
        <f t="shared" si="8"/>
        <v>-33</v>
      </c>
      <c r="E46" s="129">
        <f t="shared" si="8"/>
        <v>-33</v>
      </c>
      <c r="F46" s="129">
        <f t="shared" si="8"/>
        <v>-33</v>
      </c>
      <c r="G46" s="129">
        <f t="shared" si="8"/>
        <v>-33</v>
      </c>
      <c r="H46" s="129">
        <f t="shared" si="8"/>
        <v>-33</v>
      </c>
      <c r="I46" s="129">
        <f t="shared" si="8"/>
        <v>-33</v>
      </c>
      <c r="J46" s="129">
        <f t="shared" si="8"/>
        <v>-33</v>
      </c>
      <c r="K46" s="129">
        <f t="shared" si="8"/>
        <v>-33</v>
      </c>
      <c r="L46" s="129">
        <f t="shared" si="8"/>
        <v>-33</v>
      </c>
      <c r="M46" s="129">
        <f t="shared" si="8"/>
        <v>-33</v>
      </c>
    </row>
    <row r="47" spans="1:16" x14ac:dyDescent="0.2">
      <c r="A47" s="68"/>
      <c r="B47" s="2"/>
      <c r="C47" s="2"/>
      <c r="D47" s="2"/>
      <c r="E47" s="2"/>
      <c r="F47" s="2"/>
      <c r="G47" s="2"/>
      <c r="H47" s="2"/>
      <c r="I47" s="2"/>
      <c r="J47" s="2"/>
      <c r="K47" s="2"/>
      <c r="L47" s="2"/>
      <c r="M47" s="2"/>
    </row>
    <row r="48" spans="1:16" x14ac:dyDescent="0.2">
      <c r="A48" s="3" t="s">
        <v>5</v>
      </c>
      <c r="B48" s="2"/>
      <c r="C48" s="2"/>
      <c r="D48" s="2"/>
      <c r="E48" s="2"/>
      <c r="F48" s="2"/>
      <c r="G48" s="2"/>
      <c r="H48" s="2"/>
      <c r="I48" s="2"/>
      <c r="J48" s="2"/>
      <c r="K48" s="2"/>
      <c r="L48" s="2"/>
      <c r="M48" s="2"/>
    </row>
    <row r="49" spans="1:15" x14ac:dyDescent="0.2">
      <c r="A49" s="68" t="s">
        <v>3</v>
      </c>
      <c r="B49" s="10">
        <f t="shared" ref="B49" si="9">+B40*B45</f>
        <v>-467.61489440502942</v>
      </c>
      <c r="C49" s="10">
        <f t="shared" ref="C49:M49" si="10">+C40*C45</f>
        <v>-466.63699125756551</v>
      </c>
      <c r="D49" s="10">
        <f t="shared" si="10"/>
        <v>-509.95956717460678</v>
      </c>
      <c r="E49" s="10">
        <f t="shared" si="10"/>
        <v>-439.93205965080853</v>
      </c>
      <c r="F49" s="10">
        <f t="shared" si="10"/>
        <v>-518.79609363058375</v>
      </c>
      <c r="G49" s="10">
        <f t="shared" si="10"/>
        <v>-546.42738798834193</v>
      </c>
      <c r="H49" s="10">
        <f t="shared" si="10"/>
        <v>-452.90401335056276</v>
      </c>
      <c r="I49" s="10">
        <f t="shared" si="10"/>
        <v>-467.60152354015889</v>
      </c>
      <c r="J49" s="10">
        <f t="shared" si="10"/>
        <v>-440.50597668973057</v>
      </c>
      <c r="K49" s="10">
        <f t="shared" si="10"/>
        <v>-459.12723063783773</v>
      </c>
      <c r="L49" s="10">
        <f t="shared" si="10"/>
        <v>-521.61311822975904</v>
      </c>
      <c r="M49" s="10">
        <f t="shared" si="10"/>
        <v>-414.30632629007329</v>
      </c>
      <c r="N49" s="11">
        <f>SUM(B49:M49)</f>
        <v>-5705.425182845057</v>
      </c>
    </row>
    <row r="50" spans="1:15" x14ac:dyDescent="0.2">
      <c r="A50" s="68" t="s">
        <v>11</v>
      </c>
      <c r="B50" s="10">
        <f t="shared" ref="B50" si="11">+B46*B41</f>
        <v>-12.299999999999999</v>
      </c>
      <c r="C50" s="10">
        <f t="shared" ref="C50:M50" si="12">+C46*C41</f>
        <v>-20.7</v>
      </c>
      <c r="D50" s="10">
        <f t="shared" si="12"/>
        <v>-18.48</v>
      </c>
      <c r="E50" s="10">
        <f t="shared" si="12"/>
        <v>-15.180000000000001</v>
      </c>
      <c r="F50" s="10">
        <f t="shared" si="12"/>
        <v>-16.169999999999998</v>
      </c>
      <c r="G50" s="10">
        <f t="shared" si="12"/>
        <v>-25.41</v>
      </c>
      <c r="H50" s="10">
        <f t="shared" si="12"/>
        <v>-30.360000000000003</v>
      </c>
      <c r="I50" s="10">
        <f t="shared" si="12"/>
        <v>-22.77</v>
      </c>
      <c r="J50" s="10">
        <f t="shared" si="12"/>
        <v>-22.110000000000003</v>
      </c>
      <c r="K50" s="10">
        <f t="shared" si="12"/>
        <v>-20.129999999998574</v>
      </c>
      <c r="L50" s="10">
        <f t="shared" si="12"/>
        <v>-21.12</v>
      </c>
      <c r="M50" s="10">
        <f t="shared" si="12"/>
        <v>-17.490000000000002</v>
      </c>
      <c r="N50" s="11">
        <f>SUM(B50:M50)</f>
        <v>-242.21999999999863</v>
      </c>
    </row>
    <row r="51" spans="1:15" x14ac:dyDescent="0.2">
      <c r="A51" s="3" t="s">
        <v>14</v>
      </c>
      <c r="B51" s="35">
        <f t="shared" ref="B51:I51" si="13">+B49+B50</f>
        <v>-479.91489440502943</v>
      </c>
      <c r="C51" s="35">
        <f t="shared" si="13"/>
        <v>-487.3369912575655</v>
      </c>
      <c r="D51" s="35">
        <f t="shared" si="13"/>
        <v>-528.43956717460674</v>
      </c>
      <c r="E51" s="35">
        <f t="shared" si="13"/>
        <v>-455.11205965080853</v>
      </c>
      <c r="F51" s="35">
        <f t="shared" si="13"/>
        <v>-534.96609363058371</v>
      </c>
      <c r="G51" s="35">
        <f t="shared" si="13"/>
        <v>-571.8373879883419</v>
      </c>
      <c r="H51" s="35">
        <f t="shared" si="13"/>
        <v>-483.26401335056278</v>
      </c>
      <c r="I51" s="35">
        <f t="shared" si="13"/>
        <v>-490.37152354015888</v>
      </c>
      <c r="J51" s="35">
        <f>+J49+J50</f>
        <v>-462.61597668973059</v>
      </c>
      <c r="K51" s="35">
        <f>+K49+K50</f>
        <v>-479.2572306378363</v>
      </c>
      <c r="L51" s="35">
        <f>+L49+L50</f>
        <v>-542.73311822975904</v>
      </c>
      <c r="M51" s="35">
        <f>+M49+M50</f>
        <v>-431.7963262900733</v>
      </c>
      <c r="N51" s="36">
        <f>SUM(N49:N50)</f>
        <v>-5947.6451828450554</v>
      </c>
    </row>
    <row r="52" spans="1:15" x14ac:dyDescent="0.2">
      <c r="B52" s="5"/>
      <c r="C52" s="5"/>
      <c r="D52" s="5"/>
      <c r="E52" s="5"/>
      <c r="F52" s="5"/>
      <c r="G52" s="5"/>
      <c r="H52" s="5"/>
      <c r="I52" s="5"/>
      <c r="J52" s="5"/>
      <c r="K52" s="5"/>
      <c r="L52" s="5"/>
      <c r="M52" s="5"/>
      <c r="N52" s="8"/>
    </row>
    <row r="53" spans="1:15" x14ac:dyDescent="0.2">
      <c r="A53" s="66" t="s">
        <v>6</v>
      </c>
      <c r="B53" s="5">
        <f>+'[5]Joe''s Comm Credit'!B53</f>
        <v>290</v>
      </c>
      <c r="C53" s="5">
        <f>+'[5]Joe''s Comm Credit'!C53</f>
        <v>290</v>
      </c>
      <c r="D53" s="5">
        <f>+'[5]Joe''s Comm Credit'!D53</f>
        <v>290</v>
      </c>
      <c r="E53" s="5">
        <f>+'[5]Joe''s Comm Credit'!E53</f>
        <v>290</v>
      </c>
      <c r="F53" s="5">
        <f>+'[5]Joe''s Comm Credit'!F53</f>
        <v>290</v>
      </c>
      <c r="G53" s="5">
        <f>+'[5]Joe''s Comm Credit'!G53</f>
        <v>290</v>
      </c>
      <c r="H53" s="5">
        <f>+'[5]Joe''s Comm Credit'!H53</f>
        <v>290</v>
      </c>
      <c r="I53" s="5">
        <f>+'[5]Joe''s Comm Credit'!I53</f>
        <v>290</v>
      </c>
      <c r="J53" s="5">
        <f>+'[5]Joe''s Comm Credit'!J53</f>
        <v>290</v>
      </c>
      <c r="K53" s="5">
        <f>+'[5]Joe''s Comm Credit'!K53</f>
        <v>290</v>
      </c>
      <c r="L53" s="5">
        <f>+'[5]Joe''s Comm Credit'!L53</f>
        <v>291</v>
      </c>
      <c r="M53" s="5">
        <f>+'[5]Joe''s Comm Credit'!M53</f>
        <v>291</v>
      </c>
      <c r="N53" s="7">
        <f>SUM(B53:M53)</f>
        <v>3482</v>
      </c>
    </row>
    <row r="54" spans="1:15" x14ac:dyDescent="0.2">
      <c r="A54" s="68"/>
      <c r="N54" s="8"/>
    </row>
    <row r="55" spans="1:15" x14ac:dyDescent="0.2">
      <c r="A55" s="1" t="s">
        <v>7</v>
      </c>
      <c r="B55" s="16">
        <f t="shared" ref="B55:M55" si="14">IFERROR(B51/B53,0)</f>
        <v>-1.6548789462242395</v>
      </c>
      <c r="C55" s="16">
        <f t="shared" si="14"/>
        <v>-1.6804723836467776</v>
      </c>
      <c r="D55" s="16">
        <f t="shared" si="14"/>
        <v>-1.8222054040503681</v>
      </c>
      <c r="E55" s="16">
        <f t="shared" si="14"/>
        <v>-1.5693519298303742</v>
      </c>
      <c r="F55" s="16">
        <f t="shared" si="14"/>
        <v>-1.844710667691668</v>
      </c>
      <c r="G55" s="16">
        <f t="shared" si="14"/>
        <v>-1.9718530620287651</v>
      </c>
      <c r="H55" s="16">
        <f t="shared" si="14"/>
        <v>-1.66642763224332</v>
      </c>
      <c r="I55" s="16">
        <f t="shared" si="14"/>
        <v>-1.6909362880695133</v>
      </c>
      <c r="J55" s="16">
        <f t="shared" si="14"/>
        <v>-1.5952275058266572</v>
      </c>
      <c r="K55" s="16">
        <f t="shared" si="14"/>
        <v>-1.6526111401304699</v>
      </c>
      <c r="L55" s="16">
        <f t="shared" si="14"/>
        <v>-1.8650622619579349</v>
      </c>
      <c r="M55" s="16">
        <f t="shared" si="14"/>
        <v>-1.4838361728181213</v>
      </c>
      <c r="N55" s="17"/>
    </row>
    <row r="56" spans="1:15" x14ac:dyDescent="0.2">
      <c r="A56" s="1" t="s">
        <v>8</v>
      </c>
      <c r="B56" s="16">
        <f>+'Joe''s CPA Eff 1.1.2020'!$G$56</f>
        <v>-1.3507803500318183</v>
      </c>
      <c r="C56" s="16">
        <f>+'Joe''s CPA Eff 1.1.2020'!$G$56</f>
        <v>-1.3507803500318183</v>
      </c>
      <c r="D56" s="16">
        <f>+'Joe''s CPA Eff 1.1.2020'!$H$60</f>
        <v>-1.8272175292549726</v>
      </c>
      <c r="E56" s="16">
        <f>+'Joe''s CPA Eff 1.1.2020'!$H$60</f>
        <v>-1.8272175292549726</v>
      </c>
      <c r="F56" s="16">
        <f>+'Joe''s CPA Eff 1.1.2020'!$H$60</f>
        <v>-1.8272175292549726</v>
      </c>
      <c r="G56" s="16">
        <f>+'Joe''s CPA Eff 1.1.2020'!$H$60</f>
        <v>-1.8272175292549726</v>
      </c>
      <c r="H56" s="16">
        <f>+'Joe''s CPA Eff 1.1.2020'!$H$60</f>
        <v>-1.8272175292549726</v>
      </c>
      <c r="I56" s="16">
        <f>+'Joe''s CPA Eff 1.1.2020'!$H$60</f>
        <v>-1.8272175292549726</v>
      </c>
      <c r="J56" s="16">
        <f>+'Joe''s CPA Eff 1.1.2020'!$H$60</f>
        <v>-1.8272175292549726</v>
      </c>
      <c r="K56" s="16">
        <f>+'Joe''s CPA Eff 1.1.2020'!$H$60</f>
        <v>-1.8272175292549726</v>
      </c>
      <c r="L56" s="16">
        <f>+'Joe''s CPA Eff 1.1.2020'!$H$60</f>
        <v>-1.8272175292549726</v>
      </c>
      <c r="M56" s="16">
        <f>+'Joe''s CPA Eff 1.1.2020'!$H$60</f>
        <v>-1.8272175292549726</v>
      </c>
      <c r="N56" s="17"/>
    </row>
    <row r="57" spans="1:15" x14ac:dyDescent="0.2">
      <c r="A57" s="20" t="s">
        <v>17</v>
      </c>
      <c r="B57" s="20">
        <f>(B55-B56)*B53</f>
        <v>-88.188592895802145</v>
      </c>
      <c r="C57" s="20">
        <f t="shared" ref="C57:I57" si="15">(C55-C56)*C53</f>
        <v>-95.610689748338217</v>
      </c>
      <c r="D57" s="20">
        <f t="shared" si="15"/>
        <v>1.4535163093352987</v>
      </c>
      <c r="E57" s="20">
        <f t="shared" si="15"/>
        <v>74.781023833133546</v>
      </c>
      <c r="F57" s="20">
        <f t="shared" si="15"/>
        <v>-5.0730101466416722</v>
      </c>
      <c r="G57" s="20">
        <f t="shared" si="15"/>
        <v>-41.944304504399824</v>
      </c>
      <c r="H57" s="20">
        <f t="shared" si="15"/>
        <v>46.629070133379251</v>
      </c>
      <c r="I57" s="20">
        <f t="shared" si="15"/>
        <v>39.521559943783181</v>
      </c>
      <c r="J57" s="20">
        <f>(J55-J56)*J53</f>
        <v>67.277106794211477</v>
      </c>
      <c r="K57" s="20">
        <f>(K55-K56)*K53</f>
        <v>50.63585284610577</v>
      </c>
      <c r="L57" s="20">
        <f>(L55-L56)*L53</f>
        <v>-11.012817216562027</v>
      </c>
      <c r="M57" s="20">
        <f>(M55-M56)*M53</f>
        <v>99.923974723123735</v>
      </c>
      <c r="N57" s="44">
        <f>SUM(B57:M57)</f>
        <v>138.39269007132839</v>
      </c>
    </row>
    <row r="59" spans="1:15" ht="15" x14ac:dyDescent="0.25">
      <c r="A59" s="55"/>
      <c r="B59" s="45"/>
      <c r="C59" s="45"/>
      <c r="D59" s="45"/>
      <c r="E59" s="45"/>
      <c r="F59" s="45"/>
      <c r="G59" s="45"/>
      <c r="H59" s="45"/>
      <c r="I59" s="45"/>
      <c r="J59" s="45"/>
      <c r="K59" s="45"/>
      <c r="L59" s="45"/>
      <c r="M59" s="72" t="s">
        <v>19</v>
      </c>
      <c r="N59" s="17">
        <f>ROUND(N57/N53,2)</f>
        <v>0.04</v>
      </c>
    </row>
    <row r="60" spans="1:15" x14ac:dyDescent="0.2">
      <c r="B60" s="49"/>
      <c r="C60" s="49"/>
      <c r="D60" s="49"/>
      <c r="E60" s="49"/>
      <c r="F60" s="49"/>
      <c r="G60" s="49"/>
      <c r="H60" s="49"/>
      <c r="I60" s="49"/>
      <c r="J60" s="49"/>
      <c r="K60" s="49"/>
      <c r="L60" s="22"/>
      <c r="M60" s="72" t="s">
        <v>40</v>
      </c>
      <c r="N60" s="120">
        <f>ROUND(N51/N53,2)</f>
        <v>-1.71</v>
      </c>
    </row>
    <row r="61" spans="1:15" ht="15" x14ac:dyDescent="0.25">
      <c r="A61" s="55"/>
      <c r="B61" s="57"/>
      <c r="C61" s="57"/>
      <c r="D61" s="57"/>
      <c r="E61" s="57"/>
      <c r="F61" s="57"/>
      <c r="G61" s="57"/>
      <c r="H61" s="57"/>
      <c r="I61" s="57"/>
      <c r="J61" s="57"/>
      <c r="K61" s="57"/>
      <c r="L61" s="57"/>
      <c r="M61" s="73" t="s">
        <v>41</v>
      </c>
      <c r="N61" s="44">
        <f>-N59-N60</f>
        <v>1.67</v>
      </c>
    </row>
    <row r="62" spans="1:15" ht="15" x14ac:dyDescent="0.25">
      <c r="B62" s="125"/>
      <c r="C62" s="22"/>
      <c r="D62" s="22"/>
      <c r="E62" s="22"/>
      <c r="F62" s="22"/>
      <c r="G62" s="22"/>
      <c r="H62" s="22"/>
      <c r="I62" s="22"/>
      <c r="J62" s="22"/>
      <c r="K62" s="22"/>
      <c r="L62" s="22"/>
      <c r="M62" s="22"/>
      <c r="N62" s="44"/>
    </row>
    <row r="63" spans="1:15" ht="15" x14ac:dyDescent="0.25">
      <c r="A63" s="55"/>
      <c r="B63" s="70"/>
      <c r="C63" s="70"/>
      <c r="D63" s="70"/>
      <c r="E63" s="70"/>
      <c r="F63" s="70"/>
      <c r="G63" s="70"/>
      <c r="H63" s="70"/>
      <c r="I63" s="70"/>
      <c r="J63" s="70"/>
      <c r="K63" s="70"/>
      <c r="L63" s="70"/>
      <c r="M63" s="72" t="s">
        <v>42</v>
      </c>
      <c r="N63" s="32">
        <f>-'Joe''s CPA Eff 1.1.2020'!H61</f>
        <v>2.0872175292549726</v>
      </c>
    </row>
    <row r="64" spans="1:15" x14ac:dyDescent="0.2">
      <c r="B64" s="25"/>
      <c r="C64" s="25"/>
      <c r="D64" s="25"/>
      <c r="E64" s="25"/>
      <c r="F64" s="25"/>
      <c r="G64" s="25"/>
      <c r="H64" s="25"/>
      <c r="I64" s="25"/>
      <c r="J64" s="25"/>
      <c r="K64" s="25"/>
      <c r="L64" s="25"/>
      <c r="M64" s="72" t="s">
        <v>9</v>
      </c>
      <c r="N64" s="17">
        <f>+N61-N63</f>
        <v>-0.41721752925497269</v>
      </c>
      <c r="O64" s="71">
        <f>N64/N63</f>
        <v>-0.19989173308826008</v>
      </c>
    </row>
    <row r="65" spans="1:60" x14ac:dyDescent="0.2">
      <c r="B65" s="25"/>
      <c r="C65" s="25"/>
      <c r="D65" s="25"/>
      <c r="E65" s="25"/>
      <c r="F65" s="25"/>
      <c r="G65" s="25"/>
      <c r="H65" s="25"/>
      <c r="I65" s="25"/>
      <c r="J65" s="25"/>
      <c r="K65" s="25"/>
      <c r="L65" s="25"/>
      <c r="M65" s="72" t="s">
        <v>34</v>
      </c>
      <c r="N65" s="11">
        <f>N64*N53</f>
        <v>-1452.7514368658149</v>
      </c>
    </row>
    <row r="67" spans="1:60" x14ac:dyDescent="0.2">
      <c r="B67" s="12"/>
      <c r="C67" s="12"/>
      <c r="D67" s="12"/>
      <c r="E67" s="12"/>
      <c r="F67" s="12"/>
      <c r="G67" s="12"/>
      <c r="H67" s="12"/>
      <c r="I67" s="12"/>
      <c r="J67" s="12"/>
      <c r="K67" s="12"/>
      <c r="L67" s="12"/>
      <c r="M67" s="12"/>
    </row>
    <row r="68" spans="1:60" x14ac:dyDescent="0.2">
      <c r="B68" s="12"/>
      <c r="C68" s="12"/>
      <c r="D68" s="12"/>
      <c r="E68" s="12"/>
      <c r="F68" s="12"/>
      <c r="G68" s="12"/>
      <c r="H68" s="12"/>
      <c r="I68" s="12"/>
      <c r="J68" s="12"/>
      <c r="K68" s="12"/>
      <c r="L68" s="12"/>
      <c r="M68" s="12"/>
    </row>
    <row r="69" spans="1:60" x14ac:dyDescent="0.2">
      <c r="B69" s="12"/>
      <c r="C69" s="12"/>
      <c r="D69" s="12"/>
      <c r="E69" s="12"/>
      <c r="F69" s="12"/>
      <c r="G69" s="12"/>
      <c r="H69" s="12"/>
      <c r="I69" s="12"/>
      <c r="J69" s="12"/>
      <c r="K69" s="12"/>
      <c r="L69" s="12"/>
      <c r="M69" s="12"/>
    </row>
    <row r="71" spans="1:60" x14ac:dyDescent="0.2">
      <c r="B71" s="12"/>
      <c r="C71" s="12"/>
      <c r="D71" s="12"/>
      <c r="E71" s="12"/>
      <c r="F71" s="12"/>
      <c r="G71" s="12"/>
      <c r="H71" s="12"/>
      <c r="I71" s="12"/>
      <c r="J71" s="12"/>
      <c r="K71" s="12"/>
      <c r="L71" s="12"/>
      <c r="M71" s="12"/>
    </row>
    <row r="72" spans="1:60" s="2" customFormat="1" x14ac:dyDescent="0.2">
      <c r="A72" s="1"/>
      <c r="B72" s="12"/>
      <c r="C72" s="12"/>
      <c r="D72" s="12"/>
      <c r="E72" s="12"/>
      <c r="F72" s="12"/>
      <c r="G72" s="12"/>
      <c r="H72" s="12"/>
      <c r="I72" s="12"/>
      <c r="J72" s="12"/>
      <c r="K72" s="12"/>
      <c r="L72" s="12"/>
      <c r="M72" s="12"/>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s="2" customFormat="1" x14ac:dyDescent="0.2">
      <c r="A73" s="1"/>
      <c r="B73" s="12"/>
      <c r="C73" s="12"/>
      <c r="D73" s="12"/>
      <c r="E73" s="12"/>
      <c r="F73" s="12"/>
      <c r="G73" s="12"/>
      <c r="H73" s="12"/>
      <c r="I73" s="12"/>
      <c r="J73" s="12"/>
      <c r="K73" s="12"/>
      <c r="L73" s="12"/>
      <c r="M73" s="12"/>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s="2" customForma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s="2" customForma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s="2"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s="2"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s="2"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s="2"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s="2"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s="2"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s="2"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s="2"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s="2"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s="2"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s="2" customForma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s="2" customForma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s="2"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s="2" customForma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s="2" customForma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s="2" customForma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s="2" customForma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s="2" customForma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s="2" customForma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s="2" customForma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s="2" customForma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s="2" customForma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s="2" customForma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s="2" customForma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s="2" customForma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s="2" customForma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s="2" customForma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s="2" customForma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sheetData>
  <pageMargins left="0.7" right="0.7" top="0.75" bottom="0.75" header="0.3" footer="0.3"/>
  <pageSetup scale="64" fitToHeight="0" orientation="landscape" r:id="rId1"/>
  <headerFooter alignWithMargins="0"/>
  <rowBreaks count="1" manualBreakCount="1">
    <brk id="35" max="16383" man="1"/>
  </rowBreaks>
  <colBreaks count="1" manualBreakCount="1">
    <brk id="13" max="6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C49"/>
  <sheetViews>
    <sheetView showGridLines="0" view="pageBreakPreview" zoomScaleNormal="100" zoomScaleSheetLayoutView="100" workbookViewId="0">
      <pane xSplit="1" ySplit="6" topLeftCell="B7" activePane="bottomRight" state="frozen"/>
      <selection activeCell="S42" sqref="S42:S43"/>
      <selection pane="topRight" activeCell="S42" sqref="S42:S43"/>
      <selection pane="bottomLeft" activeCell="S42" sqref="S42:S43"/>
      <selection pane="bottomRight" activeCell="G24" sqref="G24"/>
    </sheetView>
  </sheetViews>
  <sheetFormatPr defaultRowHeight="12.75" x14ac:dyDescent="0.2"/>
  <cols>
    <col min="1" max="1" width="24" style="1" customWidth="1"/>
    <col min="2" max="7" width="12.5703125" style="1" customWidth="1"/>
    <col min="8" max="8" width="13.140625" style="1" customWidth="1"/>
    <col min="9" max="9" width="11.28515625" style="1" customWidth="1"/>
    <col min="10" max="12" width="11.85546875" style="1" bestFit="1" customWidth="1"/>
    <col min="13" max="13" width="12.28515625" style="1" customWidth="1"/>
    <col min="14" max="14" width="12.85546875" style="1" bestFit="1" customWidth="1"/>
    <col min="15" max="15" width="2.140625" style="2" customWidth="1"/>
    <col min="16" max="16" width="9.140625" style="1"/>
    <col min="17" max="17" width="12" style="1" customWidth="1"/>
    <col min="18" max="16384" width="9.140625" style="1"/>
  </cols>
  <sheetData>
    <row r="1" spans="1:29" x14ac:dyDescent="0.2">
      <c r="A1" s="3" t="s">
        <v>15</v>
      </c>
    </row>
    <row r="2" spans="1:29" x14ac:dyDescent="0.2">
      <c r="A2" s="39" t="s">
        <v>0</v>
      </c>
    </row>
    <row r="3" spans="1:29" x14ac:dyDescent="0.2">
      <c r="A3" s="3" t="s">
        <v>16</v>
      </c>
    </row>
    <row r="4" spans="1:29" x14ac:dyDescent="0.2">
      <c r="A4" s="3" t="s">
        <v>38</v>
      </c>
      <c r="H4" s="6"/>
      <c r="I4" s="2"/>
      <c r="O4" s="1"/>
    </row>
    <row r="5" spans="1:29" x14ac:dyDescent="0.2">
      <c r="B5" s="3"/>
      <c r="C5" s="3"/>
      <c r="D5" s="3"/>
      <c r="E5" s="3"/>
      <c r="F5" s="3"/>
      <c r="G5" s="3"/>
      <c r="H5" s="40" t="s">
        <v>24</v>
      </c>
      <c r="I5" s="2"/>
      <c r="J5" s="41"/>
      <c r="K5" s="41"/>
      <c r="L5" s="41"/>
      <c r="M5" s="41"/>
      <c r="N5" s="41"/>
      <c r="O5" s="41"/>
      <c r="P5" s="41"/>
      <c r="Q5" s="41"/>
      <c r="R5" s="41"/>
      <c r="S5" s="41"/>
      <c r="T5" s="41"/>
      <c r="U5" s="41"/>
      <c r="V5" s="41"/>
      <c r="W5" s="41"/>
    </row>
    <row r="6" spans="1:29" ht="13.5" thickBot="1" x14ac:dyDescent="0.25">
      <c r="A6" s="6"/>
      <c r="B6" s="100">
        <v>43586</v>
      </c>
      <c r="C6" s="100">
        <v>43617</v>
      </c>
      <c r="D6" s="100">
        <v>43647</v>
      </c>
      <c r="E6" s="100">
        <v>43678</v>
      </c>
      <c r="F6" s="100">
        <v>43709</v>
      </c>
      <c r="G6" s="100">
        <v>43739</v>
      </c>
      <c r="H6" s="40" t="s">
        <v>1</v>
      </c>
      <c r="I6" s="2"/>
      <c r="J6" s="41"/>
      <c r="K6" s="41"/>
      <c r="L6" s="41"/>
      <c r="M6" s="41"/>
      <c r="N6" s="41"/>
      <c r="O6" s="41"/>
      <c r="P6" s="41"/>
      <c r="Q6" s="41"/>
      <c r="R6" s="41"/>
      <c r="S6" s="41"/>
      <c r="T6" s="41"/>
      <c r="U6" s="41"/>
      <c r="V6" s="41"/>
      <c r="W6" s="41"/>
    </row>
    <row r="7" spans="1:29" ht="12.75" customHeight="1" x14ac:dyDescent="0.2">
      <c r="A7" s="42"/>
      <c r="B7" s="2"/>
      <c r="C7" s="2"/>
      <c r="D7" s="2"/>
      <c r="E7" s="2"/>
      <c r="F7" s="2"/>
      <c r="G7" s="2"/>
      <c r="H7" s="6"/>
      <c r="I7" s="2"/>
      <c r="O7" s="1"/>
    </row>
    <row r="8" spans="1:29" ht="12.75" customHeight="1" x14ac:dyDescent="0.2">
      <c r="A8" s="3" t="s">
        <v>2</v>
      </c>
      <c r="I8" s="2"/>
      <c r="O8" s="1"/>
    </row>
    <row r="9" spans="1:29" x14ac:dyDescent="0.2">
      <c r="A9" s="1" t="s">
        <v>3</v>
      </c>
      <c r="B9" s="79">
        <v>152.92000000000007</v>
      </c>
      <c r="C9" s="79">
        <v>145.34000000000006</v>
      </c>
      <c r="D9" s="79">
        <v>148.54</v>
      </c>
      <c r="E9" s="79">
        <v>159.39000000000001</v>
      </c>
      <c r="F9" s="79">
        <v>146.08000000000001</v>
      </c>
      <c r="G9" s="79">
        <v>149.04000000000005</v>
      </c>
      <c r="H9" s="27">
        <f>SUM(B9:G9)</f>
        <v>901.31000000000017</v>
      </c>
      <c r="I9" s="2"/>
      <c r="J9" s="23"/>
      <c r="K9" s="23"/>
      <c r="L9" s="23"/>
      <c r="M9" s="23"/>
      <c r="N9" s="23"/>
      <c r="O9" s="23"/>
      <c r="P9" s="23"/>
      <c r="Q9" s="23"/>
      <c r="R9" s="23"/>
      <c r="S9" s="23"/>
      <c r="T9" s="23"/>
      <c r="U9" s="23"/>
      <c r="V9" s="23"/>
      <c r="W9" s="23"/>
      <c r="X9" s="23"/>
      <c r="Y9" s="23"/>
      <c r="Z9" s="23"/>
      <c r="AA9" s="23"/>
      <c r="AB9" s="23"/>
      <c r="AC9" s="23"/>
    </row>
    <row r="10" spans="1:29" x14ac:dyDescent="0.2">
      <c r="B10" s="2"/>
      <c r="C10" s="2"/>
      <c r="D10" s="2"/>
      <c r="E10" s="2"/>
      <c r="F10" s="2"/>
      <c r="G10" s="2"/>
      <c r="H10" s="7"/>
      <c r="I10" s="2"/>
      <c r="O10" s="1"/>
    </row>
    <row r="11" spans="1:29" x14ac:dyDescent="0.2">
      <c r="A11" s="3" t="s">
        <v>4</v>
      </c>
      <c r="H11" s="8"/>
      <c r="I11" s="2"/>
      <c r="K11" s="56"/>
      <c r="O11" s="1"/>
    </row>
    <row r="12" spans="1:29" x14ac:dyDescent="0.2">
      <c r="A12" s="1" t="s">
        <v>3</v>
      </c>
      <c r="B12" s="80">
        <v>-108.96529999999996</v>
      </c>
      <c r="C12" s="80">
        <v>-107.60559999999998</v>
      </c>
      <c r="D12" s="80">
        <v>-105.66559999999998</v>
      </c>
      <c r="E12" s="80">
        <v>-105.90090000000001</v>
      </c>
      <c r="F12" s="80">
        <v>-109.95339999999997</v>
      </c>
      <c r="G12" s="80">
        <v>-111.92589999999997</v>
      </c>
      <c r="H12" s="17"/>
      <c r="I12" s="2"/>
      <c r="J12" s="18"/>
      <c r="K12" s="23"/>
      <c r="L12" s="23"/>
      <c r="M12" s="23"/>
      <c r="N12" s="23"/>
      <c r="O12" s="23"/>
      <c r="P12" s="23"/>
      <c r="Q12" s="23"/>
      <c r="R12" s="23"/>
      <c r="S12" s="23"/>
      <c r="T12" s="23"/>
      <c r="U12" s="23"/>
      <c r="V12" s="23"/>
      <c r="W12" s="23"/>
      <c r="X12" s="23"/>
    </row>
    <row r="13" spans="1:29" x14ac:dyDescent="0.2">
      <c r="H13" s="8"/>
      <c r="I13" s="2"/>
      <c r="O13" s="1"/>
    </row>
    <row r="14" spans="1:29" x14ac:dyDescent="0.2">
      <c r="A14" s="3" t="s">
        <v>5</v>
      </c>
      <c r="B14" s="10">
        <f>+B9*B12</f>
        <v>-16662.973676000001</v>
      </c>
      <c r="C14" s="10">
        <f t="shared" ref="C14:G14" si="0">+C9*C12</f>
        <v>-15639.397904000003</v>
      </c>
      <c r="D14" s="10">
        <f t="shared" si="0"/>
        <v>-15695.568223999997</v>
      </c>
      <c r="E14" s="10">
        <f t="shared" si="0"/>
        <v>-16879.544451000002</v>
      </c>
      <c r="F14" s="10">
        <f t="shared" si="0"/>
        <v>-16061.992671999997</v>
      </c>
      <c r="G14" s="10">
        <f t="shared" si="0"/>
        <v>-16681.436136</v>
      </c>
      <c r="H14" s="11">
        <f>SUM(B14:G14)</f>
        <v>-97620.913063</v>
      </c>
      <c r="I14" s="2"/>
      <c r="J14" s="43"/>
      <c r="K14" s="12"/>
      <c r="O14" s="1"/>
    </row>
    <row r="15" spans="1:29" x14ac:dyDescent="0.2">
      <c r="H15" s="8"/>
      <c r="I15" s="2"/>
      <c r="O15" s="1"/>
    </row>
    <row r="16" spans="1:29" s="5" customFormat="1" x14ac:dyDescent="0.2">
      <c r="A16" s="3" t="s">
        <v>6</v>
      </c>
      <c r="B16" s="81">
        <v>10129</v>
      </c>
      <c r="C16" s="81">
        <v>10155</v>
      </c>
      <c r="D16" s="81">
        <v>10205</v>
      </c>
      <c r="E16" s="81">
        <v>10251</v>
      </c>
      <c r="F16" s="81">
        <v>10253</v>
      </c>
      <c r="G16" s="81">
        <v>10229</v>
      </c>
      <c r="H16" s="21">
        <f>SUM(B16:G16)</f>
        <v>61222</v>
      </c>
      <c r="I16" s="2"/>
      <c r="J16" s="13"/>
      <c r="K16" s="12"/>
      <c r="L16" s="14"/>
    </row>
    <row r="17" spans="1:16" s="5" customFormat="1" x14ac:dyDescent="0.2">
      <c r="A17" s="15"/>
      <c r="H17" s="7"/>
      <c r="I17" s="2"/>
      <c r="J17" s="13"/>
      <c r="K17" s="12"/>
      <c r="L17" s="14"/>
    </row>
    <row r="18" spans="1:16" x14ac:dyDescent="0.2">
      <c r="A18" s="1" t="s">
        <v>7</v>
      </c>
      <c r="B18" s="16">
        <f t="shared" ref="B18:G18" si="1">+IFERROR(B14/B16,0)</f>
        <v>-1.6450758886365882</v>
      </c>
      <c r="C18" s="16">
        <f t="shared" si="1"/>
        <v>-1.54006872516002</v>
      </c>
      <c r="D18" s="16">
        <f t="shared" si="1"/>
        <v>-1.5380272634982848</v>
      </c>
      <c r="E18" s="16">
        <f t="shared" si="1"/>
        <v>-1.6466241782265147</v>
      </c>
      <c r="F18" s="16">
        <f t="shared" si="1"/>
        <v>-1.5665651684385056</v>
      </c>
      <c r="G18" s="16">
        <f t="shared" si="1"/>
        <v>-1.6307983318017403</v>
      </c>
      <c r="H18" s="17"/>
      <c r="I18" s="2"/>
      <c r="J18" s="18"/>
      <c r="O18" s="1"/>
    </row>
    <row r="19" spans="1:16" x14ac:dyDescent="0.2">
      <c r="A19" s="1" t="s">
        <v>8</v>
      </c>
      <c r="B19" s="82">
        <f>'RSA-1 CPA Eff. 7.1.19'!$G$19</f>
        <v>-1.06</v>
      </c>
      <c r="C19" s="82">
        <f>'RSA-1 CPA Eff. 7.1.19'!$G$19</f>
        <v>-1.06</v>
      </c>
      <c r="D19" s="88">
        <f>'RSA-1 CPA Eff. 7.1.19'!$G$23</f>
        <v>-1.435280438855316</v>
      </c>
      <c r="E19" s="88">
        <f>'RSA-1 CPA Eff. 7.1.19'!$G$23</f>
        <v>-1.435280438855316</v>
      </c>
      <c r="F19" s="88">
        <f>'RSA-1 CPA Eff. 7.1.19'!$G$23</f>
        <v>-1.435280438855316</v>
      </c>
      <c r="G19" s="88">
        <f>'RSA-1 CPA Eff. 7.1.19'!$G$23</f>
        <v>-1.435280438855316</v>
      </c>
      <c r="H19" s="17"/>
      <c r="I19" s="2"/>
      <c r="J19" s="19"/>
      <c r="O19" s="1"/>
    </row>
    <row r="20" spans="1:16" x14ac:dyDescent="0.2">
      <c r="A20" s="20" t="s">
        <v>17</v>
      </c>
      <c r="B20" s="20">
        <f>+(B18-B19)*B16</f>
        <v>-5926.2336760000007</v>
      </c>
      <c r="C20" s="20">
        <f>+(C18-C19)*C16</f>
        <v>-4875.0979040000029</v>
      </c>
      <c r="D20" s="20">
        <f t="shared" ref="D20:G20" si="2">+(D18-D19)*D16</f>
        <v>-1048.5313454814966</v>
      </c>
      <c r="E20" s="20">
        <f t="shared" si="2"/>
        <v>-2166.4846722941584</v>
      </c>
      <c r="F20" s="20">
        <f t="shared" si="2"/>
        <v>-1346.062332416443</v>
      </c>
      <c r="G20" s="20">
        <f t="shared" si="2"/>
        <v>-1999.9525269489741</v>
      </c>
      <c r="H20" s="44">
        <f>SUM(B20:G20)</f>
        <v>-17362.362457141076</v>
      </c>
      <c r="I20" s="2"/>
      <c r="J20" s="5"/>
      <c r="K20" s="12"/>
      <c r="O20" s="1"/>
    </row>
    <row r="21" spans="1:16" x14ac:dyDescent="0.2">
      <c r="A21" s="5"/>
      <c r="B21" s="5"/>
      <c r="C21" s="5"/>
      <c r="D21" s="5"/>
      <c r="E21" s="5"/>
      <c r="F21" s="5"/>
      <c r="G21" s="21"/>
      <c r="O21" s="1"/>
    </row>
    <row r="22" spans="1:16" x14ac:dyDescent="0.2">
      <c r="A22" s="45"/>
      <c r="B22" s="45"/>
      <c r="C22" s="45"/>
      <c r="D22" s="45"/>
      <c r="E22" s="45"/>
      <c r="F22" s="72" t="s">
        <v>19</v>
      </c>
      <c r="G22" s="119">
        <f>ROUND(H20/H16/2,2)</f>
        <v>-0.14000000000000001</v>
      </c>
      <c r="H22" s="22"/>
      <c r="J22" s="46"/>
      <c r="O22" s="1"/>
    </row>
    <row r="23" spans="1:16" x14ac:dyDescent="0.2">
      <c r="A23" s="83"/>
      <c r="B23" s="22"/>
      <c r="C23" s="22"/>
      <c r="D23" s="22"/>
      <c r="E23" s="22"/>
      <c r="F23" s="72" t="s">
        <v>20</v>
      </c>
      <c r="G23" s="118">
        <f>SUM(B14:G14)/SUM(B16:G16)</f>
        <v>-1.5945397579791578</v>
      </c>
      <c r="H23" s="22"/>
      <c r="J23" s="18"/>
      <c r="O23" s="1"/>
    </row>
    <row r="24" spans="1:16" x14ac:dyDescent="0.2">
      <c r="A24" s="85"/>
      <c r="B24" s="22"/>
      <c r="C24" s="22"/>
      <c r="D24" s="22"/>
      <c r="E24" s="22"/>
      <c r="F24" s="73" t="s">
        <v>21</v>
      </c>
      <c r="G24" s="53">
        <f>SUM(G22:G23)</f>
        <v>-1.7345397579791579</v>
      </c>
      <c r="H24" s="22"/>
      <c r="O24" s="1"/>
    </row>
    <row r="25" spans="1:16" x14ac:dyDescent="0.2">
      <c r="A25" s="85"/>
      <c r="B25" s="22"/>
      <c r="C25" s="22"/>
      <c r="D25" s="22"/>
      <c r="E25" s="22"/>
      <c r="F25" s="72"/>
      <c r="G25" s="52"/>
      <c r="H25" s="22"/>
      <c r="I25" s="47"/>
      <c r="J25" s="48"/>
      <c r="O25" s="1"/>
    </row>
    <row r="26" spans="1:16" x14ac:dyDescent="0.2">
      <c r="A26" s="86"/>
      <c r="B26" s="22"/>
      <c r="C26" s="22"/>
      <c r="D26" s="22"/>
      <c r="E26" s="22"/>
      <c r="F26" s="72" t="s">
        <v>22</v>
      </c>
      <c r="G26" s="88">
        <f>'RSA-1 CPA Eff. 7.1.19'!G25</f>
        <v>-2.4543494692353223</v>
      </c>
      <c r="O26" s="1"/>
    </row>
    <row r="27" spans="1:16" x14ac:dyDescent="0.2">
      <c r="A27" s="87"/>
      <c r="B27" s="49"/>
      <c r="C27" s="49"/>
      <c r="D27" s="49"/>
      <c r="E27" s="22"/>
      <c r="F27" s="72" t="s">
        <v>9</v>
      </c>
      <c r="G27" s="9">
        <f>G26-G24</f>
        <v>-0.71980971125616433</v>
      </c>
      <c r="H27" s="71">
        <f>G27/G26</f>
        <v>0.29327922542360213</v>
      </c>
      <c r="I27" s="50"/>
      <c r="O27" s="1"/>
    </row>
    <row r="28" spans="1:16" x14ac:dyDescent="0.2">
      <c r="A28" s="22"/>
      <c r="B28" s="22"/>
      <c r="C28" s="22"/>
      <c r="D28" s="22"/>
      <c r="E28" s="22"/>
      <c r="F28" s="72" t="s">
        <v>23</v>
      </c>
      <c r="G28" s="9">
        <f>G27*H16</f>
        <v>-44068.190142524894</v>
      </c>
      <c r="I28" s="33"/>
      <c r="O28" s="1"/>
    </row>
    <row r="29" spans="1:16" x14ac:dyDescent="0.2">
      <c r="G29" s="31"/>
      <c r="H29" s="2"/>
      <c r="I29" s="19"/>
      <c r="O29" s="1"/>
    </row>
    <row r="30" spans="1:16" x14ac:dyDescent="0.2">
      <c r="M30" s="2"/>
      <c r="N30" s="5"/>
      <c r="O30" s="12"/>
    </row>
    <row r="31" spans="1:16" x14ac:dyDescent="0.2">
      <c r="K31" s="54"/>
      <c r="L31" s="30"/>
      <c r="M31" s="2"/>
      <c r="O31" s="46"/>
    </row>
    <row r="32" spans="1:16" x14ac:dyDescent="0.2">
      <c r="L32" s="54"/>
      <c r="M32" s="51"/>
      <c r="N32" s="2"/>
      <c r="O32" s="1"/>
      <c r="P32" s="18"/>
    </row>
    <row r="33" spans="1:29" ht="15" x14ac:dyDescent="0.25">
      <c r="L33" s="55"/>
      <c r="M33" s="27"/>
      <c r="N33" s="2"/>
      <c r="O33" s="1"/>
      <c r="P33" s="46"/>
    </row>
    <row r="34" spans="1:29" ht="15" x14ac:dyDescent="0.25">
      <c r="A34"/>
      <c r="B34" s="74"/>
      <c r="C34" s="75"/>
      <c r="D34" s="75"/>
      <c r="E34" s="76"/>
      <c r="F34"/>
      <c r="G34" s="77"/>
      <c r="H34"/>
      <c r="I34"/>
      <c r="J34"/>
      <c r="K34" s="78"/>
      <c r="L34" s="78"/>
      <c r="M34" s="78"/>
      <c r="N34" s="56"/>
    </row>
    <row r="35" spans="1:29" ht="15" x14ac:dyDescent="0.25">
      <c r="A35"/>
      <c r="B35" s="74"/>
      <c r="C35" s="75"/>
      <c r="D35" s="75"/>
      <c r="E35" s="76"/>
      <c r="F35"/>
      <c r="G35" s="77"/>
      <c r="H35"/>
      <c r="I35"/>
      <c r="J35"/>
      <c r="K35" s="78"/>
      <c r="L35" s="78"/>
      <c r="M35" s="78"/>
    </row>
    <row r="36" spans="1:29" ht="15" x14ac:dyDescent="0.25">
      <c r="A36"/>
      <c r="B36" s="74"/>
      <c r="C36" s="75"/>
      <c r="D36" s="75"/>
      <c r="E36" s="76"/>
      <c r="F36"/>
      <c r="G36" s="77"/>
      <c r="H36"/>
      <c r="I36"/>
      <c r="J36"/>
      <c r="K36" s="78"/>
      <c r="L36" s="78"/>
      <c r="M36" s="78"/>
    </row>
    <row r="37" spans="1:29" ht="15" x14ac:dyDescent="0.25">
      <c r="A37"/>
      <c r="B37" s="74"/>
      <c r="C37" s="75"/>
      <c r="D37" s="75"/>
      <c r="E37" s="76"/>
      <c r="F37"/>
      <c r="G37" s="77"/>
      <c r="H37"/>
      <c r="I37"/>
      <c r="J37"/>
      <c r="K37" s="78"/>
      <c r="L37" s="78"/>
      <c r="M37" s="78"/>
    </row>
    <row r="38" spans="1:29" ht="15" x14ac:dyDescent="0.25">
      <c r="A38"/>
      <c r="B38" s="74"/>
      <c r="C38" s="75"/>
      <c r="D38" s="75"/>
      <c r="E38" s="76"/>
      <c r="F38"/>
      <c r="G38" s="77"/>
      <c r="H38"/>
      <c r="I38"/>
      <c r="J38"/>
      <c r="K38" s="78"/>
      <c r="L38" s="78"/>
      <c r="M38" s="78"/>
    </row>
    <row r="39" spans="1:29" ht="15" x14ac:dyDescent="0.25">
      <c r="A39"/>
      <c r="B39" s="74"/>
      <c r="C39" s="75"/>
      <c r="D39" s="75"/>
      <c r="E39" s="76"/>
      <c r="F39"/>
      <c r="G39" s="77"/>
      <c r="H39"/>
      <c r="I39"/>
      <c r="J39"/>
      <c r="K39" s="78"/>
      <c r="L39" s="78"/>
      <c r="M39" s="78"/>
    </row>
    <row r="40" spans="1:29" ht="15" x14ac:dyDescent="0.25">
      <c r="A40"/>
      <c r="B40" s="74"/>
      <c r="C40" s="75"/>
      <c r="D40" s="75"/>
      <c r="E40" s="76"/>
      <c r="F40"/>
      <c r="G40" s="77"/>
      <c r="H40"/>
      <c r="I40"/>
      <c r="J40"/>
      <c r="K40" s="78"/>
      <c r="L40" s="78"/>
      <c r="M40" s="78"/>
    </row>
    <row r="41" spans="1:29" ht="15" x14ac:dyDescent="0.25">
      <c r="A41"/>
      <c r="B41" s="74"/>
      <c r="C41" s="75"/>
      <c r="D41" s="75"/>
      <c r="E41" s="76"/>
      <c r="F41"/>
      <c r="G41" s="77"/>
      <c r="H41"/>
      <c r="I41"/>
      <c r="J41"/>
      <c r="K41" s="78"/>
      <c r="L41" s="78"/>
      <c r="M41" s="78"/>
    </row>
    <row r="42" spans="1:29" ht="15" x14ac:dyDescent="0.25">
      <c r="A42"/>
      <c r="B42" s="74"/>
      <c r="C42" s="75"/>
      <c r="D42" s="75"/>
      <c r="E42" s="76"/>
      <c r="F42"/>
      <c r="G42" s="77"/>
      <c r="H42"/>
      <c r="I42"/>
      <c r="J42"/>
      <c r="K42" s="78"/>
      <c r="L42" s="78"/>
      <c r="M42" s="78"/>
    </row>
    <row r="43" spans="1:29" ht="15" x14ac:dyDescent="0.25">
      <c r="A43"/>
      <c r="B43" s="74"/>
      <c r="C43" s="75"/>
      <c r="D43" s="75"/>
      <c r="E43" s="76"/>
      <c r="F43"/>
      <c r="G43" s="77"/>
      <c r="H43"/>
      <c r="I43"/>
      <c r="J43"/>
      <c r="K43" s="78"/>
      <c r="L43" s="78"/>
      <c r="M43" s="78"/>
    </row>
    <row r="44" spans="1:29" ht="15" x14ac:dyDescent="0.25">
      <c r="A44"/>
      <c r="B44" s="74"/>
      <c r="C44" s="75"/>
      <c r="D44" s="75"/>
      <c r="E44" s="76"/>
      <c r="F44"/>
      <c r="G44" s="77"/>
      <c r="H44"/>
      <c r="I44"/>
      <c r="J44"/>
      <c r="K44" s="78"/>
      <c r="L44" s="78"/>
      <c r="M44" s="78"/>
    </row>
    <row r="45" spans="1:29" ht="15" x14ac:dyDescent="0.25">
      <c r="A45"/>
      <c r="B45" s="74"/>
      <c r="C45" s="75"/>
      <c r="D45" s="75"/>
      <c r="E45" s="76"/>
      <c r="F45"/>
      <c r="G45" s="77"/>
      <c r="H45"/>
      <c r="I45"/>
      <c r="J45"/>
      <c r="K45" s="78"/>
      <c r="L45" s="78"/>
      <c r="M45" s="78"/>
    </row>
    <row r="46" spans="1:29" ht="15" x14ac:dyDescent="0.25">
      <c r="A46"/>
      <c r="B46" s="74"/>
      <c r="C46" s="75"/>
      <c r="D46" s="75"/>
      <c r="E46" s="76"/>
      <c r="F46"/>
      <c r="G46" s="77"/>
      <c r="H46"/>
      <c r="I46"/>
      <c r="J46"/>
      <c r="K46" s="78"/>
      <c r="L46" s="78"/>
      <c r="M46" s="78"/>
    </row>
    <row r="47" spans="1:29" ht="15" x14ac:dyDescent="0.25">
      <c r="A47"/>
      <c r="B47" s="74"/>
      <c r="C47" s="75"/>
      <c r="D47" s="75"/>
      <c r="E47" s="76"/>
      <c r="F47"/>
      <c r="G47" s="77"/>
      <c r="H47"/>
      <c r="I47"/>
      <c r="J47"/>
      <c r="K47" s="78"/>
      <c r="L47" s="78"/>
      <c r="M47" s="78"/>
    </row>
    <row r="48" spans="1:29" s="2" customFormat="1" ht="15" x14ac:dyDescent="0.25">
      <c r="A48"/>
      <c r="B48" s="74"/>
      <c r="C48" s="75"/>
      <c r="D48" s="75"/>
      <c r="E48" s="76"/>
      <c r="F48"/>
      <c r="G48" s="77"/>
      <c r="H48"/>
      <c r="I48"/>
      <c r="J48"/>
      <c r="K48" s="78"/>
      <c r="L48" s="78"/>
      <c r="M48" s="78"/>
      <c r="N48" s="1"/>
      <c r="P48" s="1"/>
      <c r="Q48" s="1"/>
      <c r="R48" s="1"/>
      <c r="S48" s="1"/>
      <c r="T48" s="1"/>
      <c r="U48" s="1"/>
      <c r="V48" s="1"/>
      <c r="W48" s="1"/>
      <c r="X48" s="1"/>
      <c r="Y48" s="1"/>
      <c r="Z48" s="1"/>
      <c r="AA48" s="1"/>
      <c r="AB48" s="1"/>
      <c r="AC48" s="1"/>
    </row>
    <row r="49" spans="1:29" s="2" customFormat="1" x14ac:dyDescent="0.2">
      <c r="A49" s="1"/>
      <c r="B49" s="1"/>
      <c r="C49" s="1"/>
      <c r="D49" s="1"/>
      <c r="E49" s="1"/>
      <c r="F49" s="1"/>
      <c r="G49" s="1"/>
      <c r="H49" s="1"/>
      <c r="I49" s="1"/>
      <c r="J49" s="1"/>
      <c r="K49" s="1"/>
      <c r="L49" s="1"/>
      <c r="M49" s="1"/>
      <c r="N49" s="1"/>
      <c r="P49" s="1"/>
      <c r="Q49" s="1"/>
      <c r="R49" s="1"/>
      <c r="S49" s="1"/>
      <c r="T49" s="1"/>
      <c r="U49" s="1"/>
      <c r="V49" s="1"/>
      <c r="W49" s="1"/>
      <c r="X49" s="1"/>
      <c r="Y49" s="1"/>
      <c r="Z49" s="1"/>
      <c r="AA49" s="1"/>
      <c r="AB49" s="1"/>
      <c r="AC49" s="1"/>
    </row>
  </sheetData>
  <pageMargins left="0.7" right="0.7" top="0.75" bottom="0.75" header="0.3" footer="0.3"/>
  <pageSetup scale="82" fitToHeight="0"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B2A6D9F89BCBB45B4F109A8FCDD35E6" ma:contentTypeVersion="24" ma:contentTypeDescription="" ma:contentTypeScope="" ma:versionID="04ac31a40f4062d996dc94c05559fa5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2023-11-17T08:00:00+00:00</OpenedDate>
    <SignificantOrder xmlns="dc463f71-b30c-4ab2-9473-d307f9d35888">false</SignificantOrder>
    <Date1 xmlns="dc463f71-b30c-4ab2-9473-d307f9d35888">2023-11-17T08:00:00+00:00</Date1>
    <IsDocumentOrder xmlns="dc463f71-b30c-4ab2-9473-d307f9d35888">false</IsDocumentOrder>
    <IsHighlyConfidential xmlns="dc463f71-b30c-4ab2-9473-d307f9d35888">false</IsHighlyConfidential>
    <CaseCompanyNames xmlns="dc463f71-b30c-4ab2-9473-d307f9d35888">HAROLD LEMAY ENTERPRISES, INC.                </CaseCompanyNames>
    <Nickname xmlns="http://schemas.microsoft.com/sharepoint/v3" xsi:nil="true"/>
    <DocketNumber xmlns="dc463f71-b30c-4ab2-9473-d307f9d35888">230958</DocketNumber>
    <DelegatedOrder xmlns="dc463f71-b30c-4ab2-9473-d307f9d35888">false</DelegatedOrder>
  </documentManagement>
</p:properties>
</file>

<file path=customXml/itemProps1.xml><?xml version="1.0" encoding="utf-8"?>
<ds:datastoreItem xmlns:ds="http://schemas.openxmlformats.org/officeDocument/2006/customXml" ds:itemID="{F9E90910-2B04-44D8-8DDB-D726C60C7D28}"/>
</file>

<file path=customXml/itemProps2.xml><?xml version="1.0" encoding="utf-8"?>
<ds:datastoreItem xmlns:ds="http://schemas.openxmlformats.org/officeDocument/2006/customXml" ds:itemID="{89C3B233-BC24-4D58-BF46-E9B07EA69306}"/>
</file>

<file path=customXml/itemProps3.xml><?xml version="1.0" encoding="utf-8"?>
<ds:datastoreItem xmlns:ds="http://schemas.openxmlformats.org/officeDocument/2006/customXml" ds:itemID="{24A5C405-5BFD-4345-8877-84F07844140E}"/>
</file>

<file path=customXml/itemProps4.xml><?xml version="1.0" encoding="utf-8"?>
<ds:datastoreItem xmlns:ds="http://schemas.openxmlformats.org/officeDocument/2006/customXml" ds:itemID="{06E06F6E-06B0-4FDF-9472-3364BD68C5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RSA-1 CPA Eff. 1.1.2024</vt:lpstr>
      <vt:lpstr>Joe's CPA Eff. 1.1.2024</vt:lpstr>
      <vt:lpstr>RSA-1 CPA Eff. 1.1.2023</vt:lpstr>
      <vt:lpstr>Joe's CPA Eff. 1.1.2023</vt:lpstr>
      <vt:lpstr>RSA-1 CPA Eff. 1.1.2022</vt:lpstr>
      <vt:lpstr>Joe's CPA Eff. 1.1.2022</vt:lpstr>
      <vt:lpstr>RSA-1 CPA Eff. 1.1.2021</vt:lpstr>
      <vt:lpstr>Joe's CPA Eff. 1.1.2021</vt:lpstr>
      <vt:lpstr>RSA-1 CPA Eff. 1.1.2020</vt:lpstr>
      <vt:lpstr>Joe's CPA Eff 1.1.2020</vt:lpstr>
      <vt:lpstr>RSA-1 CPA Eff. 7.1.19</vt:lpstr>
      <vt:lpstr>Joe's CPA Eff 7.1.19</vt:lpstr>
      <vt:lpstr>RSA-1 CPA Eff 7.1.18</vt:lpstr>
      <vt:lpstr>Joe's CPA Eff 7.1.18</vt:lpstr>
      <vt:lpstr>'Joe''s CPA Eff 1.1.2020'!Print_Area</vt:lpstr>
      <vt:lpstr>'Joe''s CPA Eff 7.1.18'!Print_Area</vt:lpstr>
      <vt:lpstr>'Joe''s CPA Eff 7.1.19'!Print_Area</vt:lpstr>
      <vt:lpstr>'Joe''s CPA Eff. 1.1.2021'!Print_Area</vt:lpstr>
      <vt:lpstr>'Joe''s CPA Eff. 1.1.2022'!Print_Area</vt:lpstr>
      <vt:lpstr>'Joe''s CPA Eff. 1.1.2023'!Print_Area</vt:lpstr>
      <vt:lpstr>'Joe''s CPA Eff. 1.1.2024'!Print_Area</vt:lpstr>
      <vt:lpstr>'RSA-1 CPA Eff 7.1.18'!Print_Area</vt:lpstr>
      <vt:lpstr>'RSA-1 CPA Eff. 1.1.2020'!Print_Area</vt:lpstr>
      <vt:lpstr>'RSA-1 CPA Eff. 1.1.2021'!Print_Area</vt:lpstr>
      <vt:lpstr>'RSA-1 CPA Eff. 1.1.2022'!Print_Area</vt:lpstr>
      <vt:lpstr>'RSA-1 CPA Eff. 1.1.2023'!Print_Area</vt:lpstr>
      <vt:lpstr>'RSA-1 CPA Eff. 1.1.2024'!Print_Area</vt:lpstr>
      <vt:lpstr>'RSA-1 CPA Eff. 7.1.19'!Print_Area</vt:lpstr>
      <vt:lpstr>'Joe''s CPA Eff 1.1.2020'!Print_Titles</vt:lpstr>
      <vt:lpstr>'Joe''s CPA Eff 7.1.18'!Print_Titles</vt:lpstr>
      <vt:lpstr>'Joe''s CPA Eff 7.1.19'!Print_Titles</vt:lpstr>
      <vt:lpstr>'Joe''s CPA Eff. 1.1.2021'!Print_Titles</vt:lpstr>
      <vt:lpstr>'Joe''s CPA Eff. 1.1.2022'!Print_Titles</vt:lpstr>
      <vt:lpstr>'Joe''s CPA Eff. 1.1.2023'!Print_Titles</vt:lpstr>
      <vt:lpstr>'Joe''s CPA Eff. 1.1.2024'!Print_Titles</vt:lpstr>
      <vt:lpstr>'RSA-1 CPA Eff 7.1.18'!Print_Titles</vt:lpstr>
      <vt:lpstr>'RSA-1 CPA Eff. 1.1.2020'!Print_Titles</vt:lpstr>
      <vt:lpstr>'RSA-1 CPA Eff. 1.1.2021'!Print_Titles</vt:lpstr>
      <vt:lpstr>'RSA-1 CPA Eff. 1.1.2022'!Print_Titles</vt:lpstr>
      <vt:lpstr>'RSA-1 CPA Eff. 1.1.2023'!Print_Titles</vt:lpstr>
      <vt:lpstr>'RSA-1 CPA Eff. 1.1.2024'!Print_Titles</vt:lpstr>
      <vt:lpstr>'RSA-1 CPA Eff. 7.1.19'!Print_Titles</vt:lpstr>
    </vt:vector>
  </TitlesOfParts>
  <Company>Waste Connections,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Brian Vandenburg</cp:lastModifiedBy>
  <cp:lastPrinted>2023-11-17T00:01:29Z</cp:lastPrinted>
  <dcterms:created xsi:type="dcterms:W3CDTF">2014-05-15T16:04:05Z</dcterms:created>
  <dcterms:modified xsi:type="dcterms:W3CDTF">2023-11-17T00:57:54Z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0x0101006E56B4D1795A2E4DB2F0B01679ED314A00EB2A6D9F89BCBB45B4F109A8FCDD35E6</vt:lpwstr>
  </property>
  <property fmtid="{D5CDD505-2E9C-101B-9397-08002B2CF9AE}" pid="3" name="_docset_NoMedatataSyncRequired">
    <vt:lpwstr>False</vt:lpwstr>
  </property>
</Properties>
</file>