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xhous10fps03rf\orport01fps01\PUBLIC\Evan Burmester\WUTC\"/>
    </mc:Choice>
  </mc:AlternateContent>
  <xr:revisionPtr revIDLastSave="0" documentId="13_ncr:1_{C7170D49-D1B9-43C3-9FE3-8A85638EA9D5}" xr6:coauthVersionLast="47" xr6:coauthVersionMax="47" xr10:uidLastSave="{00000000-0000-0000-0000-000000000000}"/>
  <bookViews>
    <workbookView xWindow="-120" yWindow="-120" windowWidth="25440" windowHeight="15390" firstSheet="1" activeTab="1" xr2:uid="{00000000-000D-0000-FFFF-FFFF00000000}"/>
  </bookViews>
  <sheets>
    <sheet name="Rebate (Charge) Analysis" sheetId="24" state="hidden" r:id="rId1"/>
    <sheet name="Rate Sheet Summary" sheetId="27" r:id="rId2"/>
    <sheet name="Rebate (charge) Calculation" sheetId="28" r:id="rId3"/>
    <sheet name="2022-2023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4-2025 Budget" sheetId="29" r:id="rId10"/>
    <sheet name="KC 2024-2025 Budget" sheetId="30" r:id="rId11"/>
    <sheet name="SC 2022-2023 Budget vs. Actual" sheetId="18" r:id="rId12"/>
    <sheet name="KC 2022-2023 Budget vs. Actual" sheetId="17" r:id="rId13"/>
    <sheet name="KC Incentive Analysis" sheetId="31" r:id="rId14"/>
    <sheet name="SC Incentive Analysis" sheetId="32" r:id="rId15"/>
  </sheets>
  <externalReferences>
    <externalReference r:id="rId16"/>
    <externalReference r:id="rId17"/>
    <externalReference r:id="rId18"/>
    <externalReference r:id="rId19"/>
    <externalReference r:id="rId20"/>
    <externalReference r:id="rId21"/>
    <externalReference r:id="rId22"/>
    <externalReference r:id="rId2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7" l="1"/>
  <c r="M14" i="27" l="1"/>
  <c r="F7" i="27"/>
  <c r="L6" i="27"/>
  <c r="I6" i="27"/>
  <c r="F6" i="27"/>
  <c r="F33" i="18" l="1"/>
  <c r="D15" i="32" l="1"/>
  <c r="D14" i="32"/>
  <c r="D13" i="32"/>
  <c r="D10" i="32"/>
  <c r="D9" i="32"/>
  <c r="D8" i="32"/>
  <c r="E15" i="32"/>
  <c r="E14" i="32"/>
  <c r="E13" i="32"/>
  <c r="E10" i="32"/>
  <c r="E9" i="32"/>
  <c r="E8" i="32"/>
  <c r="K31" i="32" l="1"/>
  <c r="K29" i="32"/>
  <c r="G29" i="32"/>
  <c r="G31" i="32"/>
  <c r="K15" i="32"/>
  <c r="K14" i="32"/>
  <c r="H14" i="32" s="1"/>
  <c r="J15" i="32"/>
  <c r="J14" i="32"/>
  <c r="H13" i="32"/>
  <c r="K10" i="32"/>
  <c r="J10" i="32"/>
  <c r="K9" i="32"/>
  <c r="J9" i="32"/>
  <c r="F15" i="32"/>
  <c r="F14" i="32"/>
  <c r="F13" i="32"/>
  <c r="F10" i="32"/>
  <c r="F9" i="32"/>
  <c r="F8" i="32"/>
  <c r="H8" i="32"/>
  <c r="H9" i="32"/>
  <c r="J15" i="31"/>
  <c r="J14" i="31"/>
  <c r="J10" i="31"/>
  <c r="J9" i="31"/>
  <c r="K28" i="31"/>
  <c r="E28" i="31"/>
  <c r="H15" i="32" l="1"/>
  <c r="H10" i="32"/>
  <c r="G35" i="9" l="1"/>
  <c r="G34" i="9"/>
  <c r="O61" i="11"/>
  <c r="N61" i="11"/>
  <c r="L262" i="8"/>
  <c r="K262" i="8"/>
  <c r="J262" i="8"/>
  <c r="I262" i="8"/>
  <c r="H262" i="8"/>
  <c r="G262" i="8"/>
  <c r="F262" i="8"/>
  <c r="E262" i="8"/>
  <c r="D262" i="8"/>
  <c r="C262" i="8"/>
  <c r="L258" i="8"/>
  <c r="K258" i="8"/>
  <c r="J258" i="8"/>
  <c r="I258" i="8"/>
  <c r="H258" i="8"/>
  <c r="G258" i="8"/>
  <c r="F258" i="8"/>
  <c r="E258" i="8"/>
  <c r="D258" i="8"/>
  <c r="C258" i="8"/>
  <c r="L254" i="8"/>
  <c r="K254" i="8"/>
  <c r="J254" i="8"/>
  <c r="I254" i="8"/>
  <c r="I255" i="8" s="1"/>
  <c r="H254" i="8"/>
  <c r="G254" i="8"/>
  <c r="F254" i="8"/>
  <c r="F255" i="8" s="1"/>
  <c r="E254" i="8"/>
  <c r="E255" i="8" s="1"/>
  <c r="D254" i="8"/>
  <c r="C254" i="8"/>
  <c r="C255" i="8"/>
  <c r="D255" i="8"/>
  <c r="G255" i="8"/>
  <c r="H255" i="8"/>
  <c r="J255" i="8"/>
  <c r="K255" i="8"/>
  <c r="L255" i="8"/>
  <c r="L250" i="8"/>
  <c r="K250" i="8"/>
  <c r="J250" i="8"/>
  <c r="I250" i="8"/>
  <c r="H250" i="8"/>
  <c r="G250" i="8"/>
  <c r="F250" i="8"/>
  <c r="E250" i="8"/>
  <c r="D250" i="8"/>
  <c r="C250" i="8"/>
  <c r="L246" i="8"/>
  <c r="K246" i="8"/>
  <c r="J246" i="8"/>
  <c r="I246" i="8"/>
  <c r="H246" i="8"/>
  <c r="G246" i="8"/>
  <c r="F246" i="8"/>
  <c r="E246" i="8"/>
  <c r="D246" i="8"/>
  <c r="C246" i="8"/>
  <c r="L242" i="8"/>
  <c r="K242" i="8"/>
  <c r="J242" i="8"/>
  <c r="I242" i="8"/>
  <c r="H242" i="8"/>
  <c r="G242" i="8"/>
  <c r="F242" i="8"/>
  <c r="E242" i="8"/>
  <c r="D242" i="8"/>
  <c r="C242" i="8"/>
  <c r="L238" i="8"/>
  <c r="K238" i="8"/>
  <c r="J238" i="8"/>
  <c r="I238" i="8"/>
  <c r="H238" i="8"/>
  <c r="G238" i="8"/>
  <c r="F238" i="8"/>
  <c r="E238" i="8"/>
  <c r="D238" i="8"/>
  <c r="C238" i="8"/>
  <c r="L234" i="8"/>
  <c r="K234" i="8"/>
  <c r="J234" i="8"/>
  <c r="I234" i="8"/>
  <c r="H234" i="8"/>
  <c r="G234" i="8"/>
  <c r="F234" i="8"/>
  <c r="E234" i="8"/>
  <c r="D234" i="8"/>
  <c r="C234" i="8"/>
  <c r="L230" i="8"/>
  <c r="K230" i="8"/>
  <c r="J230" i="8"/>
  <c r="I230" i="8"/>
  <c r="H230" i="8"/>
  <c r="G230" i="8"/>
  <c r="F230" i="8"/>
  <c r="E230" i="8"/>
  <c r="D230" i="8"/>
  <c r="C230" i="8"/>
  <c r="C226" i="8"/>
  <c r="L226" i="8"/>
  <c r="K226" i="8"/>
  <c r="J226" i="8"/>
  <c r="I226" i="8"/>
  <c r="H226" i="8"/>
  <c r="G226" i="8"/>
  <c r="F226" i="8"/>
  <c r="E226" i="8"/>
  <c r="D226" i="8"/>
  <c r="L222" i="8"/>
  <c r="K222" i="8"/>
  <c r="J222" i="8"/>
  <c r="I222" i="8"/>
  <c r="H222" i="8"/>
  <c r="G222" i="8"/>
  <c r="F222" i="8"/>
  <c r="E222" i="8"/>
  <c r="D222" i="8"/>
  <c r="AF16" i="5"/>
  <c r="AF15" i="5"/>
  <c r="AF14" i="5"/>
  <c r="AF13" i="5"/>
  <c r="AF12" i="5"/>
  <c r="AF11" i="5"/>
  <c r="AF10" i="5"/>
  <c r="AF9" i="5"/>
  <c r="AF8" i="5"/>
  <c r="AF7" i="5"/>
  <c r="AF6" i="5"/>
  <c r="F13" i="31" l="1"/>
  <c r="F8" i="31"/>
  <c r="H31" i="32"/>
  <c r="I31" i="32" s="1"/>
  <c r="G33" i="32"/>
  <c r="I30" i="32"/>
  <c r="H29" i="32"/>
  <c r="I29" i="32" s="1"/>
  <c r="G22" i="32"/>
  <c r="F19" i="32"/>
  <c r="F24" i="32" s="1"/>
  <c r="E19" i="32"/>
  <c r="E24" i="32" s="1"/>
  <c r="D19" i="32"/>
  <c r="D24" i="32" s="1"/>
  <c r="H16" i="32"/>
  <c r="F16" i="32"/>
  <c r="E16" i="32"/>
  <c r="D16" i="32"/>
  <c r="G15" i="32"/>
  <c r="G14" i="32"/>
  <c r="G13" i="32"/>
  <c r="F11" i="32"/>
  <c r="E11" i="32"/>
  <c r="D11" i="32"/>
  <c r="G10" i="32"/>
  <c r="G9" i="32"/>
  <c r="G8" i="32"/>
  <c r="F28" i="31"/>
  <c r="G28" i="31" s="1"/>
  <c r="E30" i="31"/>
  <c r="F26" i="31"/>
  <c r="D19" i="31"/>
  <c r="D16" i="31"/>
  <c r="F15" i="31"/>
  <c r="F14" i="31"/>
  <c r="D11" i="31"/>
  <c r="F10" i="31"/>
  <c r="F9" i="31"/>
  <c r="F12" i="17"/>
  <c r="F8" i="17"/>
  <c r="F30" i="17"/>
  <c r="F21" i="17" s="1"/>
  <c r="F7" i="18"/>
  <c r="F32" i="18"/>
  <c r="F20" i="18" s="1"/>
  <c r="D12" i="30"/>
  <c r="D34" i="30" s="1"/>
  <c r="D8" i="30"/>
  <c r="D30" i="30"/>
  <c r="D21" i="30" s="1"/>
  <c r="D7" i="29"/>
  <c r="D32" i="29"/>
  <c r="D20" i="29"/>
  <c r="E17" i="32" l="1"/>
  <c r="G16" i="32"/>
  <c r="D17" i="32"/>
  <c r="D20" i="32" s="1"/>
  <c r="G11" i="32"/>
  <c r="F17" i="32"/>
  <c r="F20" i="32" s="1"/>
  <c r="F16" i="31"/>
  <c r="F19" i="31"/>
  <c r="D17" i="31"/>
  <c r="D20" i="31" s="1"/>
  <c r="F30" i="31"/>
  <c r="G26" i="31"/>
  <c r="G30" i="31"/>
  <c r="I33" i="32"/>
  <c r="H19" i="32"/>
  <c r="F11" i="31"/>
  <c r="H11" i="32"/>
  <c r="H17" i="32" s="1"/>
  <c r="H22" i="32"/>
  <c r="E20" i="32"/>
  <c r="H33" i="32"/>
  <c r="G19" i="32"/>
  <c r="F34" i="17"/>
  <c r="G17" i="32" l="1"/>
  <c r="G20" i="32" s="1"/>
  <c r="F17" i="31"/>
  <c r="F20" i="31" s="1"/>
  <c r="G24" i="32"/>
  <c r="H24" i="32"/>
  <c r="H20" i="32"/>
  <c r="C93" i="28" l="1"/>
  <c r="C92" i="28"/>
  <c r="C54" i="28"/>
  <c r="C53" i="28"/>
  <c r="A71" i="28" l="1"/>
  <c r="A110" i="28" s="1"/>
  <c r="A59" i="28"/>
  <c r="A58" i="28"/>
  <c r="A57" i="28"/>
  <c r="E54" i="28"/>
  <c r="F54" i="28"/>
  <c r="E53" i="28"/>
  <c r="C55" i="28"/>
  <c r="F66" i="28" s="1"/>
  <c r="F74" i="28" s="1"/>
  <c r="A52" i="28"/>
  <c r="A46" i="28"/>
  <c r="A115" i="28"/>
  <c r="A98" i="28"/>
  <c r="A97" i="28"/>
  <c r="A96" i="28"/>
  <c r="C94" i="28"/>
  <c r="F105" i="28" s="1"/>
  <c r="F113" i="28" s="1"/>
  <c r="E93" i="28"/>
  <c r="F93" i="28"/>
  <c r="E92" i="28"/>
  <c r="F92" i="28"/>
  <c r="F94" i="28" s="1"/>
  <c r="A91" i="28"/>
  <c r="A85" i="28"/>
  <c r="C12" i="28"/>
  <c r="C11" i="28"/>
  <c r="C61" i="11"/>
  <c r="D61" i="11"/>
  <c r="H61" i="11"/>
  <c r="G61" i="11"/>
  <c r="F53" i="28" l="1"/>
  <c r="F55" i="28" s="1"/>
  <c r="C19" i="8"/>
  <c r="C20" i="8" s="1"/>
  <c r="C21" i="8" s="1"/>
  <c r="C22" i="8" s="1"/>
  <c r="C23" i="8" s="1"/>
  <c r="C24" i="8" s="1"/>
  <c r="C25" i="8" s="1"/>
  <c r="C26" i="8" s="1"/>
  <c r="C27" i="8" s="1"/>
  <c r="C28" i="8" s="1"/>
  <c r="C29" i="8" s="1"/>
  <c r="C30" i="8" s="1"/>
  <c r="H19" i="8"/>
  <c r="H20" i="8" s="1"/>
  <c r="H21" i="8" s="1"/>
  <c r="H22" i="8" s="1"/>
  <c r="H23" i="8" s="1"/>
  <c r="H24" i="8" s="1"/>
  <c r="H25" i="8" s="1"/>
  <c r="H26" i="8" s="1"/>
  <c r="H27" i="8" s="1"/>
  <c r="H28" i="8" s="1"/>
  <c r="H29" i="8" s="1"/>
  <c r="H30" i="8" s="1"/>
  <c r="S58" i="11" l="1"/>
  <c r="R58" i="11"/>
  <c r="S57" i="11"/>
  <c r="R57" i="11"/>
  <c r="S56" i="11"/>
  <c r="R56" i="11"/>
  <c r="S55" i="11"/>
  <c r="R55" i="11"/>
  <c r="S54" i="11"/>
  <c r="R54" i="11"/>
  <c r="S53" i="11"/>
  <c r="R53" i="11"/>
  <c r="S52" i="11"/>
  <c r="R52" i="11"/>
  <c r="S51" i="11"/>
  <c r="R51" i="11"/>
  <c r="S50" i="11"/>
  <c r="R50" i="11"/>
  <c r="S49" i="11"/>
  <c r="R49" i="11"/>
  <c r="R48" i="11"/>
  <c r="S47" i="11"/>
  <c r="R47" i="11"/>
  <c r="AA16" i="5"/>
  <c r="AA15" i="5"/>
  <c r="AA14" i="5"/>
  <c r="AA13" i="5"/>
  <c r="AA12" i="5"/>
  <c r="AA11" i="5"/>
  <c r="AA10" i="5"/>
  <c r="AA9" i="5"/>
  <c r="AA8" i="5"/>
  <c r="AA7" i="5"/>
  <c r="AA6" i="5"/>
  <c r="AA17" i="5" l="1"/>
  <c r="C53" i="8" l="1"/>
  <c r="C54" i="8" s="1"/>
  <c r="C55" i="8" s="1"/>
  <c r="C56" i="8" s="1"/>
  <c r="C57" i="8" s="1"/>
  <c r="C58" i="8" s="1"/>
  <c r="C59" i="8" s="1"/>
  <c r="C60" i="8" s="1"/>
  <c r="C61" i="8" s="1"/>
  <c r="C62" i="8" s="1"/>
  <c r="C63" i="8" s="1"/>
  <c r="C64" i="8" s="1"/>
  <c r="H53" i="8" l="1"/>
  <c r="H54" i="8" s="1"/>
  <c r="H55" i="8" s="1"/>
  <c r="H56" i="8" s="1"/>
  <c r="H57" i="8" s="1"/>
  <c r="H58" i="8" s="1"/>
  <c r="H59" i="8" s="1"/>
  <c r="H60" i="8" s="1"/>
  <c r="H61" i="8" s="1"/>
  <c r="H62" i="8" s="1"/>
  <c r="H63" i="8" s="1"/>
  <c r="S18" i="9" l="1"/>
  <c r="S19" i="9"/>
  <c r="S20" i="9"/>
  <c r="S21" i="9"/>
  <c r="S22" i="9"/>
  <c r="S23" i="9"/>
  <c r="S24" i="9"/>
  <c r="S25" i="9"/>
  <c r="S26" i="9"/>
  <c r="S27" i="9"/>
  <c r="H27" i="9"/>
  <c r="S28" i="9"/>
  <c r="S29" i="9"/>
  <c r="R29" i="9"/>
  <c r="Q29" i="9"/>
  <c r="G29" i="9"/>
  <c r="F29" i="9"/>
  <c r="R28" i="9"/>
  <c r="Q28" i="9"/>
  <c r="G28" i="9"/>
  <c r="F28" i="9"/>
  <c r="R27" i="9"/>
  <c r="Q27" i="9"/>
  <c r="G27" i="9"/>
  <c r="F27" i="9"/>
  <c r="R26" i="9"/>
  <c r="Q26" i="9"/>
  <c r="R25" i="9"/>
  <c r="Q25" i="9"/>
  <c r="R24" i="9"/>
  <c r="Q24" i="9"/>
  <c r="R23" i="9"/>
  <c r="Q23" i="9"/>
  <c r="G26" i="9"/>
  <c r="F26" i="9"/>
  <c r="G25" i="9"/>
  <c r="F25" i="9"/>
  <c r="G24" i="9"/>
  <c r="F24" i="9"/>
  <c r="G23" i="9"/>
  <c r="F23" i="9"/>
  <c r="R22" i="9"/>
  <c r="Q22" i="9"/>
  <c r="G22" i="9"/>
  <c r="F22" i="9"/>
  <c r="R21" i="9"/>
  <c r="Q21" i="9"/>
  <c r="G21" i="9"/>
  <c r="F21" i="9"/>
  <c r="R20" i="9"/>
  <c r="Q20" i="9"/>
  <c r="G20" i="9"/>
  <c r="F20" i="9"/>
  <c r="R19" i="9"/>
  <c r="Q19" i="9"/>
  <c r="G19" i="9"/>
  <c r="F19" i="9"/>
  <c r="R18" i="9"/>
  <c r="Q18" i="9"/>
  <c r="G18" i="9"/>
  <c r="F18" i="9"/>
  <c r="N18" i="9"/>
  <c r="N19" i="9"/>
  <c r="N20" i="9"/>
  <c r="N21" i="9"/>
  <c r="N22" i="9"/>
  <c r="N23" i="9"/>
  <c r="N24" i="9"/>
  <c r="N25" i="9"/>
  <c r="N26" i="9"/>
  <c r="N27" i="9"/>
  <c r="N28" i="9"/>
  <c r="N29" i="9"/>
  <c r="M29" i="9"/>
  <c r="M28" i="9"/>
  <c r="M27" i="9"/>
  <c r="M26" i="9"/>
  <c r="M25" i="9"/>
  <c r="M24" i="9"/>
  <c r="M23" i="9"/>
  <c r="M22" i="9"/>
  <c r="M21" i="9"/>
  <c r="M20" i="9"/>
  <c r="M19" i="9"/>
  <c r="M18" i="9"/>
  <c r="N17" i="28"/>
  <c r="F11" i="28"/>
  <c r="E11" i="28"/>
  <c r="C13" i="28" l="1"/>
  <c r="F24" i="28" s="1"/>
  <c r="F32" i="28" s="1"/>
  <c r="Q48" i="25"/>
  <c r="M17" i="9"/>
  <c r="N17" i="9"/>
  <c r="R17" i="9"/>
  <c r="Q17" i="9"/>
  <c r="G17" i="9"/>
  <c r="F17" i="9"/>
  <c r="S16" i="9"/>
  <c r="H16" i="9"/>
  <c r="S17" i="9"/>
  <c r="H17" i="9"/>
  <c r="Y16" i="5"/>
  <c r="I115" i="28" l="1"/>
  <c r="Y6" i="5"/>
  <c r="H52" i="8"/>
  <c r="L52" i="8"/>
  <c r="C52" i="8"/>
  <c r="H18" i="8"/>
  <c r="L18" i="8"/>
  <c r="C18" i="8"/>
  <c r="K92" i="28"/>
  <c r="K54" i="28"/>
  <c r="K53" i="28"/>
  <c r="R43" i="11" l="1"/>
  <c r="S43" i="11"/>
  <c r="R44" i="11"/>
  <c r="S44" i="11"/>
  <c r="R45" i="11"/>
  <c r="W16" i="5"/>
  <c r="U16" i="5"/>
  <c r="S16" i="5"/>
  <c r="R16" i="9" l="1"/>
  <c r="Q16" i="9"/>
  <c r="G16" i="9"/>
  <c r="F16" i="9"/>
  <c r="R15" i="9"/>
  <c r="Q15" i="9"/>
  <c r="G15" i="9"/>
  <c r="F15" i="9"/>
  <c r="R14" i="9"/>
  <c r="Q14" i="9"/>
  <c r="G14" i="9"/>
  <c r="F14" i="9"/>
  <c r="S15" i="9"/>
  <c r="S14" i="9"/>
  <c r="N16" i="9"/>
  <c r="N15" i="9"/>
  <c r="N14" i="9"/>
  <c r="M16" i="9"/>
  <c r="M15" i="9"/>
  <c r="M14" i="9"/>
  <c r="F44" i="26"/>
  <c r="F43" i="26"/>
  <c r="F40" i="26"/>
  <c r="F39" i="26"/>
  <c r="F36" i="26"/>
  <c r="F35" i="26"/>
  <c r="Q36" i="25"/>
  <c r="Q40" i="25"/>
  <c r="Q44" i="25"/>
  <c r="S40" i="11" l="1"/>
  <c r="S41" i="11"/>
  <c r="S42" i="11"/>
  <c r="R40" i="11"/>
  <c r="R41" i="11"/>
  <c r="R42" i="11"/>
  <c r="H40" i="11"/>
  <c r="H41" i="11"/>
  <c r="H42" i="11"/>
  <c r="H14" i="11"/>
  <c r="H13" i="11"/>
  <c r="H12" i="11"/>
  <c r="H31" i="26"/>
  <c r="F32" i="26"/>
  <c r="F31" i="26"/>
  <c r="H27" i="26"/>
  <c r="F28" i="26"/>
  <c r="F27" i="26"/>
  <c r="H23" i="26"/>
  <c r="F24" i="26"/>
  <c r="F23" i="26"/>
  <c r="R11" i="9"/>
  <c r="Q11" i="9"/>
  <c r="G11" i="9"/>
  <c r="F11" i="9"/>
  <c r="Q12" i="9"/>
  <c r="R12" i="9"/>
  <c r="G12" i="9"/>
  <c r="F12" i="9"/>
  <c r="Q13" i="9"/>
  <c r="R13" i="9"/>
  <c r="F13" i="9"/>
  <c r="G13" i="9"/>
  <c r="S12" i="9"/>
  <c r="H12" i="9"/>
  <c r="S11" i="9"/>
  <c r="H11" i="9"/>
  <c r="N13" i="9"/>
  <c r="N12" i="9"/>
  <c r="N11" i="9"/>
  <c r="M13" i="9"/>
  <c r="M12" i="9"/>
  <c r="M11" i="9"/>
  <c r="R10" i="9" l="1"/>
  <c r="Q10" i="9"/>
  <c r="G10" i="9"/>
  <c r="F10" i="9"/>
  <c r="S10" i="9"/>
  <c r="N10" i="9"/>
  <c r="M10" i="9"/>
  <c r="P19" i="25"/>
  <c r="H19" i="26"/>
  <c r="F20" i="26"/>
  <c r="F19" i="26"/>
  <c r="R8" i="9"/>
  <c r="R7" i="9"/>
  <c r="Q8" i="9"/>
  <c r="Q7" i="9"/>
  <c r="G7" i="9"/>
  <c r="G8" i="9"/>
  <c r="F8" i="9"/>
  <c r="F7" i="9"/>
  <c r="R9" i="9"/>
  <c r="Q9" i="9"/>
  <c r="G9" i="9"/>
  <c r="F9" i="9"/>
  <c r="S9" i="9"/>
  <c r="H9" i="9"/>
  <c r="S8" i="9"/>
  <c r="H8" i="9"/>
  <c r="S7" i="9"/>
  <c r="H7" i="9"/>
  <c r="N7" i="9"/>
  <c r="N8" i="9"/>
  <c r="N9" i="9"/>
  <c r="M9" i="9"/>
  <c r="M8" i="9"/>
  <c r="M7" i="9"/>
  <c r="I85" i="28" l="1"/>
  <c r="I52" i="28"/>
  <c r="I46" i="28"/>
  <c r="O66" i="11"/>
  <c r="N66" i="11"/>
  <c r="H66" i="11"/>
  <c r="G66" i="11"/>
  <c r="D66" i="11"/>
  <c r="C66" i="11"/>
  <c r="T7" i="26" l="1"/>
  <c r="T8" i="26"/>
  <c r="T11" i="26"/>
  <c r="T12" i="26"/>
  <c r="T15" i="26"/>
  <c r="T16" i="26"/>
  <c r="T19" i="26"/>
  <c r="T20" i="26"/>
  <c r="T23" i="26"/>
  <c r="T24" i="26"/>
  <c r="T27" i="26"/>
  <c r="T28" i="26"/>
  <c r="T31" i="26"/>
  <c r="T32" i="26"/>
  <c r="T35" i="26"/>
  <c r="T36" i="26"/>
  <c r="T39" i="26"/>
  <c r="T40" i="26"/>
  <c r="T43" i="26"/>
  <c r="T44" i="26"/>
  <c r="T47" i="26"/>
  <c r="T48" i="26"/>
  <c r="T51" i="26"/>
  <c r="T52" i="26"/>
  <c r="T55" i="26"/>
  <c r="T56" i="26"/>
  <c r="T59" i="26"/>
  <c r="T60" i="26"/>
  <c r="T63" i="26"/>
  <c r="T64" i="26"/>
  <c r="T67" i="26"/>
  <c r="T68" i="26"/>
  <c r="T71" i="26"/>
  <c r="T72" i="26"/>
  <c r="T75" i="26"/>
  <c r="T76" i="26"/>
  <c r="T79" i="26"/>
  <c r="T80" i="26"/>
  <c r="T83" i="26"/>
  <c r="T84" i="26"/>
  <c r="T87" i="26"/>
  <c r="T88" i="26"/>
  <c r="T91" i="26"/>
  <c r="T92" i="26"/>
  <c r="T95" i="26"/>
  <c r="T96" i="26"/>
  <c r="T4" i="26"/>
  <c r="T3" i="26"/>
  <c r="P4" i="26"/>
  <c r="P3" i="26"/>
  <c r="H3" i="26"/>
  <c r="F4" i="26"/>
  <c r="F3" i="26"/>
  <c r="S6" i="9"/>
  <c r="H6" i="9"/>
  <c r="R6" i="9"/>
  <c r="Q6" i="9"/>
  <c r="G6" i="9"/>
  <c r="F6" i="9"/>
  <c r="N6" i="9"/>
  <c r="M6" i="9"/>
  <c r="B6" i="9"/>
  <c r="I98" i="28" l="1"/>
  <c r="I97" i="28"/>
  <c r="I96" i="28"/>
  <c r="I91" i="28"/>
  <c r="I71" i="28"/>
  <c r="I110" i="28" s="1"/>
  <c r="I59" i="28"/>
  <c r="I58" i="28"/>
  <c r="I57" i="28"/>
  <c r="K55" i="28"/>
  <c r="N66" i="28" s="1"/>
  <c r="N74" i="28" s="1"/>
  <c r="K13" i="28"/>
  <c r="N24" i="28" s="1"/>
  <c r="N32" i="28" s="1"/>
  <c r="D128" i="11" l="1"/>
  <c r="C128" i="11"/>
  <c r="D97" i="11"/>
  <c r="C97" i="11"/>
  <c r="L31" i="8"/>
  <c r="J31" i="8"/>
  <c r="J65" i="8"/>
  <c r="K65" i="8"/>
  <c r="D31" i="8"/>
  <c r="E31" i="8"/>
  <c r="F31" i="8"/>
  <c r="G31" i="8"/>
  <c r="I31" i="8"/>
  <c r="K31" i="8"/>
  <c r="D65" i="8"/>
  <c r="E65" i="8"/>
  <c r="F65" i="8"/>
  <c r="G65" i="8"/>
  <c r="H65" i="8"/>
  <c r="I65" i="8"/>
  <c r="C97" i="8"/>
  <c r="B170" i="8"/>
  <c r="B182" i="8"/>
  <c r="I32" i="8" l="1"/>
  <c r="L65" i="8"/>
  <c r="I66" i="8" s="1"/>
  <c r="C65" i="8"/>
  <c r="C31" i="8"/>
  <c r="R96" i="26"/>
  <c r="R95" i="26"/>
  <c r="V96" i="25"/>
  <c r="T96" i="25"/>
  <c r="V95" i="25"/>
  <c r="T95" i="25"/>
  <c r="V5" i="25"/>
  <c r="V6" i="25"/>
  <c r="V7" i="25"/>
  <c r="V8" i="25"/>
  <c r="V9" i="25"/>
  <c r="V10" i="25"/>
  <c r="V11" i="25"/>
  <c r="V12" i="25"/>
  <c r="V13" i="25"/>
  <c r="V14" i="25"/>
  <c r="V15" i="25"/>
  <c r="V16" i="25"/>
  <c r="V17" i="25"/>
  <c r="V18" i="25"/>
  <c r="V19" i="25"/>
  <c r="V20" i="25"/>
  <c r="V21" i="25"/>
  <c r="V22" i="25"/>
  <c r="V23" i="25"/>
  <c r="V24" i="25"/>
  <c r="V25" i="25"/>
  <c r="V26" i="25"/>
  <c r="V27" i="25"/>
  <c r="V28" i="25"/>
  <c r="V31" i="25"/>
  <c r="V32"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C57" i="11" s="1"/>
  <c r="V92" i="25"/>
  <c r="V3" i="25"/>
  <c r="V4" i="25"/>
  <c r="D127" i="11"/>
  <c r="C127" i="11"/>
  <c r="D96" i="11"/>
  <c r="C96" i="11"/>
  <c r="C58" i="11" l="1"/>
  <c r="C30" i="11"/>
  <c r="M166" i="8" s="1"/>
  <c r="C166" i="8" s="1"/>
  <c r="D30" i="11"/>
  <c r="M263" i="8" s="1"/>
  <c r="D58" i="11"/>
  <c r="G97" i="11"/>
  <c r="H31" i="8"/>
  <c r="R92" i="26"/>
  <c r="T91" i="25"/>
  <c r="C263" i="8" l="1"/>
  <c r="C264" i="8" s="1"/>
  <c r="R91" i="26"/>
  <c r="D29" i="11" s="1"/>
  <c r="M259" i="8" s="1"/>
  <c r="T92" i="25"/>
  <c r="C29" i="11" s="1"/>
  <c r="M162" i="8" s="1"/>
  <c r="G96" i="11" l="1"/>
  <c r="D57" i="11"/>
  <c r="C259" i="8"/>
  <c r="C260" i="8" s="1"/>
  <c r="Q115" i="28" l="1"/>
  <c r="Q98" i="28"/>
  <c r="Q97" i="28"/>
  <c r="Q96" i="28"/>
  <c r="Q91" i="28"/>
  <c r="Q71" i="28"/>
  <c r="Q110" i="28" s="1"/>
  <c r="Q59" i="28"/>
  <c r="Q58" i="28"/>
  <c r="Q57" i="28"/>
  <c r="Y115" i="28"/>
  <c r="AL113" i="28"/>
  <c r="AU112" i="28"/>
  <c r="AU117" i="28" s="1"/>
  <c r="AL110" i="28"/>
  <c r="AL111" i="28" s="1"/>
  <c r="Y98" i="28"/>
  <c r="AL97" i="28"/>
  <c r="AL98" i="28" s="1"/>
  <c r="Y97" i="28"/>
  <c r="AD97" i="28"/>
  <c r="Y96" i="28"/>
  <c r="AQ94" i="28"/>
  <c r="AT105" i="28" s="1"/>
  <c r="AI94" i="28"/>
  <c r="AT93" i="28"/>
  <c r="AT92" i="28"/>
  <c r="AK92" i="28"/>
  <c r="AL92" i="28" s="1"/>
  <c r="Y91" i="28"/>
  <c r="AL74" i="28"/>
  <c r="AU73" i="28"/>
  <c r="AK54" i="28" s="1"/>
  <c r="AL71" i="28"/>
  <c r="AM75" i="28" s="1"/>
  <c r="AC54" i="28" s="1"/>
  <c r="U53" i="28" s="1"/>
  <c r="Y71" i="28"/>
  <c r="Y110" i="28" s="1"/>
  <c r="Y59" i="28"/>
  <c r="AL58" i="28"/>
  <c r="AL59" i="28" s="1"/>
  <c r="Y58" i="28"/>
  <c r="AD58" i="28"/>
  <c r="Y57" i="28"/>
  <c r="AQ55" i="28"/>
  <c r="AT66" i="28" s="1"/>
  <c r="AI55" i="28"/>
  <c r="AT54" i="28"/>
  <c r="AT53" i="28"/>
  <c r="AK53" i="28"/>
  <c r="AL53" i="28" s="1"/>
  <c r="AT29" i="28"/>
  <c r="AL29" i="28"/>
  <c r="AL30" i="28" s="1"/>
  <c r="AL31" i="28" s="1"/>
  <c r="AL24" i="28"/>
  <c r="AL32" i="28" s="1"/>
  <c r="AI21" i="28"/>
  <c r="AL17" i="28"/>
  <c r="AL18" i="28" s="1"/>
  <c r="AD29" i="28"/>
  <c r="AQ13" i="28"/>
  <c r="AS34" i="28" s="1"/>
  <c r="AU34" i="28" s="1"/>
  <c r="AI13" i="28"/>
  <c r="AT12" i="28"/>
  <c r="AT11" i="28"/>
  <c r="AK11" i="28"/>
  <c r="AL11" i="28" s="1"/>
  <c r="AT55" i="28" l="1"/>
  <c r="AT64" i="28" s="1"/>
  <c r="AU68" i="28" s="1"/>
  <c r="AU74" i="28" s="1"/>
  <c r="S55" i="28"/>
  <c r="V66" i="28" s="1"/>
  <c r="V74" i="28" s="1"/>
  <c r="V53" i="28"/>
  <c r="S13" i="28"/>
  <c r="V24" i="28" s="1"/>
  <c r="V32" i="28" s="1"/>
  <c r="AT94" i="28"/>
  <c r="AT103" i="28" s="1"/>
  <c r="AU107" i="28" s="1"/>
  <c r="AU113" i="28" s="1"/>
  <c r="AT13" i="28"/>
  <c r="AT22" i="28" s="1"/>
  <c r="AS115" i="28"/>
  <c r="AU115" i="28" s="1"/>
  <c r="AA94" i="28"/>
  <c r="AD105" i="28" s="1"/>
  <c r="AD113" i="28" s="1"/>
  <c r="AK93" i="28"/>
  <c r="AD71" i="28"/>
  <c r="AD72" i="28" s="1"/>
  <c r="AD73" i="28" s="1"/>
  <c r="AU78" i="28"/>
  <c r="AL112" i="28"/>
  <c r="AM114" i="28"/>
  <c r="AC93" i="28" s="1"/>
  <c r="U92" i="28" s="1"/>
  <c r="V92" i="28" s="1"/>
  <c r="AD30" i="28"/>
  <c r="AD31" i="28" s="1"/>
  <c r="AD98" i="28"/>
  <c r="AD110" i="28"/>
  <c r="AD17" i="28"/>
  <c r="AD18" i="28" s="1"/>
  <c r="AA55" i="28"/>
  <c r="AD66" i="28" s="1"/>
  <c r="AD74" i="28" s="1"/>
  <c r="AM33" i="28"/>
  <c r="AD54" i="28"/>
  <c r="AC53" i="28"/>
  <c r="AD53" i="28" s="1"/>
  <c r="AD55" i="28" s="1"/>
  <c r="AL54" i="28"/>
  <c r="AL55" i="28" s="1"/>
  <c r="AL61" i="28" s="1"/>
  <c r="AT24" i="28"/>
  <c r="AT30" i="28"/>
  <c r="AU31" i="28" s="1"/>
  <c r="AD59" i="28"/>
  <c r="AS76" i="28"/>
  <c r="AU76" i="28" s="1"/>
  <c r="AA13" i="28"/>
  <c r="AD24" i="28" s="1"/>
  <c r="AD32" i="28" s="1"/>
  <c r="AE33" i="28" s="1"/>
  <c r="AL72" i="28"/>
  <c r="AL73" i="28" s="1"/>
  <c r="AE114" i="28" l="1"/>
  <c r="U93" i="28" s="1"/>
  <c r="M92" i="28" s="1"/>
  <c r="N92" i="28" s="1"/>
  <c r="AU119" i="28"/>
  <c r="AK101" i="28" s="1"/>
  <c r="AL101" i="28" s="1"/>
  <c r="AU26" i="28"/>
  <c r="AU32" i="28" s="1"/>
  <c r="AD93" i="28"/>
  <c r="AE75" i="28"/>
  <c r="U54" i="28" s="1"/>
  <c r="AE37" i="28"/>
  <c r="U12" i="28"/>
  <c r="AU80" i="28"/>
  <c r="AK62" i="28" s="1"/>
  <c r="AL62" i="28" s="1"/>
  <c r="AL64" i="28" s="1"/>
  <c r="AM68" i="28" s="1"/>
  <c r="AM76" i="28" s="1"/>
  <c r="AL93" i="28"/>
  <c r="AL94" i="28" s="1"/>
  <c r="AL100" i="28" s="1"/>
  <c r="AL103" i="28" s="1"/>
  <c r="AM107" i="28" s="1"/>
  <c r="AM115" i="28" s="1"/>
  <c r="AC92" i="28"/>
  <c r="AD92" i="28" s="1"/>
  <c r="AD111" i="28"/>
  <c r="AD112" i="28" s="1"/>
  <c r="AU36" i="28"/>
  <c r="AK12" i="28"/>
  <c r="AM37" i="28"/>
  <c r="AC12" i="28"/>
  <c r="AD64" i="28"/>
  <c r="AE68" i="28" s="1"/>
  <c r="AE76" i="28" s="1"/>
  <c r="V12" i="28" l="1"/>
  <c r="M11" i="28"/>
  <c r="N11" i="28" s="1"/>
  <c r="V54" i="28"/>
  <c r="V55" i="28" s="1"/>
  <c r="M53" i="28"/>
  <c r="N53" i="28" s="1"/>
  <c r="AD94" i="28"/>
  <c r="AD103" i="28" s="1"/>
  <c r="AE107" i="28" s="1"/>
  <c r="AE115" i="28" s="1"/>
  <c r="AD12" i="28"/>
  <c r="U11" i="28"/>
  <c r="V11" i="28" s="1"/>
  <c r="V13" i="28" s="1"/>
  <c r="AU40" i="28"/>
  <c r="AU38" i="28"/>
  <c r="AK21" i="28" s="1"/>
  <c r="AL21" i="28" s="1"/>
  <c r="AL12" i="28"/>
  <c r="AL13" i="28" s="1"/>
  <c r="AL20" i="28" s="1"/>
  <c r="AC11" i="28"/>
  <c r="AD11" i="28" s="1"/>
  <c r="AD13" i="28" l="1"/>
  <c r="AD22" i="28" s="1"/>
  <c r="AE26" i="28" s="1"/>
  <c r="AE34" i="28" s="1"/>
  <c r="AE39" i="28" s="1"/>
  <c r="AL22" i="28"/>
  <c r="AM26" i="28" s="1"/>
  <c r="AM34" i="28" s="1"/>
  <c r="AM39" i="28" s="1"/>
  <c r="D126" i="11" l="1"/>
  <c r="C126" i="11"/>
  <c r="D95" i="11"/>
  <c r="C95" i="11"/>
  <c r="C56" i="11"/>
  <c r="T87" i="25" l="1"/>
  <c r="R88" i="26"/>
  <c r="R87" i="26"/>
  <c r="G95" i="11" l="1"/>
  <c r="D56" i="11"/>
  <c r="D28" i="11"/>
  <c r="M255" i="8" s="1"/>
  <c r="T88" i="25"/>
  <c r="C28" i="11" s="1"/>
  <c r="M158" i="8" s="1"/>
  <c r="C256" i="8" l="1"/>
  <c r="D125" i="11"/>
  <c r="C125" i="11"/>
  <c r="D94" i="11"/>
  <c r="D93" i="11"/>
  <c r="C94" i="11"/>
  <c r="C55" i="11"/>
  <c r="R84" i="26" l="1"/>
  <c r="R83" i="26"/>
  <c r="T84" i="25"/>
  <c r="D55" i="11" l="1"/>
  <c r="G94" i="11"/>
  <c r="D27" i="11"/>
  <c r="M251" i="8" s="1"/>
  <c r="T83" i="25"/>
  <c r="C27" i="11" s="1"/>
  <c r="M154" i="8" s="1"/>
  <c r="C251" i="8" l="1"/>
  <c r="C252" i="8" s="1"/>
  <c r="D124" i="11" l="1"/>
  <c r="C124" i="11"/>
  <c r="C93" i="11"/>
  <c r="C54" i="11"/>
  <c r="T79" i="25"/>
  <c r="R80" i="26"/>
  <c r="R79" i="26"/>
  <c r="D26" i="11" s="1"/>
  <c r="M247" i="8" s="1"/>
  <c r="C247" i="8" l="1"/>
  <c r="C248" i="8" s="1"/>
  <c r="T80" i="25"/>
  <c r="C26" i="11" s="1"/>
  <c r="M150" i="8" s="1"/>
  <c r="G93" i="11" l="1"/>
  <c r="D54" i="11"/>
  <c r="D123" i="11"/>
  <c r="C123" i="11"/>
  <c r="D92" i="11"/>
  <c r="C92" i="11"/>
  <c r="C53" i="11"/>
  <c r="C52" i="11"/>
  <c r="T76" i="25" l="1"/>
  <c r="T75" i="25"/>
  <c r="R75" i="26"/>
  <c r="C25" i="11" l="1"/>
  <c r="M146" i="8" s="1"/>
  <c r="G92" i="11"/>
  <c r="D53" i="11"/>
  <c r="R76" i="26"/>
  <c r="D25" i="11" s="1"/>
  <c r="M243" i="8" s="1"/>
  <c r="C243" i="8" l="1"/>
  <c r="C244" i="8" s="1"/>
  <c r="D122" i="11" l="1"/>
  <c r="C122" i="11"/>
  <c r="D91" i="11"/>
  <c r="C91" i="11"/>
  <c r="R71" i="26" l="1"/>
  <c r="T72" i="25"/>
  <c r="T71" i="25"/>
  <c r="C24" i="11" l="1"/>
  <c r="M142" i="8" s="1"/>
  <c r="D52" i="11"/>
  <c r="G91" i="11"/>
  <c r="R72" i="26"/>
  <c r="D24" i="11" s="1"/>
  <c r="M239" i="8" s="1"/>
  <c r="A52" i="11"/>
  <c r="C239" i="8" l="1"/>
  <c r="C240" i="8" s="1"/>
  <c r="D121" i="11"/>
  <c r="C121" i="11"/>
  <c r="D90" i="11"/>
  <c r="C90" i="11"/>
  <c r="C51" i="11"/>
  <c r="R67" i="26" l="1"/>
  <c r="T68" i="25"/>
  <c r="T67" i="25"/>
  <c r="C23" i="11" l="1"/>
  <c r="M138" i="8" s="1"/>
  <c r="C138" i="8" s="1"/>
  <c r="G90" i="11"/>
  <c r="D51" i="11"/>
  <c r="R68" i="26"/>
  <c r="D23" i="11" s="1"/>
  <c r="M235" i="8" s="1"/>
  <c r="D120" i="11"/>
  <c r="D119" i="11"/>
  <c r="D118" i="11"/>
  <c r="D117" i="11"/>
  <c r="C120" i="11"/>
  <c r="C119" i="11"/>
  <c r="C118" i="11"/>
  <c r="C117" i="11"/>
  <c r="D89" i="11"/>
  <c r="D88" i="11"/>
  <c r="D87" i="11"/>
  <c r="D86" i="11"/>
  <c r="C89" i="11"/>
  <c r="C88" i="11"/>
  <c r="C87" i="11"/>
  <c r="C86" i="11"/>
  <c r="C50" i="11"/>
  <c r="G89" i="11"/>
  <c r="R63" i="26"/>
  <c r="T64" i="25"/>
  <c r="T63" i="25"/>
  <c r="C22" i="11" l="1"/>
  <c r="M134" i="8" s="1"/>
  <c r="C134" i="8" s="1"/>
  <c r="D50" i="11"/>
  <c r="C235" i="8"/>
  <c r="C236" i="8" s="1"/>
  <c r="R64" i="26"/>
  <c r="D22" i="11" s="1"/>
  <c r="M231" i="8" s="1"/>
  <c r="C231" i="8" l="1"/>
  <c r="C232" i="8" s="1"/>
  <c r="C49" i="11"/>
  <c r="C48" i="11"/>
  <c r="C47" i="11"/>
  <c r="R52" i="26" l="1"/>
  <c r="R51" i="26"/>
  <c r="D19" i="11" s="1"/>
  <c r="M219" i="8" s="1"/>
  <c r="C219" i="8" l="1"/>
  <c r="C220" i="8" s="1"/>
  <c r="R60" i="26"/>
  <c r="R59" i="26"/>
  <c r="R56" i="26"/>
  <c r="R55" i="26"/>
  <c r="T60" i="25"/>
  <c r="T59" i="25"/>
  <c r="T56" i="25"/>
  <c r="T55" i="25"/>
  <c r="T52" i="25"/>
  <c r="T51" i="25"/>
  <c r="C21" i="11" l="1"/>
  <c r="M130" i="8" s="1"/>
  <c r="C130" i="8" s="1"/>
  <c r="C20" i="11"/>
  <c r="M126" i="8" s="1"/>
  <c r="C126" i="8" s="1"/>
  <c r="G86" i="11"/>
  <c r="D47" i="11"/>
  <c r="D20" i="11"/>
  <c r="M223" i="8" s="1"/>
  <c r="D21" i="11"/>
  <c r="M227" i="8" s="1"/>
  <c r="G87" i="11"/>
  <c r="D48" i="11"/>
  <c r="G88" i="11"/>
  <c r="D49" i="11"/>
  <c r="C19" i="11"/>
  <c r="M122" i="8" s="1"/>
  <c r="D11" i="29" l="1"/>
  <c r="D36" i="29" s="1"/>
  <c r="S48" i="11"/>
  <c r="C227" i="8"/>
  <c r="C228" i="8" s="1"/>
  <c r="C223" i="8"/>
  <c r="C224" i="8" s="1"/>
  <c r="C122" i="8"/>
  <c r="D116" i="11" l="1"/>
  <c r="C116" i="11"/>
  <c r="D85" i="11"/>
  <c r="C85" i="11"/>
  <c r="D115" i="11" l="1"/>
  <c r="C115" i="11"/>
  <c r="C84" i="11"/>
  <c r="D84" i="11" l="1"/>
  <c r="R43" i="26"/>
  <c r="R48" i="26"/>
  <c r="R47" i="26"/>
  <c r="R44" i="26"/>
  <c r="T48" i="25"/>
  <c r="T47" i="25"/>
  <c r="T44" i="25"/>
  <c r="D18" i="11" l="1"/>
  <c r="M215" i="8" s="1"/>
  <c r="C215" i="8" s="1"/>
  <c r="C216" i="8" s="1"/>
  <c r="C18" i="11"/>
  <c r="M118" i="8" s="1"/>
  <c r="C118" i="8" s="1"/>
  <c r="D17" i="11"/>
  <c r="M211" i="8" s="1"/>
  <c r="T43" i="25"/>
  <c r="C17" i="11" s="1"/>
  <c r="M114" i="8" s="1"/>
  <c r="C45" i="11"/>
  <c r="C46" i="11"/>
  <c r="G85" i="11"/>
  <c r="D46" i="11"/>
  <c r="D114" i="11"/>
  <c r="C114" i="11"/>
  <c r="D83" i="11"/>
  <c r="C83" i="11"/>
  <c r="C211" i="8" l="1"/>
  <c r="C212" i="8" s="1"/>
  <c r="C114" i="8"/>
  <c r="G84" i="11"/>
  <c r="D45" i="11"/>
  <c r="R40" i="26"/>
  <c r="R39" i="26"/>
  <c r="T40" i="25"/>
  <c r="C44" i="11"/>
  <c r="T39" i="25"/>
  <c r="D16" i="11" l="1"/>
  <c r="C16" i="11"/>
  <c r="M110" i="8" s="1"/>
  <c r="C110" i="8" s="1"/>
  <c r="G83" i="11"/>
  <c r="D44" i="11"/>
  <c r="D113" i="11"/>
  <c r="C113" i="11"/>
  <c r="D82" i="11"/>
  <c r="C82" i="11"/>
  <c r="T4" i="25"/>
  <c r="T7" i="25"/>
  <c r="T8" i="25"/>
  <c r="T12" i="25"/>
  <c r="T15" i="25"/>
  <c r="T16" i="25"/>
  <c r="T20" i="25"/>
  <c r="T24" i="25"/>
  <c r="T27" i="25"/>
  <c r="T28" i="25"/>
  <c r="T31" i="25"/>
  <c r="T32" i="25"/>
  <c r="T35" i="25"/>
  <c r="T36" i="25"/>
  <c r="M207" i="8" l="1"/>
  <c r="C207" i="8" s="1"/>
  <c r="C208" i="8" s="1"/>
  <c r="C15" i="11"/>
  <c r="M106" i="8" s="1"/>
  <c r="C106" i="8" s="1"/>
  <c r="R36" i="26" l="1"/>
  <c r="R35" i="26"/>
  <c r="C43" i="11"/>
  <c r="D15" i="11" l="1"/>
  <c r="D43" i="11"/>
  <c r="G82" i="11"/>
  <c r="D112" i="11"/>
  <c r="E112" i="11" s="1"/>
  <c r="C112" i="11"/>
  <c r="D81" i="11"/>
  <c r="C81" i="11"/>
  <c r="E81" i="11" s="1"/>
  <c r="C80" i="11"/>
  <c r="E80" i="11" s="1"/>
  <c r="C14" i="11"/>
  <c r="M102" i="8" s="1"/>
  <c r="R32" i="26"/>
  <c r="C42" i="11"/>
  <c r="R31" i="26"/>
  <c r="D111" i="11"/>
  <c r="C111" i="11"/>
  <c r="D80" i="11"/>
  <c r="C13" i="11"/>
  <c r="M98" i="8" s="1"/>
  <c r="R27" i="26"/>
  <c r="R28" i="26"/>
  <c r="G80" i="11"/>
  <c r="C41" i="11"/>
  <c r="D110" i="11"/>
  <c r="C110" i="11"/>
  <c r="C79" i="11"/>
  <c r="T23" i="25"/>
  <c r="C12" i="11" s="1"/>
  <c r="M94" i="8" s="1"/>
  <c r="G79" i="11"/>
  <c r="R23" i="26"/>
  <c r="D109" i="11"/>
  <c r="C109" i="11"/>
  <c r="D78" i="11"/>
  <c r="E78" i="11" s="1"/>
  <c r="C78" i="11"/>
  <c r="R20" i="26"/>
  <c r="G78" i="11"/>
  <c r="R19" i="26"/>
  <c r="C39" i="11"/>
  <c r="T19" i="25"/>
  <c r="C11" i="11" s="1"/>
  <c r="M90" i="8" s="1"/>
  <c r="D108" i="11"/>
  <c r="C108" i="11"/>
  <c r="D77" i="11"/>
  <c r="C77" i="11"/>
  <c r="C10" i="11"/>
  <c r="M86" i="8" s="1"/>
  <c r="R16" i="26"/>
  <c r="G77" i="11"/>
  <c r="R15" i="26"/>
  <c r="C38" i="11"/>
  <c r="J61" i="11"/>
  <c r="S61" i="11"/>
  <c r="S66" i="11" s="1"/>
  <c r="D107" i="11"/>
  <c r="D106" i="11"/>
  <c r="D105" i="11"/>
  <c r="C107" i="11"/>
  <c r="C106" i="11"/>
  <c r="C105" i="11"/>
  <c r="D76" i="11"/>
  <c r="D75" i="11"/>
  <c r="D74" i="11"/>
  <c r="C76" i="11"/>
  <c r="C75" i="11"/>
  <c r="C74" i="11"/>
  <c r="C8" i="11"/>
  <c r="M78" i="8" s="1"/>
  <c r="R12" i="26"/>
  <c r="R11" i="26"/>
  <c r="D36" i="11"/>
  <c r="R8" i="26"/>
  <c r="G75" i="11"/>
  <c r="R7" i="26"/>
  <c r="R4" i="26"/>
  <c r="G74" i="11"/>
  <c r="R3" i="26"/>
  <c r="C37" i="11"/>
  <c r="T11" i="25"/>
  <c r="C9" i="11" s="1"/>
  <c r="M82" i="8" s="1"/>
  <c r="C36" i="11"/>
  <c r="C35" i="11"/>
  <c r="T3" i="25"/>
  <c r="C7" i="11" s="1"/>
  <c r="M74" i="8"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T11" i="5" s="1"/>
  <c r="H202" i="8" s="1"/>
  <c r="H105" i="8" s="1"/>
  <c r="H106" i="8" s="1"/>
  <c r="K17" i="5"/>
  <c r="E97" i="11"/>
  <c r="H97" i="11" s="1"/>
  <c r="R97" i="11" s="1"/>
  <c r="S97" i="11" s="1"/>
  <c r="E58" i="11"/>
  <c r="E125" i="11"/>
  <c r="E94" i="11"/>
  <c r="H94" i="11" s="1"/>
  <c r="R94" i="11" s="1"/>
  <c r="S94" i="11" s="1"/>
  <c r="E93" i="11"/>
  <c r="H93" i="11" s="1"/>
  <c r="R93" i="11" s="1"/>
  <c r="S93" i="11" s="1"/>
  <c r="E53" i="11"/>
  <c r="E92" i="11"/>
  <c r="E91" i="11"/>
  <c r="H91" i="11" s="1"/>
  <c r="R91" i="11" s="1"/>
  <c r="S91" i="11" s="1"/>
  <c r="E90" i="11"/>
  <c r="H90" i="11" s="1"/>
  <c r="R90" i="11" s="1"/>
  <c r="S90" i="11" s="1"/>
  <c r="E120" i="11"/>
  <c r="E89" i="11"/>
  <c r="H89" i="11" s="1"/>
  <c r="R89" i="11" s="1"/>
  <c r="S89" i="11" s="1"/>
  <c r="E50" i="11"/>
  <c r="G119" i="11"/>
  <c r="E88" i="11"/>
  <c r="H88" i="11" s="1"/>
  <c r="R88" i="11" s="1"/>
  <c r="S88" i="11" s="1"/>
  <c r="T19" i="9"/>
  <c r="O19" i="9"/>
  <c r="I19" i="9"/>
  <c r="D19" i="9"/>
  <c r="N48" i="11" s="1"/>
  <c r="T20" i="9"/>
  <c r="O20" i="9"/>
  <c r="I20" i="9"/>
  <c r="D20" i="9"/>
  <c r="N49" i="11" s="1"/>
  <c r="G118" i="11"/>
  <c r="E87" i="11"/>
  <c r="H87" i="11" s="1"/>
  <c r="R87" i="11" s="1"/>
  <c r="S87" i="11" s="1"/>
  <c r="E48" i="11"/>
  <c r="E117" i="11"/>
  <c r="E86" i="11"/>
  <c r="H86" i="11" s="1"/>
  <c r="R86" i="11" s="1"/>
  <c r="S86" i="11" s="1"/>
  <c r="E47" i="11"/>
  <c r="E116" i="11"/>
  <c r="G116" i="11"/>
  <c r="E85" i="11"/>
  <c r="E115" i="11"/>
  <c r="G115" i="11"/>
  <c r="E84" i="11"/>
  <c r="G114" i="11"/>
  <c r="E83" i="11"/>
  <c r="H83" i="11" s="1"/>
  <c r="R83" i="11" s="1"/>
  <c r="S83" i="11" s="1"/>
  <c r="E113" i="11"/>
  <c r="O30" i="11"/>
  <c r="S30" i="11" s="1"/>
  <c r="O58" i="11"/>
  <c r="AY7" i="5"/>
  <c r="AY8" i="5"/>
  <c r="AY11" i="5"/>
  <c r="AY12" i="5"/>
  <c r="AY15" i="5"/>
  <c r="AW17" i="5"/>
  <c r="AX9" i="5" s="1"/>
  <c r="O57" i="11"/>
  <c r="O29" i="11"/>
  <c r="S29" i="11" s="1"/>
  <c r="O56" i="11"/>
  <c r="O28" i="11"/>
  <c r="S28" i="11" s="1"/>
  <c r="O55" i="11"/>
  <c r="O27" i="11"/>
  <c r="S27" i="11" s="1"/>
  <c r="O54" i="11"/>
  <c r="O26" i="11"/>
  <c r="S26" i="11" s="1"/>
  <c r="AO17" i="5"/>
  <c r="AP16" i="5" s="1"/>
  <c r="O25" i="11"/>
  <c r="S25" i="11" s="1"/>
  <c r="O53" i="11"/>
  <c r="O52" i="11"/>
  <c r="O24" i="11"/>
  <c r="S24" i="11" s="1"/>
  <c r="O51" i="11"/>
  <c r="O23" i="11"/>
  <c r="S23" i="11" s="1"/>
  <c r="O50" i="11"/>
  <c r="O22" i="11"/>
  <c r="S22" i="11" s="1"/>
  <c r="O49" i="11"/>
  <c r="O21" i="11"/>
  <c r="S21" i="11" s="1"/>
  <c r="O48" i="11"/>
  <c r="O20" i="11"/>
  <c r="S20" i="11" s="1"/>
  <c r="O47" i="11"/>
  <c r="O19" i="11"/>
  <c r="S19" i="11" s="1"/>
  <c r="O46" i="11"/>
  <c r="S46" i="11" s="1"/>
  <c r="O18" i="11"/>
  <c r="S18" i="11" s="1"/>
  <c r="O45" i="11"/>
  <c r="S45" i="11" s="1"/>
  <c r="O17" i="11"/>
  <c r="S17" i="11" s="1"/>
  <c r="O43" i="11"/>
  <c r="O44" i="11"/>
  <c r="O15" i="11"/>
  <c r="O16" i="11"/>
  <c r="S16" i="11" s="1"/>
  <c r="D6" i="9"/>
  <c r="I6" i="9"/>
  <c r="O6" i="9"/>
  <c r="T6" i="9"/>
  <c r="D7" i="9"/>
  <c r="I7" i="9"/>
  <c r="O7" i="9"/>
  <c r="T7" i="9"/>
  <c r="D8" i="9"/>
  <c r="I8" i="9"/>
  <c r="O8" i="9"/>
  <c r="T8" i="9"/>
  <c r="D9" i="9"/>
  <c r="I9" i="9"/>
  <c r="O9" i="9"/>
  <c r="T9" i="9"/>
  <c r="D10" i="9"/>
  <c r="I10" i="9"/>
  <c r="O10" i="9"/>
  <c r="T10" i="9"/>
  <c r="Y10" i="9" s="1"/>
  <c r="Z10" i="9" s="1"/>
  <c r="D11" i="9"/>
  <c r="N40" i="11" s="1"/>
  <c r="I11" i="9"/>
  <c r="O11" i="9"/>
  <c r="T11" i="9"/>
  <c r="D12" i="9"/>
  <c r="I12" i="9"/>
  <c r="O12" i="9"/>
  <c r="T12" i="9"/>
  <c r="Y12" i="9" s="1"/>
  <c r="D13" i="9"/>
  <c r="I13" i="9"/>
  <c r="O13" i="9"/>
  <c r="T13" i="9"/>
  <c r="D14" i="9"/>
  <c r="O14" i="9"/>
  <c r="T14" i="9"/>
  <c r="D15" i="9"/>
  <c r="I15" i="9"/>
  <c r="O15" i="9"/>
  <c r="T15" i="9"/>
  <c r="D16" i="9"/>
  <c r="N17" i="11" s="1"/>
  <c r="I16" i="9"/>
  <c r="O16" i="9"/>
  <c r="D17" i="9"/>
  <c r="K93" i="28" s="1"/>
  <c r="I17" i="9"/>
  <c r="O17" i="9"/>
  <c r="D18" i="9"/>
  <c r="I18" i="9"/>
  <c r="O18" i="9"/>
  <c r="T18" i="9"/>
  <c r="D21" i="9"/>
  <c r="I21" i="9"/>
  <c r="O21" i="9"/>
  <c r="T21" i="9"/>
  <c r="D22" i="9"/>
  <c r="I22" i="9"/>
  <c r="O22" i="9"/>
  <c r="T22" i="9"/>
  <c r="D23" i="9"/>
  <c r="I23" i="9"/>
  <c r="O23" i="9"/>
  <c r="T23" i="9"/>
  <c r="D24" i="9"/>
  <c r="N53" i="11" s="1"/>
  <c r="I24" i="9"/>
  <c r="O24" i="9"/>
  <c r="T24" i="9"/>
  <c r="D25" i="9"/>
  <c r="N54" i="11" s="1"/>
  <c r="I25" i="9"/>
  <c r="O25" i="9"/>
  <c r="T25" i="9"/>
  <c r="D26" i="9"/>
  <c r="N55" i="11" s="1"/>
  <c r="I26" i="9"/>
  <c r="O26" i="9"/>
  <c r="T26" i="9"/>
  <c r="D27" i="9"/>
  <c r="N56" i="11" s="1"/>
  <c r="I27" i="9"/>
  <c r="O27" i="9"/>
  <c r="T27" i="9"/>
  <c r="D28" i="9"/>
  <c r="N57" i="11" s="1"/>
  <c r="I28" i="9"/>
  <c r="O28" i="9"/>
  <c r="T28" i="9"/>
  <c r="D29" i="9"/>
  <c r="I29" i="9"/>
  <c r="O29" i="9"/>
  <c r="T29" i="9"/>
  <c r="B30" i="9"/>
  <c r="C30" i="9"/>
  <c r="F30" i="9"/>
  <c r="G30" i="9"/>
  <c r="M30" i="9"/>
  <c r="N30" i="9"/>
  <c r="R30" i="9"/>
  <c r="S30" i="9"/>
  <c r="B32" i="9"/>
  <c r="C32" i="9"/>
  <c r="F32" i="9"/>
  <c r="I37" i="9" s="1"/>
  <c r="G32" i="9"/>
  <c r="M32" i="9"/>
  <c r="N32" i="9"/>
  <c r="R32" i="9"/>
  <c r="S32" i="9"/>
  <c r="O7" i="11"/>
  <c r="O8" i="11"/>
  <c r="O9" i="11"/>
  <c r="O10" i="11"/>
  <c r="O11" i="11"/>
  <c r="O12" i="11"/>
  <c r="O13" i="11"/>
  <c r="O14" i="11"/>
  <c r="A35" i="11"/>
  <c r="A74" i="11"/>
  <c r="A105" i="11" s="1"/>
  <c r="O35" i="11"/>
  <c r="A36" i="11"/>
  <c r="A75" i="11"/>
  <c r="A106" i="11"/>
  <c r="O36" i="11"/>
  <c r="A37" i="11"/>
  <c r="A76" i="11"/>
  <c r="A107" i="11" s="1"/>
  <c r="O37" i="11"/>
  <c r="A38" i="11"/>
  <c r="A77" i="11" s="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Y17" i="9" s="1"/>
  <c r="Q30" i="9"/>
  <c r="Q32" i="9"/>
  <c r="T16" i="9"/>
  <c r="E55" i="11"/>
  <c r="G128" i="11"/>
  <c r="E128" i="11"/>
  <c r="Y15" i="9"/>
  <c r="M17" i="5"/>
  <c r="N7" i="5" s="1"/>
  <c r="D190" i="8" s="1"/>
  <c r="W17" i="5"/>
  <c r="X11" i="5" s="1"/>
  <c r="H210" i="8" s="1"/>
  <c r="AG17" i="5"/>
  <c r="AH12" i="5" s="1"/>
  <c r="AK17" i="5"/>
  <c r="AL12" i="5" s="1"/>
  <c r="AY16" i="5"/>
  <c r="U17" i="5"/>
  <c r="V6" i="5" s="1"/>
  <c r="G117" i="11"/>
  <c r="E25" i="11"/>
  <c r="E21" i="11"/>
  <c r="E56" i="11"/>
  <c r="E96" i="11"/>
  <c r="H96" i="11" s="1"/>
  <c r="R96" i="11" s="1"/>
  <c r="S96" i="11" s="1"/>
  <c r="G122" i="11"/>
  <c r="E23" i="11"/>
  <c r="E51" i="11"/>
  <c r="G121" i="11"/>
  <c r="E82" i="11"/>
  <c r="E114" i="11"/>
  <c r="E119" i="11"/>
  <c r="H119" i="11" s="1"/>
  <c r="E121" i="11"/>
  <c r="E95" i="11"/>
  <c r="H95" i="11" s="1"/>
  <c r="R95" i="11" s="1"/>
  <c r="S95" i="11" s="1"/>
  <c r="E126" i="11"/>
  <c r="E18" i="11"/>
  <c r="G123" i="11"/>
  <c r="G127" i="11"/>
  <c r="E57" i="11"/>
  <c r="E22" i="11"/>
  <c r="G120" i="11"/>
  <c r="H120" i="11" s="1"/>
  <c r="E122" i="11"/>
  <c r="E123" i="11"/>
  <c r="G125" i="11"/>
  <c r="G126" i="11"/>
  <c r="E29" i="11"/>
  <c r="E49" i="11"/>
  <c r="G124" i="11"/>
  <c r="E127" i="11"/>
  <c r="E54" i="11"/>
  <c r="E17" i="11"/>
  <c r="E124" i="11"/>
  <c r="E27" i="11"/>
  <c r="E24" i="11"/>
  <c r="E20" i="11"/>
  <c r="E52" i="11"/>
  <c r="E26" i="11"/>
  <c r="E28" i="11"/>
  <c r="E118" i="11"/>
  <c r="E19" i="11"/>
  <c r="E16" i="11"/>
  <c r="E46" i="11"/>
  <c r="E45" i="11"/>
  <c r="E43" i="11"/>
  <c r="E44" i="11"/>
  <c r="E30" i="11"/>
  <c r="AU17" i="5"/>
  <c r="AV9" i="5" s="1"/>
  <c r="AS17" i="5"/>
  <c r="AT10" i="5" s="1"/>
  <c r="AQ17" i="5"/>
  <c r="AR16" i="5" s="1"/>
  <c r="AN15" i="5"/>
  <c r="AI17" i="5"/>
  <c r="AJ12" i="5" s="1"/>
  <c r="AE17" i="5"/>
  <c r="AB8" i="5"/>
  <c r="E218" i="8" s="1"/>
  <c r="Y17" i="5"/>
  <c r="Z9" i="5" s="1"/>
  <c r="F214" i="8" s="1"/>
  <c r="Q17" i="5"/>
  <c r="R15" i="5" s="1"/>
  <c r="L198" i="8" s="1"/>
  <c r="L101" i="8" s="1"/>
  <c r="O17" i="5"/>
  <c r="I17" i="5"/>
  <c r="AY13" i="5"/>
  <c r="G17" i="5"/>
  <c r="H7" i="5" s="1"/>
  <c r="D178" i="8" s="1"/>
  <c r="D81" i="8" s="1"/>
  <c r="E17" i="5"/>
  <c r="F8" i="5" s="1"/>
  <c r="E174" i="8" s="1"/>
  <c r="E77" i="8" s="1"/>
  <c r="AY9" i="5"/>
  <c r="AY14" i="5"/>
  <c r="AY10" i="5"/>
  <c r="C17" i="5"/>
  <c r="D14" i="5" s="1"/>
  <c r="K170" i="8" s="1"/>
  <c r="K73" i="8" s="1"/>
  <c r="AB11" i="5"/>
  <c r="H218" i="8" s="1"/>
  <c r="P10" i="5"/>
  <c r="G194" i="8" s="1"/>
  <c r="G97" i="8" s="1"/>
  <c r="C13" i="24"/>
  <c r="F53" i="24"/>
  <c r="F55" i="24"/>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12" i="11"/>
  <c r="N22" i="11"/>
  <c r="R22" i="11" s="1"/>
  <c r="N50" i="11"/>
  <c r="AR11" i="5"/>
  <c r="AB10" i="5"/>
  <c r="G218" i="8" s="1"/>
  <c r="P7" i="5"/>
  <c r="D194" i="8" s="1"/>
  <c r="D97" i="8" s="1"/>
  <c r="P13" i="5"/>
  <c r="J194" i="8" s="1"/>
  <c r="J97" i="8" s="1"/>
  <c r="J8" i="5"/>
  <c r="E182" i="8" s="1"/>
  <c r="E85" i="8" s="1"/>
  <c r="J7" i="5"/>
  <c r="D182" i="8" s="1"/>
  <c r="J9" i="5"/>
  <c r="F182" i="8" s="1"/>
  <c r="F85" i="8" s="1"/>
  <c r="J11" i="5"/>
  <c r="H182" i="8" s="1"/>
  <c r="H85" i="8" s="1"/>
  <c r="H10" i="5"/>
  <c r="G178" i="8" s="1"/>
  <c r="G81" i="8" s="1"/>
  <c r="H6" i="5"/>
  <c r="H11" i="5"/>
  <c r="H178" i="8" s="1"/>
  <c r="H81" i="8" s="1"/>
  <c r="F100" i="24"/>
  <c r="F61" i="24"/>
  <c r="F30" i="24"/>
  <c r="F31" i="24" s="1"/>
  <c r="H9" i="5"/>
  <c r="F178" i="8" s="1"/>
  <c r="F81" i="8" s="1"/>
  <c r="H12" i="5"/>
  <c r="I178" i="8" s="1"/>
  <c r="I81" i="8" s="1"/>
  <c r="F14" i="5"/>
  <c r="K174" i="8" s="1"/>
  <c r="K77" i="8" s="1"/>
  <c r="F16" i="5"/>
  <c r="F6" i="5"/>
  <c r="F12" i="5"/>
  <c r="I174" i="8" s="1"/>
  <c r="I77" i="8" s="1"/>
  <c r="D7" i="5"/>
  <c r="D170" i="8" s="1"/>
  <c r="D73" i="8" s="1"/>
  <c r="D8" i="5"/>
  <c r="E170" i="8" s="1"/>
  <c r="E73" i="8" s="1"/>
  <c r="P66" i="11"/>
  <c r="J66" i="11"/>
  <c r="N9" i="11"/>
  <c r="E105" i="11"/>
  <c r="J6" i="5"/>
  <c r="X10" i="9"/>
  <c r="N11" i="11"/>
  <c r="N39" i="11"/>
  <c r="K10" i="9"/>
  <c r="N10" i="5"/>
  <c r="G190" i="8" s="1"/>
  <c r="G93" i="8" s="1"/>
  <c r="N15" i="5"/>
  <c r="L190" i="8" s="1"/>
  <c r="L93" i="8" s="1"/>
  <c r="N16" i="5"/>
  <c r="N11" i="5"/>
  <c r="H190" i="8" s="1"/>
  <c r="H93" i="8" s="1"/>
  <c r="N6" i="5"/>
  <c r="N14" i="5"/>
  <c r="K190" i="8" s="1"/>
  <c r="K93" i="8" s="1"/>
  <c r="N8" i="5"/>
  <c r="E190" i="8" s="1"/>
  <c r="E93" i="8" s="1"/>
  <c r="N9" i="5"/>
  <c r="F190" i="8" s="1"/>
  <c r="F93" i="8" s="1"/>
  <c r="N12" i="5"/>
  <c r="I190" i="8" s="1"/>
  <c r="I93" i="8" s="1"/>
  <c r="N13" i="5"/>
  <c r="J190" i="8" s="1"/>
  <c r="J93" i="8" s="1"/>
  <c r="X12" i="9"/>
  <c r="N41" i="11"/>
  <c r="K12" i="9"/>
  <c r="N13" i="11"/>
  <c r="E108" i="11"/>
  <c r="E76" i="11"/>
  <c r="H92" i="11"/>
  <c r="R92" i="11" s="1"/>
  <c r="S92" i="11" s="1"/>
  <c r="H126" i="11"/>
  <c r="X13" i="9"/>
  <c r="K13" i="9"/>
  <c r="N42" i="11"/>
  <c r="P42" i="11" s="1"/>
  <c r="N14" i="11"/>
  <c r="R9" i="5"/>
  <c r="F198" i="8" s="1"/>
  <c r="F101" i="8" s="1"/>
  <c r="R12" i="5"/>
  <c r="I198" i="8" s="1"/>
  <c r="I101" i="8" s="1"/>
  <c r="R7" i="5"/>
  <c r="D198" i="8" s="1"/>
  <c r="D101" i="8" s="1"/>
  <c r="R6" i="5"/>
  <c r="R10" i="5"/>
  <c r="G198" i="8" s="1"/>
  <c r="G101" i="8" s="1"/>
  <c r="R13" i="5"/>
  <c r="J198" i="8" s="1"/>
  <c r="J101" i="8" s="1"/>
  <c r="R16" i="5"/>
  <c r="R11" i="5"/>
  <c r="H198" i="8" s="1"/>
  <c r="H101" i="8" s="1"/>
  <c r="R8" i="5"/>
  <c r="E198" i="8" s="1"/>
  <c r="E101" i="8" s="1"/>
  <c r="R14" i="5"/>
  <c r="K198" i="8" s="1"/>
  <c r="K101" i="8" s="1"/>
  <c r="AH7" i="5" l="1"/>
  <c r="AH13" i="5"/>
  <c r="AH9" i="5"/>
  <c r="AH8" i="5"/>
  <c r="AJ15" i="5"/>
  <c r="AJ7" i="5"/>
  <c r="AJ16" i="5"/>
  <c r="AJ13" i="5"/>
  <c r="J137" i="8" s="1"/>
  <c r="J138" i="8" s="1"/>
  <c r="AJ14" i="5"/>
  <c r="AH11" i="5"/>
  <c r="AH6" i="5"/>
  <c r="AH10" i="5"/>
  <c r="AR15" i="5"/>
  <c r="H125" i="11"/>
  <c r="N25" i="11"/>
  <c r="K25" i="9"/>
  <c r="M203" i="8"/>
  <c r="C203" i="8" s="1"/>
  <c r="C204" i="8" s="1"/>
  <c r="K94" i="28"/>
  <c r="N105" i="28" s="1"/>
  <c r="N113" i="28" s="1"/>
  <c r="X16" i="5"/>
  <c r="X14" i="5"/>
  <c r="K210" i="8" s="1"/>
  <c r="X10" i="5"/>
  <c r="G210" i="8" s="1"/>
  <c r="G113" i="8" s="1"/>
  <c r="G114" i="8" s="1"/>
  <c r="X15" i="5"/>
  <c r="L210" i="8" s="1"/>
  <c r="L211" i="8" s="1"/>
  <c r="L212" i="8" s="1"/>
  <c r="X9" i="5"/>
  <c r="F210" i="8" s="1"/>
  <c r="F113" i="8" s="1"/>
  <c r="F114" i="8" s="1"/>
  <c r="X13" i="5"/>
  <c r="J210" i="8" s="1"/>
  <c r="J211" i="8" s="1"/>
  <c r="J212" i="8" s="1"/>
  <c r="X7" i="5"/>
  <c r="D210" i="8" s="1"/>
  <c r="D113" i="8" s="1"/>
  <c r="X12" i="5"/>
  <c r="I210" i="8" s="1"/>
  <c r="I211" i="8" s="1"/>
  <c r="I212" i="8" s="1"/>
  <c r="X6" i="5"/>
  <c r="X8" i="5"/>
  <c r="E210" i="8" s="1"/>
  <c r="E113" i="8" s="1"/>
  <c r="E114" i="8" s="1"/>
  <c r="H114" i="11"/>
  <c r="G113" i="11"/>
  <c r="H82" i="11"/>
  <c r="R82" i="11" s="1"/>
  <c r="S82" i="11" s="1"/>
  <c r="S15" i="11"/>
  <c r="E15" i="11"/>
  <c r="R14" i="11"/>
  <c r="D129" i="11"/>
  <c r="E111" i="11"/>
  <c r="R13" i="11"/>
  <c r="P12" i="11"/>
  <c r="P41" i="11"/>
  <c r="V13" i="9"/>
  <c r="P40" i="11"/>
  <c r="V11" i="9"/>
  <c r="K11" i="9"/>
  <c r="M101" i="8"/>
  <c r="M198" i="8" s="1"/>
  <c r="R39" i="11"/>
  <c r="H78" i="11"/>
  <c r="R78" i="11" s="1"/>
  <c r="S78" i="11" s="1"/>
  <c r="C129" i="11"/>
  <c r="R11" i="11"/>
  <c r="E77" i="11"/>
  <c r="H77" i="11" s="1"/>
  <c r="R77" i="11" s="1"/>
  <c r="S77" i="11" s="1"/>
  <c r="E106" i="11"/>
  <c r="C98" i="11"/>
  <c r="E75" i="11"/>
  <c r="D10" i="11"/>
  <c r="M183" i="8" s="1"/>
  <c r="E183" i="8" s="1"/>
  <c r="E184" i="8" s="1"/>
  <c r="D9" i="11"/>
  <c r="D8" i="11"/>
  <c r="M175" i="8" s="1"/>
  <c r="Y7" i="9"/>
  <c r="Y9" i="9"/>
  <c r="Y8" i="9"/>
  <c r="H15" i="5"/>
  <c r="L178" i="8" s="1"/>
  <c r="L81" i="8" s="1"/>
  <c r="D7" i="11"/>
  <c r="E74" i="11"/>
  <c r="H74" i="11" s="1"/>
  <c r="R74" i="11" s="1"/>
  <c r="S74" i="11" s="1"/>
  <c r="D15" i="5"/>
  <c r="L170" i="8" s="1"/>
  <c r="L73" i="8" s="1"/>
  <c r="D12" i="5"/>
  <c r="I170" i="8" s="1"/>
  <c r="I73" i="8" s="1"/>
  <c r="F13" i="5"/>
  <c r="J174" i="8" s="1"/>
  <c r="J77" i="8" s="1"/>
  <c r="F9" i="5"/>
  <c r="F174" i="8" s="1"/>
  <c r="F77" i="8" s="1"/>
  <c r="F15" i="5"/>
  <c r="L174" i="8" s="1"/>
  <c r="L77" i="8" s="1"/>
  <c r="F7" i="5"/>
  <c r="D174" i="8" s="1"/>
  <c r="D77" i="8" s="1"/>
  <c r="P61" i="11"/>
  <c r="G157" i="8"/>
  <c r="G158" i="8" s="1"/>
  <c r="G256" i="8"/>
  <c r="AX12" i="5"/>
  <c r="F165" i="8"/>
  <c r="F166" i="8" s="1"/>
  <c r="F263" i="8"/>
  <c r="F264" i="8" s="1"/>
  <c r="AX13" i="5"/>
  <c r="F161" i="8"/>
  <c r="F162" i="8" s="1"/>
  <c r="F259" i="8"/>
  <c r="F260" i="8" s="1"/>
  <c r="H153" i="8"/>
  <c r="H154" i="8" s="1"/>
  <c r="H251" i="8"/>
  <c r="H252" i="8" s="1"/>
  <c r="L153" i="8"/>
  <c r="L154" i="8" s="1"/>
  <c r="L251" i="8"/>
  <c r="L252" i="8" s="1"/>
  <c r="L145" i="8"/>
  <c r="L146" i="8" s="1"/>
  <c r="L243" i="8"/>
  <c r="L244" i="8" s="1"/>
  <c r="D145" i="8"/>
  <c r="D243" i="8"/>
  <c r="D244" i="8" s="1"/>
  <c r="I141" i="8"/>
  <c r="I142" i="8" s="1"/>
  <c r="I239" i="8"/>
  <c r="I240" i="8" s="1"/>
  <c r="K137" i="8"/>
  <c r="K138" i="8" s="1"/>
  <c r="K235" i="8"/>
  <c r="K236" i="8" s="1"/>
  <c r="D137" i="8"/>
  <c r="D235" i="8"/>
  <c r="D236" i="8" s="1"/>
  <c r="I137" i="8"/>
  <c r="I138" i="8" s="1"/>
  <c r="I235" i="8"/>
  <c r="I236" i="8" s="1"/>
  <c r="L137" i="8"/>
  <c r="L138" i="8" s="1"/>
  <c r="L235" i="8"/>
  <c r="L236" i="8" s="1"/>
  <c r="F133" i="8"/>
  <c r="F134" i="8" s="1"/>
  <c r="F231" i="8"/>
  <c r="F232" i="8" s="1"/>
  <c r="G133" i="8"/>
  <c r="G134" i="8" s="1"/>
  <c r="G231" i="8"/>
  <c r="G232" i="8" s="1"/>
  <c r="E133" i="8"/>
  <c r="E134" i="8" s="1"/>
  <c r="E231" i="8"/>
  <c r="E232" i="8" s="1"/>
  <c r="H133" i="8"/>
  <c r="H134" i="8" s="1"/>
  <c r="H231" i="8"/>
  <c r="H232" i="8" s="1"/>
  <c r="D133" i="8"/>
  <c r="D231" i="8"/>
  <c r="D232" i="8" s="1"/>
  <c r="J133" i="8"/>
  <c r="J134" i="8" s="1"/>
  <c r="J231" i="8"/>
  <c r="J232" i="8" s="1"/>
  <c r="I133" i="8"/>
  <c r="I134" i="8" s="1"/>
  <c r="I231" i="8"/>
  <c r="I232" i="8" s="1"/>
  <c r="AH15" i="5"/>
  <c r="AH16" i="5"/>
  <c r="G121" i="8"/>
  <c r="G122" i="8" s="1"/>
  <c r="G219" i="8"/>
  <c r="G220" i="8" s="1"/>
  <c r="E121" i="8"/>
  <c r="E122" i="8" s="1"/>
  <c r="E219" i="8"/>
  <c r="E220" i="8" s="1"/>
  <c r="H121" i="8"/>
  <c r="H122" i="8" s="1"/>
  <c r="H219" i="8"/>
  <c r="H220" i="8" s="1"/>
  <c r="F117" i="8"/>
  <c r="F118" i="8" s="1"/>
  <c r="F215" i="8"/>
  <c r="F216" i="8" s="1"/>
  <c r="K113" i="8"/>
  <c r="K114" i="8" s="1"/>
  <c r="K211" i="8"/>
  <c r="K212" i="8" s="1"/>
  <c r="G211" i="8"/>
  <c r="G212" i="8" s="1"/>
  <c r="J113" i="8"/>
  <c r="J114" i="8" s="1"/>
  <c r="H113" i="8"/>
  <c r="H114" i="8" s="1"/>
  <c r="H211" i="8"/>
  <c r="H212" i="8" s="1"/>
  <c r="H203" i="8"/>
  <c r="H204" i="8" s="1"/>
  <c r="D93" i="8"/>
  <c r="M93" i="8" s="1"/>
  <c r="M190" i="8"/>
  <c r="D85" i="8"/>
  <c r="Y6" i="9"/>
  <c r="Y19" i="9"/>
  <c r="K20" i="9"/>
  <c r="X11" i="9"/>
  <c r="N27" i="11"/>
  <c r="R27" i="11" s="1"/>
  <c r="N35" i="11"/>
  <c r="R35" i="11" s="1"/>
  <c r="M171" i="8"/>
  <c r="E7" i="11"/>
  <c r="H183" i="8"/>
  <c r="H184" i="8" s="1"/>
  <c r="S7" i="11"/>
  <c r="H124" i="11"/>
  <c r="H75" i="11"/>
  <c r="R75" i="11" s="1"/>
  <c r="S75" i="11" s="1"/>
  <c r="D11" i="11"/>
  <c r="M187" i="8" s="1"/>
  <c r="D39" i="11"/>
  <c r="C82" i="8"/>
  <c r="H82" i="8"/>
  <c r="I82" i="8"/>
  <c r="D82" i="8"/>
  <c r="G82" i="8"/>
  <c r="F82" i="8"/>
  <c r="L82" i="8"/>
  <c r="C90" i="8"/>
  <c r="C94" i="8"/>
  <c r="F94" i="8"/>
  <c r="H94" i="8"/>
  <c r="K94" i="8"/>
  <c r="J94" i="8"/>
  <c r="I94" i="8"/>
  <c r="E94" i="8"/>
  <c r="L94" i="8"/>
  <c r="G94" i="8"/>
  <c r="D94" i="8"/>
  <c r="C98" i="8"/>
  <c r="D98" i="8"/>
  <c r="J98" i="8"/>
  <c r="G98" i="8"/>
  <c r="C102" i="8"/>
  <c r="L102" i="8"/>
  <c r="J102" i="8"/>
  <c r="F102" i="8"/>
  <c r="I102" i="8"/>
  <c r="E102" i="8"/>
  <c r="H102" i="8"/>
  <c r="D102" i="8"/>
  <c r="G102" i="8"/>
  <c r="K102" i="8"/>
  <c r="C74" i="8"/>
  <c r="K74" i="8"/>
  <c r="L74" i="8"/>
  <c r="E74" i="8"/>
  <c r="I74" i="8"/>
  <c r="D74" i="8"/>
  <c r="E109" i="11"/>
  <c r="E107" i="11"/>
  <c r="C78" i="8"/>
  <c r="I78" i="8"/>
  <c r="K78" i="8"/>
  <c r="J78" i="8"/>
  <c r="E78" i="8"/>
  <c r="L78" i="8"/>
  <c r="F78" i="8"/>
  <c r="D78" i="8"/>
  <c r="C86" i="8"/>
  <c r="H86" i="8"/>
  <c r="F86" i="8"/>
  <c r="E86" i="8"/>
  <c r="E110" i="11"/>
  <c r="A120" i="11"/>
  <c r="V61" i="11"/>
  <c r="N58" i="11"/>
  <c r="P25" i="11"/>
  <c r="T25" i="11" s="1"/>
  <c r="R25" i="11"/>
  <c r="P11" i="11"/>
  <c r="P53" i="11"/>
  <c r="T53" i="11" s="1"/>
  <c r="AX16" i="5"/>
  <c r="AV6" i="5"/>
  <c r="AV8" i="5"/>
  <c r="AV10" i="5"/>
  <c r="AV13" i="5"/>
  <c r="AV14" i="5"/>
  <c r="AV12" i="5"/>
  <c r="AV7" i="5"/>
  <c r="AV16" i="5"/>
  <c r="AV11" i="5"/>
  <c r="AV15" i="5"/>
  <c r="N29" i="11"/>
  <c r="R29" i="11" s="1"/>
  <c r="P57" i="11"/>
  <c r="T57" i="11" s="1"/>
  <c r="E61" i="11"/>
  <c r="L61" i="11" s="1"/>
  <c r="E66" i="11"/>
  <c r="L66" i="11" s="1"/>
  <c r="R61" i="11"/>
  <c r="R66" i="11" s="1"/>
  <c r="X61" i="11"/>
  <c r="AX15" i="5"/>
  <c r="AX11" i="5"/>
  <c r="AX14" i="5"/>
  <c r="AX8" i="5"/>
  <c r="AX10" i="5"/>
  <c r="H128" i="11"/>
  <c r="Y29" i="9"/>
  <c r="V29" i="9"/>
  <c r="V28" i="9"/>
  <c r="X28" i="9"/>
  <c r="N28" i="11"/>
  <c r="P56" i="11"/>
  <c r="T56" i="11" s="1"/>
  <c r="K27" i="9"/>
  <c r="V27" i="9"/>
  <c r="AT16" i="5"/>
  <c r="P55" i="11"/>
  <c r="T55" i="11" s="1"/>
  <c r="V26" i="9"/>
  <c r="AR8" i="5"/>
  <c r="AR13" i="5"/>
  <c r="AR14" i="5"/>
  <c r="AR12" i="5"/>
  <c r="AR10" i="5"/>
  <c r="AR9" i="5"/>
  <c r="AR6" i="5"/>
  <c r="AR7" i="5"/>
  <c r="H62" i="11"/>
  <c r="G62" i="11"/>
  <c r="P54" i="11"/>
  <c r="T54" i="11" s="1"/>
  <c r="V25" i="9"/>
  <c r="AP15" i="5"/>
  <c r="AP11" i="5"/>
  <c r="AP9" i="5"/>
  <c r="AP14" i="5"/>
  <c r="AP12" i="5"/>
  <c r="AP10" i="5"/>
  <c r="AP8" i="5"/>
  <c r="AP7" i="5"/>
  <c r="AP13" i="5"/>
  <c r="AP6" i="5"/>
  <c r="H123" i="11"/>
  <c r="V20" i="9"/>
  <c r="Y18" i="9"/>
  <c r="AN6" i="5"/>
  <c r="AN16" i="5"/>
  <c r="AN11" i="5"/>
  <c r="M242" i="8" s="1"/>
  <c r="AN12" i="5"/>
  <c r="AN13" i="5"/>
  <c r="AN14" i="5"/>
  <c r="AN9" i="5"/>
  <c r="AN10" i="5"/>
  <c r="AN8" i="5"/>
  <c r="Y23" i="9"/>
  <c r="K23" i="9"/>
  <c r="AL10" i="5"/>
  <c r="AL7" i="5"/>
  <c r="AL13" i="5"/>
  <c r="AL11" i="5"/>
  <c r="AL8" i="5"/>
  <c r="AL16" i="5"/>
  <c r="AL15" i="5"/>
  <c r="AL9" i="5"/>
  <c r="AL6" i="5"/>
  <c r="AL14" i="5"/>
  <c r="H122" i="11"/>
  <c r="H121" i="11"/>
  <c r="AJ6" i="5"/>
  <c r="AJ8" i="5"/>
  <c r="M234" i="8" s="1"/>
  <c r="AJ10" i="5"/>
  <c r="AJ11" i="5"/>
  <c r="AJ9" i="5"/>
  <c r="Y22" i="9"/>
  <c r="X22" i="9"/>
  <c r="V22" i="9"/>
  <c r="H117" i="11"/>
  <c r="H118" i="11"/>
  <c r="Y21" i="9"/>
  <c r="AH14" i="5"/>
  <c r="M230" i="8" s="1"/>
  <c r="AB9" i="5"/>
  <c r="F218" i="8" s="1"/>
  <c r="AB12" i="5"/>
  <c r="I218" i="8" s="1"/>
  <c r="AB7" i="5"/>
  <c r="D218" i="8" s="1"/>
  <c r="AB16" i="5"/>
  <c r="AB6" i="5"/>
  <c r="AB14" i="5"/>
  <c r="K218" i="8" s="1"/>
  <c r="AB15" i="5"/>
  <c r="L218" i="8" s="1"/>
  <c r="X20" i="9"/>
  <c r="P13" i="11"/>
  <c r="P9" i="11"/>
  <c r="X27" i="9"/>
  <c r="K28" i="9"/>
  <c r="X6" i="9"/>
  <c r="Y28" i="9"/>
  <c r="Y26" i="9"/>
  <c r="K16" i="9"/>
  <c r="X18" i="9"/>
  <c r="Y13" i="9"/>
  <c r="Z13" i="9" s="1"/>
  <c r="Y11" i="9"/>
  <c r="Z11" i="9" s="1"/>
  <c r="V12" i="9"/>
  <c r="X25" i="9"/>
  <c r="Y27" i="9"/>
  <c r="N45" i="11"/>
  <c r="X23" i="9"/>
  <c r="P14" i="11"/>
  <c r="N7" i="11"/>
  <c r="P7" i="11" s="1"/>
  <c r="X16" i="9"/>
  <c r="X15" i="9"/>
  <c r="V10" i="9"/>
  <c r="R12" i="11"/>
  <c r="Z12" i="9"/>
  <c r="P49" i="11"/>
  <c r="T49" i="11" s="1"/>
  <c r="P22" i="11"/>
  <c r="T22" i="11" s="1"/>
  <c r="P48" i="11"/>
  <c r="T48" i="11" s="1"/>
  <c r="V19" i="9"/>
  <c r="X19" i="9"/>
  <c r="Z19" i="9" s="1"/>
  <c r="N20" i="11"/>
  <c r="K19" i="9"/>
  <c r="D32" i="9"/>
  <c r="I36" i="9" s="1"/>
  <c r="K18" i="9"/>
  <c r="AB13" i="5"/>
  <c r="J218" i="8" s="1"/>
  <c r="L6" i="5"/>
  <c r="L10" i="5"/>
  <c r="G186" i="8" s="1"/>
  <c r="G89" i="8" s="1"/>
  <c r="G90" i="8" s="1"/>
  <c r="L13" i="5"/>
  <c r="J186" i="8" s="1"/>
  <c r="J89" i="8" s="1"/>
  <c r="J90" i="8" s="1"/>
  <c r="L14" i="5"/>
  <c r="K186" i="8" s="1"/>
  <c r="K89" i="8" s="1"/>
  <c r="K90" i="8" s="1"/>
  <c r="L15" i="5"/>
  <c r="L186" i="8" s="1"/>
  <c r="L89" i="8" s="1"/>
  <c r="L90" i="8" s="1"/>
  <c r="L9" i="5"/>
  <c r="F186" i="8" s="1"/>
  <c r="F89" i="8" s="1"/>
  <c r="F90" i="8" s="1"/>
  <c r="L16" i="5"/>
  <c r="L7" i="5"/>
  <c r="D186" i="8" s="1"/>
  <c r="L12" i="5"/>
  <c r="I186" i="8" s="1"/>
  <c r="I89" i="8" s="1"/>
  <c r="I90" i="8" s="1"/>
  <c r="L11" i="5"/>
  <c r="H186" i="8" s="1"/>
  <c r="H89" i="8" s="1"/>
  <c r="H90" i="8" s="1"/>
  <c r="D37" i="11"/>
  <c r="G76" i="11"/>
  <c r="H80" i="11"/>
  <c r="R80" i="11" s="1"/>
  <c r="S80" i="11" s="1"/>
  <c r="G106" i="11"/>
  <c r="H106" i="11" s="1"/>
  <c r="S36" i="11"/>
  <c r="E36" i="11"/>
  <c r="R17" i="5"/>
  <c r="L8" i="5"/>
  <c r="E186" i="8" s="1"/>
  <c r="E89" i="8" s="1"/>
  <c r="E90" i="8" s="1"/>
  <c r="X24" i="9"/>
  <c r="K24" i="9"/>
  <c r="X21" i="9"/>
  <c r="K21" i="9"/>
  <c r="V21" i="9"/>
  <c r="X9" i="9"/>
  <c r="Z9" i="9" s="1"/>
  <c r="N38" i="11"/>
  <c r="R38" i="11" s="1"/>
  <c r="K9" i="9"/>
  <c r="N10" i="11"/>
  <c r="P10" i="11" s="1"/>
  <c r="V9" i="9"/>
  <c r="N37" i="11"/>
  <c r="P37" i="11" s="1"/>
  <c r="V8" i="9"/>
  <c r="X8" i="9"/>
  <c r="K8" i="9"/>
  <c r="N36" i="11"/>
  <c r="P36" i="11" s="1"/>
  <c r="V7" i="9"/>
  <c r="K7" i="9"/>
  <c r="N8" i="11"/>
  <c r="P8" i="11" s="1"/>
  <c r="X7" i="9"/>
  <c r="Z7" i="9" s="1"/>
  <c r="R9" i="11"/>
  <c r="N17" i="5"/>
  <c r="F64" i="24"/>
  <c r="G68" i="24" s="1"/>
  <c r="G76" i="24" s="1"/>
  <c r="P15" i="5"/>
  <c r="L194" i="8" s="1"/>
  <c r="L97" i="8" s="1"/>
  <c r="L98" i="8" s="1"/>
  <c r="P16" i="5"/>
  <c r="P11" i="5"/>
  <c r="H194" i="8" s="1"/>
  <c r="H97" i="8" s="1"/>
  <c r="H98" i="8" s="1"/>
  <c r="P14" i="5"/>
  <c r="K194" i="8" s="1"/>
  <c r="K97" i="8" s="1"/>
  <c r="K98" i="8" s="1"/>
  <c r="P6" i="5"/>
  <c r="P8" i="5"/>
  <c r="E194" i="8" s="1"/>
  <c r="E97" i="8" s="1"/>
  <c r="M97" i="8" s="1"/>
  <c r="M194" i="8" s="1"/>
  <c r="P9" i="5"/>
  <c r="F194" i="8" s="1"/>
  <c r="F97" i="8" s="1"/>
  <c r="F98" i="8" s="1"/>
  <c r="P12" i="5"/>
  <c r="I194" i="8" s="1"/>
  <c r="I97" i="8" s="1"/>
  <c r="I98" i="8" s="1"/>
  <c r="O40" i="24"/>
  <c r="O36" i="24"/>
  <c r="O38" i="24" s="1"/>
  <c r="E21" i="24"/>
  <c r="F21" i="24" s="1"/>
  <c r="E12" i="24"/>
  <c r="F12" i="24" s="1"/>
  <c r="F13" i="24" s="1"/>
  <c r="F20" i="24" s="1"/>
  <c r="D9" i="5"/>
  <c r="F170" i="8" s="1"/>
  <c r="F73" i="8" s="1"/>
  <c r="F74" i="8" s="1"/>
  <c r="D13" i="5"/>
  <c r="J170" i="8" s="1"/>
  <c r="J73" i="8" s="1"/>
  <c r="J74" i="8" s="1"/>
  <c r="J14" i="5"/>
  <c r="K182" i="8" s="1"/>
  <c r="K85" i="8" s="1"/>
  <c r="K86" i="8" s="1"/>
  <c r="J13" i="5"/>
  <c r="J182" i="8" s="1"/>
  <c r="J85" i="8" s="1"/>
  <c r="J86" i="8" s="1"/>
  <c r="AT15" i="5"/>
  <c r="AT13" i="5"/>
  <c r="AT9" i="5"/>
  <c r="AT8" i="5"/>
  <c r="AT11" i="5"/>
  <c r="Y24" i="9"/>
  <c r="V24" i="9"/>
  <c r="N52" i="11"/>
  <c r="N24" i="11"/>
  <c r="K22" i="9"/>
  <c r="N23" i="11"/>
  <c r="N51" i="11"/>
  <c r="N21" i="11"/>
  <c r="Y20" i="9"/>
  <c r="D10" i="5"/>
  <c r="G170" i="8" s="1"/>
  <c r="G73" i="8" s="1"/>
  <c r="G74" i="8" s="1"/>
  <c r="D16" i="5"/>
  <c r="J12" i="5"/>
  <c r="I182" i="8" s="1"/>
  <c r="I85" i="8" s="1"/>
  <c r="I86" i="8" s="1"/>
  <c r="J10" i="5"/>
  <c r="G182" i="8" s="1"/>
  <c r="G85" i="8" s="1"/>
  <c r="G86" i="8" s="1"/>
  <c r="P17" i="11"/>
  <c r="T17" i="11" s="1"/>
  <c r="R17" i="11"/>
  <c r="AT12" i="5"/>
  <c r="F11" i="5"/>
  <c r="H174" i="8" s="1"/>
  <c r="H77" i="8" s="1"/>
  <c r="H78" i="8" s="1"/>
  <c r="F10" i="5"/>
  <c r="G174" i="8" s="1"/>
  <c r="G77" i="8" s="1"/>
  <c r="G78" i="8" s="1"/>
  <c r="H127" i="11"/>
  <c r="P39" i="11"/>
  <c r="O59" i="11"/>
  <c r="O63" i="11" s="1"/>
  <c r="O64" i="11" s="1"/>
  <c r="K29" i="9"/>
  <c r="X29" i="9"/>
  <c r="Z29" i="9" s="1"/>
  <c r="K26" i="9"/>
  <c r="X26" i="9"/>
  <c r="N26" i="11"/>
  <c r="Y25" i="9"/>
  <c r="N47" i="11"/>
  <c r="N19" i="11"/>
  <c r="P50" i="11"/>
  <c r="T50" i="11" s="1"/>
  <c r="AX7" i="5"/>
  <c r="AX6" i="5"/>
  <c r="H84" i="11"/>
  <c r="R84" i="11" s="1"/>
  <c r="S84" i="11" s="1"/>
  <c r="D11" i="5"/>
  <c r="H170" i="8" s="1"/>
  <c r="H73" i="8" s="1"/>
  <c r="H74" i="8" s="1"/>
  <c r="D6" i="5"/>
  <c r="J16" i="5"/>
  <c r="J15" i="5"/>
  <c r="L182" i="8" s="1"/>
  <c r="L85" i="8" s="1"/>
  <c r="L86" i="8" s="1"/>
  <c r="F111" i="24"/>
  <c r="F112" i="24" s="1"/>
  <c r="G114" i="24"/>
  <c r="V23" i="9"/>
  <c r="AT14" i="5"/>
  <c r="AT6" i="5"/>
  <c r="AT7" i="5"/>
  <c r="H16" i="5"/>
  <c r="H14" i="5"/>
  <c r="K178" i="8" s="1"/>
  <c r="K81" i="8" s="1"/>
  <c r="K82" i="8" s="1"/>
  <c r="H13" i="5"/>
  <c r="J178" i="8" s="1"/>
  <c r="J81" i="8" s="1"/>
  <c r="J82" i="8" s="1"/>
  <c r="H8" i="5"/>
  <c r="E178" i="8" s="1"/>
  <c r="E81" i="8" s="1"/>
  <c r="E82" i="8" s="1"/>
  <c r="V18" i="9"/>
  <c r="K6" i="9"/>
  <c r="V6" i="9"/>
  <c r="G81" i="11"/>
  <c r="H81" i="11" s="1"/>
  <c r="N30" i="11"/>
  <c r="Y16" i="9"/>
  <c r="D13" i="11"/>
  <c r="D14" i="11"/>
  <c r="M199" i="8" s="1"/>
  <c r="N18" i="11"/>
  <c r="R18" i="11" s="1"/>
  <c r="D41" i="11"/>
  <c r="M115" i="24"/>
  <c r="O115" i="24" s="1"/>
  <c r="O119" i="24" s="1"/>
  <c r="E101" i="24" s="1"/>
  <c r="F101" i="24" s="1"/>
  <c r="F103" i="24" s="1"/>
  <c r="G107" i="24" s="1"/>
  <c r="G115" i="24" s="1"/>
  <c r="D35" i="11"/>
  <c r="R24" i="26"/>
  <c r="D12" i="11" s="1"/>
  <c r="M191" i="8" s="1"/>
  <c r="C40" i="11"/>
  <c r="D79" i="11"/>
  <c r="D42" i="11"/>
  <c r="D38" i="11"/>
  <c r="D40" i="11"/>
  <c r="Z16" i="5"/>
  <c r="Z10" i="5"/>
  <c r="G214" i="8" s="1"/>
  <c r="Z12" i="5"/>
  <c r="I214" i="8" s="1"/>
  <c r="Z13" i="5"/>
  <c r="J214" i="8" s="1"/>
  <c r="Z14" i="5"/>
  <c r="K214" i="8" s="1"/>
  <c r="Z15" i="5"/>
  <c r="L214" i="8" s="1"/>
  <c r="Z11" i="5"/>
  <c r="H214" i="8" s="1"/>
  <c r="Z7" i="5"/>
  <c r="D214" i="8" s="1"/>
  <c r="Z8" i="5"/>
  <c r="E214" i="8" s="1"/>
  <c r="Z6" i="5"/>
  <c r="H85" i="11"/>
  <c r="R85" i="11" s="1"/>
  <c r="S85" i="11" s="1"/>
  <c r="N46" i="11"/>
  <c r="R46" i="11" s="1"/>
  <c r="H116" i="11"/>
  <c r="O32" i="9"/>
  <c r="V17" i="9"/>
  <c r="K17" i="9"/>
  <c r="X17" i="9"/>
  <c r="Z17" i="9" s="1"/>
  <c r="H115" i="11"/>
  <c r="T30" i="9"/>
  <c r="O30" i="9"/>
  <c r="V16" i="9"/>
  <c r="O31" i="11"/>
  <c r="Z15" i="9"/>
  <c r="K15" i="9"/>
  <c r="V15" i="9"/>
  <c r="N16" i="11"/>
  <c r="N44" i="11"/>
  <c r="V12" i="5"/>
  <c r="I206" i="8" s="1"/>
  <c r="V11" i="5"/>
  <c r="H206" i="8" s="1"/>
  <c r="V13" i="5"/>
  <c r="J206" i="8" s="1"/>
  <c r="V8" i="5"/>
  <c r="E206" i="8" s="1"/>
  <c r="V14" i="5"/>
  <c r="K206" i="8" s="1"/>
  <c r="V10" i="5"/>
  <c r="G206" i="8" s="1"/>
  <c r="V15" i="5"/>
  <c r="L206" i="8" s="1"/>
  <c r="V16" i="5"/>
  <c r="V9" i="5"/>
  <c r="F206" i="8" s="1"/>
  <c r="V7" i="5"/>
  <c r="D206" i="8" s="1"/>
  <c r="H113" i="11"/>
  <c r="R10" i="11"/>
  <c r="C31" i="11"/>
  <c r="E10" i="11"/>
  <c r="T6" i="5"/>
  <c r="T15" i="5"/>
  <c r="L202" i="8" s="1"/>
  <c r="T8" i="5"/>
  <c r="E202" i="8" s="1"/>
  <c r="T16" i="5"/>
  <c r="T14" i="5"/>
  <c r="K202" i="8" s="1"/>
  <c r="T10" i="5"/>
  <c r="G202" i="8" s="1"/>
  <c r="T9" i="5"/>
  <c r="F202" i="8" s="1"/>
  <c r="T13" i="5"/>
  <c r="J202" i="8" s="1"/>
  <c r="T7" i="5"/>
  <c r="D202" i="8" s="1"/>
  <c r="T12" i="5"/>
  <c r="I202" i="8" s="1"/>
  <c r="T32" i="9"/>
  <c r="Y14" i="9"/>
  <c r="N15" i="11"/>
  <c r="D30" i="9"/>
  <c r="N43" i="11"/>
  <c r="J235" i="8" l="1"/>
  <c r="J236" i="8" s="1"/>
  <c r="P27" i="11"/>
  <c r="T27" i="11" s="1"/>
  <c r="Z22" i="9"/>
  <c r="Z26" i="9"/>
  <c r="Z18" i="9"/>
  <c r="I113" i="8"/>
  <c r="I114" i="8" s="1"/>
  <c r="L113" i="8"/>
  <c r="L114" i="8" s="1"/>
  <c r="F211" i="8"/>
  <c r="F212" i="8" s="1"/>
  <c r="D211" i="8"/>
  <c r="D212" i="8" s="1"/>
  <c r="E211" i="8"/>
  <c r="E212" i="8" s="1"/>
  <c r="X17" i="5"/>
  <c r="E129" i="11"/>
  <c r="C130" i="11" s="1"/>
  <c r="E98" i="8"/>
  <c r="S11" i="11"/>
  <c r="E11" i="11"/>
  <c r="T11" i="11" s="1"/>
  <c r="E8" i="11"/>
  <c r="S8" i="11"/>
  <c r="D183" i="8"/>
  <c r="D184" i="8" s="1"/>
  <c r="F183" i="8"/>
  <c r="F184" i="8" s="1"/>
  <c r="C183" i="8"/>
  <c r="C184" i="8" s="1"/>
  <c r="S10" i="11"/>
  <c r="M179" i="8"/>
  <c r="K179" i="8" s="1"/>
  <c r="K180" i="8" s="1"/>
  <c r="E9" i="11"/>
  <c r="T9" i="11" s="1"/>
  <c r="S9" i="11"/>
  <c r="R8" i="11"/>
  <c r="T8" i="11"/>
  <c r="Z8" i="9"/>
  <c r="P38" i="11"/>
  <c r="M81" i="8"/>
  <c r="M178" i="8" s="1"/>
  <c r="M85" i="8"/>
  <c r="D86" i="8"/>
  <c r="M182" i="8"/>
  <c r="T7" i="11"/>
  <c r="Z6" i="9"/>
  <c r="M77" i="8"/>
  <c r="M174" i="8" s="1"/>
  <c r="M73" i="8"/>
  <c r="M170" i="8" s="1"/>
  <c r="D62" i="11"/>
  <c r="T61" i="11"/>
  <c r="T66" i="11" s="1"/>
  <c r="C62" i="11"/>
  <c r="H157" i="8"/>
  <c r="H158" i="8" s="1"/>
  <c r="H256" i="8"/>
  <c r="G165" i="8"/>
  <c r="G166" i="8" s="1"/>
  <c r="G263" i="8"/>
  <c r="G264" i="8" s="1"/>
  <c r="L165" i="8"/>
  <c r="L166" i="8" s="1"/>
  <c r="L263" i="8"/>
  <c r="L264" i="8" s="1"/>
  <c r="L161" i="8"/>
  <c r="L162" i="8" s="1"/>
  <c r="L259" i="8"/>
  <c r="L260" i="8" s="1"/>
  <c r="I161" i="8"/>
  <c r="I162" i="8" s="1"/>
  <c r="I259" i="8"/>
  <c r="I260" i="8" s="1"/>
  <c r="E161" i="8"/>
  <c r="E162" i="8" s="1"/>
  <c r="E259" i="8"/>
  <c r="E260" i="8" s="1"/>
  <c r="I165" i="8"/>
  <c r="I166" i="8" s="1"/>
  <c r="I263" i="8"/>
  <c r="I264" i="8" s="1"/>
  <c r="I157" i="8"/>
  <c r="I158" i="8" s="1"/>
  <c r="I256" i="8"/>
  <c r="D161" i="8"/>
  <c r="M258" i="8"/>
  <c r="D259" i="8"/>
  <c r="D260" i="8" s="1"/>
  <c r="E157" i="8"/>
  <c r="E158" i="8" s="1"/>
  <c r="E256" i="8"/>
  <c r="F157" i="8"/>
  <c r="F158" i="8" s="1"/>
  <c r="F256" i="8"/>
  <c r="E165" i="8"/>
  <c r="E166" i="8" s="1"/>
  <c r="E263" i="8"/>
  <c r="E264" i="8" s="1"/>
  <c r="H161" i="8"/>
  <c r="H162" i="8" s="1"/>
  <c r="H259" i="8"/>
  <c r="H260" i="8" s="1"/>
  <c r="K161" i="8"/>
  <c r="K162" i="8" s="1"/>
  <c r="K259" i="8"/>
  <c r="K260" i="8" s="1"/>
  <c r="J165" i="8"/>
  <c r="J166" i="8" s="1"/>
  <c r="J263" i="8"/>
  <c r="J264" i="8" s="1"/>
  <c r="L157" i="8"/>
  <c r="L158" i="8" s="1"/>
  <c r="L256" i="8"/>
  <c r="H165" i="8"/>
  <c r="H166" i="8" s="1"/>
  <c r="H263" i="8"/>
  <c r="H264" i="8" s="1"/>
  <c r="G161" i="8"/>
  <c r="G162" i="8" s="1"/>
  <c r="G259" i="8"/>
  <c r="G260" i="8" s="1"/>
  <c r="K157" i="8"/>
  <c r="K158" i="8" s="1"/>
  <c r="K256" i="8"/>
  <c r="D157" i="8"/>
  <c r="M254" i="8"/>
  <c r="D256" i="8"/>
  <c r="D165" i="8"/>
  <c r="M262" i="8"/>
  <c r="D263" i="8"/>
  <c r="D264" i="8" s="1"/>
  <c r="J157" i="8"/>
  <c r="J158" i="8" s="1"/>
  <c r="J256" i="8"/>
  <c r="K165" i="8"/>
  <c r="K166" i="8" s="1"/>
  <c r="K263" i="8"/>
  <c r="K264" i="8" s="1"/>
  <c r="J161" i="8"/>
  <c r="J162" i="8" s="1"/>
  <c r="J259" i="8"/>
  <c r="J260" i="8" s="1"/>
  <c r="G153" i="8"/>
  <c r="G154" i="8" s="1"/>
  <c r="G251" i="8"/>
  <c r="G252" i="8" s="1"/>
  <c r="E153" i="8"/>
  <c r="E154" i="8" s="1"/>
  <c r="E251" i="8"/>
  <c r="E252" i="8" s="1"/>
  <c r="D153" i="8"/>
  <c r="M250" i="8"/>
  <c r="D251" i="8"/>
  <c r="D252" i="8" s="1"/>
  <c r="I153" i="8"/>
  <c r="I154" i="8" s="1"/>
  <c r="I251" i="8"/>
  <c r="I252" i="8" s="1"/>
  <c r="K153" i="8"/>
  <c r="K154" i="8" s="1"/>
  <c r="K251" i="8"/>
  <c r="K252" i="8" s="1"/>
  <c r="F153" i="8"/>
  <c r="F154" i="8" s="1"/>
  <c r="F251" i="8"/>
  <c r="F252" i="8" s="1"/>
  <c r="J153" i="8"/>
  <c r="J154" i="8" s="1"/>
  <c r="J251" i="8"/>
  <c r="J252" i="8" s="1"/>
  <c r="E149" i="8"/>
  <c r="E150" i="8" s="1"/>
  <c r="E247" i="8"/>
  <c r="E248" i="8" s="1"/>
  <c r="F149" i="8"/>
  <c r="F150" i="8" s="1"/>
  <c r="F247" i="8"/>
  <c r="F248" i="8" s="1"/>
  <c r="G149" i="8"/>
  <c r="G150" i="8" s="1"/>
  <c r="G247" i="8"/>
  <c r="G248" i="8" s="1"/>
  <c r="H149" i="8"/>
  <c r="H150" i="8" s="1"/>
  <c r="H247" i="8"/>
  <c r="H248" i="8" s="1"/>
  <c r="J149" i="8"/>
  <c r="J150" i="8" s="1"/>
  <c r="J247" i="8"/>
  <c r="J248" i="8" s="1"/>
  <c r="I149" i="8"/>
  <c r="I150" i="8" s="1"/>
  <c r="I247" i="8"/>
  <c r="I248" i="8" s="1"/>
  <c r="L149" i="8"/>
  <c r="L150" i="8" s="1"/>
  <c r="L247" i="8"/>
  <c r="L248" i="8" s="1"/>
  <c r="D149" i="8"/>
  <c r="M246" i="8"/>
  <c r="D247" i="8"/>
  <c r="D248" i="8" s="1"/>
  <c r="K149" i="8"/>
  <c r="K150" i="8" s="1"/>
  <c r="K247" i="8"/>
  <c r="K248" i="8" s="1"/>
  <c r="K145" i="8"/>
  <c r="K146" i="8" s="1"/>
  <c r="K243" i="8"/>
  <c r="K244" i="8" s="1"/>
  <c r="E145" i="8"/>
  <c r="E146" i="8" s="1"/>
  <c r="E243" i="8"/>
  <c r="E244" i="8" s="1"/>
  <c r="J145" i="8"/>
  <c r="J146" i="8" s="1"/>
  <c r="J243" i="8"/>
  <c r="J244" i="8" s="1"/>
  <c r="D146" i="8"/>
  <c r="G145" i="8"/>
  <c r="G146" i="8" s="1"/>
  <c r="G243" i="8"/>
  <c r="G244" i="8" s="1"/>
  <c r="I145" i="8"/>
  <c r="I146" i="8" s="1"/>
  <c r="I243" i="8"/>
  <c r="I244" i="8" s="1"/>
  <c r="F145" i="8"/>
  <c r="F146" i="8" s="1"/>
  <c r="F243" i="8"/>
  <c r="F244" i="8" s="1"/>
  <c r="H145" i="8"/>
  <c r="H146" i="8" s="1"/>
  <c r="H243" i="8"/>
  <c r="H244" i="8" s="1"/>
  <c r="F141" i="8"/>
  <c r="F142" i="8" s="1"/>
  <c r="F239" i="8"/>
  <c r="F240" i="8" s="1"/>
  <c r="H141" i="8"/>
  <c r="H142" i="8" s="1"/>
  <c r="H239" i="8"/>
  <c r="H240" i="8" s="1"/>
  <c r="L141" i="8"/>
  <c r="L142" i="8" s="1"/>
  <c r="L239" i="8"/>
  <c r="L240" i="8" s="1"/>
  <c r="J141" i="8"/>
  <c r="J142" i="8" s="1"/>
  <c r="J239" i="8"/>
  <c r="J240" i="8" s="1"/>
  <c r="K141" i="8"/>
  <c r="K142" i="8" s="1"/>
  <c r="K239" i="8"/>
  <c r="K240" i="8" s="1"/>
  <c r="D141" i="8"/>
  <c r="M238" i="8"/>
  <c r="D239" i="8"/>
  <c r="D240" i="8" s="1"/>
  <c r="E141" i="8"/>
  <c r="E142" i="8" s="1"/>
  <c r="E239" i="8"/>
  <c r="E240" i="8" s="1"/>
  <c r="G141" i="8"/>
  <c r="G142" i="8" s="1"/>
  <c r="G239" i="8"/>
  <c r="G240" i="8" s="1"/>
  <c r="E137" i="8"/>
  <c r="E138" i="8" s="1"/>
  <c r="E235" i="8"/>
  <c r="E236" i="8" s="1"/>
  <c r="F137" i="8"/>
  <c r="F138" i="8" s="1"/>
  <c r="F235" i="8"/>
  <c r="F236" i="8" s="1"/>
  <c r="H137" i="8"/>
  <c r="H138" i="8" s="1"/>
  <c r="H235" i="8"/>
  <c r="H236" i="8" s="1"/>
  <c r="G137" i="8"/>
  <c r="G138" i="8" s="1"/>
  <c r="G235" i="8"/>
  <c r="G236" i="8" s="1"/>
  <c r="D138" i="8"/>
  <c r="K133" i="8"/>
  <c r="K134" i="8" s="1"/>
  <c r="K231" i="8"/>
  <c r="K232" i="8" s="1"/>
  <c r="L133" i="8"/>
  <c r="L134" i="8" s="1"/>
  <c r="L231" i="8"/>
  <c r="L232" i="8" s="1"/>
  <c r="D134" i="8"/>
  <c r="J129" i="8"/>
  <c r="J130" i="8" s="1"/>
  <c r="J227" i="8"/>
  <c r="J228" i="8" s="1"/>
  <c r="D129" i="8"/>
  <c r="D227" i="8"/>
  <c r="D228" i="8" s="1"/>
  <c r="H129" i="8"/>
  <c r="H130" i="8" s="1"/>
  <c r="H227" i="8"/>
  <c r="H228" i="8" s="1"/>
  <c r="I129" i="8"/>
  <c r="I130" i="8" s="1"/>
  <c r="I227" i="8"/>
  <c r="I228" i="8" s="1"/>
  <c r="G129" i="8"/>
  <c r="G130" i="8" s="1"/>
  <c r="G227" i="8"/>
  <c r="G228" i="8" s="1"/>
  <c r="K129" i="8"/>
  <c r="K130" i="8" s="1"/>
  <c r="K227" i="8"/>
  <c r="K228" i="8" s="1"/>
  <c r="L129" i="8"/>
  <c r="L130" i="8" s="1"/>
  <c r="L227" i="8"/>
  <c r="L228" i="8" s="1"/>
  <c r="E129" i="8"/>
  <c r="E130" i="8" s="1"/>
  <c r="E227" i="8"/>
  <c r="E228" i="8" s="1"/>
  <c r="F129" i="8"/>
  <c r="F130" i="8" s="1"/>
  <c r="F227" i="8"/>
  <c r="F228" i="8" s="1"/>
  <c r="J121" i="8"/>
  <c r="J122" i="8" s="1"/>
  <c r="J219" i="8"/>
  <c r="J220" i="8" s="1"/>
  <c r="L121" i="8"/>
  <c r="L122" i="8" s="1"/>
  <c r="L219" i="8"/>
  <c r="L220" i="8" s="1"/>
  <c r="K121" i="8"/>
  <c r="K122" i="8" s="1"/>
  <c r="K219" i="8"/>
  <c r="K220" i="8" s="1"/>
  <c r="I121" i="8"/>
  <c r="I122" i="8" s="1"/>
  <c r="I219" i="8"/>
  <c r="I220" i="8" s="1"/>
  <c r="D121" i="8"/>
  <c r="D219" i="8"/>
  <c r="D220" i="8" s="1"/>
  <c r="F121" i="8"/>
  <c r="F122" i="8" s="1"/>
  <c r="F219" i="8"/>
  <c r="F220" i="8" s="1"/>
  <c r="J117" i="8"/>
  <c r="J118" i="8" s="1"/>
  <c r="J215" i="8"/>
  <c r="J216" i="8" s="1"/>
  <c r="I117" i="8"/>
  <c r="I118" i="8" s="1"/>
  <c r="I215" i="8"/>
  <c r="I216" i="8" s="1"/>
  <c r="L117" i="8"/>
  <c r="L118" i="8" s="1"/>
  <c r="L215" i="8"/>
  <c r="L216" i="8" s="1"/>
  <c r="G117" i="8"/>
  <c r="G118" i="8" s="1"/>
  <c r="G215" i="8"/>
  <c r="G216" i="8" s="1"/>
  <c r="D117" i="8"/>
  <c r="D215" i="8"/>
  <c r="D216" i="8" s="1"/>
  <c r="H117" i="8"/>
  <c r="H118" i="8" s="1"/>
  <c r="H215" i="8"/>
  <c r="H216" i="8" s="1"/>
  <c r="E117" i="8"/>
  <c r="E118" i="8" s="1"/>
  <c r="E215" i="8"/>
  <c r="E216" i="8" s="1"/>
  <c r="K117" i="8"/>
  <c r="K118" i="8" s="1"/>
  <c r="K215" i="8"/>
  <c r="K216" i="8" s="1"/>
  <c r="M113" i="8"/>
  <c r="M210" i="8" s="1"/>
  <c r="D114" i="8"/>
  <c r="E109" i="8"/>
  <c r="E110" i="8" s="1"/>
  <c r="E207" i="8"/>
  <c r="E208" i="8" s="1"/>
  <c r="L109" i="8"/>
  <c r="L110" i="8" s="1"/>
  <c r="L207" i="8"/>
  <c r="L208" i="8" s="1"/>
  <c r="J109" i="8"/>
  <c r="J110" i="8" s="1"/>
  <c r="J207" i="8"/>
  <c r="J208" i="8" s="1"/>
  <c r="D109" i="8"/>
  <c r="D207" i="8"/>
  <c r="D208" i="8" s="1"/>
  <c r="H109" i="8"/>
  <c r="H110" i="8" s="1"/>
  <c r="H207" i="8"/>
  <c r="H208" i="8" s="1"/>
  <c r="G109" i="8"/>
  <c r="G110" i="8" s="1"/>
  <c r="G207" i="8"/>
  <c r="G208" i="8" s="1"/>
  <c r="F109" i="8"/>
  <c r="F110" i="8" s="1"/>
  <c r="F207" i="8"/>
  <c r="F208" i="8" s="1"/>
  <c r="K109" i="8"/>
  <c r="K110" i="8" s="1"/>
  <c r="K207" i="8"/>
  <c r="K208" i="8" s="1"/>
  <c r="I109" i="8"/>
  <c r="I110" i="8" s="1"/>
  <c r="I207" i="8"/>
  <c r="I208" i="8" s="1"/>
  <c r="J105" i="8"/>
  <c r="J106" i="8" s="1"/>
  <c r="J203" i="8"/>
  <c r="J204" i="8" s="1"/>
  <c r="F105" i="8"/>
  <c r="F106" i="8" s="1"/>
  <c r="F203" i="8"/>
  <c r="F204" i="8" s="1"/>
  <c r="E105" i="8"/>
  <c r="E106" i="8" s="1"/>
  <c r="E203" i="8"/>
  <c r="E204" i="8" s="1"/>
  <c r="G105" i="8"/>
  <c r="G106" i="8" s="1"/>
  <c r="G203" i="8"/>
  <c r="G204" i="8" s="1"/>
  <c r="L105" i="8"/>
  <c r="L106" i="8" s="1"/>
  <c r="L203" i="8"/>
  <c r="L204" i="8" s="1"/>
  <c r="I105" i="8"/>
  <c r="I106" i="8" s="1"/>
  <c r="I203" i="8"/>
  <c r="I204" i="8" s="1"/>
  <c r="D105" i="8"/>
  <c r="D203" i="8"/>
  <c r="D204" i="8" s="1"/>
  <c r="K105" i="8"/>
  <c r="K106" i="8" s="1"/>
  <c r="K203" i="8"/>
  <c r="K204" i="8" s="1"/>
  <c r="D89" i="8"/>
  <c r="M186" i="8"/>
  <c r="G183" i="8"/>
  <c r="G184" i="8" s="1"/>
  <c r="L183" i="8"/>
  <c r="L184" i="8" s="1"/>
  <c r="I183" i="8"/>
  <c r="I184" i="8" s="1"/>
  <c r="J183" i="8"/>
  <c r="J184" i="8" s="1"/>
  <c r="K183" i="8"/>
  <c r="K184" i="8" s="1"/>
  <c r="J179" i="8"/>
  <c r="J180" i="8" s="1"/>
  <c r="E179" i="8"/>
  <c r="E180" i="8" s="1"/>
  <c r="Z23" i="9"/>
  <c r="P18" i="11"/>
  <c r="T18" i="11" s="1"/>
  <c r="P35" i="11"/>
  <c r="Z16" i="9"/>
  <c r="D34" i="17"/>
  <c r="P46" i="11"/>
  <c r="T46" i="11" s="1"/>
  <c r="Z20" i="9"/>
  <c r="P58" i="11"/>
  <c r="T58" i="11" s="1"/>
  <c r="P45" i="11"/>
  <c r="T45" i="11" s="1"/>
  <c r="E13" i="11"/>
  <c r="T13" i="11" s="1"/>
  <c r="M195" i="8"/>
  <c r="C191" i="8"/>
  <c r="C192" i="8" s="1"/>
  <c r="L191" i="8"/>
  <c r="L192" i="8" s="1"/>
  <c r="D191" i="8"/>
  <c r="D192" i="8" s="1"/>
  <c r="J191" i="8"/>
  <c r="J192" i="8" s="1"/>
  <c r="K191" i="8"/>
  <c r="K192" i="8" s="1"/>
  <c r="I191" i="8"/>
  <c r="I192" i="8" s="1"/>
  <c r="F191" i="8"/>
  <c r="F192" i="8" s="1"/>
  <c r="G191" i="8"/>
  <c r="G192" i="8" s="1"/>
  <c r="E191" i="8"/>
  <c r="E192" i="8" s="1"/>
  <c r="H191" i="8"/>
  <c r="H192" i="8" s="1"/>
  <c r="E175" i="8"/>
  <c r="E176" i="8" s="1"/>
  <c r="D175" i="8"/>
  <c r="D176" i="8" s="1"/>
  <c r="C175" i="8"/>
  <c r="C176" i="8" s="1"/>
  <c r="J175" i="8"/>
  <c r="J176" i="8" s="1"/>
  <c r="F175" i="8"/>
  <c r="F176" i="8" s="1"/>
  <c r="L175" i="8"/>
  <c r="L176" i="8" s="1"/>
  <c r="K175" i="8"/>
  <c r="K176" i="8" s="1"/>
  <c r="H175" i="8"/>
  <c r="H176" i="8" s="1"/>
  <c r="G175" i="8"/>
  <c r="G176" i="8" s="1"/>
  <c r="I175" i="8"/>
  <c r="I176" i="8" s="1"/>
  <c r="S39" i="11"/>
  <c r="E39" i="11"/>
  <c r="T39" i="11" s="1"/>
  <c r="G109" i="11"/>
  <c r="H109" i="11" s="1"/>
  <c r="C199" i="8"/>
  <c r="C200" i="8" s="1"/>
  <c r="L199" i="8"/>
  <c r="L200" i="8" s="1"/>
  <c r="J199" i="8"/>
  <c r="J200" i="8" s="1"/>
  <c r="G199" i="8"/>
  <c r="G200" i="8" s="1"/>
  <c r="I199" i="8"/>
  <c r="I200" i="8" s="1"/>
  <c r="H199" i="8"/>
  <c r="H200" i="8" s="1"/>
  <c r="F199" i="8"/>
  <c r="F200" i="8" s="1"/>
  <c r="E199" i="8"/>
  <c r="E200" i="8" s="1"/>
  <c r="D199" i="8"/>
  <c r="D200" i="8" s="1"/>
  <c r="K199" i="8"/>
  <c r="K200" i="8" s="1"/>
  <c r="C187" i="8"/>
  <c r="C188" i="8" s="1"/>
  <c r="D187" i="8"/>
  <c r="D188" i="8" s="1"/>
  <c r="G187" i="8"/>
  <c r="G188" i="8" s="1"/>
  <c r="E187" i="8"/>
  <c r="E188" i="8" s="1"/>
  <c r="F187" i="8"/>
  <c r="F188" i="8" s="1"/>
  <c r="J187" i="8"/>
  <c r="J188" i="8" s="1"/>
  <c r="H187" i="8"/>
  <c r="H188" i="8" s="1"/>
  <c r="L187" i="8"/>
  <c r="L188" i="8" s="1"/>
  <c r="K187" i="8"/>
  <c r="K188" i="8" s="1"/>
  <c r="I187" i="8"/>
  <c r="I188" i="8" s="1"/>
  <c r="E171" i="8"/>
  <c r="E172" i="8" s="1"/>
  <c r="I171" i="8"/>
  <c r="I172" i="8" s="1"/>
  <c r="L171" i="8"/>
  <c r="L172" i="8" s="1"/>
  <c r="K171" i="8"/>
  <c r="K172" i="8" s="1"/>
  <c r="H171" i="8"/>
  <c r="H172" i="8" s="1"/>
  <c r="G171" i="8"/>
  <c r="G172" i="8" s="1"/>
  <c r="J171" i="8"/>
  <c r="J172" i="8" s="1"/>
  <c r="D171" i="8"/>
  <c r="D172" i="8" s="1"/>
  <c r="C171" i="8"/>
  <c r="C172" i="8" s="1"/>
  <c r="F171" i="8"/>
  <c r="F172" i="8" s="1"/>
  <c r="P26" i="11"/>
  <c r="T26" i="11" s="1"/>
  <c r="R26" i="11"/>
  <c r="P51" i="11"/>
  <c r="T51" i="11" s="1"/>
  <c r="P23" i="11"/>
  <c r="T23" i="11" s="1"/>
  <c r="R23" i="11"/>
  <c r="P20" i="11"/>
  <c r="T20" i="11" s="1"/>
  <c r="R20" i="11"/>
  <c r="P47" i="11"/>
  <c r="T47" i="11" s="1"/>
  <c r="P52" i="11"/>
  <c r="T52" i="11" s="1"/>
  <c r="P19" i="11"/>
  <c r="T19" i="11" s="1"/>
  <c r="R19" i="11"/>
  <c r="P24" i="11"/>
  <c r="T24" i="11" s="1"/>
  <c r="R24" i="11"/>
  <c r="P28" i="11"/>
  <c r="T28" i="11" s="1"/>
  <c r="R28" i="11"/>
  <c r="P29" i="11"/>
  <c r="T29" i="11" s="1"/>
  <c r="F17" i="5"/>
  <c r="AH17" i="5"/>
  <c r="AJ17" i="5"/>
  <c r="H17" i="5"/>
  <c r="D17" i="5"/>
  <c r="AV17" i="5"/>
  <c r="S94" i="28"/>
  <c r="V105" i="28" s="1"/>
  <c r="V113" i="28" s="1"/>
  <c r="V93" i="28"/>
  <c r="V94" i="28" s="1"/>
  <c r="P30" i="11"/>
  <c r="T30" i="11" s="1"/>
  <c r="R30" i="11"/>
  <c r="AX17" i="5"/>
  <c r="Z28" i="9"/>
  <c r="AT17" i="5"/>
  <c r="AR17" i="5"/>
  <c r="J62" i="11"/>
  <c r="Z25" i="9"/>
  <c r="AP17" i="5"/>
  <c r="Z21" i="9"/>
  <c r="Z24" i="9"/>
  <c r="AN17" i="5"/>
  <c r="AL17" i="5"/>
  <c r="AB17" i="5"/>
  <c r="P21" i="11"/>
  <c r="T21" i="11" s="1"/>
  <c r="R21" i="11"/>
  <c r="R7" i="11"/>
  <c r="Z27" i="9"/>
  <c r="T10" i="11"/>
  <c r="R36" i="11"/>
  <c r="R37" i="11"/>
  <c r="G112" i="11"/>
  <c r="H112" i="11" s="1"/>
  <c r="E42" i="11"/>
  <c r="T42" i="11" s="1"/>
  <c r="S12" i="11"/>
  <c r="E12" i="11"/>
  <c r="T12" i="11" s="1"/>
  <c r="D31" i="11"/>
  <c r="G111" i="11"/>
  <c r="H111" i="11" s="1"/>
  <c r="E41" i="11"/>
  <c r="T41" i="11" s="1"/>
  <c r="P17" i="5"/>
  <c r="T36" i="11"/>
  <c r="C59" i="11"/>
  <c r="C33" i="9"/>
  <c r="G110" i="11"/>
  <c r="H110" i="11" s="1"/>
  <c r="E40" i="11"/>
  <c r="T40" i="11" s="1"/>
  <c r="D98" i="11"/>
  <c r="E79" i="11"/>
  <c r="J17" i="5"/>
  <c r="G108" i="11"/>
  <c r="H108" i="11" s="1"/>
  <c r="S38" i="11"/>
  <c r="E38" i="11"/>
  <c r="R81" i="11"/>
  <c r="S81" i="11" s="1"/>
  <c r="G98" i="11"/>
  <c r="H76" i="11"/>
  <c r="R76" i="11" s="1"/>
  <c r="S76" i="11" s="1"/>
  <c r="P44" i="11"/>
  <c r="T44" i="11" s="1"/>
  <c r="S13" i="11"/>
  <c r="P15" i="11"/>
  <c r="T15" i="11" s="1"/>
  <c r="R15" i="11"/>
  <c r="B33" i="9"/>
  <c r="D33" i="9"/>
  <c r="Y30" i="9"/>
  <c r="E35" i="11"/>
  <c r="G105" i="11"/>
  <c r="S35" i="11"/>
  <c r="D59" i="11"/>
  <c r="F11" i="18" s="1"/>
  <c r="F36" i="18" s="1"/>
  <c r="S14" i="11"/>
  <c r="E14" i="11"/>
  <c r="T14" i="11" s="1"/>
  <c r="F22" i="24"/>
  <c r="G26" i="24" s="1"/>
  <c r="G34" i="24" s="1"/>
  <c r="S37" i="11"/>
  <c r="E37" i="11"/>
  <c r="T37" i="11" s="1"/>
  <c r="G107" i="11"/>
  <c r="H107" i="11" s="1"/>
  <c r="L17" i="5"/>
  <c r="Z17" i="5"/>
  <c r="Y32" i="9"/>
  <c r="R16" i="11"/>
  <c r="P16" i="11"/>
  <c r="T16" i="11" s="1"/>
  <c r="V17" i="5"/>
  <c r="T17" i="5"/>
  <c r="N31" i="11"/>
  <c r="R31" i="11" s="1"/>
  <c r="P43" i="11"/>
  <c r="N59" i="11"/>
  <c r="M256" i="8" l="1"/>
  <c r="H28" i="11" s="1"/>
  <c r="H56" i="11" s="1"/>
  <c r="M252" i="8"/>
  <c r="H27" i="11" s="1"/>
  <c r="H55" i="11" s="1"/>
  <c r="M232" i="8"/>
  <c r="H22" i="11" s="1"/>
  <c r="H50" i="11" s="1"/>
  <c r="M240" i="8"/>
  <c r="H24" i="11" s="1"/>
  <c r="H52" i="11" s="1"/>
  <c r="M244" i="8"/>
  <c r="H25" i="11" s="1"/>
  <c r="H53" i="11" s="1"/>
  <c r="M236" i="8"/>
  <c r="H23" i="11" s="1"/>
  <c r="H51" i="11" s="1"/>
  <c r="M248" i="8"/>
  <c r="H26" i="11" s="1"/>
  <c r="H54" i="11" s="1"/>
  <c r="M145" i="8"/>
  <c r="M137" i="8"/>
  <c r="M133" i="8"/>
  <c r="M228" i="8"/>
  <c r="H21" i="11" s="1"/>
  <c r="H49" i="11" s="1"/>
  <c r="M220" i="8"/>
  <c r="H19" i="11" s="1"/>
  <c r="H47" i="11" s="1"/>
  <c r="D130" i="11"/>
  <c r="M216" i="8"/>
  <c r="H18" i="11" s="1"/>
  <c r="E62" i="11"/>
  <c r="M212" i="8"/>
  <c r="H17" i="11" s="1"/>
  <c r="H45" i="11" s="1"/>
  <c r="M208" i="8"/>
  <c r="H16" i="11" s="1"/>
  <c r="H44" i="11" s="1"/>
  <c r="M204" i="8"/>
  <c r="H15" i="11" s="1"/>
  <c r="H43" i="11" s="1"/>
  <c r="M184" i="8"/>
  <c r="D179" i="8"/>
  <c r="D180" i="8" s="1"/>
  <c r="F179" i="8"/>
  <c r="F180" i="8" s="1"/>
  <c r="C179" i="8"/>
  <c r="C180" i="8" s="1"/>
  <c r="L179" i="8"/>
  <c r="L180" i="8" s="1"/>
  <c r="H179" i="8"/>
  <c r="H180" i="8" s="1"/>
  <c r="I179" i="8"/>
  <c r="I180" i="8" s="1"/>
  <c r="G179" i="8"/>
  <c r="G180" i="8" s="1"/>
  <c r="T38" i="11"/>
  <c r="E31" i="11"/>
  <c r="C32" i="11" s="1"/>
  <c r="M157" i="8"/>
  <c r="D158" i="8"/>
  <c r="M165" i="8"/>
  <c r="D166" i="8"/>
  <c r="M260" i="8"/>
  <c r="H29" i="11" s="1"/>
  <c r="H57" i="11" s="1"/>
  <c r="M264" i="8"/>
  <c r="H30" i="11" s="1"/>
  <c r="H58" i="11" s="1"/>
  <c r="M161" i="8"/>
  <c r="D162" i="8"/>
  <c r="M153" i="8"/>
  <c r="D154" i="8"/>
  <c r="M149" i="8"/>
  <c r="D150" i="8"/>
  <c r="M141" i="8"/>
  <c r="D142" i="8"/>
  <c r="M129" i="8"/>
  <c r="M226" i="8" s="1"/>
  <c r="D130" i="8"/>
  <c r="M121" i="8"/>
  <c r="M218" i="8" s="1"/>
  <c r="D122" i="8"/>
  <c r="M117" i="8"/>
  <c r="M214" i="8" s="1"/>
  <c r="D118" i="8"/>
  <c r="M109" i="8"/>
  <c r="M206" i="8" s="1"/>
  <c r="D110" i="8"/>
  <c r="M105" i="8"/>
  <c r="M202" i="8" s="1"/>
  <c r="D106" i="8"/>
  <c r="M89" i="8"/>
  <c r="D90" i="8"/>
  <c r="M200" i="8"/>
  <c r="M176" i="8"/>
  <c r="M192" i="8"/>
  <c r="M188" i="8"/>
  <c r="M172" i="8"/>
  <c r="C195" i="8"/>
  <c r="C196" i="8" s="1"/>
  <c r="J195" i="8"/>
  <c r="J196" i="8" s="1"/>
  <c r="D195" i="8"/>
  <c r="D196" i="8" s="1"/>
  <c r="E195" i="8"/>
  <c r="E196" i="8" s="1"/>
  <c r="H195" i="8"/>
  <c r="H196" i="8" s="1"/>
  <c r="K195" i="8"/>
  <c r="K196" i="8" s="1"/>
  <c r="F195" i="8"/>
  <c r="F196" i="8" s="1"/>
  <c r="L195" i="8"/>
  <c r="L196" i="8" s="1"/>
  <c r="G195" i="8"/>
  <c r="G196" i="8" s="1"/>
  <c r="I195" i="8"/>
  <c r="I196" i="8" s="1"/>
  <c r="C63" i="11"/>
  <c r="C64" i="11" s="1"/>
  <c r="S31" i="11"/>
  <c r="E130" i="11"/>
  <c r="G99" i="11"/>
  <c r="P59" i="11"/>
  <c r="O60" i="11" s="1"/>
  <c r="T43" i="11"/>
  <c r="H105" i="11"/>
  <c r="H129" i="11" s="1"/>
  <c r="G129" i="11"/>
  <c r="H79" i="11"/>
  <c r="E98" i="11"/>
  <c r="D63" i="11"/>
  <c r="D64" i="11" s="1"/>
  <c r="S59" i="11"/>
  <c r="S63" i="11" s="1"/>
  <c r="S64" i="11" s="1"/>
  <c r="E59" i="11"/>
  <c r="T35" i="11"/>
  <c r="P31" i="11"/>
  <c r="R59" i="11"/>
  <c r="R63" i="11" s="1"/>
  <c r="R64" i="11" s="1"/>
  <c r="N63" i="11"/>
  <c r="N64" i="11" s="1"/>
  <c r="O85" i="11" l="1"/>
  <c r="H46" i="11"/>
  <c r="M180" i="8"/>
  <c r="T31" i="11"/>
  <c r="D32" i="11"/>
  <c r="M196" i="8"/>
  <c r="G130" i="11"/>
  <c r="E63" i="11"/>
  <c r="E64" i="11" s="1"/>
  <c r="D60" i="11"/>
  <c r="C60" i="11"/>
  <c r="N60" i="11"/>
  <c r="P60" i="11" s="1"/>
  <c r="T59" i="11"/>
  <c r="T63" i="11" s="1"/>
  <c r="T64" i="11" s="1"/>
  <c r="P63" i="11"/>
  <c r="P64" i="11" s="1"/>
  <c r="R79" i="11"/>
  <c r="S79" i="11" s="1"/>
  <c r="H98" i="11"/>
  <c r="C101" i="11"/>
  <c r="E99" i="11"/>
  <c r="H130" i="11"/>
  <c r="H11" i="11" l="1"/>
  <c r="E60" i="11"/>
  <c r="O86" i="11"/>
  <c r="D101" i="11"/>
  <c r="E101" i="11" s="1"/>
  <c r="H99" i="11"/>
  <c r="R98" i="11"/>
  <c r="X28" i="11" l="1"/>
  <c r="O95" i="11"/>
  <c r="X47" i="11"/>
  <c r="X19" i="11"/>
  <c r="O88" i="11"/>
  <c r="X11" i="11"/>
  <c r="H39" i="11"/>
  <c r="X39" i="11" s="1"/>
  <c r="O78" i="11"/>
  <c r="O83" i="11"/>
  <c r="X44" i="11"/>
  <c r="X16" i="11"/>
  <c r="H7" i="11"/>
  <c r="S98" i="11"/>
  <c r="S101" i="11" s="1"/>
  <c r="R101" i="11"/>
  <c r="X26" i="11" l="1"/>
  <c r="O93" i="11"/>
  <c r="X25" i="11"/>
  <c r="O92" i="11"/>
  <c r="X27" i="11"/>
  <c r="O94" i="11"/>
  <c r="X29" i="11"/>
  <c r="O96" i="11"/>
  <c r="X30" i="11"/>
  <c r="O97" i="11"/>
  <c r="X56" i="11"/>
  <c r="O126" i="11"/>
  <c r="X24" i="11"/>
  <c r="O91" i="11"/>
  <c r="X23" i="11"/>
  <c r="O90" i="11"/>
  <c r="X22" i="11"/>
  <c r="O89" i="11"/>
  <c r="X50" i="11"/>
  <c r="X21" i="11"/>
  <c r="X49" i="11"/>
  <c r="O117" i="11"/>
  <c r="X12" i="11"/>
  <c r="O79" i="11"/>
  <c r="X40" i="11"/>
  <c r="O74" i="11"/>
  <c r="X7" i="11"/>
  <c r="H35" i="11"/>
  <c r="X35" i="11" s="1"/>
  <c r="H8" i="11"/>
  <c r="X13" i="11"/>
  <c r="X41" i="11"/>
  <c r="O80" i="11"/>
  <c r="O109" i="11"/>
  <c r="H9" i="11"/>
  <c r="H10" i="11"/>
  <c r="O82" i="11"/>
  <c r="X15" i="11"/>
  <c r="X43" i="11"/>
  <c r="X17" i="11"/>
  <c r="O84" i="11"/>
  <c r="X45" i="11"/>
  <c r="O114" i="11"/>
  <c r="X14" i="11"/>
  <c r="O81" i="11"/>
  <c r="X42" i="11"/>
  <c r="N29" i="28" l="1"/>
  <c r="N18" i="28"/>
  <c r="X54" i="11"/>
  <c r="O124" i="11"/>
  <c r="X53" i="11"/>
  <c r="O123" i="11"/>
  <c r="X55" i="11"/>
  <c r="O125" i="11"/>
  <c r="V17" i="28"/>
  <c r="X58" i="11"/>
  <c r="O128" i="11"/>
  <c r="X57" i="11"/>
  <c r="O127" i="11"/>
  <c r="X52" i="11"/>
  <c r="O122" i="11"/>
  <c r="X51" i="11"/>
  <c r="O121" i="11"/>
  <c r="O120" i="11"/>
  <c r="O119" i="11"/>
  <c r="O110" i="11"/>
  <c r="X18" i="11"/>
  <c r="X46" i="11"/>
  <c r="O115" i="11"/>
  <c r="O113" i="11"/>
  <c r="X9" i="11"/>
  <c r="O76" i="11"/>
  <c r="H37" i="11"/>
  <c r="X37" i="11" s="1"/>
  <c r="O111" i="11"/>
  <c r="X8" i="11"/>
  <c r="O75" i="11"/>
  <c r="H36" i="11"/>
  <c r="X36" i="11" s="1"/>
  <c r="O112" i="11"/>
  <c r="O77" i="11"/>
  <c r="X10" i="11"/>
  <c r="H38" i="11"/>
  <c r="X38" i="11" s="1"/>
  <c r="O105" i="11"/>
  <c r="N30" i="28" l="1"/>
  <c r="N31" i="28" s="1"/>
  <c r="O33" i="28"/>
  <c r="D18" i="18"/>
  <c r="D38" i="18"/>
  <c r="V18" i="28"/>
  <c r="V22" i="28" s="1"/>
  <c r="W26" i="28" s="1"/>
  <c r="V29" i="28"/>
  <c r="O116" i="11"/>
  <c r="O108" i="11"/>
  <c r="O106" i="11"/>
  <c r="O107" i="11"/>
  <c r="O37" i="28" l="1"/>
  <c r="E12" i="28"/>
  <c r="F12" i="28" s="1"/>
  <c r="F13" i="28" s="1"/>
  <c r="V30" i="28"/>
  <c r="W33" i="28"/>
  <c r="D32" i="18"/>
  <c r="D20" i="18" s="1"/>
  <c r="V58" i="28"/>
  <c r="V59" i="28" s="1"/>
  <c r="V64" i="28" s="1"/>
  <c r="W68" i="28" s="1"/>
  <c r="V31" i="28"/>
  <c r="W37" i="28" l="1"/>
  <c r="M12" i="28"/>
  <c r="N12" i="28" s="1"/>
  <c r="N13" i="28" s="1"/>
  <c r="N22" i="28" s="1"/>
  <c r="O26" i="28" s="1"/>
  <c r="O34" i="28" s="1"/>
  <c r="D21" i="18"/>
  <c r="D34" i="18" s="1"/>
  <c r="V71" i="28"/>
  <c r="V72" i="28" s="1"/>
  <c r="V73" i="28" s="1"/>
  <c r="V110" i="28"/>
  <c r="V111" i="28" s="1"/>
  <c r="V112" i="28" s="1"/>
  <c r="W34" i="28"/>
  <c r="W39" i="28" s="1"/>
  <c r="O39" i="28" l="1"/>
  <c r="W75" i="28"/>
  <c r="W114" i="28"/>
  <c r="M93" i="28" l="1"/>
  <c r="N93" i="28" s="1"/>
  <c r="N94" i="28" s="1"/>
  <c r="W76" i="28"/>
  <c r="M54" i="28"/>
  <c r="N54" i="28" s="1"/>
  <c r="N55" i="28" s="1"/>
  <c r="D30" i="17" l="1"/>
  <c r="D21" i="17" s="1"/>
  <c r="H32" i="9" l="1"/>
  <c r="I32" i="9" s="1"/>
  <c r="I14" i="9"/>
  <c r="I30" i="9" s="1"/>
  <c r="H30" i="9"/>
  <c r="K14" i="9" l="1"/>
  <c r="K30" i="9" s="1"/>
  <c r="V32" i="9"/>
  <c r="X32" i="9"/>
  <c r="Z32" i="9" s="1"/>
  <c r="K32" i="9"/>
  <c r="I38" i="9"/>
  <c r="V14" i="9"/>
  <c r="V30" i="9" s="1"/>
  <c r="X14" i="9"/>
  <c r="I39" i="9" l="1"/>
  <c r="Z14" i="9"/>
  <c r="Z30" i="9" s="1"/>
  <c r="X30" i="9"/>
  <c r="K37" i="9" l="1"/>
  <c r="K38" i="9"/>
  <c r="K39" i="9"/>
  <c r="K36" i="9"/>
  <c r="D36" i="18"/>
  <c r="C68" i="8" l="1"/>
  <c r="C69" i="8" s="1"/>
  <c r="F167" i="8" l="1"/>
  <c r="J151" i="8"/>
  <c r="L87" i="8"/>
  <c r="H87" i="8"/>
  <c r="F87" i="8"/>
  <c r="I155" i="8"/>
  <c r="K107" i="8"/>
  <c r="I83" i="8"/>
  <c r="K151" i="8"/>
  <c r="K115" i="8"/>
  <c r="D151" i="8"/>
  <c r="K103" i="8"/>
  <c r="G167" i="8"/>
  <c r="G143" i="8"/>
  <c r="F123" i="8"/>
  <c r="K99" i="8"/>
  <c r="H75" i="8"/>
  <c r="F159" i="8"/>
  <c r="K135" i="8"/>
  <c r="F75" i="8"/>
  <c r="H147" i="8"/>
  <c r="E75" i="8"/>
  <c r="E151" i="8"/>
  <c r="K139" i="8"/>
  <c r="K87" i="8"/>
  <c r="G91" i="8"/>
  <c r="L139" i="8"/>
  <c r="H115" i="8"/>
  <c r="I99" i="8"/>
  <c r="F151" i="8"/>
  <c r="F111" i="8"/>
  <c r="K83" i="8"/>
  <c r="J111" i="8"/>
  <c r="I163" i="8"/>
  <c r="L103" i="8"/>
  <c r="I111" i="8"/>
  <c r="J155" i="8"/>
  <c r="G135" i="8"/>
  <c r="K147" i="8"/>
  <c r="E95" i="8"/>
  <c r="D99" i="8"/>
  <c r="J115" i="8"/>
  <c r="F99" i="8"/>
  <c r="E139" i="8"/>
  <c r="L119" i="8"/>
  <c r="K79" i="8"/>
  <c r="L155" i="8"/>
  <c r="H103" i="8"/>
  <c r="H91" i="8"/>
  <c r="F91" i="8"/>
  <c r="J107" i="8"/>
  <c r="H135" i="8"/>
  <c r="K123" i="8"/>
  <c r="H111" i="8"/>
  <c r="J103" i="8"/>
  <c r="J147" i="8"/>
  <c r="F103" i="8"/>
  <c r="E155" i="8"/>
  <c r="J135" i="8"/>
  <c r="I147" i="8"/>
  <c r="H167" i="8"/>
  <c r="E143" i="8"/>
  <c r="F107" i="8"/>
  <c r="E87" i="8"/>
  <c r="F135" i="8"/>
  <c r="L107" i="8"/>
  <c r="L111" i="8"/>
  <c r="E119" i="8"/>
  <c r="I91" i="8"/>
  <c r="J167" i="8"/>
  <c r="K75" i="8"/>
  <c r="F155" i="8"/>
  <c r="G155" i="8"/>
  <c r="L115" i="8"/>
  <c r="H159" i="8"/>
  <c r="H143" i="8"/>
  <c r="H107" i="8"/>
  <c r="D163" i="8"/>
  <c r="G107" i="8"/>
  <c r="L83" i="8"/>
  <c r="H95" i="8"/>
  <c r="H131" i="8"/>
  <c r="I143" i="8"/>
  <c r="D143" i="8"/>
  <c r="E123" i="8"/>
  <c r="J95" i="8"/>
  <c r="E99" i="8"/>
  <c r="G95" i="8"/>
  <c r="F95" i="8"/>
  <c r="I123" i="8"/>
  <c r="G75" i="8"/>
  <c r="G159" i="8"/>
  <c r="G79" i="8"/>
  <c r="E83" i="8"/>
  <c r="H123" i="8"/>
  <c r="J123" i="8"/>
  <c r="E135" i="8"/>
  <c r="J87" i="8"/>
  <c r="D91" i="8"/>
  <c r="J119" i="8"/>
  <c r="H151" i="8"/>
  <c r="J91" i="8"/>
  <c r="E79" i="8"/>
  <c r="D159" i="8"/>
  <c r="H163" i="8"/>
  <c r="E131" i="8"/>
  <c r="L135" i="8"/>
  <c r="D79" i="8"/>
  <c r="L143" i="8"/>
  <c r="J163" i="8"/>
  <c r="K91" i="8"/>
  <c r="H79" i="8"/>
  <c r="K159" i="8"/>
  <c r="G115" i="8"/>
  <c r="L75" i="8"/>
  <c r="I107" i="8"/>
  <c r="D103" i="8"/>
  <c r="F119" i="8"/>
  <c r="J83" i="8"/>
  <c r="E107" i="8"/>
  <c r="E103" i="8"/>
  <c r="K155" i="8"/>
  <c r="F115" i="8"/>
  <c r="J131" i="8"/>
  <c r="E163" i="8"/>
  <c r="J143" i="8"/>
  <c r="F83" i="8"/>
  <c r="K163" i="8"/>
  <c r="H139" i="8"/>
  <c r="J75" i="8"/>
  <c r="E147" i="8"/>
  <c r="D87" i="8"/>
  <c r="D119" i="8"/>
  <c r="K143" i="8"/>
  <c r="I167" i="8"/>
  <c r="J79" i="8"/>
  <c r="L147" i="8"/>
  <c r="F147" i="8"/>
  <c r="I95" i="8"/>
  <c r="L159" i="8"/>
  <c r="G83" i="8"/>
  <c r="D139" i="8"/>
  <c r="E111" i="8"/>
  <c r="G111" i="8"/>
  <c r="L151" i="8"/>
  <c r="D147" i="8"/>
  <c r="L95" i="8"/>
  <c r="D107" i="8"/>
  <c r="E115" i="8"/>
  <c r="I115" i="8"/>
  <c r="F139" i="8"/>
  <c r="E167" i="8"/>
  <c r="L99" i="8"/>
  <c r="J139" i="8"/>
  <c r="D155" i="8"/>
  <c r="I79" i="8"/>
  <c r="D135" i="8"/>
  <c r="L167" i="8"/>
  <c r="G123" i="8"/>
  <c r="G103" i="8"/>
  <c r="K111" i="8"/>
  <c r="J159" i="8"/>
  <c r="K95" i="8"/>
  <c r="F131" i="8"/>
  <c r="G139" i="8"/>
  <c r="I159" i="8"/>
  <c r="G87" i="8"/>
  <c r="K119" i="8"/>
  <c r="D95" i="8"/>
  <c r="I119" i="8"/>
  <c r="H99" i="8"/>
  <c r="H155" i="8"/>
  <c r="D131" i="8"/>
  <c r="E91" i="8"/>
  <c r="L79" i="8"/>
  <c r="I151" i="8"/>
  <c r="G131" i="8"/>
  <c r="H119" i="8"/>
  <c r="L91" i="8"/>
  <c r="J99" i="8"/>
  <c r="G99" i="8"/>
  <c r="I103" i="8"/>
  <c r="L131" i="8"/>
  <c r="I131" i="8"/>
  <c r="G163" i="8"/>
  <c r="D167" i="8"/>
  <c r="I75" i="8"/>
  <c r="I139" i="8"/>
  <c r="G147" i="8"/>
  <c r="L123" i="8"/>
  <c r="D115" i="8"/>
  <c r="F79" i="8"/>
  <c r="E159" i="8"/>
  <c r="I135" i="8"/>
  <c r="F143" i="8"/>
  <c r="D123" i="8"/>
  <c r="K167" i="8"/>
  <c r="G151" i="8"/>
  <c r="F163" i="8"/>
  <c r="I87" i="8"/>
  <c r="K131" i="8"/>
  <c r="L163" i="8"/>
  <c r="D83" i="8"/>
  <c r="D111" i="8"/>
  <c r="G119" i="8"/>
  <c r="H83" i="8"/>
  <c r="D75" i="8"/>
  <c r="M147" i="8" l="1"/>
  <c r="G25" i="11" s="1"/>
  <c r="G53" i="11" s="1"/>
  <c r="M143" i="8"/>
  <c r="G24" i="11" s="1"/>
  <c r="G52" i="11" s="1"/>
  <c r="M163" i="8"/>
  <c r="G29" i="11" s="1"/>
  <c r="G57" i="11" s="1"/>
  <c r="M159" i="8"/>
  <c r="G28" i="11" s="1"/>
  <c r="G56" i="11" s="1"/>
  <c r="M155" i="8"/>
  <c r="G27" i="11" s="1"/>
  <c r="G55" i="11" s="1"/>
  <c r="M151" i="8"/>
  <c r="G26" i="11" s="1"/>
  <c r="G54" i="11" s="1"/>
  <c r="J54" i="11" s="1"/>
  <c r="L54" i="11" s="1"/>
  <c r="M139" i="8"/>
  <c r="G23" i="11" s="1"/>
  <c r="G51" i="11" s="1"/>
  <c r="M135" i="8"/>
  <c r="G22" i="11" s="1"/>
  <c r="G50" i="11" s="1"/>
  <c r="M131" i="8"/>
  <c r="G21" i="11" s="1"/>
  <c r="G49" i="11" s="1"/>
  <c r="M167" i="8"/>
  <c r="G30" i="11" s="1"/>
  <c r="G58" i="11" s="1"/>
  <c r="M123" i="8"/>
  <c r="G19" i="11" s="1"/>
  <c r="G47" i="11" s="1"/>
  <c r="M115" i="8"/>
  <c r="G17" i="11" s="1"/>
  <c r="G45" i="11" s="1"/>
  <c r="M111" i="8"/>
  <c r="G16" i="11" s="1"/>
  <c r="G44" i="11" s="1"/>
  <c r="M107" i="8"/>
  <c r="G15" i="11" s="1"/>
  <c r="G43" i="11" s="1"/>
  <c r="M103" i="8"/>
  <c r="G14" i="11" s="1"/>
  <c r="G42" i="11" s="1"/>
  <c r="M99" i="8"/>
  <c r="G13" i="11" s="1"/>
  <c r="G41" i="11" s="1"/>
  <c r="M95" i="8"/>
  <c r="G12" i="11" s="1"/>
  <c r="G40" i="11" s="1"/>
  <c r="M91" i="8"/>
  <c r="G11" i="11" s="1"/>
  <c r="V11" i="11" s="1"/>
  <c r="M119" i="8"/>
  <c r="M79" i="8"/>
  <c r="G8" i="11" s="1"/>
  <c r="J8" i="11" s="1"/>
  <c r="L8" i="11" s="1"/>
  <c r="M87" i="8"/>
  <c r="G10" i="11" s="1"/>
  <c r="G38" i="11" s="1"/>
  <c r="J38" i="11" s="1"/>
  <c r="L38" i="11" s="1"/>
  <c r="M75" i="8"/>
  <c r="G7" i="11" s="1"/>
  <c r="G35" i="11" s="1"/>
  <c r="M83" i="8"/>
  <c r="G9" i="11" s="1"/>
  <c r="J30" i="11"/>
  <c r="L30" i="11" s="1"/>
  <c r="V16" i="11"/>
  <c r="N83" i="11"/>
  <c r="J16" i="11"/>
  <c r="L16" i="11" s="1"/>
  <c r="J24" i="11"/>
  <c r="L24" i="11" s="1"/>
  <c r="V24" i="11"/>
  <c r="J15" i="11"/>
  <c r="L15" i="11" s="1"/>
  <c r="V15" i="11"/>
  <c r="N82" i="11"/>
  <c r="N92" i="11"/>
  <c r="V25" i="11"/>
  <c r="J25" i="11"/>
  <c r="L25" i="11" s="1"/>
  <c r="N96" i="11"/>
  <c r="V29" i="11"/>
  <c r="V30" i="11" l="1"/>
  <c r="J29" i="11"/>
  <c r="L29" i="11" s="1"/>
  <c r="V28" i="11"/>
  <c r="V27" i="11"/>
  <c r="N94" i="11"/>
  <c r="N93" i="11"/>
  <c r="N124" i="11" s="1"/>
  <c r="J26" i="11"/>
  <c r="L26" i="11" s="1"/>
  <c r="N91" i="11"/>
  <c r="V54" i="11"/>
  <c r="V26" i="11"/>
  <c r="N97" i="11"/>
  <c r="J28" i="11"/>
  <c r="L28" i="11" s="1"/>
  <c r="N95" i="11"/>
  <c r="N126" i="11" s="1"/>
  <c r="J27" i="11"/>
  <c r="L27" i="11" s="1"/>
  <c r="N90" i="11"/>
  <c r="J90" i="11" s="1"/>
  <c r="L90" i="11" s="1"/>
  <c r="V23" i="11"/>
  <c r="J23" i="11"/>
  <c r="L23" i="11" s="1"/>
  <c r="V22" i="11"/>
  <c r="J22" i="11"/>
  <c r="L22" i="11" s="1"/>
  <c r="N89" i="11"/>
  <c r="P89" i="11" s="1"/>
  <c r="V21" i="11"/>
  <c r="N88" i="11"/>
  <c r="P88" i="11" s="1"/>
  <c r="J21" i="11"/>
  <c r="L21" i="11" s="1"/>
  <c r="J19" i="11"/>
  <c r="L19" i="11" s="1"/>
  <c r="V19" i="11"/>
  <c r="N86" i="11"/>
  <c r="N81" i="11"/>
  <c r="J17" i="11"/>
  <c r="L17" i="11" s="1"/>
  <c r="V17" i="11"/>
  <c r="N84" i="11"/>
  <c r="J84" i="11" s="1"/>
  <c r="L84" i="11" s="1"/>
  <c r="G18" i="11"/>
  <c r="V14" i="11"/>
  <c r="N79" i="11"/>
  <c r="J79" i="11" s="1"/>
  <c r="L79" i="11" s="1"/>
  <c r="J14" i="11"/>
  <c r="L14" i="11" s="1"/>
  <c r="N80" i="11"/>
  <c r="N111" i="11" s="1"/>
  <c r="V12" i="11"/>
  <c r="J12" i="11"/>
  <c r="L12" i="11" s="1"/>
  <c r="J13" i="11"/>
  <c r="L13" i="11" s="1"/>
  <c r="V13" i="11"/>
  <c r="N75" i="11"/>
  <c r="J75" i="11" s="1"/>
  <c r="L75" i="11" s="1"/>
  <c r="G36" i="11"/>
  <c r="V36" i="11" s="1"/>
  <c r="G39" i="11"/>
  <c r="J39" i="11" s="1"/>
  <c r="L39" i="11" s="1"/>
  <c r="J11" i="11"/>
  <c r="L11" i="11" s="1"/>
  <c r="N78" i="11"/>
  <c r="P78" i="11" s="1"/>
  <c r="V38" i="11"/>
  <c r="V8" i="11"/>
  <c r="V10" i="11"/>
  <c r="P93" i="11"/>
  <c r="J93" i="11"/>
  <c r="L93" i="11" s="1"/>
  <c r="J10" i="11"/>
  <c r="L10" i="11" s="1"/>
  <c r="N77" i="11"/>
  <c r="J7" i="11"/>
  <c r="L7" i="11" s="1"/>
  <c r="N74" i="11"/>
  <c r="J74" i="11" s="1"/>
  <c r="V7" i="11"/>
  <c r="V42" i="11"/>
  <c r="J42" i="11"/>
  <c r="L42" i="11" s="1"/>
  <c r="N112" i="11"/>
  <c r="J44" i="11"/>
  <c r="L44" i="11" s="1"/>
  <c r="N114" i="11"/>
  <c r="V44" i="11"/>
  <c r="J94" i="11"/>
  <c r="L94" i="11" s="1"/>
  <c r="P94" i="11"/>
  <c r="V40" i="11"/>
  <c r="J40" i="11"/>
  <c r="L40" i="11" s="1"/>
  <c r="J47" i="11"/>
  <c r="L47" i="11" s="1"/>
  <c r="V47" i="11"/>
  <c r="N117" i="11"/>
  <c r="V49" i="11"/>
  <c r="J49" i="11"/>
  <c r="L49" i="11" s="1"/>
  <c r="V41" i="11"/>
  <c r="J41" i="11"/>
  <c r="L41" i="11" s="1"/>
  <c r="J53" i="11"/>
  <c r="L53" i="11" s="1"/>
  <c r="V53" i="11"/>
  <c r="N123" i="11"/>
  <c r="J51" i="11"/>
  <c r="L51" i="11" s="1"/>
  <c r="V51" i="11"/>
  <c r="J50" i="11"/>
  <c r="L50" i="11" s="1"/>
  <c r="V50" i="11"/>
  <c r="N120" i="11"/>
  <c r="J52" i="11"/>
  <c r="L52" i="11" s="1"/>
  <c r="N122" i="11"/>
  <c r="V52" i="11"/>
  <c r="P97" i="11"/>
  <c r="J97" i="11"/>
  <c r="L97" i="11" s="1"/>
  <c r="P90" i="11"/>
  <c r="J57" i="11"/>
  <c r="L57" i="11" s="1"/>
  <c r="V57" i="11"/>
  <c r="N127" i="11"/>
  <c r="J95" i="11"/>
  <c r="L95" i="11" s="1"/>
  <c r="P95" i="11"/>
  <c r="J81" i="11"/>
  <c r="L81" i="11" s="1"/>
  <c r="P81" i="11"/>
  <c r="P86" i="11"/>
  <c r="J86" i="11"/>
  <c r="L86" i="11" s="1"/>
  <c r="P92" i="11"/>
  <c r="J92" i="11"/>
  <c r="L92" i="11" s="1"/>
  <c r="V43" i="11"/>
  <c r="N113" i="11"/>
  <c r="J43" i="11"/>
  <c r="L43" i="11" s="1"/>
  <c r="J91" i="11"/>
  <c r="L91" i="11" s="1"/>
  <c r="P91" i="11"/>
  <c r="J55" i="11"/>
  <c r="L55" i="11" s="1"/>
  <c r="V55" i="11"/>
  <c r="N125" i="11"/>
  <c r="J56" i="11"/>
  <c r="L56" i="11" s="1"/>
  <c r="V56" i="11"/>
  <c r="J124" i="11"/>
  <c r="L124" i="11" s="1"/>
  <c r="P124" i="11"/>
  <c r="P96" i="11"/>
  <c r="J96" i="11"/>
  <c r="L96" i="11" s="1"/>
  <c r="V97" i="28" s="1"/>
  <c r="V98" i="28" s="1"/>
  <c r="V103" i="28" s="1"/>
  <c r="W107" i="28" s="1"/>
  <c r="W115" i="28" s="1"/>
  <c r="V35" i="11"/>
  <c r="J35" i="11"/>
  <c r="J82" i="11"/>
  <c r="L82" i="11" s="1"/>
  <c r="P82" i="11"/>
  <c r="J83" i="11"/>
  <c r="L83" i="11" s="1"/>
  <c r="P83" i="11"/>
  <c r="J58" i="11"/>
  <c r="L58" i="11" s="1"/>
  <c r="V58" i="11"/>
  <c r="N128" i="11"/>
  <c r="V45" i="11"/>
  <c r="J45" i="11"/>
  <c r="L45" i="11" s="1"/>
  <c r="N76" i="11"/>
  <c r="V9" i="11"/>
  <c r="G37" i="11"/>
  <c r="J9" i="11"/>
  <c r="L9" i="11" s="1"/>
  <c r="N121" i="11" l="1"/>
  <c r="J89" i="11"/>
  <c r="L89" i="11" s="1"/>
  <c r="N119" i="11"/>
  <c r="J88" i="11"/>
  <c r="L88" i="11" s="1"/>
  <c r="J36" i="11"/>
  <c r="L36" i="11" s="1"/>
  <c r="P79" i="11"/>
  <c r="P84" i="11"/>
  <c r="N110" i="11"/>
  <c r="N115" i="11"/>
  <c r="P115" i="11" s="1"/>
  <c r="G46" i="11"/>
  <c r="N85" i="11"/>
  <c r="J18" i="11"/>
  <c r="L18" i="11" s="1"/>
  <c r="V18" i="11"/>
  <c r="P80" i="11"/>
  <c r="J80" i="11"/>
  <c r="L80" i="11" s="1"/>
  <c r="P75" i="11"/>
  <c r="J78" i="11"/>
  <c r="L78" i="11" s="1"/>
  <c r="V39" i="11"/>
  <c r="N106" i="11"/>
  <c r="P106" i="11" s="1"/>
  <c r="N109" i="11"/>
  <c r="P109" i="11" s="1"/>
  <c r="N108" i="11"/>
  <c r="J77" i="11"/>
  <c r="L77" i="11" s="1"/>
  <c r="P77" i="11"/>
  <c r="N105" i="11"/>
  <c r="J105" i="11" s="1"/>
  <c r="P74" i="11"/>
  <c r="L35" i="11"/>
  <c r="J126" i="11"/>
  <c r="L126" i="11" s="1"/>
  <c r="P126" i="11"/>
  <c r="J125" i="11"/>
  <c r="L125" i="11" s="1"/>
  <c r="P125" i="11"/>
  <c r="J113" i="11"/>
  <c r="L113" i="11" s="1"/>
  <c r="P113" i="11"/>
  <c r="L74" i="11"/>
  <c r="P121" i="11"/>
  <c r="J121" i="11"/>
  <c r="L121" i="11" s="1"/>
  <c r="V37" i="11"/>
  <c r="N107" i="11"/>
  <c r="J37" i="11"/>
  <c r="L37" i="11" s="1"/>
  <c r="P120" i="11"/>
  <c r="J120" i="11"/>
  <c r="L120" i="11" s="1"/>
  <c r="P111" i="11"/>
  <c r="J111" i="11"/>
  <c r="L111" i="11" s="1"/>
  <c r="D19" i="17"/>
  <c r="D22" i="17" s="1"/>
  <c r="D32" i="17" s="1"/>
  <c r="D36" i="17"/>
  <c r="J114" i="11"/>
  <c r="L114" i="11" s="1"/>
  <c r="P114" i="11"/>
  <c r="J112" i="11"/>
  <c r="L112" i="11" s="1"/>
  <c r="P112" i="11"/>
  <c r="J115" i="11"/>
  <c r="L115" i="11" s="1"/>
  <c r="J127" i="11"/>
  <c r="L127" i="11" s="1"/>
  <c r="P127" i="11"/>
  <c r="J123" i="11"/>
  <c r="L123" i="11" s="1"/>
  <c r="P123" i="11"/>
  <c r="P119" i="11"/>
  <c r="J119" i="11"/>
  <c r="L119" i="11" s="1"/>
  <c r="P117" i="11"/>
  <c r="J117" i="11"/>
  <c r="L117" i="11" s="1"/>
  <c r="P128" i="11"/>
  <c r="J128" i="11"/>
  <c r="L128" i="11" s="1"/>
  <c r="J76" i="11"/>
  <c r="L76" i="11" s="1"/>
  <c r="P76" i="11"/>
  <c r="J122" i="11"/>
  <c r="L122" i="11" s="1"/>
  <c r="P122" i="11"/>
  <c r="P110" i="11"/>
  <c r="J110" i="11"/>
  <c r="L110" i="11" s="1"/>
  <c r="V46" i="11" l="1"/>
  <c r="J46" i="11"/>
  <c r="L46" i="11" s="1"/>
  <c r="J85" i="11"/>
  <c r="L85" i="11" s="1"/>
  <c r="N116" i="11"/>
  <c r="P85" i="11"/>
  <c r="J106" i="11"/>
  <c r="L106" i="11" s="1"/>
  <c r="P105" i="11"/>
  <c r="J109" i="11"/>
  <c r="L109" i="11" s="1"/>
  <c r="P108" i="11"/>
  <c r="J108" i="11"/>
  <c r="L108" i="11" s="1"/>
  <c r="L105" i="11"/>
  <c r="J107" i="11"/>
  <c r="L107" i="11" s="1"/>
  <c r="P107" i="11"/>
  <c r="N57" i="28" l="1"/>
  <c r="N71" i="28" s="1"/>
  <c r="N96" i="28"/>
  <c r="N97" i="28" s="1"/>
  <c r="N98" i="28" s="1"/>
  <c r="N103" i="28" s="1"/>
  <c r="O107" i="28" s="1"/>
  <c r="J116" i="11"/>
  <c r="L116" i="11" s="1"/>
  <c r="P116" i="11"/>
  <c r="N58" i="28" l="1"/>
  <c r="N59" i="28" s="1"/>
  <c r="N64" i="28" s="1"/>
  <c r="O68" i="28" s="1"/>
  <c r="N110" i="28"/>
  <c r="N111" i="28" s="1"/>
  <c r="N112" i="28" s="1"/>
  <c r="N72" i="28"/>
  <c r="N73" i="28" s="1"/>
  <c r="O75" i="28"/>
  <c r="O76" i="28" s="1"/>
  <c r="O114" i="28" l="1"/>
  <c r="O115" i="28" s="1"/>
  <c r="AY6" i="5" l="1"/>
  <c r="AY17" i="5" s="1"/>
  <c r="AC17" i="5"/>
  <c r="AD16" i="5" l="1"/>
  <c r="AD8" i="5"/>
  <c r="AD15" i="5"/>
  <c r="AD7" i="5"/>
  <c r="AD14" i="5"/>
  <c r="AD6" i="5"/>
  <c r="AD17" i="5" s="1"/>
  <c r="AD10" i="5"/>
  <c r="AD13" i="5"/>
  <c r="AD11" i="5"/>
  <c r="AD12" i="5"/>
  <c r="AD9" i="5"/>
  <c r="F125" i="8"/>
  <c r="F126" i="8" s="1"/>
  <c r="F127" i="8" s="1"/>
  <c r="F223" i="8"/>
  <c r="F224" i="8" s="1"/>
  <c r="AF17" i="5"/>
  <c r="AZ11" i="5"/>
  <c r="AZ10" i="5"/>
  <c r="AZ14" i="5"/>
  <c r="AZ13" i="5"/>
  <c r="AZ8" i="5"/>
  <c r="AZ12" i="5"/>
  <c r="AZ7" i="5"/>
  <c r="AZ9" i="5"/>
  <c r="AZ15" i="5"/>
  <c r="AZ16" i="5"/>
  <c r="AZ6" i="5"/>
  <c r="G125" i="8" l="1"/>
  <c r="G126" i="8" s="1"/>
  <c r="G127" i="8" s="1"/>
  <c r="G223" i="8"/>
  <c r="G224" i="8" s="1"/>
  <c r="K125" i="8"/>
  <c r="K126" i="8" s="1"/>
  <c r="K127" i="8" s="1"/>
  <c r="K223" i="8"/>
  <c r="K224" i="8" s="1"/>
  <c r="D125" i="8"/>
  <c r="D223" i="8"/>
  <c r="D224" i="8" s="1"/>
  <c r="L125" i="8"/>
  <c r="L126" i="8" s="1"/>
  <c r="L127" i="8" s="1"/>
  <c r="L223" i="8"/>
  <c r="L224" i="8" s="1"/>
  <c r="I125" i="8"/>
  <c r="I126" i="8" s="1"/>
  <c r="I127" i="8" s="1"/>
  <c r="I223" i="8"/>
  <c r="I224" i="8" s="1"/>
  <c r="E125" i="8"/>
  <c r="E126" i="8" s="1"/>
  <c r="E127" i="8" s="1"/>
  <c r="E223" i="8"/>
  <c r="E224" i="8" s="1"/>
  <c r="J125" i="8"/>
  <c r="J126" i="8" s="1"/>
  <c r="J127" i="8" s="1"/>
  <c r="J223" i="8"/>
  <c r="J224" i="8" s="1"/>
  <c r="H125" i="8"/>
  <c r="H126" i="8" s="1"/>
  <c r="H127" i="8" s="1"/>
  <c r="H223" i="8"/>
  <c r="H224" i="8" s="1"/>
  <c r="AZ17" i="5"/>
  <c r="M224" i="8" l="1"/>
  <c r="H20" i="11" s="1"/>
  <c r="H48" i="11" s="1"/>
  <c r="H31" i="11"/>
  <c r="M125" i="8"/>
  <c r="M222" i="8" s="1"/>
  <c r="D126" i="8"/>
  <c r="D127" i="8" s="1"/>
  <c r="M127" i="8" s="1"/>
  <c r="G20" i="11" s="1"/>
  <c r="O87" i="11" l="1"/>
  <c r="X20" i="11"/>
  <c r="G48" i="11"/>
  <c r="V20" i="11"/>
  <c r="N87" i="11"/>
  <c r="P87" i="11" s="1"/>
  <c r="G31" i="11"/>
  <c r="J20" i="11"/>
  <c r="F16" i="28"/>
  <c r="O98" i="11"/>
  <c r="X31" i="11"/>
  <c r="D15" i="29"/>
  <c r="X48" i="11"/>
  <c r="O118" i="11"/>
  <c r="H59" i="11"/>
  <c r="J48" i="11"/>
  <c r="O99" i="11" l="1"/>
  <c r="L48" i="11"/>
  <c r="J59" i="11"/>
  <c r="H60" i="11" s="1"/>
  <c r="L20" i="11"/>
  <c r="J31" i="11"/>
  <c r="G32" i="11" s="1"/>
  <c r="F15" i="18"/>
  <c r="X59" i="11"/>
  <c r="H63" i="11"/>
  <c r="F17" i="28"/>
  <c r="F18" i="28" s="1"/>
  <c r="F22" i="28" s="1"/>
  <c r="G26" i="28" s="1"/>
  <c r="F29" i="28"/>
  <c r="N118" i="11"/>
  <c r="J87" i="11"/>
  <c r="L87" i="11"/>
  <c r="N98" i="11"/>
  <c r="D18" i="29"/>
  <c r="D21" i="29" s="1"/>
  <c r="D34" i="29" s="1"/>
  <c r="D38" i="29"/>
  <c r="O129" i="11"/>
  <c r="O130" i="11" s="1"/>
  <c r="V31" i="11"/>
  <c r="V48" i="11"/>
  <c r="D16" i="30"/>
  <c r="G59" i="11"/>
  <c r="D19" i="30" l="1"/>
  <c r="D22" i="30" s="1"/>
  <c r="D32" i="30" s="1"/>
  <c r="D36" i="30"/>
  <c r="F18" i="18"/>
  <c r="F21" i="18" s="1"/>
  <c r="F34" i="18" s="1"/>
  <c r="F38" i="18"/>
  <c r="G63" i="11"/>
  <c r="V59" i="11"/>
  <c r="F16" i="17"/>
  <c r="P98" i="11"/>
  <c r="N99" i="11"/>
  <c r="L31" i="11"/>
  <c r="H32" i="11"/>
  <c r="F96" i="28"/>
  <c r="L98" i="11"/>
  <c r="J118" i="11"/>
  <c r="N129" i="11"/>
  <c r="H68" i="11"/>
  <c r="H64" i="11"/>
  <c r="F57" i="28"/>
  <c r="J98" i="11"/>
  <c r="P118" i="11"/>
  <c r="G33" i="28"/>
  <c r="G37" i="28" s="1"/>
  <c r="F30" i="28"/>
  <c r="F31" i="28" s="1"/>
  <c r="G60" i="11"/>
  <c r="J60" i="11" s="1"/>
  <c r="L59" i="11"/>
  <c r="L63" i="11" s="1"/>
  <c r="L64" i="11" s="1"/>
  <c r="J63" i="11"/>
  <c r="J64" i="11" s="1"/>
  <c r="G34" i="28" l="1"/>
  <c r="D6" i="27" s="1"/>
  <c r="D41" i="27" s="1"/>
  <c r="F41" i="27" s="1"/>
  <c r="P129" i="11"/>
  <c r="N130" i="11"/>
  <c r="F19" i="17"/>
  <c r="F22" i="17" s="1"/>
  <c r="F32" i="17" s="1"/>
  <c r="F36" i="17"/>
  <c r="L118" i="11"/>
  <c r="L129" i="11" s="1"/>
  <c r="J129" i="11"/>
  <c r="G68" i="11"/>
  <c r="G64" i="11"/>
  <c r="F97" i="28"/>
  <c r="F98" i="28" s="1"/>
  <c r="F103" i="28" s="1"/>
  <c r="G107" i="28" s="1"/>
  <c r="F110" i="28"/>
  <c r="D15" i="27"/>
  <c r="F15" i="27" s="1"/>
  <c r="D47" i="27"/>
  <c r="F47" i="27" s="1"/>
  <c r="D16" i="27"/>
  <c r="F16" i="27" s="1"/>
  <c r="D9" i="27"/>
  <c r="F9" i="27" s="1"/>
  <c r="D19" i="27"/>
  <c r="F19" i="27" s="1"/>
  <c r="D45" i="27"/>
  <c r="F45" i="27" s="1"/>
  <c r="D10" i="27"/>
  <c r="F10" i="27" s="1"/>
  <c r="D44" i="27"/>
  <c r="F44" i="27" s="1"/>
  <c r="D46" i="27"/>
  <c r="F46" i="27" s="1"/>
  <c r="D48" i="27"/>
  <c r="F48" i="27" s="1"/>
  <c r="D49" i="27"/>
  <c r="F49" i="27" s="1"/>
  <c r="D13" i="27"/>
  <c r="D14" i="27"/>
  <c r="F14" i="27" s="1"/>
  <c r="D43" i="27"/>
  <c r="F43" i="27" s="1"/>
  <c r="D11" i="27"/>
  <c r="F11" i="27" s="1"/>
  <c r="D42" i="27"/>
  <c r="F42" i="27" s="1"/>
  <c r="F71" i="28"/>
  <c r="F58" i="28"/>
  <c r="F59" i="28" s="1"/>
  <c r="F64" i="28" s="1"/>
  <c r="G68" i="28" s="1"/>
  <c r="D20" i="27" l="1"/>
  <c r="F20" i="27" s="1"/>
  <c r="D17" i="27"/>
  <c r="F17" i="27" s="1"/>
  <c r="D18" i="27"/>
  <c r="F18" i="27" s="1"/>
  <c r="G39" i="28"/>
  <c r="D7" i="27" s="1"/>
  <c r="G114" i="28"/>
  <c r="G115" i="28" s="1"/>
  <c r="J6" i="27" s="1"/>
  <c r="F111" i="28"/>
  <c r="F112" i="28" s="1"/>
  <c r="D12" i="27"/>
  <c r="F12" i="27" s="1"/>
  <c r="F13" i="27"/>
  <c r="G75" i="28"/>
  <c r="G76" i="28" s="1"/>
  <c r="G6" i="27" s="1"/>
  <c r="F72" i="28"/>
  <c r="F73" i="28" s="1"/>
  <c r="D35" i="27" l="1"/>
  <c r="F35" i="27" s="1"/>
  <c r="D58" i="27"/>
  <c r="F58" i="27" s="1"/>
  <c r="D53" i="27"/>
  <c r="F53" i="27" s="1"/>
  <c r="D61" i="27"/>
  <c r="F61" i="27" s="1"/>
  <c r="D57" i="27"/>
  <c r="F57" i="27" s="1"/>
  <c r="D31" i="27"/>
  <c r="F31" i="27" s="1"/>
  <c r="D25" i="27"/>
  <c r="F25" i="27" s="1"/>
  <c r="D24" i="27"/>
  <c r="F24" i="27" s="1"/>
  <c r="D34" i="27"/>
  <c r="F34" i="27" s="1"/>
  <c r="D33" i="27"/>
  <c r="F33" i="27" s="1"/>
  <c r="D55" i="27"/>
  <c r="F55" i="27" s="1"/>
  <c r="D29" i="27"/>
  <c r="F29" i="27" s="1"/>
  <c r="D28" i="27"/>
  <c r="F28" i="27" s="1"/>
  <c r="D56" i="27"/>
  <c r="F56" i="27" s="1"/>
  <c r="D27" i="27"/>
  <c r="F27" i="27" s="1"/>
  <c r="D30" i="27"/>
  <c r="F30" i="27" s="1"/>
  <c r="D26" i="27"/>
  <c r="F26" i="27" s="1"/>
  <c r="D54" i="27"/>
  <c r="F54" i="27" s="1"/>
  <c r="D59" i="27"/>
  <c r="F59" i="27" s="1"/>
  <c r="D60" i="27"/>
  <c r="F60" i="27" s="1"/>
  <c r="D32" i="27"/>
  <c r="F32" i="27" s="1"/>
  <c r="G11" i="27"/>
  <c r="I11" i="27" s="1"/>
  <c r="G15" i="27"/>
  <c r="I15" i="27" s="1"/>
  <c r="G16" i="27"/>
  <c r="I16" i="27" s="1"/>
  <c r="G12" i="27"/>
  <c r="I12" i="27" s="1"/>
  <c r="G39" i="27"/>
  <c r="I39" i="27" s="1"/>
  <c r="G14" i="27"/>
  <c r="I14" i="27" s="1"/>
  <c r="G38" i="27"/>
  <c r="I38" i="27" s="1"/>
  <c r="G19" i="27"/>
  <c r="I19" i="27" s="1"/>
  <c r="G20" i="27"/>
  <c r="I20" i="27" s="1"/>
  <c r="G17" i="27"/>
  <c r="I17" i="27" s="1"/>
  <c r="G13" i="27"/>
  <c r="I13" i="27" s="1"/>
  <c r="G18" i="27"/>
  <c r="I18" i="27" s="1"/>
  <c r="G10" i="27"/>
  <c r="I10" i="27" s="1"/>
  <c r="J39" i="27"/>
  <c r="L39" i="27" s="1"/>
  <c r="J10" i="27"/>
  <c r="J15" i="27"/>
  <c r="L15" i="27" s="1"/>
  <c r="J38" i="27"/>
  <c r="L38" i="27" s="1"/>
  <c r="J14" i="27"/>
  <c r="J11" i="27" l="1"/>
  <c r="L11" i="27" s="1"/>
  <c r="L10" i="27"/>
  <c r="J17" i="27"/>
  <c r="L17" i="27" s="1"/>
  <c r="J20" i="27"/>
  <c r="L20" i="27" s="1"/>
  <c r="L14" i="27"/>
  <c r="J18" i="27"/>
  <c r="L18" i="27" s="1"/>
  <c r="J13" i="27"/>
  <c r="J19" i="27"/>
  <c r="L19" i="27" s="1"/>
  <c r="J16" i="27"/>
  <c r="L16" i="27" s="1"/>
  <c r="J12" i="27" l="1"/>
  <c r="L12" i="27" s="1"/>
  <c r="L1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AS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AI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AS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AK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AD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AS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AS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AS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AS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family val="2"/>
          </rPr>
          <t>Weinstein, Mike:</t>
        </r>
        <r>
          <rPr>
            <sz val="9"/>
            <color indexed="81"/>
            <rFont val="Tahoma"/>
            <family val="2"/>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Weinstein, Mike</author>
    <author>Administrator</author>
  </authors>
  <commentList>
    <comment ref="H4" authorId="0" shapeId="0" xr:uid="{57FBD439-E286-4EFF-80E5-A69D3F815990}">
      <text>
        <r>
          <rPr>
            <b/>
            <sz val="9"/>
            <color indexed="81"/>
            <rFont val="Tahoma"/>
            <family val="2"/>
          </rPr>
          <t>Burmester, Evan:</t>
        </r>
        <r>
          <rPr>
            <sz val="9"/>
            <color indexed="81"/>
            <rFont val="Tahoma"/>
            <family val="2"/>
          </rPr>
          <t xml:space="preserve">
Totals from October,2021 - September, 2023</t>
        </r>
      </text>
    </comment>
    <comment ref="B29" authorId="1" shapeId="0" xr:uid="{2CF48457-13C0-494D-9A2D-3ED820D3EDAA}">
      <text>
        <r>
          <rPr>
            <b/>
            <sz val="9"/>
            <color indexed="81"/>
            <rFont val="Tahoma"/>
            <family val="2"/>
          </rPr>
          <t xml:space="preserve">Burmester, Evan: </t>
        </r>
        <r>
          <rPr>
            <sz val="9"/>
            <color indexed="81"/>
            <rFont val="Tahoma"/>
            <family val="2"/>
          </rPr>
          <t>To account for the annexation of Lake Stevens, utilizing December 2021 customer counts instead of October 2021</t>
        </r>
        <r>
          <rPr>
            <sz val="9"/>
            <color indexed="81"/>
            <rFont val="Tahoma"/>
            <family val="2"/>
          </rPr>
          <t xml:space="preserve">
</t>
        </r>
      </text>
    </comment>
  </commentList>
</comments>
</file>

<file path=xl/sharedStrings.xml><?xml version="1.0" encoding="utf-8"?>
<sst xmlns="http://schemas.openxmlformats.org/spreadsheetml/2006/main" count="1399" uniqueCount="333">
  <si>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</si>
  <si>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</si>
  <si>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</si>
  <si>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</si>
  <si>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</si>
  <si>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</si>
  <si>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</si>
  <si>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</si>
  <si>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</si>
  <si>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</si>
  <si>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</si>
  <si>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</si>
  <si>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</si>
  <si>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</si>
  <si>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</si>
  <si>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</si>
  <si>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</si>
  <si>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</si>
  <si>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</si>
  <si>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</si>
  <si>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</si>
  <si>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</si>
  <si>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</si>
  <si>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</si>
  <si>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</si>
  <si>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</si>
  <si>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Tasks As Outlined In RSA</t>
  </si>
  <si>
    <t>Total RSA Task Fees (excluding capital)</t>
  </si>
  <si>
    <t>Avg. lbs./customer/mo.</t>
  </si>
  <si>
    <t>Avg. revenue/ton</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</si>
  <si>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</si>
  <si>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</si>
  <si>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</si>
  <si>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</si>
  <si>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</si>
  <si>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</si>
  <si>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</si>
  <si>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</si>
  <si>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</si>
  <si>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</si>
  <si>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</si>
  <si>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</si>
  <si>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</si>
  <si>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</si>
  <si>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</si>
  <si>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</si>
  <si>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</si>
  <si>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</si>
  <si>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</si>
  <si>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</si>
  <si>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</si>
  <si>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</si>
  <si>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</si>
  <si>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</si>
  <si>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</si>
  <si>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</si>
  <si>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</si>
  <si>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</si>
  <si>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</si>
  <si>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</si>
  <si>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</si>
  <si>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</si>
  <si>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</si>
  <si>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</si>
  <si>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</si>
  <si>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</si>
  <si>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</si>
  <si>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</si>
  <si>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</si>
  <si>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</si>
  <si>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</si>
  <si>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</si>
  <si>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</si>
  <si>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</si>
  <si>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</si>
  <si>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</si>
  <si>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</si>
  <si>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</si>
  <si>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</si>
  <si>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</si>
  <si>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</si>
  <si>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</si>
  <si>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</si>
  <si>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</si>
  <si>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</si>
  <si>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</si>
  <si>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</si>
  <si>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</si>
  <si>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</si>
  <si>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</si>
  <si>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</si>
  <si>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</si>
  <si>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</si>
  <si>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</si>
  <si>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Less: Performance Incentive Earned (5% of Expenditures)</t>
  </si>
  <si>
    <t>WM - North Sound/Marysville</t>
  </si>
  <si>
    <t>King County</t>
  </si>
  <si>
    <t>King Cty</t>
  </si>
  <si>
    <t>Sno.Cty</t>
  </si>
  <si>
    <t>North Sound/</t>
  </si>
  <si>
    <t>Snohomish County</t>
  </si>
  <si>
    <t>Residential (average)</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</si>
  <si>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</si>
  <si>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</si>
  <si>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</si>
  <si>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</si>
  <si>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</si>
  <si>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</si>
  <si>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</si>
  <si>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</si>
  <si>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</si>
  <si>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</si>
  <si>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</si>
  <si>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</si>
  <si>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</si>
  <si>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</si>
  <si>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</si>
  <si>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</si>
  <si>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</si>
  <si>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</si>
  <si>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</si>
  <si>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</si>
  <si>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</si>
  <si>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</si>
  <si>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</si>
  <si>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</si>
  <si>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</si>
  <si>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</si>
  <si>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</si>
  <si>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</si>
  <si>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</si>
  <si>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</si>
  <si>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</si>
  <si>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3 - Multifamily Recycling and Reduction of Contamination</t>
  </si>
  <si>
    <t>Task 4 - Community Events- Reducing Contamination &amp; Waste, and Encouraging Composting</t>
  </si>
  <si>
    <t>Task 6 - Focused Education for Younger Minds</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</si>
  <si>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</si>
  <si>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</si>
  <si>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</si>
  <si>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</si>
  <si>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</si>
  <si>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</si>
  <si>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</si>
  <si>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</si>
  <si>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</si>
  <si>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</si>
  <si>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</si>
  <si>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</si>
  <si>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</si>
  <si>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</si>
  <si>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</si>
  <si>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</si>
  <si>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</si>
  <si>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</si>
  <si>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</si>
  <si>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</si>
  <si>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</si>
  <si>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</si>
  <si>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</si>
  <si>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</si>
  <si>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</si>
  <si>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</si>
  <si>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</si>
  <si>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</si>
  <si>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</si>
  <si>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</si>
  <si>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</si>
  <si>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</si>
  <si>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</si>
  <si>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</si>
  <si>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</si>
  <si>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</si>
  <si>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Grand total</t>
  </si>
  <si>
    <t>October:</t>
  </si>
  <si>
    <t>Recycle</t>
  </si>
  <si>
    <t>Multifamily</t>
  </si>
  <si>
    <t>November:</t>
  </si>
  <si>
    <t>December:</t>
  </si>
  <si>
    <t>Arlington</t>
  </si>
  <si>
    <t>Granite Falls</t>
  </si>
  <si>
    <t>Lake Stevens</t>
  </si>
  <si>
    <t>Mill Creek</t>
  </si>
  <si>
    <t>Mountlake Terrace</t>
  </si>
  <si>
    <t>Mukilteo</t>
  </si>
  <si>
    <t>Darrington</t>
  </si>
  <si>
    <t>Stanwood</t>
  </si>
  <si>
    <t>UTC Marysville</t>
  </si>
  <si>
    <t>December</t>
  </si>
  <si>
    <t>January:</t>
  </si>
  <si>
    <t>February:</t>
  </si>
  <si>
    <t>March</t>
  </si>
  <si>
    <t>April</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</si>
  <si>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</si>
  <si>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</si>
  <si>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</si>
  <si>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</si>
  <si>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</si>
  <si>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</si>
  <si>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</si>
  <si>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</si>
  <si>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</si>
  <si>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</si>
  <si>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</si>
  <si>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</si>
  <si>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</si>
  <si>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</si>
  <si>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</si>
  <si>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</si>
  <si>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</si>
  <si>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</si>
  <si>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</si>
  <si>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</si>
  <si>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</si>
  <si>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</si>
  <si>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</si>
  <si>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</si>
  <si>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</si>
  <si>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</si>
  <si>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</si>
  <si>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</si>
  <si>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</si>
  <si>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</si>
  <si>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</si>
  <si>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</si>
  <si>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</si>
  <si>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</si>
  <si>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</si>
  <si>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</si>
  <si>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</si>
  <si>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</si>
  <si>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</si>
  <si>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</si>
  <si>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</si>
  <si>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</si>
  <si>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</si>
  <si>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</si>
  <si>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</si>
  <si>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</si>
  <si>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</si>
  <si>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</si>
  <si>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</si>
  <si>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</si>
  <si>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</si>
  <si>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</si>
  <si>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</si>
  <si>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</si>
  <si>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</si>
  <si>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</si>
  <si>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</si>
  <si>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</si>
  <si>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</si>
  <si>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WUTC - King County (Seattle/South Sound)</t>
  </si>
  <si>
    <t>WUTC - King County (North Sound/Marysville)</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</si>
  <si>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</si>
  <si>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</si>
  <si>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</si>
  <si>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</si>
  <si>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</si>
  <si>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</si>
  <si>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</si>
  <si>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</si>
  <si>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</si>
  <si>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Lynnwood- UTC</t>
  </si>
  <si>
    <t>Edmonds- UTC</t>
  </si>
  <si>
    <t>Everett_UTC</t>
  </si>
  <si>
    <t>Oct., 2021</t>
  </si>
  <si>
    <t>Jan., 2022</t>
  </si>
  <si>
    <t>Jan. 2023</t>
  </si>
  <si>
    <t>Oct.; 2021</t>
  </si>
  <si>
    <t>Jan.; 2022</t>
  </si>
  <si>
    <t>Jan., 2023</t>
  </si>
  <si>
    <t>Brier_UTC</t>
  </si>
  <si>
    <t>2022 - 2023 Pro Rata per Budget</t>
  </si>
  <si>
    <t>2022 - 2023 Total per Budget</t>
  </si>
  <si>
    <t>2021 - 2022 Rebate Calculation - Deferred Accounting Methodology</t>
  </si>
  <si>
    <t>Projected Revenue Oct. 2021 - Sep. 2022</t>
  </si>
  <si>
    <t>Projected Revenue Oct. 2022 - Sep. 2023 (based on most recent 12 months)</t>
  </si>
  <si>
    <t xml:space="preserve">Actual Commodity Revenue (Oct. 2021 - Sept. 2022) </t>
  </si>
  <si>
    <t>Oct; '21</t>
  </si>
  <si>
    <t>Jan. '22</t>
  </si>
  <si>
    <t>Jan. '23</t>
  </si>
  <si>
    <t>UTC KC North Sound</t>
  </si>
  <si>
    <t>UTC SC North Sound</t>
  </si>
  <si>
    <t xml:space="preserve">Actual Commodity Revenue (Oct. 2022 - Sept. 2023) </t>
  </si>
  <si>
    <t>Projected Revenue Oct. 2022 - Sep. 2023</t>
  </si>
  <si>
    <t>2022 - 2023 Rebate Calculation - Deferred Accounting Methodology</t>
  </si>
  <si>
    <t>Actual</t>
  </si>
  <si>
    <t>King County Financial Incentive Analysis</t>
  </si>
  <si>
    <t>2020-2021</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</si>
  <si>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</si>
  <si>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</si>
  <si>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</si>
  <si>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</si>
  <si>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</si>
  <si>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</si>
  <si>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</si>
  <si>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</si>
  <si>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</si>
  <si>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</si>
  <si>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</si>
  <si>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</si>
  <si>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</si>
  <si>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</si>
  <si>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</si>
  <si>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b.) Increase in Recycling Accounts:</t>
  </si>
  <si>
    <t>Recycling</t>
  </si>
  <si>
    <t>Yard Waste</t>
  </si>
  <si>
    <t>Sept. 2021</t>
  </si>
  <si>
    <t>% increase</t>
  </si>
  <si>
    <t>Financial Incentives</t>
  </si>
  <si>
    <t>Waste Management is eligible for a financial incentive payment for implementation of the Plan if the following conditions are met:</t>
  </si>
  <si>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</si>
  <si>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</si>
  <si>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Snohomish County Financial Incentive Analysis - per Enspire</t>
  </si>
  <si>
    <t>Rolling</t>
  </si>
  <si>
    <t>3 year</t>
  </si>
  <si>
    <t>Total Monthly Customers</t>
  </si>
  <si>
    <t>Per Capita Diversion (lbs./customer)</t>
  </si>
  <si>
    <t>b.) Increase in Recycling Customers:</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</si>
  <si>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</si>
  <si>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</si>
  <si>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</si>
  <si>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</si>
  <si>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</si>
  <si>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2022-2023</t>
  </si>
  <si>
    <t>* The percentage composition of our materials is based on historical data due to the closure of CRC during 2022 and 2023.</t>
  </si>
  <si>
    <t xml:space="preserve">2024 - 2025 plan years </t>
  </si>
  <si>
    <t>Sept. 2023</t>
  </si>
  <si>
    <t>Dec. 2021</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</si>
  <si>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2022 – September 2022), and Part B (October 2022 – September 2023) of the plan.</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</si>
  <si>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2023.  The County may waive requirements a) and b) if in County’s judgment, WM has complied with all aspects of the Plan.</t>
    </r>
  </si>
  <si>
    <t>Less: Reduction in the Budget to reflect prior overspent funds (net of incentive)</t>
  </si>
  <si>
    <t>Tasks are currently being outlined in conjunction with Snohomish County. We will provide updated workpapers with the outlined tasks and formal letter from the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</si>
</sst>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00">
    <font>
      <sz val="10"/>
      <name val="Arial"/>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b/>
      <sz val="10"/>
      <color rgb="FFFF0000"/>
      <name val="Arial"/>
      <family val="2"/>
    </font>
    <font>
      <b/>
      <i/>
      <u/>
      <sz val="11"/>
      <color theme="1"/>
      <name val="Calibri"/>
      <family val="2"/>
      <scheme val="minor"/>
    </font>
    <font>
      <b/>
      <i/>
      <u/>
      <sz val="11"/>
      <color rgb="FFFF0000"/>
      <name val="Calibri"/>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1"/>
      <name val="Arial"/>
      <family val="2"/>
    </font>
    <font>
      <b/>
      <sz val="11"/>
      <name val="Palatino Linotype"/>
      <family val="1"/>
    </font>
    <font>
      <sz val="9"/>
      <color rgb="FFFF0000"/>
      <name val="Arial"/>
      <family val="2"/>
    </font>
    <font>
      <u val="singleAccounting"/>
      <sz val="9"/>
      <color rgb="FFFF0000"/>
      <name val="Arial"/>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sz val="12"/>
      <name val="Times New Roman"/>
      <family val="1"/>
    </font>
    <font>
      <sz val="12"/>
      <name val="Times New Roman"/>
      <family val="1"/>
    </font>
    <font>
      <sz val="7"/>
      <name val="Times New Roman"/>
      <family val="1"/>
    </font>
    <font>
      <b/>
      <u/>
      <sz val="12"/>
      <name val="Times New Roman"/>
      <family val="1"/>
    </font>
    <font>
      <b/>
      <u/>
      <sz val="12"/>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45">
    <xf numFmtId="0" fontId="0" fillId="0" borderId="0" xfId="0"/>
    <xf numFmtId="0" fontId="3"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4" fillId="0" borderId="6" xfId="0" applyNumberFormat="1" applyFont="1" applyBorder="1" applyAlignment="1">
      <alignment horizontal="right"/>
    </xf>
    <xf numFmtId="0" fontId="5" fillId="0" borderId="0" xfId="0" applyFont="1"/>
    <xf numFmtId="0" fontId="0" fillId="0" borderId="0" xfId="0" applyBorder="1"/>
    <xf numFmtId="0" fontId="34" fillId="0" borderId="0" xfId="0" applyFont="1" applyAlignment="1">
      <alignment horizontal="center"/>
    </xf>
    <xf numFmtId="0" fontId="36" fillId="0" borderId="0" xfId="0" applyFont="1" applyAlignment="1">
      <alignment horizontal="center"/>
    </xf>
    <xf numFmtId="164" fontId="5" fillId="0" borderId="3" xfId="10" applyNumberFormat="1" applyFont="1" applyBorder="1" applyAlignment="1">
      <alignment horizontal="right"/>
    </xf>
    <xf numFmtId="43" fontId="5" fillId="0" borderId="2" xfId="2" applyFont="1" applyBorder="1" applyAlignment="1">
      <alignment horizontal="right"/>
    </xf>
    <xf numFmtId="43" fontId="6" fillId="0" borderId="2" xfId="2" applyFont="1" applyBorder="1" applyAlignment="1">
      <alignment horizontal="right"/>
    </xf>
    <xf numFmtId="0" fontId="3" fillId="0" borderId="7" xfId="0" applyFont="1" applyBorder="1"/>
    <xf numFmtId="43" fontId="3" fillId="0" borderId="8" xfId="2" applyFont="1" applyBorder="1"/>
    <xf numFmtId="9" fontId="3" fillId="0" borderId="9" xfId="0" applyNumberFormat="1" applyFont="1" applyBorder="1"/>
    <xf numFmtId="0" fontId="37" fillId="0" borderId="0" xfId="0" applyFont="1" applyBorder="1"/>
    <xf numFmtId="0" fontId="0" fillId="0" borderId="0" xfId="0" applyFill="1"/>
    <xf numFmtId="0" fontId="38" fillId="0" borderId="0" xfId="0" quotePrefix="1" applyFont="1" applyAlignment="1">
      <alignment wrapText="1"/>
    </xf>
    <xf numFmtId="0" fontId="39" fillId="0" borderId="0" xfId="0" applyFont="1" applyAlignment="1">
      <alignment horizontal="right" wrapText="1"/>
    </xf>
    <xf numFmtId="0" fontId="39" fillId="0" borderId="0" xfId="0" applyFont="1" applyAlignment="1">
      <alignment horizontal="center" wrapText="1"/>
    </xf>
    <xf numFmtId="0" fontId="39" fillId="0" borderId="0" xfId="0" applyFont="1" applyAlignment="1">
      <alignment wrapText="1"/>
    </xf>
    <xf numFmtId="0" fontId="36" fillId="0" borderId="0" xfId="0" applyFont="1" applyBorder="1"/>
    <xf numFmtId="0" fontId="34" fillId="0" borderId="0" xfId="0" applyFont="1" applyFill="1" applyBorder="1"/>
    <xf numFmtId="0" fontId="0" fillId="0" borderId="0" xfId="0" applyFill="1" applyBorder="1"/>
    <xf numFmtId="0" fontId="40" fillId="0" borderId="0" xfId="0" applyFont="1" applyBorder="1"/>
    <xf numFmtId="0" fontId="34" fillId="0" borderId="0" xfId="0" applyFont="1" applyAlignment="1">
      <alignment wrapText="1"/>
    </xf>
    <xf numFmtId="0" fontId="41" fillId="0" borderId="0" xfId="0" applyFont="1" applyAlignment="1">
      <alignment horizontal="right" wrapText="1"/>
    </xf>
    <xf numFmtId="0" fontId="42" fillId="0" borderId="0" xfId="0" applyFont="1" applyBorder="1"/>
    <xf numFmtId="0" fontId="43" fillId="0" borderId="0" xfId="0" applyFont="1" applyAlignment="1">
      <alignment wrapText="1"/>
    </xf>
    <xf numFmtId="0" fontId="43" fillId="0" borderId="0" xfId="0" applyFont="1" applyAlignment="1">
      <alignment horizontal="right" wrapText="1"/>
    </xf>
    <xf numFmtId="0" fontId="36"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5" fillId="0" borderId="0" xfId="0" applyFont="1" applyAlignment="1">
      <alignment horizontal="right" wrapText="1"/>
    </xf>
    <xf numFmtId="0" fontId="41" fillId="0" borderId="0" xfId="0" applyFont="1" applyAlignment="1">
      <alignment wrapText="1"/>
    </xf>
    <xf numFmtId="6" fontId="43" fillId="0" borderId="0" xfId="3" applyNumberFormat="1" applyFont="1" applyAlignment="1">
      <alignment horizontal="right" wrapText="1"/>
    </xf>
    <xf numFmtId="6" fontId="43" fillId="0" borderId="0" xfId="3" applyNumberFormat="1" applyFont="1" applyAlignment="1">
      <alignment horizontal="center" wrapText="1"/>
    </xf>
    <xf numFmtId="164" fontId="39" fillId="0" borderId="0" xfId="9" applyNumberFormat="1" applyFont="1" applyAlignment="1">
      <alignment horizontal="center" wrapText="1"/>
    </xf>
    <xf numFmtId="164" fontId="3" fillId="0" borderId="9" xfId="0" applyNumberFormat="1" applyFont="1" applyBorder="1"/>
    <xf numFmtId="43" fontId="3" fillId="0" borderId="8" xfId="1" applyFont="1" applyBorder="1"/>
    <xf numFmtId="43" fontId="0" fillId="0" borderId="0" xfId="1" applyFont="1"/>
    <xf numFmtId="0" fontId="3" fillId="0" borderId="18" xfId="0" applyFont="1" applyBorder="1"/>
    <xf numFmtId="0" fontId="3" fillId="2" borderId="18" xfId="0" applyFont="1" applyFill="1" applyBorder="1"/>
    <xf numFmtId="0" fontId="3" fillId="2" borderId="18" xfId="0" applyFont="1" applyFill="1" applyBorder="1" applyAlignment="1">
      <alignment horizontal="center"/>
    </xf>
    <xf numFmtId="0" fontId="3" fillId="2" borderId="18" xfId="0" applyFont="1" applyFill="1" applyBorder="1" applyAlignment="1" applyProtection="1">
      <alignment horizontal="center"/>
    </xf>
    <xf numFmtId="0" fontId="9" fillId="0" borderId="18" xfId="0" applyFont="1" applyFill="1" applyBorder="1"/>
    <xf numFmtId="17" fontId="3" fillId="0" borderId="18" xfId="8" applyNumberFormat="1" applyFont="1" applyFill="1" applyBorder="1" applyAlignment="1">
      <alignment horizontal="right"/>
    </xf>
    <xf numFmtId="0" fontId="35" fillId="0" borderId="0" xfId="0" applyFont="1"/>
    <xf numFmtId="0" fontId="34" fillId="0" borderId="0" xfId="0" applyFont="1"/>
    <xf numFmtId="0" fontId="36" fillId="0" borderId="0" xfId="0" applyFont="1"/>
    <xf numFmtId="165" fontId="44" fillId="0" borderId="0" xfId="1" applyNumberFormat="1" applyFont="1"/>
    <xf numFmtId="0" fontId="10" fillId="0" borderId="0" xfId="0" applyFont="1" applyAlignment="1">
      <alignment horizontal="center"/>
    </xf>
    <xf numFmtId="165" fontId="11" fillId="0" borderId="0" xfId="2" applyNumberFormat="1" applyFont="1" applyAlignment="1">
      <alignment horizontal="center"/>
    </xf>
    <xf numFmtId="0" fontId="11" fillId="0" borderId="0" xfId="0" applyFont="1" applyAlignment="1">
      <alignment horizontal="center"/>
    </xf>
    <xf numFmtId="165" fontId="45" fillId="0" borderId="0" xfId="1" applyNumberFormat="1" applyFont="1" applyAlignment="1">
      <alignment horizontal="center"/>
    </xf>
    <xf numFmtId="165" fontId="5" fillId="0" borderId="0" xfId="1" applyNumberFormat="1" applyFont="1" applyProtection="1"/>
    <xf numFmtId="165" fontId="46" fillId="0" borderId="0" xfId="1" applyNumberFormat="1" applyFont="1"/>
    <xf numFmtId="0" fontId="8" fillId="0" borderId="0" xfId="0" applyFont="1"/>
    <xf numFmtId="165" fontId="8" fillId="0" borderId="0" xfId="2" applyNumberFormat="1" applyFont="1"/>
    <xf numFmtId="43" fontId="12" fillId="0" borderId="0" xfId="1" applyFont="1" applyBorder="1" applyAlignment="1" applyProtection="1">
      <alignment horizontal="right"/>
      <protection locked="0"/>
    </xf>
    <xf numFmtId="0" fontId="13" fillId="0" borderId="0" xfId="7" applyFont="1"/>
    <xf numFmtId="0" fontId="47" fillId="0" borderId="0" xfId="0" applyFont="1"/>
    <xf numFmtId="0" fontId="39" fillId="0" borderId="0" xfId="0" applyFont="1"/>
    <xf numFmtId="0" fontId="48" fillId="0" borderId="0" xfId="0" applyFont="1"/>
    <xf numFmtId="0" fontId="49" fillId="0" borderId="0" xfId="0" applyFont="1" applyAlignment="1">
      <alignment horizontal="left"/>
    </xf>
    <xf numFmtId="164" fontId="6" fillId="0" borderId="3" xfId="9" applyNumberFormat="1" applyFont="1" applyBorder="1"/>
    <xf numFmtId="43" fontId="6" fillId="0" borderId="0" xfId="0" applyNumberFormat="1" applyFont="1"/>
    <xf numFmtId="164" fontId="7" fillId="0" borderId="3" xfId="9" applyNumberFormat="1" applyFont="1" applyBorder="1"/>
    <xf numFmtId="0" fontId="41" fillId="0" borderId="0" xfId="0" applyFont="1"/>
    <xf numFmtId="165" fontId="14" fillId="0" borderId="0" xfId="0" applyNumberFormat="1" applyFont="1"/>
    <xf numFmtId="0" fontId="43" fillId="0" borderId="0" xfId="0" applyFont="1"/>
    <xf numFmtId="44" fontId="5" fillId="0" borderId="0" xfId="3" applyFont="1" applyFill="1" applyBorder="1" applyProtection="1">
      <protection locked="0"/>
    </xf>
    <xf numFmtId="44" fontId="50" fillId="0" borderId="0" xfId="0" applyNumberFormat="1" applyFont="1"/>
    <xf numFmtId="0" fontId="51" fillId="0" borderId="0" xfId="0" applyFont="1"/>
    <xf numFmtId="0" fontId="5" fillId="0" borderId="18" xfId="0" applyFont="1" applyBorder="1"/>
    <xf numFmtId="44" fontId="5" fillId="0" borderId="0" xfId="0" applyNumberFormat="1" applyFont="1" applyFill="1" applyBorder="1"/>
    <xf numFmtId="0" fontId="5" fillId="2" borderId="18" xfId="0" applyFont="1" applyFill="1" applyBorder="1"/>
    <xf numFmtId="0" fontId="5" fillId="0" borderId="18" xfId="0" applyFont="1" applyFill="1" applyBorder="1"/>
    <xf numFmtId="0" fontId="5" fillId="0" borderId="0" xfId="0" applyFont="1" applyFill="1" applyBorder="1"/>
    <xf numFmtId="164" fontId="5" fillId="0" borderId="0" xfId="0" applyNumberFormat="1" applyFont="1"/>
    <xf numFmtId="43" fontId="5" fillId="0" borderId="0" xfId="0" applyNumberFormat="1" applyFont="1"/>
    <xf numFmtId="0" fontId="46" fillId="0" borderId="0" xfId="0" applyFont="1" applyFill="1" applyBorder="1"/>
    <xf numFmtId="0" fontId="46" fillId="0" borderId="0" xfId="0" applyFont="1"/>
    <xf numFmtId="0" fontId="52" fillId="0" borderId="0" xfId="0" applyFont="1"/>
    <xf numFmtId="164" fontId="44" fillId="0" borderId="0" xfId="9" applyNumberFormat="1" applyFont="1"/>
    <xf numFmtId="43" fontId="44" fillId="0" borderId="0" xfId="1" applyFont="1"/>
    <xf numFmtId="165" fontId="0" fillId="0" borderId="0" xfId="2" applyNumberFormat="1" applyFont="1"/>
    <xf numFmtId="0" fontId="0" fillId="0" borderId="0" xfId="0" quotePrefix="1"/>
    <xf numFmtId="0" fontId="0" fillId="0" borderId="0" xfId="0" quotePrefix="1" applyAlignment="1">
      <alignment horizontal="left"/>
    </xf>
    <xf numFmtId="164" fontId="5" fillId="0" borderId="3" xfId="9" applyNumberFormat="1" applyFont="1" applyBorder="1"/>
    <xf numFmtId="164" fontId="7" fillId="0" borderId="3" xfId="10" applyNumberFormat="1" applyFont="1" applyBorder="1" applyAlignment="1">
      <alignment horizontal="right"/>
    </xf>
    <xf numFmtId="0" fontId="3" fillId="0" borderId="0" xfId="0" applyFont="1" applyAlignment="1">
      <alignment horizontal="center"/>
    </xf>
    <xf numFmtId="44" fontId="5" fillId="0" borderId="0" xfId="3" applyFont="1"/>
    <xf numFmtId="165" fontId="6" fillId="0" borderId="0" xfId="0" applyNumberFormat="1" applyFont="1"/>
    <xf numFmtId="0" fontId="53"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54" fillId="0" borderId="0" xfId="0" applyFont="1" applyBorder="1" applyAlignment="1">
      <alignment horizontal="center"/>
    </xf>
    <xf numFmtId="165" fontId="55" fillId="0" borderId="0" xfId="0" applyNumberFormat="1" applyFont="1" applyBorder="1" applyAlignment="1">
      <alignment horizontal="center"/>
    </xf>
    <xf numFmtId="164" fontId="56" fillId="0" borderId="0" xfId="9" applyNumberFormat="1" applyFont="1" applyAlignment="1"/>
    <xf numFmtId="165" fontId="55" fillId="0" borderId="0" xfId="0" applyNumberFormat="1" applyFont="1" applyBorder="1" applyAlignment="1"/>
    <xf numFmtId="166" fontId="55" fillId="0" borderId="0" xfId="0" applyNumberFormat="1" applyFont="1" applyAlignment="1">
      <alignment horizontal="right"/>
    </xf>
    <xf numFmtId="0" fontId="17" fillId="0" borderId="0" xfId="0" applyFont="1" applyAlignment="1">
      <alignment horizontal="right"/>
    </xf>
    <xf numFmtId="166" fontId="57" fillId="0" borderId="0" xfId="3" applyNumberFormat="1" applyFont="1" applyAlignment="1">
      <alignment horizontal="right"/>
    </xf>
    <xf numFmtId="166" fontId="58" fillId="0" borderId="0" xfId="0" applyNumberFormat="1" applyFont="1"/>
    <xf numFmtId="166" fontId="59" fillId="0" borderId="0" xfId="3" applyNumberFormat="1" applyFont="1" applyAlignment="1">
      <alignment horizontal="right"/>
    </xf>
    <xf numFmtId="166" fontId="55" fillId="0" borderId="0" xfId="3" applyNumberFormat="1" applyFont="1" applyAlignment="1">
      <alignment horizontal="right"/>
    </xf>
    <xf numFmtId="166" fontId="55" fillId="0" borderId="0" xfId="3" applyNumberFormat="1" applyFont="1" applyBorder="1" applyAlignment="1">
      <alignment horizontal="center"/>
    </xf>
    <xf numFmtId="166" fontId="17" fillId="0" borderId="0" xfId="0" applyNumberFormat="1" applyFont="1"/>
    <xf numFmtId="166" fontId="54" fillId="0" borderId="0" xfId="3" applyNumberFormat="1" applyFont="1" applyBorder="1" applyAlignment="1">
      <alignment horizontal="center"/>
    </xf>
    <xf numFmtId="166" fontId="17" fillId="0" borderId="0" xfId="0" applyNumberFormat="1" applyFont="1" applyFill="1"/>
    <xf numFmtId="166" fontId="16" fillId="0" borderId="0" xfId="3" applyNumberFormat="1" applyFont="1" applyAlignment="1">
      <alignment horizontal="right"/>
    </xf>
    <xf numFmtId="166" fontId="19" fillId="0" borderId="0" xfId="3" applyNumberFormat="1" applyFont="1" applyAlignment="1">
      <alignment horizontal="center"/>
    </xf>
    <xf numFmtId="43" fontId="19" fillId="0" borderId="0" xfId="1" applyFont="1" applyAlignment="1">
      <alignment horizontal="center"/>
    </xf>
    <xf numFmtId="44" fontId="19" fillId="0" borderId="0" xfId="3" applyFont="1" applyAlignment="1">
      <alignment horizontal="center"/>
    </xf>
    <xf numFmtId="9" fontId="54" fillId="0" borderId="0" xfId="9" applyFont="1" applyBorder="1" applyAlignment="1">
      <alignment horizontal="center"/>
    </xf>
    <xf numFmtId="166" fontId="60" fillId="0" borderId="0" xfId="3" applyNumberFormat="1" applyFont="1" applyAlignment="1">
      <alignment horizontal="right"/>
    </xf>
    <xf numFmtId="6" fontId="15" fillId="0" borderId="0" xfId="3" applyNumberFormat="1" applyFont="1" applyAlignment="1">
      <alignment horizontal="right"/>
    </xf>
    <xf numFmtId="164" fontId="19" fillId="0" borderId="0" xfId="9" applyNumberFormat="1" applyFont="1" applyAlignment="1">
      <alignment horizontal="center"/>
    </xf>
    <xf numFmtId="165" fontId="3" fillId="0" borderId="0" xfId="2" applyNumberFormat="1" applyFont="1" applyAlignment="1">
      <alignment horizontal="center"/>
    </xf>
    <xf numFmtId="43" fontId="6" fillId="0" borderId="0" xfId="1" applyFont="1"/>
    <xf numFmtId="165" fontId="5" fillId="0" borderId="0" xfId="0" applyNumberFormat="1" applyFont="1"/>
    <xf numFmtId="43" fontId="5" fillId="0" borderId="0" xfId="0" applyNumberFormat="1" applyFont="1" applyFill="1"/>
    <xf numFmtId="0" fontId="5" fillId="0" borderId="0" xfId="0" applyFont="1" applyFill="1"/>
    <xf numFmtId="164" fontId="61" fillId="0" borderId="0" xfId="9" applyNumberFormat="1" applyFont="1"/>
    <xf numFmtId="166" fontId="5" fillId="0" borderId="0" xfId="0" applyNumberFormat="1" applyFont="1"/>
    <xf numFmtId="165" fontId="5" fillId="0" borderId="0" xfId="0" applyNumberFormat="1" applyFont="1" applyFill="1"/>
    <xf numFmtId="166" fontId="44" fillId="0" borderId="0" xfId="3" applyNumberFormat="1" applyFont="1"/>
    <xf numFmtId="44" fontId="44" fillId="0" borderId="0" xfId="3" applyFont="1"/>
    <xf numFmtId="0" fontId="62" fillId="0" borderId="0" xfId="0" applyFont="1"/>
    <xf numFmtId="166" fontId="62" fillId="0" borderId="0" xfId="3" applyNumberFormat="1" applyFont="1"/>
    <xf numFmtId="43" fontId="62" fillId="0" borderId="0" xfId="0" applyNumberFormat="1" applyFont="1"/>
    <xf numFmtId="43" fontId="46" fillId="0" borderId="0" xfId="0" applyNumberFormat="1" applyFont="1"/>
    <xf numFmtId="44" fontId="62" fillId="0" borderId="0" xfId="3" applyFont="1"/>
    <xf numFmtId="43" fontId="50" fillId="0" borderId="0" xfId="0" applyNumberFormat="1" applyFont="1"/>
    <xf numFmtId="166" fontId="50" fillId="0" borderId="0" xfId="3" applyNumberFormat="1" applyFont="1"/>
    <xf numFmtId="44" fontId="50" fillId="0" borderId="0" xfId="3" applyFont="1"/>
    <xf numFmtId="165" fontId="50" fillId="0" borderId="0" xfId="0" applyNumberFormat="1" applyFont="1"/>
    <xf numFmtId="166" fontId="44" fillId="0" borderId="0" xfId="3" applyNumberFormat="1" applyFont="1" applyFill="1"/>
    <xf numFmtId="0" fontId="62" fillId="0" borderId="0" xfId="0" applyFont="1" applyFill="1"/>
    <xf numFmtId="43" fontId="62" fillId="0" borderId="0" xfId="0" applyNumberFormat="1" applyFont="1" applyFill="1"/>
    <xf numFmtId="43" fontId="63" fillId="0" borderId="0" xfId="1" applyFont="1"/>
    <xf numFmtId="43" fontId="63" fillId="0" borderId="0" xfId="0" applyNumberFormat="1" applyFont="1"/>
    <xf numFmtId="166" fontId="63" fillId="0" borderId="0" xfId="3" applyNumberFormat="1" applyFont="1"/>
    <xf numFmtId="166" fontId="63" fillId="0" borderId="0" xfId="0" applyNumberFormat="1" applyFont="1"/>
    <xf numFmtId="44" fontId="63" fillId="0" borderId="0" xfId="3" applyFont="1"/>
    <xf numFmtId="165" fontId="63" fillId="0" borderId="0" xfId="1" applyNumberFormat="1" applyFont="1"/>
    <xf numFmtId="166" fontId="14" fillId="0" borderId="0" xfId="3" applyNumberFormat="1" applyFont="1"/>
    <xf numFmtId="166" fontId="14" fillId="0" borderId="0" xfId="0" applyNumberFormat="1" applyFont="1"/>
    <xf numFmtId="0" fontId="51" fillId="0" borderId="0" xfId="0" applyFont="1" applyAlignment="1">
      <alignment horizontal="center"/>
    </xf>
    <xf numFmtId="0" fontId="52" fillId="0" borderId="0" xfId="0" applyFont="1" applyAlignment="1">
      <alignment horizontal="center"/>
    </xf>
    <xf numFmtId="43" fontId="6" fillId="0" borderId="0" xfId="0" applyNumberFormat="1" applyFont="1" applyFill="1"/>
    <xf numFmtId="43" fontId="46" fillId="0" borderId="0" xfId="0" applyNumberFormat="1" applyFont="1" applyFill="1"/>
    <xf numFmtId="164" fontId="64" fillId="0" borderId="0" xfId="9" applyNumberFormat="1" applyFont="1"/>
    <xf numFmtId="164" fontId="50" fillId="0" borderId="0" xfId="9" applyNumberFormat="1" applyFont="1"/>
    <xf numFmtId="0" fontId="52" fillId="0" borderId="0" xfId="0" applyFont="1" applyAlignment="1">
      <alignment horizontal="center"/>
    </xf>
    <xf numFmtId="165" fontId="5" fillId="0" borderId="0" xfId="2" applyNumberFormat="1" applyFont="1" applyFill="1"/>
    <xf numFmtId="165" fontId="5" fillId="0" borderId="0" xfId="2" applyNumberFormat="1" applyFont="1"/>
    <xf numFmtId="0" fontId="5" fillId="0" borderId="0" xfId="0" quotePrefix="1" applyFont="1"/>
    <xf numFmtId="165" fontId="44" fillId="0" borderId="0" xfId="2" applyNumberFormat="1" applyFont="1"/>
    <xf numFmtId="165" fontId="62" fillId="0" borderId="0" xfId="2" applyNumberFormat="1" applyFont="1"/>
    <xf numFmtId="165" fontId="65" fillId="0" borderId="0" xfId="2" applyNumberFormat="1" applyFont="1"/>
    <xf numFmtId="0" fontId="65" fillId="0" borderId="0" xfId="0" applyFont="1"/>
    <xf numFmtId="165" fontId="62" fillId="0" borderId="0" xfId="0" applyNumberFormat="1" applyFont="1"/>
    <xf numFmtId="164" fontId="64" fillId="0" borderId="0" xfId="0" applyNumberFormat="1" applyFont="1"/>
    <xf numFmtId="165" fontId="51" fillId="0" borderId="0" xfId="0" applyNumberFormat="1" applyFont="1"/>
    <xf numFmtId="165" fontId="45" fillId="0" borderId="0" xfId="0" applyNumberFormat="1" applyFont="1"/>
    <xf numFmtId="165" fontId="51" fillId="0" borderId="0" xfId="1" applyNumberFormat="1" applyFont="1"/>
    <xf numFmtId="165" fontId="45" fillId="0" borderId="0" xfId="1" applyNumberFormat="1" applyFont="1"/>
    <xf numFmtId="0" fontId="4" fillId="0" borderId="0" xfId="0" applyFont="1" applyFill="1" applyAlignment="1">
      <alignment horizontal="center"/>
    </xf>
    <xf numFmtId="165" fontId="44" fillId="0" borderId="0" xfId="2" applyNumberFormat="1" applyFont="1" applyFill="1"/>
    <xf numFmtId="165" fontId="5" fillId="0" borderId="0" xfId="1" applyNumberFormat="1" applyFont="1" applyFill="1" applyProtection="1"/>
    <xf numFmtId="43" fontId="0" fillId="0" borderId="0" xfId="0" applyNumberFormat="1"/>
    <xf numFmtId="16" fontId="10" fillId="0" borderId="0" xfId="0" applyNumberFormat="1" applyFont="1" applyAlignment="1">
      <alignment horizontal="center"/>
    </xf>
    <xf numFmtId="0" fontId="3" fillId="0" borderId="0" xfId="0" quotePrefix="1" applyFont="1" applyAlignment="1">
      <alignment horizontal="center"/>
    </xf>
    <xf numFmtId="0" fontId="44" fillId="0" borderId="0" xfId="1" applyNumberFormat="1" applyFont="1"/>
    <xf numFmtId="44" fontId="44" fillId="0" borderId="0" xfId="1" applyNumberFormat="1" applyFont="1"/>
    <xf numFmtId="165" fontId="62" fillId="0" borderId="0" xfId="2" applyNumberFormat="1" applyFont="1" applyFill="1"/>
    <xf numFmtId="0" fontId="6" fillId="0" borderId="0" xfId="0" applyFont="1"/>
    <xf numFmtId="0" fontId="57" fillId="0" borderId="0" xfId="0" applyFont="1" applyBorder="1"/>
    <xf numFmtId="0" fontId="53" fillId="0" borderId="0" xfId="0" applyFont="1" applyAlignment="1">
      <alignment horizontal="right" wrapText="1"/>
    </xf>
    <xf numFmtId="0" fontId="53" fillId="0" borderId="0" xfId="0" applyFont="1" applyAlignment="1">
      <alignment wrapText="1"/>
    </xf>
    <xf numFmtId="0" fontId="54" fillId="0" borderId="0" xfId="0" applyFont="1" applyBorder="1"/>
    <xf numFmtId="0" fontId="57" fillId="0" borderId="0" xfId="0" applyFont="1" applyFill="1" applyBorder="1"/>
    <xf numFmtId="0" fontId="57" fillId="0" borderId="0" xfId="0" applyFont="1" applyAlignment="1">
      <alignment wrapText="1"/>
    </xf>
    <xf numFmtId="0" fontId="17" fillId="0" borderId="0" xfId="0" applyFont="1" applyAlignment="1">
      <alignment horizontal="right" wrapText="1"/>
    </xf>
    <xf numFmtId="164" fontId="53" fillId="0" borderId="0" xfId="9" applyNumberFormat="1" applyFont="1" applyAlignment="1">
      <alignment horizontal="center" wrapText="1"/>
    </xf>
    <xf numFmtId="0" fontId="57"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54"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19" fillId="0" borderId="0" xfId="9" applyNumberFormat="1" applyFont="1" applyAlignment="1">
      <alignment horizontal="center" wrapText="1"/>
    </xf>
    <xf numFmtId="0" fontId="17" fillId="0" borderId="0" xfId="0" applyFont="1" applyBorder="1"/>
    <xf numFmtId="0" fontId="17" fillId="0" borderId="0" xfId="0" applyFont="1" applyFill="1" applyBorder="1"/>
    <xf numFmtId="0" fontId="17" fillId="0" borderId="0" xfId="0" applyFont="1" applyBorder="1" applyAlignment="1"/>
    <xf numFmtId="166" fontId="66" fillId="0" borderId="0" xfId="3" applyNumberFormat="1" applyFont="1" applyAlignment="1">
      <alignment horizontal="center"/>
    </xf>
    <xf numFmtId="44" fontId="0" fillId="0" borderId="0" xfId="3" applyFont="1"/>
    <xf numFmtId="164" fontId="46" fillId="0" borderId="0" xfId="9" applyNumberFormat="1" applyFont="1"/>
    <xf numFmtId="0" fontId="21" fillId="3" borderId="10" xfId="0" applyFont="1" applyFill="1" applyBorder="1"/>
    <xf numFmtId="0" fontId="22" fillId="3" borderId="11" xfId="0" applyFont="1" applyFill="1" applyBorder="1"/>
    <xf numFmtId="0" fontId="67" fillId="3" borderId="11" xfId="0" applyFont="1" applyFill="1" applyBorder="1"/>
    <xf numFmtId="0" fontId="67" fillId="3" borderId="12" xfId="0" applyFont="1" applyFill="1" applyBorder="1"/>
    <xf numFmtId="0" fontId="23" fillId="3" borderId="13" xfId="0" applyFont="1" applyFill="1" applyBorder="1"/>
    <xf numFmtId="0" fontId="23" fillId="3" borderId="0" xfId="0" applyFont="1" applyFill="1" applyBorder="1"/>
    <xf numFmtId="0" fontId="24" fillId="3" borderId="0" xfId="0" applyFont="1" applyFill="1" applyBorder="1"/>
    <xf numFmtId="0" fontId="67" fillId="3" borderId="0" xfId="0" applyFont="1" applyFill="1" applyBorder="1"/>
    <xf numFmtId="0" fontId="67" fillId="3" borderId="14" xfId="0" applyFont="1" applyFill="1" applyBorder="1"/>
    <xf numFmtId="15" fontId="23" fillId="3" borderId="13" xfId="0" applyNumberFormat="1" applyFont="1" applyFill="1" applyBorder="1"/>
    <xf numFmtId="15" fontId="23" fillId="3" borderId="0" xfId="0" applyNumberFormat="1" applyFont="1" applyFill="1" applyBorder="1"/>
    <xf numFmtId="0" fontId="67" fillId="3" borderId="13" xfId="0" applyFont="1" applyFill="1" applyBorder="1"/>
    <xf numFmtId="0" fontId="23" fillId="3" borderId="0" xfId="0" applyFont="1" applyFill="1" applyBorder="1" applyAlignment="1">
      <alignment horizontal="center"/>
    </xf>
    <xf numFmtId="0" fontId="26" fillId="3" borderId="0" xfId="0" applyFont="1" applyFill="1" applyBorder="1" applyAlignment="1">
      <alignment horizontal="center"/>
    </xf>
    <xf numFmtId="0" fontId="23" fillId="3" borderId="21" xfId="0" applyFont="1" applyFill="1" applyBorder="1"/>
    <xf numFmtId="0" fontId="67" fillId="3" borderId="0" xfId="0" applyFont="1" applyFill="1" applyBorder="1" applyAlignment="1">
      <alignment horizontal="center"/>
    </xf>
    <xf numFmtId="41" fontId="67" fillId="3" borderId="0" xfId="0" applyNumberFormat="1" applyFont="1" applyFill="1" applyBorder="1"/>
    <xf numFmtId="44" fontId="27" fillId="3" borderId="0" xfId="4" applyFont="1" applyFill="1" applyBorder="1"/>
    <xf numFmtId="166" fontId="67" fillId="3" borderId="0" xfId="4" applyNumberFormat="1" applyFont="1" applyFill="1" applyBorder="1"/>
    <xf numFmtId="0" fontId="22" fillId="3" borderId="13" xfId="0" applyFont="1" applyFill="1" applyBorder="1"/>
    <xf numFmtId="0" fontId="22" fillId="3" borderId="0" xfId="0" applyFont="1" applyFill="1" applyBorder="1"/>
    <xf numFmtId="41" fontId="28" fillId="3" borderId="0" xfId="0" applyNumberFormat="1" applyFont="1" applyFill="1" applyBorder="1"/>
    <xf numFmtId="166" fontId="28" fillId="3" borderId="0" xfId="4" applyNumberFormat="1" applyFont="1" applyFill="1" applyBorder="1"/>
    <xf numFmtId="44" fontId="67" fillId="3" borderId="0" xfId="4" applyFont="1" applyFill="1" applyBorder="1"/>
    <xf numFmtId="166" fontId="68" fillId="3" borderId="0" xfId="4" applyNumberFormat="1" applyFont="1" applyFill="1" applyBorder="1"/>
    <xf numFmtId="44" fontId="22" fillId="3" borderId="0" xfId="4" applyFont="1" applyFill="1" applyBorder="1"/>
    <xf numFmtId="44" fontId="22" fillId="3" borderId="14" xfId="4" applyFont="1" applyFill="1" applyBorder="1"/>
    <xf numFmtId="0" fontId="26" fillId="3" borderId="13" xfId="0" applyFont="1" applyFill="1" applyBorder="1"/>
    <xf numFmtId="166" fontId="22" fillId="3" borderId="0" xfId="4" applyNumberFormat="1" applyFont="1" applyFill="1" applyBorder="1"/>
    <xf numFmtId="41" fontId="68" fillId="3" borderId="0" xfId="0" applyNumberFormat="1" applyFont="1" applyFill="1" applyBorder="1"/>
    <xf numFmtId="44" fontId="28" fillId="3" borderId="14" xfId="4" applyNumberFormat="1" applyFont="1" applyFill="1" applyBorder="1"/>
    <xf numFmtId="44" fontId="23" fillId="3" borderId="14" xfId="4" applyNumberFormat="1" applyFont="1" applyFill="1" applyBorder="1"/>
    <xf numFmtId="9" fontId="0" fillId="0" borderId="0" xfId="10" applyFont="1"/>
    <xf numFmtId="166" fontId="47" fillId="3" borderId="0" xfId="4" applyNumberFormat="1" applyFont="1" applyFill="1" applyBorder="1"/>
    <xf numFmtId="44" fontId="23" fillId="3" borderId="14" xfId="4" applyFont="1" applyFill="1" applyBorder="1"/>
    <xf numFmtId="164" fontId="69" fillId="3" borderId="0" xfId="10" applyNumberFormat="1" applyFont="1" applyFill="1" applyBorder="1"/>
    <xf numFmtId="44" fontId="29" fillId="3" borderId="14" xfId="4" applyNumberFormat="1" applyFont="1" applyFill="1" applyBorder="1"/>
    <xf numFmtId="41" fontId="0" fillId="0" borderId="0" xfId="0" applyNumberFormat="1"/>
    <xf numFmtId="9" fontId="69" fillId="3" borderId="0" xfId="10" applyFont="1" applyFill="1" applyBorder="1"/>
    <xf numFmtId="44" fontId="30" fillId="3" borderId="14" xfId="4" applyNumberFormat="1" applyFont="1" applyFill="1" applyBorder="1"/>
    <xf numFmtId="0" fontId="0" fillId="3" borderId="15" xfId="0" applyFill="1" applyBorder="1"/>
    <xf numFmtId="0" fontId="0" fillId="3" borderId="16" xfId="0" applyFill="1" applyBorder="1"/>
    <xf numFmtId="0" fontId="0" fillId="3" borderId="17" xfId="0" applyFill="1" applyBorder="1"/>
    <xf numFmtId="165" fontId="67" fillId="3" borderId="0" xfId="1" applyNumberFormat="1" applyFont="1" applyFill="1" applyBorder="1"/>
    <xf numFmtId="44" fontId="67" fillId="3" borderId="0" xfId="0" applyNumberFormat="1" applyFont="1" applyFill="1" applyBorder="1"/>
    <xf numFmtId="166" fontId="67" fillId="3" borderId="0" xfId="0" applyNumberFormat="1" applyFont="1" applyFill="1" applyBorder="1"/>
    <xf numFmtId="166" fontId="67" fillId="3"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6" fillId="0" borderId="0" xfId="0" applyNumberFormat="1" applyFont="1"/>
    <xf numFmtId="166" fontId="6" fillId="0" borderId="0" xfId="3" applyNumberFormat="1" applyFont="1"/>
    <xf numFmtId="0" fontId="57"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0" fillId="0" borderId="6" xfId="0" applyBorder="1"/>
    <xf numFmtId="0" fontId="0" fillId="0" borderId="2" xfId="0" applyBorder="1"/>
    <xf numFmtId="0" fontId="3" fillId="0" borderId="8" xfId="0" applyFont="1" applyBorder="1"/>
    <xf numFmtId="164" fontId="5" fillId="0" borderId="0" xfId="9" applyNumberFormat="1" applyFont="1"/>
    <xf numFmtId="164" fontId="70" fillId="0" borderId="0" xfId="9" applyNumberFormat="1" applyFont="1"/>
    <xf numFmtId="164" fontId="8" fillId="0" borderId="0" xfId="9" applyNumberFormat="1" applyFont="1"/>
    <xf numFmtId="0" fontId="52" fillId="0" borderId="0" xfId="0" quotePrefix="1" applyFont="1" applyAlignment="1">
      <alignment horizontal="center"/>
    </xf>
    <xf numFmtId="164" fontId="8" fillId="0" borderId="0" xfId="0" applyNumberFormat="1" applyFont="1"/>
    <xf numFmtId="0" fontId="3" fillId="0" borderId="0" xfId="0" applyFont="1" applyAlignment="1">
      <alignment horizontal="right" indent="1"/>
    </xf>
    <xf numFmtId="0" fontId="5" fillId="0" borderId="0" xfId="0" applyFont="1" applyAlignment="1">
      <alignment horizontal="right" indent="1"/>
    </xf>
    <xf numFmtId="0" fontId="33" fillId="3" borderId="0" xfId="0" applyFont="1" applyFill="1" applyBorder="1" applyAlignment="1">
      <alignment vertical="top" wrapText="1"/>
    </xf>
    <xf numFmtId="166" fontId="67" fillId="3" borderId="20" xfId="4" applyNumberFormat="1" applyFont="1" applyFill="1" applyBorder="1"/>
    <xf numFmtId="166" fontId="22" fillId="3" borderId="0" xfId="0" applyNumberFormat="1" applyFont="1" applyFill="1"/>
    <xf numFmtId="166" fontId="67" fillId="3" borderId="20" xfId="3" applyNumberFormat="1" applyFont="1" applyFill="1" applyBorder="1"/>
    <xf numFmtId="166" fontId="22" fillId="3" borderId="20" xfId="0" applyNumberFormat="1" applyFont="1" applyFill="1" applyBorder="1"/>
    <xf numFmtId="0" fontId="47" fillId="3" borderId="13" xfId="0" applyFont="1" applyFill="1" applyBorder="1"/>
    <xf numFmtId="0" fontId="22" fillId="3" borderId="0" xfId="0" applyFont="1" applyFill="1"/>
    <xf numFmtId="165" fontId="2" fillId="0" borderId="0" xfId="2" applyNumberFormat="1" applyFont="1" applyFill="1"/>
    <xf numFmtId="0" fontId="2" fillId="0" borderId="0" xfId="0" applyFont="1"/>
    <xf numFmtId="0" fontId="3" fillId="0" borderId="0" xfId="0" applyFont="1" applyAlignment="1">
      <alignment vertical="top" wrapText="1"/>
    </xf>
    <xf numFmtId="44" fontId="14" fillId="0" borderId="0" xfId="3" applyFont="1"/>
    <xf numFmtId="0" fontId="14" fillId="0" borderId="0" xfId="0" applyFont="1"/>
    <xf numFmtId="0" fontId="14" fillId="0" borderId="0" xfId="0" applyFont="1" applyAlignment="1">
      <alignment vertical="top" wrapText="1"/>
    </xf>
    <xf numFmtId="0" fontId="33" fillId="0" borderId="0" xfId="0" applyFont="1" applyAlignment="1">
      <alignment vertical="top" wrapText="1"/>
    </xf>
    <xf numFmtId="167" fontId="0" fillId="0" borderId="0" xfId="0" applyNumberFormat="1"/>
    <xf numFmtId="165" fontId="1" fillId="0" borderId="0" xfId="2" applyNumberFormat="1" applyFont="1"/>
    <xf numFmtId="44" fontId="1" fillId="0" borderId="0" xfId="4" applyFont="1"/>
    <xf numFmtId="167" fontId="74" fillId="5" borderId="10" xfId="0" applyNumberFormat="1" applyFont="1" applyFill="1" applyBorder="1"/>
    <xf numFmtId="167" fontId="74" fillId="5" borderId="11" xfId="0" applyNumberFormat="1" applyFont="1" applyFill="1" applyBorder="1"/>
    <xf numFmtId="167" fontId="74" fillId="5" borderId="12" xfId="0" applyNumberFormat="1" applyFont="1" applyFill="1" applyBorder="1"/>
    <xf numFmtId="167" fontId="74" fillId="0" borderId="0" xfId="0" applyNumberFormat="1" applyFont="1"/>
    <xf numFmtId="165" fontId="74" fillId="0" borderId="0" xfId="2" applyNumberFormat="1" applyFont="1"/>
    <xf numFmtId="167" fontId="74" fillId="5" borderId="27" xfId="0" applyNumberFormat="1" applyFont="1" applyFill="1" applyBorder="1" applyAlignment="1">
      <alignment horizontal="center"/>
    </xf>
    <xf numFmtId="44" fontId="74" fillId="5" borderId="27" xfId="4" applyFont="1" applyFill="1" applyBorder="1" applyAlignment="1">
      <alignment horizontal="center"/>
    </xf>
    <xf numFmtId="167" fontId="74" fillId="5" borderId="17" xfId="0" applyNumberFormat="1" applyFont="1" applyFill="1" applyBorder="1" applyAlignment="1">
      <alignment horizontal="center"/>
    </xf>
    <xf numFmtId="167" fontId="75" fillId="0" borderId="0" xfId="0" applyNumberFormat="1" applyFont="1" applyAlignment="1">
      <alignment horizontal="center"/>
    </xf>
    <xf numFmtId="167" fontId="22" fillId="0" borderId="10" xfId="0" applyNumberFormat="1" applyFont="1" applyBorder="1"/>
    <xf numFmtId="167" fontId="22" fillId="0" borderId="11" xfId="0" applyNumberFormat="1" applyFont="1" applyBorder="1"/>
    <xf numFmtId="167" fontId="22" fillId="0" borderId="12" xfId="0" applyNumberFormat="1" applyFont="1" applyBorder="1"/>
    <xf numFmtId="167" fontId="22" fillId="0" borderId="28" xfId="0" applyNumberFormat="1" applyFont="1" applyBorder="1"/>
    <xf numFmtId="44" fontId="22" fillId="0" borderId="28" xfId="4" applyFont="1" applyBorder="1"/>
    <xf numFmtId="10" fontId="22" fillId="0" borderId="28" xfId="10" applyNumberFormat="1" applyFont="1" applyBorder="1"/>
    <xf numFmtId="167" fontId="22" fillId="0" borderId="0" xfId="0" applyNumberFormat="1" applyFont="1"/>
    <xf numFmtId="165" fontId="22" fillId="0" borderId="0" xfId="2" applyNumberFormat="1" applyFont="1"/>
    <xf numFmtId="167" fontId="74" fillId="0" borderId="13" xfId="0" applyNumberFormat="1" applyFont="1" applyBorder="1"/>
    <xf numFmtId="167" fontId="22" fillId="0" borderId="14" xfId="0" applyNumberFormat="1" applyFont="1" applyBorder="1"/>
    <xf numFmtId="44" fontId="22" fillId="4" borderId="29" xfId="3" applyFont="1" applyFill="1" applyBorder="1"/>
    <xf numFmtId="44" fontId="22" fillId="0" borderId="29" xfId="4" applyFont="1" applyBorder="1"/>
    <xf numFmtId="10" fontId="22" fillId="0" borderId="29" xfId="10" applyNumberFormat="1" applyFont="1" applyBorder="1"/>
    <xf numFmtId="44" fontId="22" fillId="4" borderId="29" xfId="4" applyFont="1" applyFill="1" applyBorder="1"/>
    <xf numFmtId="7" fontId="22" fillId="0" borderId="29" xfId="4" applyNumberFormat="1" applyFont="1" applyBorder="1"/>
    <xf numFmtId="164" fontId="22" fillId="0" borderId="0" xfId="10" applyNumberFormat="1" applyFont="1"/>
    <xf numFmtId="168" fontId="22" fillId="0" borderId="0" xfId="0" applyNumberFormat="1" applyFont="1"/>
    <xf numFmtId="164" fontId="76" fillId="0" borderId="0" xfId="10" applyNumberFormat="1" applyFont="1"/>
    <xf numFmtId="167" fontId="75" fillId="0" borderId="13" xfId="0" applyNumberFormat="1" applyFont="1" applyBorder="1"/>
    <xf numFmtId="167" fontId="22" fillId="0" borderId="29" xfId="0" applyNumberFormat="1" applyFont="1" applyBorder="1"/>
    <xf numFmtId="44" fontId="77" fillId="0" borderId="29" xfId="4" applyFont="1" applyBorder="1"/>
    <xf numFmtId="164" fontId="78" fillId="0" borderId="0" xfId="10" applyNumberFormat="1" applyFont="1"/>
    <xf numFmtId="10" fontId="22" fillId="0" borderId="0" xfId="10" applyNumberFormat="1" applyFont="1"/>
    <xf numFmtId="167" fontId="22" fillId="0" borderId="13" xfId="0" applyNumberFormat="1" applyFont="1" applyBorder="1"/>
    <xf numFmtId="167" fontId="22" fillId="0" borderId="14" xfId="0" applyNumberFormat="1" applyFont="1" applyBorder="1" applyAlignment="1">
      <alignment horizontal="right"/>
    </xf>
    <xf numFmtId="44" fontId="69" fillId="0" borderId="29" xfId="4" applyFont="1" applyBorder="1"/>
    <xf numFmtId="44" fontId="22" fillId="0" borderId="29" xfId="4" applyFont="1" applyFill="1" applyBorder="1"/>
    <xf numFmtId="44" fontId="22" fillId="0" borderId="0" xfId="4" applyFont="1" applyBorder="1"/>
    <xf numFmtId="167" fontId="22" fillId="0" borderId="15" xfId="0" applyNumberFormat="1" applyFont="1" applyBorder="1"/>
    <xf numFmtId="167" fontId="22" fillId="0" borderId="16" xfId="0" applyNumberFormat="1" applyFont="1" applyBorder="1"/>
    <xf numFmtId="167" fontId="22" fillId="0" borderId="17" xfId="0" applyNumberFormat="1" applyFont="1" applyBorder="1"/>
    <xf numFmtId="167" fontId="22" fillId="0" borderId="30" xfId="0" applyNumberFormat="1" applyFont="1" applyBorder="1"/>
    <xf numFmtId="44" fontId="79" fillId="0" borderId="30" xfId="4" applyFont="1" applyBorder="1"/>
    <xf numFmtId="44" fontId="22" fillId="0" borderId="30" xfId="4" applyFont="1" applyBorder="1"/>
    <xf numFmtId="10" fontId="22" fillId="0" borderId="30" xfId="10" applyNumberFormat="1" applyFont="1" applyBorder="1"/>
    <xf numFmtId="44" fontId="22" fillId="0" borderId="0" xfId="4" applyFont="1"/>
    <xf numFmtId="167" fontId="23" fillId="0" borderId="0" xfId="0" applyNumberFormat="1" applyFont="1"/>
    <xf numFmtId="166" fontId="22" fillId="0" borderId="0" xfId="4" applyNumberFormat="1" applyFont="1"/>
    <xf numFmtId="0" fontId="23" fillId="3" borderId="0" xfId="0" applyFont="1" applyFill="1"/>
    <xf numFmtId="0" fontId="24" fillId="3" borderId="0" xfId="0" applyFont="1" applyFill="1"/>
    <xf numFmtId="0" fontId="67" fillId="3" borderId="0" xfId="0" applyFont="1" applyFill="1"/>
    <xf numFmtId="0" fontId="33" fillId="3" borderId="13" xfId="0" applyFont="1" applyFill="1" applyBorder="1" applyAlignment="1">
      <alignment vertical="top" wrapText="1"/>
    </xf>
    <xf numFmtId="0" fontId="23" fillId="3" borderId="0" xfId="0" applyFont="1" applyFill="1" applyAlignment="1">
      <alignment horizontal="center"/>
    </xf>
    <xf numFmtId="0" fontId="26" fillId="3" borderId="0" xfId="0" applyFont="1" applyFill="1" applyAlignment="1">
      <alignment horizontal="center"/>
    </xf>
    <xf numFmtId="0" fontId="67" fillId="3" borderId="0" xfId="0" applyFont="1" applyFill="1" applyAlignment="1">
      <alignment horizontal="center"/>
    </xf>
    <xf numFmtId="41" fontId="67" fillId="3" borderId="0" xfId="0" applyNumberFormat="1" applyFont="1" applyFill="1"/>
    <xf numFmtId="44" fontId="27" fillId="3" borderId="0" xfId="4" applyFont="1" applyFill="1"/>
    <xf numFmtId="166" fontId="67" fillId="3" borderId="0" xfId="4" applyNumberFormat="1" applyFont="1" applyFill="1"/>
    <xf numFmtId="41" fontId="28" fillId="3" borderId="0" xfId="0" applyNumberFormat="1" applyFont="1" applyFill="1"/>
    <xf numFmtId="166" fontId="28" fillId="3" borderId="0" xfId="4" applyNumberFormat="1" applyFont="1" applyFill="1"/>
    <xf numFmtId="166" fontId="67" fillId="3" borderId="0" xfId="3" applyNumberFormat="1" applyFont="1" applyFill="1"/>
    <xf numFmtId="166" fontId="67" fillId="3" borderId="0" xfId="0" applyNumberFormat="1" applyFont="1" applyFill="1"/>
    <xf numFmtId="165" fontId="67" fillId="3" borderId="0" xfId="1" applyNumberFormat="1" applyFont="1" applyFill="1"/>
    <xf numFmtId="44" fontId="67" fillId="3" borderId="0" xfId="0" applyNumberFormat="1" applyFont="1" applyFill="1"/>
    <xf numFmtId="166" fontId="68" fillId="3" borderId="0" xfId="4" applyNumberFormat="1" applyFont="1" applyFill="1"/>
    <xf numFmtId="44" fontId="67" fillId="3" borderId="0" xfId="4" applyFont="1" applyFill="1"/>
    <xf numFmtId="44" fontId="22" fillId="3" borderId="0" xfId="4" applyFont="1" applyFill="1"/>
    <xf numFmtId="166" fontId="22" fillId="3" borderId="0" xfId="4" applyNumberFormat="1" applyFont="1" applyFill="1"/>
    <xf numFmtId="41" fontId="68" fillId="3" borderId="0" xfId="0" applyNumberFormat="1" applyFont="1" applyFill="1"/>
    <xf numFmtId="44" fontId="28" fillId="3" borderId="14" xfId="4" applyFont="1" applyFill="1" applyBorder="1"/>
    <xf numFmtId="44" fontId="30" fillId="3" borderId="14" xfId="4" applyFont="1" applyFill="1" applyBorder="1"/>
    <xf numFmtId="166" fontId="47" fillId="3" borderId="0" xfId="4" applyNumberFormat="1" applyFont="1" applyFill="1"/>
    <xf numFmtId="164" fontId="69" fillId="3" borderId="0" xfId="10" applyNumberFormat="1" applyFont="1" applyFill="1"/>
    <xf numFmtId="44" fontId="29" fillId="3" borderId="14" xfId="4" applyFont="1" applyFill="1" applyBorder="1"/>
    <xf numFmtId="9" fontId="69" fillId="3" borderId="0" xfId="10" applyFont="1" applyFill="1"/>
    <xf numFmtId="0" fontId="0" fillId="0" borderId="13" xfId="0" applyBorder="1"/>
    <xf numFmtId="0" fontId="0" fillId="0" borderId="14" xfId="0" applyBorder="1"/>
    <xf numFmtId="15" fontId="23" fillId="3" borderId="0" xfId="0" applyNumberFormat="1" applyFont="1" applyFill="1"/>
    <xf numFmtId="164" fontId="6" fillId="0" borderId="0" xfId="9" applyNumberFormat="1" applyFont="1"/>
    <xf numFmtId="164" fontId="6" fillId="0" borderId="0" xfId="0" applyNumberFormat="1" applyFont="1"/>
    <xf numFmtId="166" fontId="17" fillId="0" borderId="0" xfId="3" applyNumberFormat="1" applyFont="1" applyAlignment="1">
      <alignment horizontal="right"/>
    </xf>
    <xf numFmtId="166" fontId="18" fillId="0" borderId="0" xfId="3" applyNumberFormat="1" applyFont="1" applyAlignment="1">
      <alignment horizontal="right"/>
    </xf>
    <xf numFmtId="165" fontId="2" fillId="0" borderId="0" xfId="0" applyNumberFormat="1" applyFont="1"/>
    <xf numFmtId="43" fontId="2" fillId="0" borderId="0" xfId="0" applyNumberFormat="1" applyFont="1"/>
    <xf numFmtId="165" fontId="11" fillId="0" borderId="0" xfId="0" applyNumberFormat="1" applyFont="1"/>
    <xf numFmtId="165" fontId="2" fillId="0" borderId="0" xfId="1" applyNumberFormat="1" applyFont="1"/>
    <xf numFmtId="166" fontId="46" fillId="0" borderId="0" xfId="3" applyNumberFormat="1" applyFont="1"/>
    <xf numFmtId="166" fontId="65" fillId="0" borderId="0" xfId="3" applyNumberFormat="1" applyFont="1"/>
    <xf numFmtId="0" fontId="65" fillId="0" borderId="0" xfId="0" applyFont="1" applyFill="1"/>
    <xf numFmtId="0" fontId="0" fillId="3" borderId="14" xfId="0" applyFill="1" applyBorder="1"/>
    <xf numFmtId="41" fontId="67" fillId="6" borderId="0" xfId="0" applyNumberFormat="1" applyFont="1" applyFill="1" applyBorder="1"/>
    <xf numFmtId="166" fontId="22" fillId="3" borderId="0" xfId="0" applyNumberFormat="1" applyFont="1" applyFill="1" applyBorder="1"/>
    <xf numFmtId="166" fontId="2" fillId="0" borderId="0" xfId="3" applyNumberFormat="1" applyFont="1"/>
    <xf numFmtId="44" fontId="2" fillId="0" borderId="0" xfId="3" applyFont="1"/>
    <xf numFmtId="43" fontId="2" fillId="0" borderId="0" xfId="0" applyNumberFormat="1" applyFont="1" applyFill="1"/>
    <xf numFmtId="166" fontId="2" fillId="0" borderId="0" xfId="3" applyNumberFormat="1" applyFont="1" applyFill="1"/>
    <xf numFmtId="164" fontId="51" fillId="0" borderId="0" xfId="9" applyNumberFormat="1" applyFont="1"/>
    <xf numFmtId="164" fontId="52" fillId="0" borderId="0" xfId="9" applyNumberFormat="1" applyFont="1"/>
    <xf numFmtId="165" fontId="3" fillId="0" borderId="0" xfId="0" applyNumberFormat="1" applyFont="1"/>
    <xf numFmtId="44" fontId="6" fillId="0" borderId="0" xfId="3" applyFont="1"/>
    <xf numFmtId="165" fontId="6" fillId="0" borderId="0" xfId="1" applyNumberFormat="1" applyFont="1"/>
    <xf numFmtId="166" fontId="6" fillId="0" borderId="0" xfId="3" applyNumberFormat="1" applyFont="1" applyFill="1"/>
    <xf numFmtId="43" fontId="62" fillId="0" borderId="0" xfId="1" applyFont="1"/>
    <xf numFmtId="0" fontId="41" fillId="0" borderId="0" xfId="7" applyFont="1" applyAlignment="1">
      <alignment wrapText="1"/>
    </xf>
    <xf numFmtId="0" fontId="35" fillId="0" borderId="0" xfId="7" applyFont="1" applyAlignment="1">
      <alignment horizontal="right" wrapText="1"/>
    </xf>
    <xf numFmtId="0" fontId="5" fillId="0" borderId="0" xfId="7" applyAlignment="1">
      <alignment horizontal="right" wrapText="1"/>
    </xf>
    <xf numFmtId="0" fontId="41" fillId="0" borderId="0" xfId="7" applyFont="1" applyAlignment="1">
      <alignment horizontal="right" wrapText="1"/>
    </xf>
    <xf numFmtId="0" fontId="43" fillId="0" borderId="0" xfId="7" applyFont="1" applyAlignment="1">
      <alignment horizontal="right" wrapText="1"/>
    </xf>
    <xf numFmtId="0" fontId="39" fillId="0" borderId="0" xfId="7" applyFont="1" applyAlignment="1">
      <alignment horizontal="right" wrapText="1"/>
    </xf>
    <xf numFmtId="165" fontId="46" fillId="0" borderId="0" xfId="2" applyNumberFormat="1" applyFont="1"/>
    <xf numFmtId="165" fontId="46" fillId="0" borderId="0" xfId="2" applyNumberFormat="1" applyFont="1" applyFill="1"/>
    <xf numFmtId="44" fontId="46" fillId="0" borderId="18" xfId="3" applyFont="1" applyFill="1" applyBorder="1" applyProtection="1">
      <protection locked="0"/>
    </xf>
    <xf numFmtId="44" fontId="46" fillId="0" borderId="19" xfId="3" applyFont="1" applyFill="1" applyBorder="1" applyProtection="1">
      <protection locked="0"/>
    </xf>
    <xf numFmtId="44" fontId="46" fillId="0" borderId="18" xfId="3" applyFont="1" applyFill="1" applyBorder="1"/>
    <xf numFmtId="44" fontId="46" fillId="0" borderId="18" xfId="5" applyFont="1" applyFill="1" applyBorder="1"/>
    <xf numFmtId="44" fontId="46" fillId="0" borderId="19" xfId="5" applyFont="1" applyFill="1" applyBorder="1"/>
    <xf numFmtId="43" fontId="46" fillId="0" borderId="0" xfId="1" applyFont="1"/>
    <xf numFmtId="4" fontId="46" fillId="0" borderId="0" xfId="0" applyNumberFormat="1" applyFont="1"/>
    <xf numFmtId="44" fontId="46" fillId="0" borderId="18" xfId="3" applyFont="1" applyBorder="1" applyProtection="1">
      <protection locked="0"/>
    </xf>
    <xf numFmtId="164" fontId="0" fillId="0" borderId="0" xfId="9" applyNumberFormat="1" applyFont="1"/>
    <xf numFmtId="43" fontId="82" fillId="0" borderId="2" xfId="1" applyFont="1" applyBorder="1" applyAlignment="1" applyProtection="1">
      <alignment horizontal="right"/>
      <protection locked="0"/>
    </xf>
    <xf numFmtId="43" fontId="82" fillId="0" borderId="2" xfId="1" applyFont="1" applyBorder="1" applyProtection="1">
      <protection locked="0"/>
    </xf>
    <xf numFmtId="43" fontId="83" fillId="0" borderId="2" xfId="1" applyFont="1" applyBorder="1" applyProtection="1">
      <protection locked="0"/>
    </xf>
    <xf numFmtId="43" fontId="82" fillId="0" borderId="0" xfId="1" applyFont="1" applyBorder="1" applyAlignment="1" applyProtection="1">
      <alignment horizontal="right"/>
      <protection locked="0"/>
    </xf>
    <xf numFmtId="43" fontId="83" fillId="0" borderId="0" xfId="1" applyFont="1" applyBorder="1" applyAlignment="1" applyProtection="1">
      <alignment horizontal="right"/>
      <protection locked="0"/>
    </xf>
    <xf numFmtId="43" fontId="82" fillId="0" borderId="0" xfId="1" applyFont="1" applyBorder="1" applyProtection="1">
      <protection locked="0"/>
    </xf>
    <xf numFmtId="43" fontId="83" fillId="0" borderId="0" xfId="1" applyFont="1" applyBorder="1" applyProtection="1">
      <protection locked="0"/>
    </xf>
    <xf numFmtId="0" fontId="0" fillId="4" borderId="0" xfId="0" applyFill="1"/>
    <xf numFmtId="43" fontId="5" fillId="4" borderId="0" xfId="0" applyNumberFormat="1" applyFont="1" applyFill="1"/>
    <xf numFmtId="0" fontId="5" fillId="4" borderId="0" xfId="0" applyFont="1" applyFill="1"/>
    <xf numFmtId="166" fontId="44" fillId="4" borderId="0" xfId="3" applyNumberFormat="1" applyFont="1" applyFill="1"/>
    <xf numFmtId="44" fontId="44" fillId="4" borderId="0" xfId="3" applyFont="1" applyFill="1"/>
    <xf numFmtId="165" fontId="5" fillId="4" borderId="0" xfId="0" applyNumberFormat="1" applyFont="1" applyFill="1"/>
    <xf numFmtId="43" fontId="44" fillId="4" borderId="0" xfId="1" applyFont="1" applyFill="1"/>
    <xf numFmtId="164" fontId="5" fillId="4" borderId="0" xfId="9" applyNumberFormat="1" applyFont="1" applyFill="1"/>
    <xf numFmtId="164" fontId="5" fillId="4" borderId="0" xfId="0" applyNumberFormat="1" applyFont="1" applyFill="1"/>
    <xf numFmtId="43" fontId="82" fillId="0" borderId="0" xfId="1" applyFont="1" applyFill="1" applyBorder="1" applyAlignment="1" applyProtection="1">
      <alignment horizontal="right"/>
      <protection locked="0"/>
    </xf>
    <xf numFmtId="43" fontId="83" fillId="0" borderId="0" xfId="1" applyFont="1" applyFill="1" applyBorder="1" applyAlignment="1" applyProtection="1">
      <alignment horizontal="right"/>
      <protection locked="0"/>
    </xf>
    <xf numFmtId="43" fontId="46" fillId="0" borderId="0" xfId="1" applyFont="1" applyFill="1"/>
    <xf numFmtId="43" fontId="0" fillId="0" borderId="0" xfId="1" applyFont="1" applyFill="1"/>
    <xf numFmtId="43" fontId="0" fillId="0" borderId="0" xfId="0" applyNumberFormat="1" applyFill="1"/>
    <xf numFmtId="0" fontId="46" fillId="0" borderId="0" xfId="0" applyFont="1" applyFill="1"/>
    <xf numFmtId="44" fontId="44" fillId="0" borderId="0" xfId="3" applyFont="1" applyFill="1"/>
    <xf numFmtId="165" fontId="44" fillId="0" borderId="0" xfId="1" applyNumberFormat="1" applyFont="1" applyFill="1"/>
    <xf numFmtId="44" fontId="0" fillId="0" borderId="0" xfId="3" applyFont="1" applyFill="1"/>
    <xf numFmtId="0" fontId="33" fillId="3" borderId="13" xfId="0" applyFont="1" applyFill="1" applyBorder="1" applyAlignment="1">
      <alignment vertical="top" wrapText="1"/>
    </xf>
    <xf numFmtId="0" fontId="72" fillId="0" borderId="0" xfId="0" applyFont="1" applyAlignment="1">
      <alignment horizontal="center" wrapText="1"/>
    </xf>
    <xf numFmtId="0" fontId="72" fillId="0" borderId="0" xfId="0" applyFont="1" applyAlignment="1">
      <alignment wrapText="1"/>
    </xf>
    <xf numFmtId="0" fontId="37" fillId="0" borderId="0" xfId="11" applyFont="1"/>
    <xf numFmtId="0" fontId="2" fillId="0" borderId="0" xfId="11"/>
    <xf numFmtId="165" fontId="44" fillId="0" borderId="0" xfId="12" applyNumberFormat="1" applyFont="1"/>
    <xf numFmtId="0" fontId="52" fillId="0" borderId="0" xfId="11" applyFont="1" applyAlignment="1">
      <alignment horizontal="center"/>
    </xf>
    <xf numFmtId="0" fontId="52" fillId="0" borderId="0" xfId="11" applyFont="1"/>
    <xf numFmtId="0" fontId="84" fillId="0" borderId="0" xfId="11" applyFont="1" applyAlignment="1">
      <alignment horizontal="center"/>
    </xf>
    <xf numFmtId="165" fontId="51" fillId="0" borderId="0" xfId="12" applyNumberFormat="1" applyFont="1"/>
    <xf numFmtId="0" fontId="85" fillId="0" borderId="0" xfId="11" applyFont="1" applyAlignment="1">
      <alignment horizontal="center"/>
    </xf>
    <xf numFmtId="165" fontId="52" fillId="0" borderId="0" xfId="12" quotePrefix="1" applyNumberFormat="1" applyFont="1" applyAlignment="1">
      <alignment horizontal="center"/>
    </xf>
    <xf numFmtId="0" fontId="10" fillId="0" borderId="0" xfId="11" applyFont="1"/>
    <xf numFmtId="0" fontId="86" fillId="0" borderId="0" xfId="11" applyFont="1"/>
    <xf numFmtId="0" fontId="87" fillId="0" borderId="0" xfId="11" applyFont="1"/>
    <xf numFmtId="0" fontId="88" fillId="0" borderId="0" xfId="11" applyFont="1"/>
    <xf numFmtId="165" fontId="52" fillId="0" borderId="0" xfId="1" applyNumberFormat="1" applyFont="1"/>
    <xf numFmtId="0" fontId="80" fillId="0" borderId="0" xfId="11" applyFont="1"/>
    <xf numFmtId="165" fontId="2" fillId="0" borderId="0" xfId="11" applyNumberFormat="1"/>
    <xf numFmtId="165" fontId="44" fillId="0" borderId="0" xfId="11" applyNumberFormat="1" applyFont="1" applyAlignment="1">
      <alignment horizontal="center"/>
    </xf>
    <xf numFmtId="165" fontId="44" fillId="0" borderId="0" xfId="1" applyNumberFormat="1" applyFont="1" applyAlignment="1">
      <alignment horizontal="center"/>
    </xf>
    <xf numFmtId="165" fontId="89" fillId="0" borderId="0" xfId="11" applyNumberFormat="1" applyFont="1"/>
    <xf numFmtId="165" fontId="62" fillId="0" borderId="0" xfId="11" applyNumberFormat="1" applyFont="1"/>
    <xf numFmtId="165" fontId="62" fillId="0" borderId="0" xfId="1" applyNumberFormat="1" applyFont="1" applyAlignment="1">
      <alignment horizontal="center"/>
    </xf>
    <xf numFmtId="165" fontId="6" fillId="0" borderId="0" xfId="11" applyNumberFormat="1" applyFont="1"/>
    <xf numFmtId="0" fontId="90" fillId="0" borderId="0" xfId="11" applyFont="1"/>
    <xf numFmtId="0" fontId="88" fillId="0" borderId="0" xfId="11" applyFont="1" applyAlignment="1">
      <alignment horizontal="left"/>
    </xf>
    <xf numFmtId="3" fontId="84" fillId="0" borderId="0" xfId="11" applyNumberFormat="1" applyFont="1"/>
    <xf numFmtId="3" fontId="52" fillId="0" borderId="0" xfId="11" applyNumberFormat="1" applyFont="1"/>
    <xf numFmtId="165" fontId="10" fillId="0" borderId="0" xfId="11" applyNumberFormat="1" applyFont="1"/>
    <xf numFmtId="43" fontId="2" fillId="0" borderId="0" xfId="11" applyNumberFormat="1"/>
    <xf numFmtId="0" fontId="91" fillId="0" borderId="0" xfId="11" applyFont="1"/>
    <xf numFmtId="3" fontId="85" fillId="0" borderId="0" xfId="11" applyNumberFormat="1" applyFont="1"/>
    <xf numFmtId="165" fontId="11" fillId="0" borderId="0" xfId="11" applyNumberFormat="1" applyFont="1"/>
    <xf numFmtId="0" fontId="92" fillId="0" borderId="0" xfId="11" applyFont="1" applyAlignment="1">
      <alignment horizontal="left"/>
    </xf>
    <xf numFmtId="0" fontId="93" fillId="0" borderId="0" xfId="11" applyFont="1" applyAlignment="1">
      <alignment horizontal="left"/>
    </xf>
    <xf numFmtId="3" fontId="94" fillId="0" borderId="0" xfId="11" applyNumberFormat="1" applyFont="1"/>
    <xf numFmtId="3" fontId="64" fillId="0" borderId="0" xfId="11" applyNumberFormat="1" applyFont="1"/>
    <xf numFmtId="3" fontId="51" fillId="0" borderId="0" xfId="11" applyNumberFormat="1" applyFont="1"/>
    <xf numFmtId="0" fontId="84" fillId="0" borderId="0" xfId="11" applyFont="1"/>
    <xf numFmtId="0" fontId="51" fillId="0" borderId="0" xfId="11" applyFont="1"/>
    <xf numFmtId="164" fontId="94" fillId="0" borderId="0" xfId="13" applyNumberFormat="1" applyFont="1"/>
    <xf numFmtId="164" fontId="64" fillId="0" borderId="0" xfId="13" applyNumberFormat="1" applyFont="1"/>
    <xf numFmtId="3" fontId="2" fillId="0" borderId="0" xfId="11" applyNumberFormat="1"/>
    <xf numFmtId="0" fontId="51" fillId="0" borderId="0" xfId="11" applyFont="1" applyAlignment="1">
      <alignment horizontal="center"/>
    </xf>
    <xf numFmtId="165" fontId="51" fillId="0" borderId="0" xfId="1" applyNumberFormat="1" applyFont="1" applyAlignment="1">
      <alignment horizontal="center"/>
    </xf>
    <xf numFmtId="0" fontId="10" fillId="0" borderId="0" xfId="11" applyFont="1" applyAlignment="1">
      <alignment horizontal="center"/>
    </xf>
    <xf numFmtId="165" fontId="52" fillId="0" borderId="0" xfId="1" applyNumberFormat="1" applyFont="1" applyAlignment="1">
      <alignment horizontal="center"/>
    </xf>
    <xf numFmtId="165" fontId="2" fillId="0" borderId="0" xfId="12" applyNumberFormat="1" applyFont="1"/>
    <xf numFmtId="164" fontId="44" fillId="0" borderId="0" xfId="13" applyNumberFormat="1" applyFont="1"/>
    <xf numFmtId="0" fontId="3" fillId="0" borderId="0" xfId="11" applyFont="1"/>
    <xf numFmtId="164" fontId="3" fillId="0" borderId="0" xfId="9" applyNumberFormat="1" applyFont="1"/>
    <xf numFmtId="0" fontId="95" fillId="0" borderId="0" xfId="11" applyFont="1" applyAlignment="1">
      <alignment vertical="center"/>
    </xf>
    <xf numFmtId="0" fontId="96" fillId="0" borderId="0" xfId="11" applyFont="1" applyAlignment="1">
      <alignment vertical="center"/>
    </xf>
    <xf numFmtId="0" fontId="96" fillId="0" borderId="0" xfId="11" applyFont="1" applyAlignment="1">
      <alignment horizontal="left" vertical="center" indent="4"/>
    </xf>
    <xf numFmtId="0" fontId="96" fillId="0" borderId="0" xfId="11" applyFont="1" applyAlignment="1">
      <alignment horizontal="left" vertical="top" wrapText="1"/>
    </xf>
    <xf numFmtId="0" fontId="2" fillId="0" borderId="0" xfId="11" applyAlignment="1">
      <alignment vertical="top" wrapText="1"/>
    </xf>
    <xf numFmtId="0" fontId="3" fillId="0" borderId="0" xfId="11" applyFont="1" applyAlignment="1">
      <alignment horizontal="center"/>
    </xf>
    <xf numFmtId="0" fontId="52" fillId="0" borderId="0" xfId="11" quotePrefix="1" applyFont="1" applyAlignment="1">
      <alignment horizontal="center"/>
    </xf>
    <xf numFmtId="165" fontId="64" fillId="0" borderId="0" xfId="1" applyNumberFormat="1" applyFont="1"/>
    <xf numFmtId="0" fontId="99" fillId="0" borderId="0" xfId="11" applyFont="1"/>
    <xf numFmtId="165" fontId="14" fillId="0" borderId="0" xfId="11" applyNumberFormat="1" applyFont="1"/>
    <xf numFmtId="0" fontId="2" fillId="0" borderId="0" xfId="0" applyFont="1" applyAlignment="1">
      <alignment wrapText="1"/>
    </xf>
    <xf numFmtId="0" fontId="0" fillId="0" borderId="5" xfId="0" applyBorder="1" applyAlignment="1">
      <alignment wrapText="1"/>
    </xf>
    <xf numFmtId="165" fontId="5" fillId="0" borderId="0" xfId="1" applyNumberFormat="1" applyFont="1"/>
    <xf numFmtId="14" fontId="0" fillId="0" borderId="0" xfId="0" applyNumberFormat="1"/>
    <xf numFmtId="166" fontId="15" fillId="0" borderId="0" xfId="3" applyNumberFormat="1" applyFont="1" applyAlignment="1">
      <alignment horizontal="right"/>
    </xf>
    <xf numFmtId="0" fontId="25" fillId="3" borderId="13" xfId="0" applyFont="1" applyFill="1" applyBorder="1" applyAlignment="1">
      <alignment horizontal="center"/>
    </xf>
    <xf numFmtId="0" fontId="25" fillId="3" borderId="0" xfId="0" applyFont="1" applyFill="1" applyBorder="1" applyAlignment="1">
      <alignment horizontal="center"/>
    </xf>
    <xf numFmtId="0" fontId="25" fillId="3" borderId="14" xfId="0" applyFont="1" applyFill="1" applyBorder="1" applyAlignment="1">
      <alignment horizontal="center"/>
    </xf>
    <xf numFmtId="0" fontId="33" fillId="3" borderId="19" xfId="0" applyFont="1" applyFill="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167" fontId="75" fillId="0" borderId="0" xfId="0" applyNumberFormat="1" applyFont="1" applyAlignment="1">
      <alignment horizontal="center"/>
    </xf>
    <xf numFmtId="167" fontId="74" fillId="5" borderId="15" xfId="0" applyNumberFormat="1" applyFont="1" applyFill="1" applyBorder="1" applyAlignment="1">
      <alignment horizontal="center"/>
    </xf>
    <xf numFmtId="167" fontId="74" fillId="5" borderId="16" xfId="0" applyNumberFormat="1" applyFont="1" applyFill="1" applyBorder="1" applyAlignment="1">
      <alignment horizontal="center"/>
    </xf>
    <xf numFmtId="167" fontId="74" fillId="5" borderId="17" xfId="0" applyNumberFormat="1" applyFont="1" applyFill="1" applyBorder="1" applyAlignment="1">
      <alignment horizontal="center"/>
    </xf>
    <xf numFmtId="167" fontId="23" fillId="0" borderId="0" xfId="0" applyNumberFormat="1" applyFont="1" applyAlignment="1">
      <alignment vertical="top" wrapText="1"/>
    </xf>
    <xf numFmtId="0" fontId="34" fillId="0" borderId="0" xfId="0" applyFont="1" applyAlignment="1">
      <alignment vertical="top" wrapText="1"/>
    </xf>
    <xf numFmtId="167" fontId="73" fillId="0" borderId="0" xfId="0" applyNumberFormat="1" applyFont="1" applyAlignment="1">
      <alignment horizontal="center"/>
    </xf>
    <xf numFmtId="167" fontId="74" fillId="5" borderId="24" xfId="0" applyNumberFormat="1" applyFont="1" applyFill="1" applyBorder="1" applyAlignment="1">
      <alignment horizontal="center"/>
    </xf>
    <xf numFmtId="167" fontId="74" fillId="5" borderId="25" xfId="0" applyNumberFormat="1" applyFont="1" applyFill="1" applyBorder="1" applyAlignment="1">
      <alignment horizontal="center"/>
    </xf>
    <xf numFmtId="167" fontId="74" fillId="5" borderId="26" xfId="0" applyNumberFormat="1" applyFont="1" applyFill="1" applyBorder="1" applyAlignment="1">
      <alignment horizontal="center"/>
    </xf>
    <xf numFmtId="0" fontId="33" fillId="3" borderId="13" xfId="0" applyFont="1" applyFill="1" applyBorder="1" applyAlignment="1">
      <alignment vertical="top" wrapText="1"/>
    </xf>
    <xf numFmtId="0" fontId="2" fillId="0" borderId="0" xfId="0" applyFont="1" applyBorder="1" applyAlignment="1">
      <alignment vertical="top" wrapText="1"/>
    </xf>
    <xf numFmtId="0" fontId="81" fillId="0" borderId="0" xfId="0" applyFont="1" applyAlignment="1">
      <alignment horizontal="justify" vertical="top" wrapText="1"/>
    </xf>
    <xf numFmtId="0" fontId="80" fillId="0" borderId="0" xfId="0" applyFont="1" applyAlignment="1">
      <alignment vertical="top" wrapText="1"/>
    </xf>
    <xf numFmtId="0" fontId="25" fillId="3" borderId="0" xfId="0" applyFont="1" applyFill="1" applyAlignment="1">
      <alignment horizontal="center"/>
    </xf>
    <xf numFmtId="0" fontId="33" fillId="3" borderId="3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71" fillId="0" borderId="0" xfId="0" applyFont="1" applyAlignment="1">
      <alignment horizontal="center"/>
    </xf>
    <xf numFmtId="0" fontId="10" fillId="0" borderId="0" xfId="0" applyFont="1" applyAlignment="1">
      <alignment horizontal="center"/>
    </xf>
    <xf numFmtId="0" fontId="52"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20" fillId="0" borderId="0" xfId="0" applyFont="1" applyAlignment="1">
      <alignment horizontal="center"/>
    </xf>
    <xf numFmtId="0" fontId="3" fillId="2" borderId="19"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72" fillId="0" borderId="0" xfId="0" applyFont="1" applyAlignment="1">
      <alignment horizontal="center" wrapText="1"/>
    </xf>
    <xf numFmtId="0" fontId="96" fillId="0" borderId="0" xfId="11" applyFont="1" applyAlignment="1">
      <alignment horizontal="left" vertical="top" wrapText="1"/>
    </xf>
    <xf numFmtId="0" fontId="2" fillId="0" borderId="0" xfId="11" applyAlignment="1">
      <alignment vertical="top" wrapText="1"/>
    </xf>
    <xf numFmtId="3" fontId="52" fillId="0" borderId="0" xfId="11" applyNumberFormat="1" applyFont="1" applyAlignment="1">
      <alignment horizontal="center"/>
    </xf>
    <xf numFmtId="165" fontId="52" fillId="0" borderId="0" xfId="1" applyNumberFormat="1" applyFont="1" applyAlignment="1">
      <alignment horizontal="center"/>
    </xf>
    <xf numFmtId="0" fontId="96" fillId="0" borderId="0" xfId="11" applyFont="1" applyAlignment="1">
      <alignment vertical="top" wrapText="1"/>
    </xf>
    <xf numFmtId="0" fontId="96" fillId="0" borderId="0" xfId="11" applyFont="1" applyAlignment="1">
      <alignment horizontal="left" vertical="center" wrapText="1"/>
    </xf>
    <xf numFmtId="0" fontId="2" fillId="0" borderId="0" xfId="11" applyAlignment="1">
      <alignment wrapText="1"/>
    </xf>
    <xf numFmtId="9" fontId="22" fillId="0" borderId="29" xfId="9" applyFont="1" applyBorder="1"/>
  </cellXfs>
  <cellStyles count="14">
    <cellStyle name="Comma" xfId="1" builtinId="3"/>
    <cellStyle name="Comma 2" xfId="2" xr:uid="{00000000-0005-0000-0000-000001000000}"/>
    <cellStyle name="Comma 2 2" xfId="12" xr:uid="{982998C9-0467-452C-A0ED-A45567DE6E17}"/>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Normal 4" xfId="11" xr:uid="{6C921859-A9C4-4117-84EF-568D8967C63B}"/>
    <cellStyle name="Percent" xfId="9" builtinId="5"/>
    <cellStyle name="Percent 2" xfId="10" xr:uid="{00000000-0005-0000-0000-00000A000000}"/>
    <cellStyle name="Percent 2 2" xfId="13" xr:uid="{3095A006-17D4-4B58-A430-9A5F52FCAF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xhous10fps01\WAKIRK03FPS01\Group\Finance\ACCT\Recycling%20Accounting%20Analysis\2022%20Recycling%20Acctg%20Analysis\10-2022\2022%20CRC%20Passback_Oc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Lake%20Stevens%20Annex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Marysville%20Averag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burmest\Downloads\PricingDashboard%20-%20MUNI_SHARE%20per%20Customer%20Type,%20Service%20Type%20and%20SITE_NAME,%20MUNICIPALITY_NAME%20(13).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RETI Inbound"/>
      <sheetName val="Prices"/>
      <sheetName val="Journal Entry"/>
      <sheetName val="SMART Info"/>
      <sheetName val="WM of Marysville"/>
      <sheetName val="WM of Eastmont"/>
      <sheetName val="WM of Skagit"/>
    </sheetNames>
    <sheetDataSet>
      <sheetData sheetId="0" refreshError="1"/>
      <sheetData sheetId="1">
        <row r="6">
          <cell r="A6" t="str">
            <v>Newspaper</v>
          </cell>
          <cell r="T6">
            <v>0</v>
          </cell>
        </row>
        <row r="7">
          <cell r="A7" t="str">
            <v>Mix Paper</v>
          </cell>
          <cell r="T7">
            <v>2405.4202486376835</v>
          </cell>
        </row>
        <row r="8">
          <cell r="A8" t="str">
            <v>OCC</v>
          </cell>
          <cell r="T8">
            <v>1562.3594261215308</v>
          </cell>
        </row>
        <row r="9">
          <cell r="A9" t="str">
            <v>Aluminum</v>
          </cell>
          <cell r="T9">
            <v>63.584905036279856</v>
          </cell>
        </row>
        <row r="10">
          <cell r="A10" t="str">
            <v>Glass</v>
          </cell>
          <cell r="T10">
            <v>1322.4095295189111</v>
          </cell>
        </row>
        <row r="11">
          <cell r="A11" t="str">
            <v>PET</v>
          </cell>
          <cell r="T11">
            <v>110.56858834337741</v>
          </cell>
        </row>
        <row r="12">
          <cell r="A12" t="str">
            <v>HDPE Natl</v>
          </cell>
          <cell r="T12">
            <v>32.291728406109542</v>
          </cell>
        </row>
        <row r="13">
          <cell r="A13" t="str">
            <v>HDPE Col</v>
          </cell>
          <cell r="T13">
            <v>24.770981799450901</v>
          </cell>
        </row>
        <row r="14">
          <cell r="A14" t="str">
            <v>#3 - 7</v>
          </cell>
          <cell r="T14">
            <v>17.861659856792929</v>
          </cell>
        </row>
        <row r="15">
          <cell r="A15" t="str">
            <v>Plastic film</v>
          </cell>
          <cell r="T15">
            <v>0.21994514468868553</v>
          </cell>
        </row>
        <row r="16">
          <cell r="A16" t="str">
            <v>Single Stream</v>
          </cell>
          <cell r="T16">
            <v>0</v>
          </cell>
        </row>
        <row r="17">
          <cell r="A17" t="str">
            <v>Tin Cans</v>
          </cell>
          <cell r="T17">
            <v>62.796564060223226</v>
          </cell>
        </row>
        <row r="18">
          <cell r="A18" t="str">
            <v>Residue</v>
          </cell>
          <cell r="T18">
            <v>892.8864230749524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N3">
            <v>35459.968380576021</v>
          </cell>
        </row>
        <row r="4">
          <cell r="AN4">
            <v>60546.356882593434</v>
          </cell>
        </row>
        <row r="5">
          <cell r="AN5">
            <v>26784.23670561461</v>
          </cell>
        </row>
        <row r="6">
          <cell r="AN6">
            <v>27.858605715940779</v>
          </cell>
        </row>
        <row r="7">
          <cell r="AN7">
            <v>16712.247475102755</v>
          </cell>
        </row>
        <row r="8">
          <cell r="AN8">
            <v>3182.4987705294461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F4">
            <v>-3177.5322004812988</v>
          </cell>
        </row>
        <row r="5">
          <cell r="F5">
            <v>-2379.6544125902001</v>
          </cell>
        </row>
        <row r="6">
          <cell r="F6">
            <v>-2106.9150379566017</v>
          </cell>
        </row>
        <row r="7">
          <cell r="F7">
            <v>6.8982055594713998</v>
          </cell>
        </row>
        <row r="8">
          <cell r="F8">
            <v>-698.48988644860037</v>
          </cell>
        </row>
        <row r="9">
          <cell r="F9">
            <v>-93.567852082249829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G3">
            <v>-2778.9284960447903</v>
          </cell>
        </row>
        <row r="4">
          <cell r="G4">
            <v>-3099.1450598082993</v>
          </cell>
        </row>
        <row r="5">
          <cell r="G5">
            <v>-1509.0373371802507</v>
          </cell>
        </row>
        <row r="6">
          <cell r="G6">
            <v>-0.20666942591769999</v>
          </cell>
        </row>
        <row r="7">
          <cell r="G7">
            <v>-85.277945045775027</v>
          </cell>
        </row>
        <row r="8">
          <cell r="G8">
            <v>-16.4061446924715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R3">
            <v>31032.776534457807</v>
          </cell>
        </row>
        <row r="4">
          <cell r="AR4">
            <v>61206.706104244193</v>
          </cell>
        </row>
        <row r="5">
          <cell r="AR5">
            <v>25552.774469067161</v>
          </cell>
        </row>
        <row r="6">
          <cell r="AR6">
            <v>22.529217603480276</v>
          </cell>
        </row>
        <row r="7">
          <cell r="AR7">
            <v>14407.234876898729</v>
          </cell>
        </row>
        <row r="8">
          <cell r="AR8">
            <v>2873.660265459851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P3">
            <v>28645.621689050986</v>
          </cell>
        </row>
        <row r="4">
          <cell r="AP4">
            <v>56956.576603717796</v>
          </cell>
        </row>
        <row r="5">
          <cell r="AP5">
            <v>22754.984343056662</v>
          </cell>
        </row>
        <row r="6">
          <cell r="AP6">
            <v>30.109679487249728</v>
          </cell>
        </row>
        <row r="7">
          <cell r="AP7">
            <v>16251.50297132312</v>
          </cell>
        </row>
        <row r="8">
          <cell r="AP8">
            <v>3351.4613278582469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Dashboard - MUNI_SHARE p"/>
    </sheetNames>
    <sheetDataSet>
      <sheetData sheetId="0">
        <row r="3">
          <cell r="AT3">
            <v>42286.724431902854</v>
          </cell>
          <cell r="AU3">
            <v>10210.5443511251</v>
          </cell>
        </row>
        <row r="4">
          <cell r="AT4">
            <v>70978.705907315452</v>
          </cell>
          <cell r="AU4">
            <v>34785.604445951001</v>
          </cell>
        </row>
        <row r="6">
          <cell r="AT6">
            <v>40.668352592702114</v>
          </cell>
          <cell r="AU6">
            <v>3.1354184123127302</v>
          </cell>
        </row>
        <row r="7">
          <cell r="AT7">
            <v>25063.137096178536</v>
          </cell>
          <cell r="AU7">
            <v>446.17340826402801</v>
          </cell>
        </row>
      </sheetData>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10" t="s">
        <v>108</v>
      </c>
      <c r="B1" s="211"/>
      <c r="C1" s="212"/>
      <c r="D1" s="212"/>
      <c r="E1" s="212"/>
      <c r="F1" s="212"/>
      <c r="G1" s="213"/>
      <c r="I1" s="210" t="s">
        <v>108</v>
      </c>
      <c r="J1" s="211"/>
      <c r="K1" s="212"/>
      <c r="L1" s="212"/>
      <c r="M1" s="212"/>
      <c r="N1" s="212"/>
      <c r="O1" s="213"/>
    </row>
    <row r="2" spans="1:21" ht="15.75">
      <c r="A2" s="214" t="s">
        <v>128</v>
      </c>
      <c r="B2" s="215"/>
      <c r="C2" s="216"/>
      <c r="D2" s="216"/>
      <c r="E2" s="217"/>
      <c r="F2" s="217"/>
      <c r="G2" s="218"/>
      <c r="I2" s="214" t="s">
        <v>109</v>
      </c>
      <c r="J2" s="215"/>
      <c r="K2" s="216"/>
      <c r="L2" s="216"/>
      <c r="M2" s="217"/>
      <c r="N2" s="217"/>
      <c r="O2" s="218"/>
    </row>
    <row r="3" spans="1:21" ht="15.75">
      <c r="A3" s="214"/>
      <c r="B3" s="215"/>
      <c r="C3" s="216"/>
      <c r="D3" s="216"/>
      <c r="E3" s="217"/>
      <c r="F3" s="217"/>
      <c r="G3" s="218"/>
      <c r="I3" s="214" t="s">
        <v>149</v>
      </c>
      <c r="J3" s="215"/>
      <c r="K3" s="216"/>
      <c r="L3" s="216"/>
      <c r="M3" s="217"/>
      <c r="N3" s="217"/>
      <c r="O3" s="218"/>
    </row>
    <row r="4" spans="1:21" ht="42.75" customHeight="1">
      <c r="A4" s="506" t="s">
        <v>147</v>
      </c>
      <c r="B4" s="507"/>
      <c r="C4" s="508"/>
      <c r="D4" s="216"/>
      <c r="E4" s="217"/>
      <c r="F4" s="217"/>
      <c r="G4" s="218"/>
      <c r="I4" s="214"/>
      <c r="J4" s="215"/>
      <c r="K4" s="216"/>
      <c r="L4" s="216"/>
      <c r="M4" s="217"/>
      <c r="N4" s="217"/>
      <c r="O4" s="218"/>
    </row>
    <row r="5" spans="1:21" ht="15.75">
      <c r="A5" s="275"/>
      <c r="B5" s="216"/>
      <c r="C5" s="216"/>
      <c r="D5" s="216"/>
      <c r="E5" s="217"/>
      <c r="F5" s="217"/>
      <c r="G5" s="218"/>
      <c r="I5" s="214"/>
      <c r="J5" s="215"/>
      <c r="K5" s="216"/>
      <c r="L5" s="216"/>
      <c r="M5" s="217"/>
      <c r="N5" s="217"/>
      <c r="O5" s="218"/>
    </row>
    <row r="6" spans="1:21" ht="15">
      <c r="A6" s="503" t="s">
        <v>19</v>
      </c>
      <c r="B6" s="504"/>
      <c r="C6" s="504"/>
      <c r="D6" s="504"/>
      <c r="E6" s="504"/>
      <c r="F6" s="504"/>
      <c r="G6" s="505"/>
      <c r="I6" s="503" t="s">
        <v>19</v>
      </c>
      <c r="J6" s="504"/>
      <c r="K6" s="504"/>
      <c r="L6" s="504"/>
      <c r="M6" s="504"/>
      <c r="N6" s="504"/>
      <c r="O6" s="505"/>
    </row>
    <row r="7" spans="1:21" ht="15">
      <c r="A7" s="221"/>
      <c r="B7" s="217"/>
      <c r="C7" s="217"/>
      <c r="D7" s="217"/>
      <c r="E7" s="217"/>
      <c r="F7" s="217"/>
      <c r="G7" s="218"/>
      <c r="I7" s="221"/>
      <c r="J7" s="217"/>
      <c r="K7" s="217"/>
      <c r="L7" s="217"/>
      <c r="M7" s="217"/>
      <c r="N7" s="217"/>
      <c r="O7" s="218"/>
    </row>
    <row r="8" spans="1:21" ht="15.75">
      <c r="A8" s="221"/>
      <c r="B8" s="217"/>
      <c r="C8" s="222"/>
      <c r="D8" s="222"/>
      <c r="E8" s="222" t="s">
        <v>110</v>
      </c>
      <c r="F8" s="222" t="s">
        <v>71</v>
      </c>
      <c r="G8" s="218"/>
      <c r="I8" s="221"/>
      <c r="J8" s="217"/>
      <c r="K8" s="222"/>
      <c r="L8" s="222"/>
      <c r="M8" s="222" t="s">
        <v>110</v>
      </c>
      <c r="N8" s="222" t="s">
        <v>71</v>
      </c>
      <c r="O8" s="218"/>
    </row>
    <row r="9" spans="1:21" ht="15.75">
      <c r="A9" s="221"/>
      <c r="B9" s="217"/>
      <c r="C9" s="223" t="s">
        <v>87</v>
      </c>
      <c r="D9" s="223"/>
      <c r="E9" s="223" t="s">
        <v>111</v>
      </c>
      <c r="F9" s="223" t="s">
        <v>112</v>
      </c>
      <c r="G9" s="218"/>
      <c r="I9" s="221"/>
      <c r="J9" s="217"/>
      <c r="K9" s="223" t="s">
        <v>87</v>
      </c>
      <c r="L9" s="223"/>
      <c r="M9" s="223" t="s">
        <v>111</v>
      </c>
      <c r="N9" s="223" t="s">
        <v>112</v>
      </c>
      <c r="O9" s="218"/>
    </row>
    <row r="10" spans="1:21" ht="15.75">
      <c r="A10" s="224" t="s">
        <v>127</v>
      </c>
      <c r="B10" s="215"/>
      <c r="C10" s="225"/>
      <c r="D10" s="225"/>
      <c r="E10" s="225"/>
      <c r="F10" s="225"/>
      <c r="G10" s="218"/>
      <c r="I10" s="224" t="s">
        <v>113</v>
      </c>
      <c r="J10" s="215"/>
      <c r="K10" s="225"/>
      <c r="L10" s="225"/>
      <c r="M10" s="225"/>
      <c r="N10" s="225"/>
      <c r="O10" s="218"/>
    </row>
    <row r="11" spans="1:21" ht="15.75">
      <c r="A11" s="221" t="s">
        <v>114</v>
      </c>
      <c r="B11" s="217"/>
      <c r="C11" s="226">
        <v>299451</v>
      </c>
      <c r="D11" s="226"/>
      <c r="E11" s="227">
        <f>+M12</f>
        <v>2.4500000000000002</v>
      </c>
      <c r="F11" s="228">
        <f>C11*E11</f>
        <v>733654.95000000007</v>
      </c>
      <c r="G11" s="218"/>
      <c r="I11" s="221" t="s">
        <v>114</v>
      </c>
      <c r="J11" s="217"/>
      <c r="K11" s="226">
        <v>291373</v>
      </c>
      <c r="L11" s="226"/>
      <c r="M11" s="227">
        <v>1.79</v>
      </c>
      <c r="N11" s="228">
        <f>K11*M11</f>
        <v>521557.67</v>
      </c>
      <c r="O11" s="218"/>
      <c r="R11" s="247"/>
      <c r="S11" s="208"/>
      <c r="T11" s="258"/>
    </row>
    <row r="12" spans="1:21" ht="17.25">
      <c r="A12" s="229" t="s">
        <v>115</v>
      </c>
      <c r="B12" s="230"/>
      <c r="C12" s="231">
        <v>706622</v>
      </c>
      <c r="D12" s="231"/>
      <c r="E12" s="227">
        <f>+O31</f>
        <v>0.73</v>
      </c>
      <c r="F12" s="232">
        <f>C12*E12</f>
        <v>515834.06</v>
      </c>
      <c r="G12" s="218"/>
      <c r="I12" s="229" t="s">
        <v>115</v>
      </c>
      <c r="J12" s="230"/>
      <c r="K12" s="231">
        <v>885244</v>
      </c>
      <c r="L12" s="231"/>
      <c r="M12" s="227">
        <v>2.4500000000000002</v>
      </c>
      <c r="N12" s="232">
        <f>K12*M12</f>
        <v>2168847.8000000003</v>
      </c>
      <c r="O12" s="218"/>
    </row>
    <row r="13" spans="1:21" ht="17.25">
      <c r="A13" s="221" t="s">
        <v>71</v>
      </c>
      <c r="B13" s="217"/>
      <c r="C13" s="226">
        <f>SUM(C11:C12)</f>
        <v>1006073</v>
      </c>
      <c r="D13" s="231"/>
      <c r="E13" s="217"/>
      <c r="F13" s="228">
        <f>SUM(F11:F12)</f>
        <v>1249489.01</v>
      </c>
      <c r="G13" s="218"/>
      <c r="I13" s="221" t="s">
        <v>71</v>
      </c>
      <c r="J13" s="217"/>
      <c r="K13" s="226">
        <f>SUM(K11:K12)</f>
        <v>1176617</v>
      </c>
      <c r="L13" s="231"/>
      <c r="M13" s="217"/>
      <c r="N13" s="228">
        <f>SUM(N11:N12)</f>
        <v>2690405.47</v>
      </c>
      <c r="O13" s="218"/>
      <c r="T13" s="260"/>
    </row>
    <row r="14" spans="1:21" ht="15">
      <c r="A14" s="221"/>
      <c r="B14" s="217"/>
      <c r="C14" s="217"/>
      <c r="D14" s="217"/>
      <c r="E14" s="217"/>
      <c r="F14" s="217"/>
      <c r="G14" s="218"/>
      <c r="I14" s="221"/>
      <c r="J14" s="217"/>
      <c r="K14" s="217"/>
      <c r="L14" s="217"/>
      <c r="M14" s="217"/>
      <c r="N14" s="217"/>
      <c r="O14" s="218"/>
      <c r="T14" s="259"/>
      <c r="U14" s="11"/>
    </row>
    <row r="15" spans="1:21" ht="15.75">
      <c r="A15" s="214"/>
      <c r="B15" s="217"/>
      <c r="C15" s="217"/>
      <c r="D15" s="217"/>
      <c r="E15" s="217"/>
      <c r="F15" s="256"/>
      <c r="G15" s="218"/>
      <c r="I15" s="221"/>
      <c r="J15" s="217"/>
      <c r="K15" s="217"/>
      <c r="L15" s="217"/>
      <c r="M15" s="217"/>
      <c r="N15" s="217"/>
      <c r="O15" s="218"/>
      <c r="T15" s="259"/>
      <c r="U15" s="11"/>
    </row>
    <row r="16" spans="1:21" ht="15.75">
      <c r="A16" s="214" t="s">
        <v>129</v>
      </c>
      <c r="B16" s="217"/>
      <c r="C16" s="217"/>
      <c r="D16" s="217"/>
      <c r="E16" s="217"/>
      <c r="F16" s="228">
        <v>528491.43671045091</v>
      </c>
      <c r="G16" s="218"/>
      <c r="I16" s="221"/>
      <c r="J16" s="217"/>
      <c r="K16" s="217"/>
      <c r="L16" s="217"/>
      <c r="M16" s="217"/>
      <c r="N16" s="217"/>
      <c r="O16" s="218"/>
      <c r="T16" s="259"/>
      <c r="U16" s="11"/>
    </row>
    <row r="17" spans="1:21" ht="15.75">
      <c r="A17" s="214" t="s">
        <v>150</v>
      </c>
      <c r="B17" s="217"/>
      <c r="C17" s="217"/>
      <c r="D17" s="217"/>
      <c r="E17" s="217"/>
      <c r="F17" s="276">
        <f>-F16*50%</f>
        <v>-264245.71835522546</v>
      </c>
      <c r="G17" s="218"/>
      <c r="I17" s="214"/>
      <c r="J17" s="217"/>
      <c r="K17" s="217"/>
      <c r="L17" s="217"/>
      <c r="M17" s="217"/>
      <c r="N17" s="228"/>
      <c r="O17" s="218"/>
    </row>
    <row r="18" spans="1:21" ht="15.75">
      <c r="A18" s="280" t="s">
        <v>153</v>
      </c>
      <c r="B18" s="217"/>
      <c r="C18" s="217"/>
      <c r="D18" s="217"/>
      <c r="E18" s="217"/>
      <c r="F18" s="255">
        <f>SUM(F16:F17)</f>
        <v>264245.71835522546</v>
      </c>
      <c r="G18" s="218"/>
      <c r="I18" s="221"/>
      <c r="J18" s="217"/>
      <c r="K18" s="217"/>
      <c r="L18" s="217"/>
      <c r="M18" s="217"/>
      <c r="N18" s="217"/>
      <c r="O18" s="218"/>
      <c r="T18" s="259"/>
      <c r="U18" s="11"/>
    </row>
    <row r="19" spans="1:21" ht="17.25">
      <c r="A19" s="281"/>
      <c r="B19" s="281"/>
      <c r="C19" s="281"/>
      <c r="D19" s="281"/>
      <c r="E19" s="281"/>
      <c r="F19" s="281"/>
      <c r="G19" s="218"/>
      <c r="I19" s="221"/>
      <c r="J19" s="217"/>
      <c r="K19" s="217"/>
      <c r="L19" s="217"/>
      <c r="M19" s="217"/>
      <c r="N19" s="217"/>
      <c r="O19" s="218"/>
      <c r="T19" s="261"/>
      <c r="U19" s="11"/>
    </row>
    <row r="20" spans="1:21" ht="15.75">
      <c r="A20" s="221" t="s">
        <v>117</v>
      </c>
      <c r="B20" s="217"/>
      <c r="C20" s="217"/>
      <c r="D20" s="217"/>
      <c r="E20" s="217"/>
      <c r="F20" s="256">
        <f>F18-F13</f>
        <v>-985243.29164477461</v>
      </c>
      <c r="G20" s="218"/>
      <c r="I20" s="214" t="s">
        <v>116</v>
      </c>
      <c r="J20" s="217"/>
      <c r="K20" s="217"/>
      <c r="L20" s="217"/>
      <c r="M20" s="217"/>
      <c r="N20" s="228">
        <v>1226082</v>
      </c>
      <c r="O20" s="218"/>
      <c r="Q20" s="258"/>
      <c r="T20" s="259"/>
    </row>
    <row r="21" spans="1:21" ht="17.25">
      <c r="A21" s="214" t="s">
        <v>151</v>
      </c>
      <c r="B21" s="217"/>
      <c r="C21" s="253">
        <v>199583</v>
      </c>
      <c r="D21" s="217"/>
      <c r="E21" s="254">
        <f>(O26*M36)+(O31*M36)+O34</f>
        <v>-0.29675000000000007</v>
      </c>
      <c r="F21" s="234">
        <f>E21*C21</f>
        <v>-59226.255250000017</v>
      </c>
      <c r="G21" s="218"/>
      <c r="I21" s="214"/>
      <c r="J21" s="217"/>
      <c r="K21" s="217"/>
      <c r="L21" s="217"/>
      <c r="M21" s="217"/>
      <c r="N21" s="228"/>
      <c r="O21" s="218"/>
    </row>
    <row r="22" spans="1:21" ht="15">
      <c r="A22" s="281" t="s">
        <v>154</v>
      </c>
      <c r="B22" s="281"/>
      <c r="C22" s="281"/>
      <c r="D22" s="281"/>
      <c r="E22" s="281"/>
      <c r="F22" s="277">
        <f>SUM(F20:F21)</f>
        <v>-1044469.5468947747</v>
      </c>
      <c r="G22" s="218"/>
      <c r="I22" s="221" t="s">
        <v>117</v>
      </c>
      <c r="J22" s="217"/>
      <c r="K22" s="217"/>
      <c r="L22" s="217"/>
      <c r="M22" s="217"/>
      <c r="N22" s="226">
        <f>N20-N13</f>
        <v>-1464323.4700000002</v>
      </c>
      <c r="O22" s="218"/>
      <c r="T22" s="259"/>
      <c r="U22" s="11"/>
    </row>
    <row r="23" spans="1:21" ht="17.25">
      <c r="A23" s="281"/>
      <c r="B23" s="281"/>
      <c r="C23" s="281"/>
      <c r="D23" s="281"/>
      <c r="E23" s="281"/>
      <c r="F23" s="281"/>
      <c r="G23" s="218"/>
      <c r="I23" s="221"/>
      <c r="J23" s="217"/>
      <c r="K23" s="233"/>
      <c r="L23" s="217"/>
      <c r="M23" s="217"/>
      <c r="N23" s="234"/>
      <c r="O23" s="218"/>
    </row>
    <row r="24" spans="1:21" ht="17.25">
      <c r="A24" s="221" t="s">
        <v>118</v>
      </c>
      <c r="B24" s="217"/>
      <c r="C24" s="217"/>
      <c r="D24" s="217"/>
      <c r="E24" s="217"/>
      <c r="F24" s="226">
        <v>1205656</v>
      </c>
      <c r="G24" s="218"/>
      <c r="I24" s="221" t="s">
        <v>118</v>
      </c>
      <c r="J24" s="217"/>
      <c r="K24" s="217"/>
      <c r="L24" s="217"/>
      <c r="M24" s="217"/>
      <c r="N24" s="226">
        <f>+K13</f>
        <v>1176617</v>
      </c>
      <c r="O24" s="218"/>
      <c r="T24" s="260"/>
    </row>
    <row r="25" spans="1:21" ht="15">
      <c r="A25" s="221"/>
      <c r="B25" s="217"/>
      <c r="C25" s="217"/>
      <c r="D25" s="217"/>
      <c r="E25" s="217"/>
      <c r="F25" s="217"/>
      <c r="G25" s="218"/>
      <c r="I25" s="221"/>
      <c r="J25" s="217"/>
      <c r="K25" s="217"/>
      <c r="L25" s="217"/>
      <c r="M25" s="217"/>
      <c r="N25" s="217"/>
      <c r="O25" s="218"/>
    </row>
    <row r="26" spans="1:21" ht="15">
      <c r="A26" s="221" t="s">
        <v>119</v>
      </c>
      <c r="B26" s="217"/>
      <c r="C26" s="217"/>
      <c r="D26" s="217"/>
      <c r="E26" s="217"/>
      <c r="F26" s="235"/>
      <c r="G26" s="236">
        <f>F22/F24</f>
        <v>-0.86630809028012523</v>
      </c>
      <c r="I26" s="221" t="s">
        <v>119</v>
      </c>
      <c r="J26" s="217"/>
      <c r="K26" s="217"/>
      <c r="L26" s="217"/>
      <c r="M26" s="217"/>
      <c r="N26" s="235"/>
      <c r="O26" s="236">
        <f>ROUND(N22/N24,2)</f>
        <v>-1.24</v>
      </c>
    </row>
    <row r="27" spans="1:21" ht="15">
      <c r="A27" s="221"/>
      <c r="B27" s="217"/>
      <c r="C27" s="217"/>
      <c r="D27" s="217"/>
      <c r="E27" s="217"/>
      <c r="F27" s="217"/>
      <c r="G27" s="236"/>
      <c r="I27" s="221"/>
      <c r="J27" s="217"/>
      <c r="K27" s="217"/>
      <c r="L27" s="217"/>
      <c r="M27" s="217"/>
      <c r="N27" s="217"/>
      <c r="O27" s="236"/>
    </row>
    <row r="28" spans="1:21" ht="15">
      <c r="A28" s="221"/>
      <c r="B28" s="217"/>
      <c r="C28" s="217"/>
      <c r="D28" s="217"/>
      <c r="E28" s="217"/>
      <c r="F28" s="217"/>
      <c r="G28" s="236"/>
      <c r="I28" s="221"/>
      <c r="J28" s="217"/>
      <c r="K28" s="217"/>
      <c r="L28" s="217"/>
      <c r="M28" s="217"/>
      <c r="N28" s="217"/>
      <c r="O28" s="236"/>
    </row>
    <row r="29" spans="1:21" ht="15.75">
      <c r="A29" s="237" t="s">
        <v>130</v>
      </c>
      <c r="B29" s="215"/>
      <c r="C29" s="217"/>
      <c r="D29" s="217"/>
      <c r="E29" s="217"/>
      <c r="F29" s="238">
        <f>F16</f>
        <v>528491.43671045091</v>
      </c>
      <c r="G29" s="236"/>
      <c r="I29" s="237" t="s">
        <v>120</v>
      </c>
      <c r="J29" s="215"/>
      <c r="K29" s="217"/>
      <c r="L29" s="217"/>
      <c r="M29" s="217"/>
      <c r="N29" s="238">
        <f>431654*2</f>
        <v>863308</v>
      </c>
      <c r="O29" s="236"/>
    </row>
    <row r="30" spans="1:21" ht="17.25">
      <c r="A30" s="214" t="s">
        <v>150</v>
      </c>
      <c r="B30" s="281"/>
      <c r="C30" s="281"/>
      <c r="D30" s="281"/>
      <c r="E30" s="281"/>
      <c r="F30" s="279">
        <f>F29*50%</f>
        <v>264245.71835522546</v>
      </c>
      <c r="G30" s="236"/>
      <c r="I30" s="221" t="s">
        <v>118</v>
      </c>
      <c r="J30" s="217"/>
      <c r="K30" s="217"/>
      <c r="L30" s="217"/>
      <c r="M30" s="217"/>
      <c r="N30" s="239">
        <f>+K13</f>
        <v>1176617</v>
      </c>
      <c r="O30" s="236"/>
    </row>
    <row r="31" spans="1:21" ht="17.25">
      <c r="A31" s="281" t="s">
        <v>152</v>
      </c>
      <c r="B31" s="281"/>
      <c r="C31" s="281"/>
      <c r="D31" s="281"/>
      <c r="E31" s="281"/>
      <c r="F31" s="277">
        <f>F29-F30</f>
        <v>264245.71835522546</v>
      </c>
      <c r="G31" s="236"/>
      <c r="I31" s="221" t="s">
        <v>121</v>
      </c>
      <c r="J31" s="217"/>
      <c r="K31" s="217"/>
      <c r="L31" s="217"/>
      <c r="M31" s="217"/>
      <c r="N31" s="217"/>
      <c r="O31" s="240">
        <f>ROUND(+N29/N30,2)</f>
        <v>0.73</v>
      </c>
    </row>
    <row r="32" spans="1:21" ht="17.25">
      <c r="A32" s="221" t="s">
        <v>118</v>
      </c>
      <c r="B32" s="217"/>
      <c r="C32" s="217"/>
      <c r="D32" s="217"/>
      <c r="E32" s="217"/>
      <c r="F32" s="239">
        <f>F24</f>
        <v>1205656</v>
      </c>
      <c r="G32" s="236"/>
      <c r="I32" s="214" t="s">
        <v>122</v>
      </c>
      <c r="J32" s="215"/>
      <c r="K32" s="217"/>
      <c r="L32" s="217"/>
      <c r="M32" s="217"/>
      <c r="N32" s="217"/>
      <c r="O32" s="241">
        <f>SUM(O26:O31)</f>
        <v>-0.51</v>
      </c>
      <c r="P32" s="242"/>
    </row>
    <row r="33" spans="1:16" ht="17.25">
      <c r="A33" s="221" t="s">
        <v>121</v>
      </c>
      <c r="B33" s="217"/>
      <c r="C33" s="217"/>
      <c r="D33" s="217"/>
      <c r="E33" s="217"/>
      <c r="F33" s="217"/>
      <c r="G33" s="240">
        <f>ROUND(+F29/F32,2)</f>
        <v>0.44</v>
      </c>
      <c r="I33" s="214"/>
      <c r="J33" s="215"/>
      <c r="K33" s="217"/>
      <c r="L33" s="217"/>
      <c r="M33" s="217"/>
      <c r="N33" s="217"/>
      <c r="O33" s="241"/>
      <c r="P33" s="242"/>
    </row>
    <row r="34" spans="1:16" ht="15.75">
      <c r="A34" s="214" t="s">
        <v>122</v>
      </c>
      <c r="B34" s="215"/>
      <c r="C34" s="217"/>
      <c r="D34" s="217"/>
      <c r="E34" s="217"/>
      <c r="F34" s="217"/>
      <c r="G34" s="241">
        <f>SUM(G26:G33)</f>
        <v>-0.42630809028012523</v>
      </c>
      <c r="I34" s="229" t="s">
        <v>123</v>
      </c>
      <c r="J34" s="215"/>
      <c r="K34" s="217"/>
      <c r="L34" s="217"/>
      <c r="M34" s="243">
        <f>+K13/12*0.5</f>
        <v>49025.708333333336</v>
      </c>
      <c r="N34" s="217"/>
      <c r="O34" s="244">
        <f>ROUND(-M34/K13*2,2)</f>
        <v>-0.08</v>
      </c>
    </row>
    <row r="35" spans="1:16" ht="15.75">
      <c r="A35" s="229"/>
      <c r="B35" s="215"/>
      <c r="C35" s="217"/>
      <c r="D35" s="217"/>
      <c r="E35" s="217"/>
      <c r="F35" s="217"/>
      <c r="G35" s="241"/>
      <c r="I35" s="229"/>
      <c r="J35" s="215"/>
      <c r="K35" s="217"/>
      <c r="L35" s="217"/>
      <c r="M35" s="217"/>
      <c r="N35" s="217"/>
      <c r="O35" s="241"/>
    </row>
    <row r="36" spans="1:16" ht="20.25">
      <c r="A36" s="229"/>
      <c r="B36" s="217"/>
      <c r="C36" s="217"/>
      <c r="D36" s="217"/>
      <c r="E36" s="245"/>
      <c r="F36" s="217"/>
      <c r="G36" s="246"/>
      <c r="I36" s="229" t="s">
        <v>124</v>
      </c>
      <c r="J36" s="217"/>
      <c r="K36" s="217"/>
      <c r="L36" s="217"/>
      <c r="M36" s="245">
        <v>0.42499999999999999</v>
      </c>
      <c r="N36" s="217"/>
      <c r="O36" s="246">
        <f>-M36*O31</f>
        <v>-0.31024999999999997</v>
      </c>
      <c r="P36" s="247"/>
    </row>
    <row r="37" spans="1:16" ht="20.25">
      <c r="A37" s="229"/>
      <c r="B37" s="217"/>
      <c r="C37" s="217"/>
      <c r="D37" s="217"/>
      <c r="E37" s="248"/>
      <c r="F37" s="217"/>
      <c r="G37" s="246"/>
      <c r="I37" s="229"/>
      <c r="J37" s="217"/>
      <c r="K37" s="217"/>
      <c r="L37" s="217"/>
      <c r="M37" s="248"/>
      <c r="N37" s="217"/>
      <c r="O37" s="246"/>
      <c r="P37" s="247"/>
    </row>
    <row r="38" spans="1:16" ht="18">
      <c r="A38" s="214"/>
      <c r="B38" s="217"/>
      <c r="C38" s="217"/>
      <c r="D38" s="217"/>
      <c r="E38" s="248"/>
      <c r="F38" s="217"/>
      <c r="G38" s="249"/>
      <c r="I38" s="214" t="s">
        <v>144</v>
      </c>
      <c r="J38" s="217"/>
      <c r="K38" s="217"/>
      <c r="L38" s="217"/>
      <c r="M38" s="248"/>
      <c r="N38" s="217"/>
      <c r="O38" s="249">
        <f>+O32+O36+O34</f>
        <v>-0.90024999999999988</v>
      </c>
      <c r="P38" s="242"/>
    </row>
    <row r="39" spans="1:16" ht="18">
      <c r="A39" s="214"/>
      <c r="B39" s="217"/>
      <c r="C39" s="217"/>
      <c r="D39" s="217"/>
      <c r="E39" s="248"/>
      <c r="F39" s="217"/>
      <c r="G39" s="249"/>
      <c r="I39" s="214"/>
      <c r="J39" s="217"/>
      <c r="K39" s="217"/>
      <c r="L39" s="217"/>
      <c r="M39" s="248"/>
      <c r="N39" s="217"/>
      <c r="O39" s="249"/>
      <c r="P39" s="242"/>
    </row>
    <row r="40" spans="1:16" ht="18">
      <c r="A40" s="214"/>
      <c r="B40" s="217"/>
      <c r="C40" s="217"/>
      <c r="D40" s="217"/>
      <c r="E40" s="248"/>
      <c r="F40" s="217"/>
      <c r="G40" s="249"/>
      <c r="I40" s="214" t="s">
        <v>145</v>
      </c>
      <c r="J40" s="217"/>
      <c r="K40" s="217"/>
      <c r="L40" s="217"/>
      <c r="M40" s="248"/>
      <c r="N40" s="217"/>
      <c r="O40" s="249">
        <f>+O32+O34</f>
        <v>-0.59</v>
      </c>
      <c r="P40" s="242"/>
    </row>
    <row r="41" spans="1:16" ht="13.5" thickBot="1">
      <c r="A41" s="250"/>
      <c r="B41" s="251"/>
      <c r="C41" s="251"/>
      <c r="D41" s="251"/>
      <c r="E41" s="251"/>
      <c r="F41" s="251"/>
      <c r="G41" s="252"/>
      <c r="I41" s="250"/>
      <c r="J41" s="251"/>
      <c r="K41" s="251"/>
      <c r="L41" s="251"/>
      <c r="M41" s="251"/>
      <c r="N41" s="251"/>
      <c r="O41" s="252"/>
    </row>
    <row r="44" spans="1:16" ht="13.5" thickBot="1"/>
    <row r="45" spans="1:16" ht="23.25">
      <c r="A45" s="210" t="s">
        <v>125</v>
      </c>
      <c r="B45" s="211"/>
      <c r="C45" s="212"/>
      <c r="D45" s="212"/>
      <c r="E45" s="212"/>
      <c r="F45" s="212"/>
      <c r="G45" s="213"/>
      <c r="I45" s="210" t="s">
        <v>125</v>
      </c>
      <c r="J45" s="211"/>
      <c r="K45" s="212"/>
      <c r="L45" s="212"/>
      <c r="M45" s="212"/>
      <c r="N45" s="212"/>
      <c r="O45" s="213"/>
    </row>
    <row r="46" spans="1:16" ht="15.75">
      <c r="A46" s="214" t="s">
        <v>128</v>
      </c>
      <c r="B46" s="215"/>
      <c r="C46" s="216"/>
      <c r="D46" s="216"/>
      <c r="E46" s="217"/>
      <c r="F46" s="217"/>
      <c r="G46" s="218"/>
      <c r="I46" s="214" t="s">
        <v>109</v>
      </c>
      <c r="J46" s="215"/>
      <c r="K46" s="216"/>
      <c r="L46" s="216"/>
      <c r="M46" s="217"/>
      <c r="N46" s="217"/>
      <c r="O46" s="218"/>
    </row>
    <row r="47" spans="1:16" ht="15.75">
      <c r="A47" s="219"/>
      <c r="B47" s="220"/>
      <c r="C47" s="217"/>
      <c r="D47" s="217"/>
      <c r="E47" s="217"/>
      <c r="F47" s="217"/>
      <c r="G47" s="218"/>
      <c r="I47" s="219"/>
      <c r="J47" s="220"/>
      <c r="K47" s="217"/>
      <c r="L47" s="217"/>
      <c r="M47" s="217"/>
      <c r="N47" s="217"/>
      <c r="O47" s="218"/>
    </row>
    <row r="48" spans="1:16" ht="15">
      <c r="A48" s="503" t="s">
        <v>19</v>
      </c>
      <c r="B48" s="504"/>
      <c r="C48" s="504"/>
      <c r="D48" s="504"/>
      <c r="E48" s="504"/>
      <c r="F48" s="504"/>
      <c r="G48" s="505"/>
      <c r="I48" s="503" t="s">
        <v>19</v>
      </c>
      <c r="J48" s="504"/>
      <c r="K48" s="504"/>
      <c r="L48" s="504"/>
      <c r="M48" s="504"/>
      <c r="N48" s="504"/>
      <c r="O48" s="505"/>
    </row>
    <row r="49" spans="1:17" ht="15">
      <c r="A49" s="221"/>
      <c r="B49" s="217"/>
      <c r="C49" s="217"/>
      <c r="D49" s="217"/>
      <c r="E49" s="217"/>
      <c r="F49" s="217"/>
      <c r="G49" s="218"/>
      <c r="I49" s="221"/>
      <c r="J49" s="217"/>
      <c r="K49" s="217"/>
      <c r="L49" s="217"/>
      <c r="M49" s="217"/>
      <c r="N49" s="217"/>
      <c r="O49" s="218"/>
    </row>
    <row r="50" spans="1:17" ht="15.75">
      <c r="A50" s="221"/>
      <c r="B50" s="217"/>
      <c r="C50" s="222"/>
      <c r="D50" s="222"/>
      <c r="E50" s="222" t="s">
        <v>110</v>
      </c>
      <c r="F50" s="222" t="s">
        <v>71</v>
      </c>
      <c r="G50" s="218"/>
      <c r="I50" s="221"/>
      <c r="J50" s="217"/>
      <c r="K50" s="222"/>
      <c r="L50" s="222"/>
      <c r="M50" s="222" t="s">
        <v>110</v>
      </c>
      <c r="N50" s="222" t="s">
        <v>71</v>
      </c>
      <c r="O50" s="218"/>
    </row>
    <row r="51" spans="1:17" ht="15.75">
      <c r="A51" s="221"/>
      <c r="B51" s="217"/>
      <c r="C51" s="223" t="s">
        <v>87</v>
      </c>
      <c r="D51" s="223"/>
      <c r="E51" s="223" t="s">
        <v>111</v>
      </c>
      <c r="F51" s="223" t="s">
        <v>112</v>
      </c>
      <c r="G51" s="218"/>
      <c r="I51" s="221"/>
      <c r="J51" s="217"/>
      <c r="K51" s="223" t="s">
        <v>87</v>
      </c>
      <c r="L51" s="223"/>
      <c r="M51" s="223" t="s">
        <v>111</v>
      </c>
      <c r="N51" s="223" t="s">
        <v>112</v>
      </c>
      <c r="O51" s="218"/>
    </row>
    <row r="52" spans="1:17" ht="15.75">
      <c r="A52" s="224" t="s">
        <v>127</v>
      </c>
      <c r="B52" s="215"/>
      <c r="C52" s="225"/>
      <c r="D52" s="225"/>
      <c r="E52" s="225"/>
      <c r="F52" s="225"/>
      <c r="G52" s="218"/>
      <c r="I52" s="224" t="s">
        <v>113</v>
      </c>
      <c r="J52" s="215"/>
      <c r="K52" s="225"/>
      <c r="L52" s="225"/>
      <c r="M52" s="225"/>
      <c r="N52" s="225"/>
      <c r="O52" s="218"/>
    </row>
    <row r="53" spans="1:17" ht="15.75">
      <c r="A53" s="221" t="s">
        <v>114</v>
      </c>
      <c r="B53" s="217"/>
      <c r="C53" s="226">
        <v>63231</v>
      </c>
      <c r="D53" s="226"/>
      <c r="E53" s="227">
        <f>+M54</f>
        <v>2.7</v>
      </c>
      <c r="F53" s="228">
        <f>C53*E53</f>
        <v>170723.7</v>
      </c>
      <c r="G53" s="218"/>
      <c r="I53" s="221" t="s">
        <v>114</v>
      </c>
      <c r="J53" s="217"/>
      <c r="K53" s="226">
        <v>62533</v>
      </c>
      <c r="L53" s="226"/>
      <c r="M53" s="227">
        <v>1.94</v>
      </c>
      <c r="N53" s="228">
        <f>K53*M53</f>
        <v>121314.01999999999</v>
      </c>
      <c r="O53" s="218"/>
    </row>
    <row r="54" spans="1:17" ht="17.25">
      <c r="A54" s="229" t="s">
        <v>115</v>
      </c>
      <c r="B54" s="230"/>
      <c r="C54" s="231">
        <v>148568</v>
      </c>
      <c r="D54" s="231"/>
      <c r="E54" s="227">
        <f>+O73</f>
        <v>0.72</v>
      </c>
      <c r="F54" s="232">
        <f>C54*E54</f>
        <v>106968.95999999999</v>
      </c>
      <c r="G54" s="218"/>
      <c r="I54" s="229" t="s">
        <v>115</v>
      </c>
      <c r="J54" s="230"/>
      <c r="K54" s="231">
        <v>188839</v>
      </c>
      <c r="L54" s="231"/>
      <c r="M54" s="227">
        <v>2.7</v>
      </c>
      <c r="N54" s="232">
        <f>K54*M54</f>
        <v>509865.30000000005</v>
      </c>
      <c r="O54" s="218"/>
    </row>
    <row r="55" spans="1:17" ht="17.25">
      <c r="A55" s="221" t="s">
        <v>71</v>
      </c>
      <c r="B55" s="217"/>
      <c r="C55" s="226">
        <f>SUM(C53:C54)</f>
        <v>211799</v>
      </c>
      <c r="D55" s="231"/>
      <c r="E55" s="217"/>
      <c r="F55" s="228">
        <f>SUM(F53:F54)</f>
        <v>277692.66000000003</v>
      </c>
      <c r="G55" s="218"/>
      <c r="I55" s="221" t="s">
        <v>71</v>
      </c>
      <c r="J55" s="217"/>
      <c r="K55" s="226">
        <f>SUM(K53:K54)</f>
        <v>251372</v>
      </c>
      <c r="L55" s="231"/>
      <c r="M55" s="217"/>
      <c r="N55" s="228">
        <f>SUM(N53:N54)</f>
        <v>631179.32000000007</v>
      </c>
      <c r="O55" s="218"/>
    </row>
    <row r="56" spans="1:17" ht="15">
      <c r="A56" s="221"/>
      <c r="B56" s="217"/>
      <c r="C56" s="217"/>
      <c r="D56" s="217"/>
      <c r="E56" s="217"/>
      <c r="F56" s="217"/>
      <c r="G56" s="218"/>
      <c r="I56" s="221"/>
      <c r="J56" s="217"/>
      <c r="K56" s="217"/>
      <c r="L56" s="217"/>
      <c r="M56" s="217"/>
      <c r="N56" s="217"/>
      <c r="O56" s="218"/>
    </row>
    <row r="57" spans="1:17" ht="15.75">
      <c r="A57" s="214" t="s">
        <v>129</v>
      </c>
      <c r="B57" s="217"/>
      <c r="C57" s="217"/>
      <c r="D57" s="217"/>
      <c r="E57" s="217"/>
      <c r="F57" s="228">
        <v>153774.15208976623</v>
      </c>
      <c r="G57" s="218"/>
      <c r="I57" s="221"/>
      <c r="J57" s="217"/>
      <c r="K57" s="217"/>
      <c r="L57" s="217"/>
      <c r="M57" s="217"/>
      <c r="N57" s="217"/>
      <c r="O57" s="218"/>
    </row>
    <row r="58" spans="1:17" ht="15.75">
      <c r="A58" s="214" t="s">
        <v>150</v>
      </c>
      <c r="B58" s="217"/>
      <c r="C58" s="217"/>
      <c r="D58" s="217"/>
      <c r="E58" s="217"/>
      <c r="F58" s="276">
        <f>-F57*50%</f>
        <v>-76887.076044883113</v>
      </c>
      <c r="G58" s="218"/>
      <c r="I58" s="221"/>
      <c r="J58" s="217"/>
      <c r="K58" s="217"/>
      <c r="L58" s="217"/>
      <c r="M58" s="217"/>
      <c r="N58" s="217"/>
      <c r="O58" s="218"/>
    </row>
    <row r="59" spans="1:17" ht="15.75">
      <c r="A59" s="280" t="s">
        <v>153</v>
      </c>
      <c r="B59" s="281"/>
      <c r="C59" s="281"/>
      <c r="D59" s="281"/>
      <c r="E59" s="281"/>
      <c r="F59" s="277">
        <f>SUM(F57:F58)</f>
        <v>76887.076044883113</v>
      </c>
      <c r="G59" s="218"/>
      <c r="I59" s="221"/>
      <c r="J59" s="217"/>
      <c r="K59" s="217"/>
      <c r="L59" s="217"/>
      <c r="M59" s="217"/>
      <c r="N59" s="217"/>
      <c r="O59" s="218"/>
    </row>
    <row r="60" spans="1:17" ht="15">
      <c r="A60" s="281"/>
      <c r="B60" s="281"/>
      <c r="C60" s="281"/>
      <c r="D60" s="281"/>
      <c r="E60" s="281"/>
      <c r="F60" s="281"/>
      <c r="G60" s="218"/>
      <c r="I60" s="221"/>
      <c r="J60" s="217"/>
      <c r="K60" s="217"/>
      <c r="L60" s="217"/>
      <c r="M60" s="217"/>
      <c r="N60" s="217"/>
      <c r="O60" s="218"/>
    </row>
    <row r="61" spans="1:17" ht="15">
      <c r="A61" s="221" t="s">
        <v>117</v>
      </c>
      <c r="B61" s="217"/>
      <c r="C61" s="217"/>
      <c r="D61" s="217"/>
      <c r="E61" s="217"/>
      <c r="F61" s="256">
        <f>F59-F55</f>
        <v>-200805.58395511692</v>
      </c>
      <c r="G61" s="218"/>
      <c r="I61" s="221"/>
      <c r="J61" s="217"/>
      <c r="K61" s="217"/>
      <c r="L61" s="217"/>
      <c r="M61" s="217"/>
      <c r="N61" s="217"/>
      <c r="O61" s="218"/>
    </row>
    <row r="62" spans="1:17" ht="15.75">
      <c r="A62" s="214" t="s">
        <v>151</v>
      </c>
      <c r="B62" s="217"/>
      <c r="C62" s="253">
        <v>42056</v>
      </c>
      <c r="D62" s="217"/>
      <c r="E62" s="254">
        <f>+O80</f>
        <v>-1.1600000000000001</v>
      </c>
      <c r="F62" s="228">
        <f>E62*C62</f>
        <v>-48784.960000000006</v>
      </c>
      <c r="G62" s="218"/>
      <c r="I62" s="214" t="s">
        <v>116</v>
      </c>
      <c r="J62" s="217"/>
      <c r="K62" s="217"/>
      <c r="L62" s="217"/>
      <c r="M62" s="217"/>
      <c r="N62" s="228">
        <v>269162</v>
      </c>
      <c r="O62" s="218"/>
      <c r="Q62" s="258"/>
    </row>
    <row r="63" spans="1:17" ht="15.75">
      <c r="A63" s="214" t="s">
        <v>148</v>
      </c>
      <c r="B63" s="281"/>
      <c r="C63" s="281"/>
      <c r="D63" s="281"/>
      <c r="E63" s="281"/>
      <c r="F63" s="278">
        <v>4957.7399619857606</v>
      </c>
      <c r="G63" s="218"/>
      <c r="I63" s="221"/>
      <c r="J63" s="217"/>
      <c r="K63" s="217"/>
      <c r="L63" s="217"/>
      <c r="M63" s="217"/>
      <c r="N63" s="228"/>
      <c r="O63" s="218"/>
    </row>
    <row r="64" spans="1:17" ht="15">
      <c r="A64" s="281" t="s">
        <v>154</v>
      </c>
      <c r="B64" s="281"/>
      <c r="C64" s="281"/>
      <c r="D64" s="281"/>
      <c r="E64" s="281"/>
      <c r="F64" s="277">
        <f>SUM(F61:F63)</f>
        <v>-244632.80399313118</v>
      </c>
      <c r="G64" s="218"/>
      <c r="I64" s="221" t="s">
        <v>117</v>
      </c>
      <c r="J64" s="217"/>
      <c r="K64" s="217"/>
      <c r="L64" s="217"/>
      <c r="M64" s="217"/>
      <c r="N64" s="226">
        <f>N62-N55</f>
        <v>-362017.32000000007</v>
      </c>
      <c r="O64" s="218"/>
    </row>
    <row r="65" spans="1:15" ht="17.25">
      <c r="A65" s="281"/>
      <c r="B65" s="281"/>
      <c r="C65" s="281"/>
      <c r="D65" s="281"/>
      <c r="E65" s="281"/>
      <c r="F65" s="281"/>
      <c r="G65" s="218"/>
      <c r="I65" s="221"/>
      <c r="J65" s="217"/>
      <c r="K65" s="233"/>
      <c r="L65" s="217"/>
      <c r="M65" s="217"/>
      <c r="N65" s="234"/>
      <c r="O65" s="218"/>
    </row>
    <row r="66" spans="1:15" ht="15">
      <c r="A66" s="221" t="s">
        <v>118</v>
      </c>
      <c r="B66" s="217"/>
      <c r="C66" s="217"/>
      <c r="D66" s="217"/>
      <c r="E66" s="217"/>
      <c r="F66" s="226">
        <v>253855</v>
      </c>
      <c r="G66" s="218"/>
      <c r="I66" s="221" t="s">
        <v>118</v>
      </c>
      <c r="J66" s="217"/>
      <c r="K66" s="217"/>
      <c r="L66" s="217"/>
      <c r="M66" s="217"/>
      <c r="N66" s="226">
        <f>+K55</f>
        <v>251372</v>
      </c>
      <c r="O66" s="218"/>
    </row>
    <row r="67" spans="1:15" ht="15">
      <c r="A67" s="221"/>
      <c r="B67" s="217"/>
      <c r="C67" s="217"/>
      <c r="D67" s="217"/>
      <c r="E67" s="217"/>
      <c r="F67" s="217"/>
      <c r="G67" s="218"/>
      <c r="I67" s="221"/>
      <c r="J67" s="217"/>
      <c r="K67" s="217"/>
      <c r="L67" s="217"/>
      <c r="M67" s="217"/>
      <c r="N67" s="217"/>
      <c r="O67" s="218"/>
    </row>
    <row r="68" spans="1:15" ht="15">
      <c r="A68" s="221" t="s">
        <v>119</v>
      </c>
      <c r="B68" s="217"/>
      <c r="C68" s="217"/>
      <c r="D68" s="217"/>
      <c r="E68" s="217"/>
      <c r="F68" s="235"/>
      <c r="G68" s="236">
        <f>F64/F66</f>
        <v>-0.96367140293920217</v>
      </c>
      <c r="I68" s="221" t="s">
        <v>119</v>
      </c>
      <c r="J68" s="217"/>
      <c r="K68" s="217"/>
      <c r="L68" s="217"/>
      <c r="M68" s="217"/>
      <c r="N68" s="235"/>
      <c r="O68" s="236">
        <f>ROUND(N64/N66,2)</f>
        <v>-1.44</v>
      </c>
    </row>
    <row r="69" spans="1:15" ht="15">
      <c r="A69" s="221"/>
      <c r="B69" s="217"/>
      <c r="C69" s="217"/>
      <c r="D69" s="217"/>
      <c r="E69" s="217"/>
      <c r="F69" s="217"/>
      <c r="G69" s="236"/>
      <c r="I69" s="221"/>
      <c r="J69" s="217"/>
      <c r="K69" s="217"/>
      <c r="L69" s="217"/>
      <c r="M69" s="217"/>
      <c r="N69" s="217"/>
      <c r="O69" s="236"/>
    </row>
    <row r="70" spans="1:15" ht="15">
      <c r="A70" s="221"/>
      <c r="B70" s="217"/>
      <c r="C70" s="217"/>
      <c r="D70" s="217"/>
      <c r="E70" s="217"/>
      <c r="F70" s="217"/>
      <c r="G70" s="236"/>
      <c r="I70" s="221"/>
      <c r="J70" s="217"/>
      <c r="K70" s="217"/>
      <c r="L70" s="217"/>
      <c r="M70" s="217"/>
      <c r="N70" s="217"/>
      <c r="O70" s="236"/>
    </row>
    <row r="71" spans="1:15" ht="15.75">
      <c r="A71" s="237" t="s">
        <v>130</v>
      </c>
      <c r="B71" s="215"/>
      <c r="C71" s="217"/>
      <c r="D71" s="217"/>
      <c r="E71" s="217"/>
      <c r="F71" s="238">
        <f>F57</f>
        <v>153774.15208976623</v>
      </c>
      <c r="G71" s="236"/>
      <c r="I71" s="237" t="s">
        <v>120</v>
      </c>
      <c r="J71" s="215"/>
      <c r="K71" s="217"/>
      <c r="L71" s="217"/>
      <c r="M71" s="217"/>
      <c r="N71" s="238">
        <v>91522</v>
      </c>
      <c r="O71" s="236"/>
    </row>
    <row r="72" spans="1:15" ht="17.25">
      <c r="A72" s="214" t="s">
        <v>150</v>
      </c>
      <c r="B72" s="281"/>
      <c r="C72" s="281"/>
      <c r="D72" s="281"/>
      <c r="E72" s="281"/>
      <c r="F72" s="279">
        <f>F71*50%</f>
        <v>76887.076044883113</v>
      </c>
      <c r="G72" s="236"/>
      <c r="I72" s="221" t="s">
        <v>118</v>
      </c>
      <c r="J72" s="217"/>
      <c r="K72" s="217"/>
      <c r="L72" s="217"/>
      <c r="M72" s="217"/>
      <c r="N72" s="239">
        <v>126406</v>
      </c>
      <c r="O72" s="236"/>
    </row>
    <row r="73" spans="1:15" ht="17.25">
      <c r="A73" s="281" t="s">
        <v>152</v>
      </c>
      <c r="B73" s="281"/>
      <c r="C73" s="281"/>
      <c r="D73" s="281"/>
      <c r="E73" s="281"/>
      <c r="F73" s="277">
        <f>F71-F72</f>
        <v>76887.076044883113</v>
      </c>
      <c r="G73" s="236"/>
      <c r="I73" s="221" t="s">
        <v>121</v>
      </c>
      <c r="J73" s="217"/>
      <c r="K73" s="217"/>
      <c r="L73" s="217"/>
      <c r="M73" s="217"/>
      <c r="N73" s="217"/>
      <c r="O73" s="240">
        <f>ROUND(+N71/N72,2)</f>
        <v>0.72</v>
      </c>
    </row>
    <row r="74" spans="1:15" ht="17.25">
      <c r="A74" s="221" t="s">
        <v>118</v>
      </c>
      <c r="B74" s="217"/>
      <c r="C74" s="217"/>
      <c r="D74" s="217"/>
      <c r="E74" s="217"/>
      <c r="F74" s="239">
        <f>+F66</f>
        <v>253855</v>
      </c>
      <c r="G74" s="236"/>
      <c r="I74" s="214" t="s">
        <v>122</v>
      </c>
      <c r="J74" s="215"/>
      <c r="K74" s="217"/>
      <c r="L74" s="217"/>
      <c r="M74" s="217"/>
      <c r="N74" s="217"/>
      <c r="O74" s="241">
        <f>SUM(O68:O73)</f>
        <v>-0.72</v>
      </c>
    </row>
    <row r="75" spans="1:15" ht="17.25">
      <c r="A75" s="221" t="s">
        <v>121</v>
      </c>
      <c r="B75" s="217"/>
      <c r="C75" s="217"/>
      <c r="D75" s="217"/>
      <c r="E75" s="217"/>
      <c r="F75" s="217"/>
      <c r="G75" s="240">
        <f>ROUND(+F71/F74,2)</f>
        <v>0.61</v>
      </c>
      <c r="I75" s="214"/>
      <c r="J75" s="215"/>
      <c r="K75" s="217"/>
      <c r="L75" s="217"/>
      <c r="M75" s="217"/>
      <c r="N75" s="217"/>
      <c r="O75" s="241"/>
    </row>
    <row r="76" spans="1:15" ht="15.75">
      <c r="A76" s="214" t="s">
        <v>122</v>
      </c>
      <c r="B76" s="215"/>
      <c r="C76" s="217"/>
      <c r="D76" s="217"/>
      <c r="E76" s="217"/>
      <c r="F76" s="217"/>
      <c r="G76" s="241">
        <f>SUM(G68:G75)</f>
        <v>-0.35367140293920218</v>
      </c>
      <c r="I76" s="229" t="s">
        <v>123</v>
      </c>
      <c r="J76" s="215"/>
      <c r="K76" s="217"/>
      <c r="L76" s="217"/>
      <c r="M76" s="243">
        <f>+K55/12*0.5</f>
        <v>10473.833333333334</v>
      </c>
      <c r="N76" s="217"/>
      <c r="O76" s="244">
        <f>ROUND(-M76/K55*2,2)</f>
        <v>-0.08</v>
      </c>
    </row>
    <row r="77" spans="1:15" ht="15.75">
      <c r="A77" s="214"/>
      <c r="B77" s="215"/>
      <c r="C77" s="217"/>
      <c r="D77" s="217"/>
      <c r="E77" s="217"/>
      <c r="F77" s="217"/>
      <c r="G77" s="241"/>
      <c r="I77" s="214"/>
      <c r="J77" s="215"/>
      <c r="K77" s="217"/>
      <c r="L77" s="217"/>
      <c r="M77" s="217"/>
      <c r="N77" s="217"/>
      <c r="O77" s="241"/>
    </row>
    <row r="78" spans="1:15" ht="20.25">
      <c r="A78" s="229"/>
      <c r="B78" s="217"/>
      <c r="C78" s="217"/>
      <c r="D78" s="217"/>
      <c r="E78" s="245"/>
      <c r="F78" s="217"/>
      <c r="G78" s="246"/>
      <c r="I78" s="229" t="s">
        <v>124</v>
      </c>
      <c r="J78" s="217"/>
      <c r="K78" s="217"/>
      <c r="L78" s="217"/>
      <c r="M78" s="245">
        <v>0.5</v>
      </c>
      <c r="N78" s="217"/>
      <c r="O78" s="246">
        <f>-M78*O73</f>
        <v>-0.36</v>
      </c>
    </row>
    <row r="79" spans="1:15" ht="20.25">
      <c r="A79" s="229"/>
      <c r="B79" s="217"/>
      <c r="C79" s="217"/>
      <c r="D79" s="217"/>
      <c r="E79" s="248"/>
      <c r="F79" s="217"/>
      <c r="G79" s="246"/>
      <c r="I79" s="229"/>
      <c r="J79" s="217"/>
      <c r="K79" s="217"/>
      <c r="L79" s="217"/>
      <c r="M79" s="248"/>
      <c r="N79" s="217"/>
      <c r="O79" s="246"/>
    </row>
    <row r="80" spans="1:15" ht="18">
      <c r="A80" s="214"/>
      <c r="B80" s="217"/>
      <c r="C80" s="217"/>
      <c r="D80" s="217"/>
      <c r="E80" s="248"/>
      <c r="F80" s="217"/>
      <c r="G80" s="249"/>
      <c r="I80" s="214" t="s">
        <v>146</v>
      </c>
      <c r="J80" s="217"/>
      <c r="K80" s="217"/>
      <c r="L80" s="217"/>
      <c r="M80" s="248"/>
      <c r="N80" s="217"/>
      <c r="O80" s="249">
        <f>+O74+O78+O76</f>
        <v>-1.1600000000000001</v>
      </c>
    </row>
    <row r="81" spans="1:15" ht="13.5" thickBot="1">
      <c r="A81" s="250"/>
      <c r="B81" s="251"/>
      <c r="C81" s="251"/>
      <c r="D81" s="251"/>
      <c r="E81" s="251"/>
      <c r="F81" s="251"/>
      <c r="G81" s="252"/>
      <c r="I81" s="250"/>
      <c r="J81" s="251"/>
      <c r="K81" s="251"/>
      <c r="L81" s="251"/>
      <c r="M81" s="251"/>
      <c r="N81" s="251"/>
      <c r="O81" s="252"/>
    </row>
    <row r="83" spans="1:15" ht="13.5" thickBot="1"/>
    <row r="84" spans="1:15" ht="23.25">
      <c r="A84" s="210" t="s">
        <v>126</v>
      </c>
      <c r="B84" s="211"/>
      <c r="C84" s="212"/>
      <c r="D84" s="212"/>
      <c r="E84" s="212"/>
      <c r="F84" s="212"/>
      <c r="G84" s="213"/>
      <c r="I84" s="210" t="s">
        <v>126</v>
      </c>
      <c r="J84" s="211"/>
      <c r="K84" s="212"/>
      <c r="L84" s="212"/>
      <c r="M84" s="212"/>
      <c r="N84" s="212"/>
      <c r="O84" s="213"/>
    </row>
    <row r="85" spans="1:15" ht="15.75">
      <c r="A85" s="214" t="s">
        <v>109</v>
      </c>
      <c r="B85" s="215"/>
      <c r="C85" s="216"/>
      <c r="D85" s="216"/>
      <c r="E85" s="217"/>
      <c r="F85" s="217"/>
      <c r="G85" s="218"/>
      <c r="I85" s="214" t="s">
        <v>109</v>
      </c>
      <c r="J85" s="215"/>
      <c r="K85" s="216"/>
      <c r="L85" s="216"/>
      <c r="M85" s="217"/>
      <c r="N85" s="217"/>
      <c r="O85" s="218"/>
    </row>
    <row r="86" spans="1:15" ht="15.75">
      <c r="A86" s="219"/>
      <c r="B86" s="220"/>
      <c r="C86" s="217"/>
      <c r="D86" s="217"/>
      <c r="E86" s="217"/>
      <c r="F86" s="217"/>
      <c r="G86" s="218"/>
      <c r="I86" s="219"/>
      <c r="J86" s="220"/>
      <c r="K86" s="217"/>
      <c r="L86" s="217"/>
      <c r="M86" s="217"/>
      <c r="N86" s="217"/>
      <c r="O86" s="218"/>
    </row>
    <row r="87" spans="1:15" ht="15">
      <c r="A87" s="503" t="s">
        <v>19</v>
      </c>
      <c r="B87" s="504"/>
      <c r="C87" s="504"/>
      <c r="D87" s="504"/>
      <c r="E87" s="504"/>
      <c r="F87" s="504"/>
      <c r="G87" s="505"/>
      <c r="I87" s="503" t="s">
        <v>19</v>
      </c>
      <c r="J87" s="504"/>
      <c r="K87" s="504"/>
      <c r="L87" s="504"/>
      <c r="M87" s="504"/>
      <c r="N87" s="504"/>
      <c r="O87" s="505"/>
    </row>
    <row r="88" spans="1:15" ht="15">
      <c r="A88" s="221"/>
      <c r="B88" s="217"/>
      <c r="C88" s="217"/>
      <c r="D88" s="217"/>
      <c r="E88" s="217"/>
      <c r="F88" s="217"/>
      <c r="G88" s="218"/>
      <c r="I88" s="221"/>
      <c r="J88" s="217"/>
      <c r="K88" s="217"/>
      <c r="L88" s="217"/>
      <c r="M88" s="217"/>
      <c r="N88" s="217"/>
      <c r="O88" s="218"/>
    </row>
    <row r="89" spans="1:15" ht="15.75">
      <c r="A89" s="221"/>
      <c r="B89" s="217"/>
      <c r="C89" s="222"/>
      <c r="D89" s="222"/>
      <c r="E89" s="222" t="s">
        <v>110</v>
      </c>
      <c r="F89" s="222" t="s">
        <v>71</v>
      </c>
      <c r="G89" s="218"/>
      <c r="I89" s="221"/>
      <c r="J89" s="217"/>
      <c r="K89" s="222"/>
      <c r="L89" s="222"/>
      <c r="M89" s="222" t="s">
        <v>110</v>
      </c>
      <c r="N89" s="222" t="s">
        <v>71</v>
      </c>
      <c r="O89" s="218"/>
    </row>
    <row r="90" spans="1:15" ht="15.75">
      <c r="A90" s="221"/>
      <c r="B90" s="217"/>
      <c r="C90" s="223" t="s">
        <v>87</v>
      </c>
      <c r="D90" s="223"/>
      <c r="E90" s="223" t="s">
        <v>111</v>
      </c>
      <c r="F90" s="223" t="s">
        <v>112</v>
      </c>
      <c r="G90" s="218"/>
      <c r="I90" s="221"/>
      <c r="J90" s="217"/>
      <c r="K90" s="223" t="s">
        <v>87</v>
      </c>
      <c r="L90" s="223"/>
      <c r="M90" s="223" t="s">
        <v>111</v>
      </c>
      <c r="N90" s="223" t="s">
        <v>112</v>
      </c>
      <c r="O90" s="218"/>
    </row>
    <row r="91" spans="1:15" ht="15.75">
      <c r="A91" s="224" t="s">
        <v>127</v>
      </c>
      <c r="B91" s="215"/>
      <c r="C91" s="225"/>
      <c r="D91" s="225"/>
      <c r="E91" s="225"/>
      <c r="F91" s="225"/>
      <c r="G91" s="218"/>
      <c r="I91" s="224" t="s">
        <v>113</v>
      </c>
      <c r="J91" s="215"/>
      <c r="K91" s="225"/>
      <c r="L91" s="225"/>
      <c r="M91" s="225"/>
      <c r="N91" s="225"/>
      <c r="O91" s="218"/>
    </row>
    <row r="92" spans="1:15" ht="15.75">
      <c r="A92" s="221" t="s">
        <v>114</v>
      </c>
      <c r="B92" s="217"/>
      <c r="C92" s="226">
        <v>52930</v>
      </c>
      <c r="D92" s="226"/>
      <c r="E92" s="227">
        <f>+M93</f>
        <v>2.33</v>
      </c>
      <c r="F92" s="228">
        <f>C92*E92</f>
        <v>123326.90000000001</v>
      </c>
      <c r="G92" s="218"/>
      <c r="I92" s="221" t="s">
        <v>114</v>
      </c>
      <c r="J92" s="217"/>
      <c r="K92" s="226">
        <v>51847</v>
      </c>
      <c r="L92" s="226"/>
      <c r="M92" s="227">
        <v>1.67</v>
      </c>
      <c r="N92" s="228">
        <f>K92*M92</f>
        <v>86584.489999999991</v>
      </c>
      <c r="O92" s="218"/>
    </row>
    <row r="93" spans="1:15" ht="17.25">
      <c r="A93" s="229" t="s">
        <v>115</v>
      </c>
      <c r="B93" s="230"/>
      <c r="C93" s="231">
        <v>124468</v>
      </c>
      <c r="D93" s="231"/>
      <c r="E93" s="227">
        <f>+O112</f>
        <v>0.81</v>
      </c>
      <c r="F93" s="232">
        <f>C93*E93</f>
        <v>100819.08</v>
      </c>
      <c r="G93" s="218"/>
      <c r="I93" s="229" t="s">
        <v>115</v>
      </c>
      <c r="J93" s="230"/>
      <c r="K93" s="231">
        <v>157300</v>
      </c>
      <c r="L93" s="231"/>
      <c r="M93" s="227">
        <v>2.33</v>
      </c>
      <c r="N93" s="232">
        <f>K93*M93</f>
        <v>366509</v>
      </c>
      <c r="O93" s="218"/>
    </row>
    <row r="94" spans="1:15" ht="17.25">
      <c r="A94" s="221" t="s">
        <v>71</v>
      </c>
      <c r="B94" s="217"/>
      <c r="C94" s="226">
        <f>SUM(C92:C93)</f>
        <v>177398</v>
      </c>
      <c r="D94" s="231"/>
      <c r="E94" s="217"/>
      <c r="F94" s="228">
        <f>SUM(F92:F93)</f>
        <v>224145.98</v>
      </c>
      <c r="G94" s="218"/>
      <c r="I94" s="221" t="s">
        <v>71</v>
      </c>
      <c r="J94" s="217"/>
      <c r="K94" s="226">
        <f>SUM(K92:K93)</f>
        <v>209147</v>
      </c>
      <c r="L94" s="231"/>
      <c r="M94" s="217"/>
      <c r="N94" s="228">
        <f>SUM(N92:N93)</f>
        <v>453093.49</v>
      </c>
      <c r="O94" s="218"/>
    </row>
    <row r="95" spans="1:15" ht="15">
      <c r="A95" s="221"/>
      <c r="B95" s="217"/>
      <c r="C95" s="217"/>
      <c r="D95" s="217"/>
      <c r="E95" s="217"/>
      <c r="F95" s="217"/>
      <c r="G95" s="218"/>
      <c r="I95" s="221"/>
      <c r="J95" s="217"/>
      <c r="K95" s="217"/>
      <c r="L95" s="217"/>
      <c r="M95" s="217"/>
      <c r="N95" s="217"/>
      <c r="O95" s="218"/>
    </row>
    <row r="96" spans="1:15" ht="15.75">
      <c r="A96" s="214" t="s">
        <v>129</v>
      </c>
      <c r="B96" s="217"/>
      <c r="C96" s="217"/>
      <c r="D96" s="217"/>
      <c r="E96" s="217"/>
      <c r="F96" s="228">
        <v>145945.7483506508</v>
      </c>
      <c r="G96" s="218"/>
      <c r="I96" s="221"/>
      <c r="J96" s="217"/>
      <c r="K96" s="217"/>
      <c r="L96" s="217"/>
      <c r="M96" s="217"/>
      <c r="N96" s="217"/>
      <c r="O96" s="218"/>
    </row>
    <row r="97" spans="1:17" ht="15.75">
      <c r="A97" s="214" t="s">
        <v>150</v>
      </c>
      <c r="B97" s="217"/>
      <c r="C97" s="217"/>
      <c r="D97" s="217"/>
      <c r="E97" s="217"/>
      <c r="F97" s="276">
        <f>-F96*50%</f>
        <v>-72972.8741753254</v>
      </c>
      <c r="G97" s="218"/>
      <c r="I97" s="221"/>
      <c r="J97" s="217"/>
      <c r="K97" s="217"/>
      <c r="L97" s="217"/>
      <c r="M97" s="217"/>
      <c r="N97" s="217"/>
      <c r="O97" s="218"/>
    </row>
    <row r="98" spans="1:17" ht="15.75">
      <c r="A98" s="280" t="s">
        <v>153</v>
      </c>
      <c r="B98" s="281"/>
      <c r="C98" s="281"/>
      <c r="D98" s="281"/>
      <c r="E98" s="281"/>
      <c r="F98" s="277">
        <f>SUM(F96:F97)</f>
        <v>72972.8741753254</v>
      </c>
      <c r="G98" s="218"/>
      <c r="I98" s="221"/>
      <c r="J98" s="217"/>
      <c r="K98" s="217"/>
      <c r="L98" s="217"/>
      <c r="M98" s="217"/>
      <c r="N98" s="217"/>
      <c r="O98" s="218"/>
    </row>
    <row r="99" spans="1:17" ht="15">
      <c r="A99" s="281"/>
      <c r="B99" s="281"/>
      <c r="C99" s="281"/>
      <c r="D99" s="281"/>
      <c r="E99" s="281"/>
      <c r="F99" s="281"/>
      <c r="G99" s="218"/>
      <c r="I99" s="221"/>
      <c r="J99" s="217"/>
      <c r="K99" s="217"/>
      <c r="L99" s="217"/>
      <c r="M99" s="217"/>
      <c r="N99" s="217"/>
      <c r="O99" s="218"/>
    </row>
    <row r="100" spans="1:17" ht="15">
      <c r="A100" s="221" t="s">
        <v>117</v>
      </c>
      <c r="B100" s="217"/>
      <c r="C100" s="217"/>
      <c r="D100" s="217"/>
      <c r="E100" s="217"/>
      <c r="F100" s="256">
        <f>F98-F94</f>
        <v>-151173.1058246746</v>
      </c>
      <c r="G100" s="218"/>
      <c r="I100" s="221"/>
      <c r="J100" s="217"/>
      <c r="K100" s="217"/>
      <c r="L100" s="217"/>
      <c r="M100" s="217"/>
      <c r="N100" s="217"/>
      <c r="O100" s="218"/>
    </row>
    <row r="101" spans="1:17" ht="15.75">
      <c r="A101" s="214" t="s">
        <v>151</v>
      </c>
      <c r="B101" s="217"/>
      <c r="C101" s="253">
        <v>35317</v>
      </c>
      <c r="D101" s="217"/>
      <c r="E101" s="254">
        <f>+O119</f>
        <v>-0.77500000000000002</v>
      </c>
      <c r="F101" s="228">
        <f>E101*C101</f>
        <v>-27370.674999999999</v>
      </c>
      <c r="G101" s="218"/>
      <c r="I101" s="214" t="s">
        <v>116</v>
      </c>
      <c r="J101" s="217"/>
      <c r="K101" s="217"/>
      <c r="L101" s="217"/>
      <c r="M101" s="217"/>
      <c r="N101" s="228">
        <v>223798</v>
      </c>
      <c r="O101" s="218"/>
      <c r="Q101" s="257"/>
    </row>
    <row r="102" spans="1:17" ht="15.75">
      <c r="A102" s="214" t="s">
        <v>148</v>
      </c>
      <c r="B102" s="217"/>
      <c r="C102" s="217"/>
      <c r="D102" s="217"/>
      <c r="E102" s="217"/>
      <c r="F102" s="278">
        <v>4826.2600380142394</v>
      </c>
      <c r="G102" s="218"/>
      <c r="I102" s="221"/>
      <c r="J102" s="217"/>
      <c r="K102" s="217"/>
      <c r="L102" s="217"/>
      <c r="M102" s="217"/>
      <c r="N102" s="228"/>
      <c r="O102" s="218"/>
    </row>
    <row r="103" spans="1:17" ht="15">
      <c r="A103" s="281" t="s">
        <v>154</v>
      </c>
      <c r="B103" s="281"/>
      <c r="C103" s="281"/>
      <c r="D103" s="281"/>
      <c r="E103" s="281"/>
      <c r="F103" s="277">
        <f>SUM(F100:F102)</f>
        <v>-173717.52078666035</v>
      </c>
      <c r="G103" s="218"/>
      <c r="I103" s="221" t="s">
        <v>117</v>
      </c>
      <c r="J103" s="217"/>
      <c r="K103" s="217"/>
      <c r="L103" s="217"/>
      <c r="M103" s="217"/>
      <c r="N103" s="226">
        <f>N101-N94</f>
        <v>-229295.49</v>
      </c>
      <c r="O103" s="218"/>
    </row>
    <row r="104" spans="1:17" ht="17.25">
      <c r="A104" s="281"/>
      <c r="B104" s="281"/>
      <c r="C104" s="281"/>
      <c r="D104" s="281"/>
      <c r="E104" s="281"/>
      <c r="F104" s="281"/>
      <c r="G104" s="218"/>
      <c r="I104" s="221"/>
      <c r="J104" s="217"/>
      <c r="K104" s="233"/>
      <c r="L104" s="217"/>
      <c r="M104" s="217"/>
      <c r="N104" s="234"/>
      <c r="O104" s="218"/>
    </row>
    <row r="105" spans="1:17" ht="15">
      <c r="A105" s="221" t="s">
        <v>118</v>
      </c>
      <c r="B105" s="217"/>
      <c r="C105" s="217"/>
      <c r="D105" s="217"/>
      <c r="E105" s="217"/>
      <c r="F105" s="226">
        <v>212715</v>
      </c>
      <c r="G105" s="218"/>
      <c r="I105" s="221" t="s">
        <v>118</v>
      </c>
      <c r="J105" s="217"/>
      <c r="K105" s="217"/>
      <c r="L105" s="217"/>
      <c r="M105" s="217"/>
      <c r="N105" s="226">
        <f>+K94</f>
        <v>209147</v>
      </c>
      <c r="O105" s="218"/>
    </row>
    <row r="106" spans="1:17" ht="15">
      <c r="A106" s="221"/>
      <c r="B106" s="217"/>
      <c r="C106" s="217"/>
      <c r="D106" s="217"/>
      <c r="E106" s="217"/>
      <c r="F106" s="217"/>
      <c r="G106" s="218"/>
      <c r="I106" s="221"/>
      <c r="J106" s="217"/>
      <c r="K106" s="217"/>
      <c r="L106" s="217"/>
      <c r="M106" s="217"/>
      <c r="N106" s="217"/>
      <c r="O106" s="218"/>
    </row>
    <row r="107" spans="1:17" ht="15">
      <c r="A107" s="221" t="s">
        <v>119</v>
      </c>
      <c r="B107" s="217"/>
      <c r="C107" s="217"/>
      <c r="D107" s="217"/>
      <c r="E107" s="217"/>
      <c r="F107" s="235"/>
      <c r="G107" s="236">
        <f>F103/F105</f>
        <v>-0.81666793966885431</v>
      </c>
      <c r="I107" s="221" t="s">
        <v>119</v>
      </c>
      <c r="J107" s="217"/>
      <c r="K107" s="217"/>
      <c r="L107" s="217"/>
      <c r="M107" s="217"/>
      <c r="N107" s="235"/>
      <c r="O107" s="236">
        <f>ROUND(N103/N105,2)</f>
        <v>-1.1000000000000001</v>
      </c>
    </row>
    <row r="108" spans="1:17" ht="15">
      <c r="A108" s="221"/>
      <c r="B108" s="217"/>
      <c r="C108" s="217"/>
      <c r="D108" s="217"/>
      <c r="E108" s="217"/>
      <c r="F108" s="217"/>
      <c r="G108" s="236"/>
      <c r="I108" s="221"/>
      <c r="J108" s="217"/>
      <c r="K108" s="217"/>
      <c r="L108" s="217"/>
      <c r="M108" s="217"/>
      <c r="N108" s="217"/>
      <c r="O108" s="236"/>
    </row>
    <row r="109" spans="1:17" ht="15">
      <c r="A109" s="221"/>
      <c r="B109" s="217"/>
      <c r="C109" s="217"/>
      <c r="D109" s="217"/>
      <c r="E109" s="217"/>
      <c r="F109" s="217"/>
      <c r="G109" s="236"/>
      <c r="I109" s="221"/>
      <c r="J109" s="217"/>
      <c r="K109" s="217"/>
      <c r="L109" s="217"/>
      <c r="M109" s="217"/>
      <c r="N109" s="217"/>
      <c r="O109" s="236"/>
    </row>
    <row r="110" spans="1:17" ht="15.75">
      <c r="A110" s="237" t="s">
        <v>130</v>
      </c>
      <c r="B110" s="215"/>
      <c r="C110" s="217"/>
      <c r="D110" s="217"/>
      <c r="E110" s="217"/>
      <c r="F110" s="238">
        <f>F96</f>
        <v>145945.7483506508</v>
      </c>
      <c r="G110" s="236"/>
      <c r="I110" s="237" t="s">
        <v>120</v>
      </c>
      <c r="J110" s="215"/>
      <c r="K110" s="217"/>
      <c r="L110" s="217"/>
      <c r="M110" s="217"/>
      <c r="N110" s="238">
        <v>85285</v>
      </c>
      <c r="O110" s="236"/>
    </row>
    <row r="111" spans="1:17" ht="17.25">
      <c r="A111" s="214" t="s">
        <v>150</v>
      </c>
      <c r="B111" s="281"/>
      <c r="C111" s="281"/>
      <c r="D111" s="281"/>
      <c r="E111" s="281"/>
      <c r="F111" s="279">
        <f>F110*50%</f>
        <v>72972.8741753254</v>
      </c>
      <c r="G111" s="236"/>
      <c r="I111" s="221" t="s">
        <v>118</v>
      </c>
      <c r="J111" s="217"/>
      <c r="K111" s="217"/>
      <c r="L111" s="217"/>
      <c r="M111" s="217"/>
      <c r="N111" s="239">
        <v>105335</v>
      </c>
      <c r="O111" s="236"/>
    </row>
    <row r="112" spans="1:17" ht="17.25">
      <c r="A112" s="281" t="s">
        <v>152</v>
      </c>
      <c r="B112" s="281"/>
      <c r="C112" s="281"/>
      <c r="D112" s="281"/>
      <c r="E112" s="281"/>
      <c r="F112" s="277">
        <f>F110-F111</f>
        <v>72972.8741753254</v>
      </c>
      <c r="G112" s="236"/>
      <c r="I112" s="221" t="s">
        <v>121</v>
      </c>
      <c r="J112" s="217"/>
      <c r="K112" s="217"/>
      <c r="L112" s="217"/>
      <c r="M112" s="217"/>
      <c r="N112" s="217"/>
      <c r="O112" s="240">
        <f>ROUND(+N110/N111,2)</f>
        <v>0.81</v>
      </c>
    </row>
    <row r="113" spans="1:15" ht="17.25">
      <c r="A113" s="221" t="s">
        <v>118</v>
      </c>
      <c r="B113" s="217"/>
      <c r="C113" s="217"/>
      <c r="D113" s="217"/>
      <c r="E113" s="217"/>
      <c r="F113" s="239">
        <f>+F105</f>
        <v>212715</v>
      </c>
      <c r="G113" s="236"/>
      <c r="I113" s="214" t="s">
        <v>122</v>
      </c>
      <c r="J113" s="215"/>
      <c r="K113" s="217"/>
      <c r="L113" s="217"/>
      <c r="M113" s="217"/>
      <c r="N113" s="217"/>
      <c r="O113" s="241">
        <f>SUM(O107:O112)</f>
        <v>-0.29000000000000004</v>
      </c>
    </row>
    <row r="114" spans="1:15" ht="17.25">
      <c r="A114" s="221" t="s">
        <v>121</v>
      </c>
      <c r="B114" s="217"/>
      <c r="C114" s="217"/>
      <c r="D114" s="217"/>
      <c r="E114" s="217"/>
      <c r="F114" s="217"/>
      <c r="G114" s="240">
        <f>ROUND(+F110/F113,2)</f>
        <v>0.69</v>
      </c>
      <c r="I114" s="214"/>
      <c r="J114" s="215"/>
      <c r="K114" s="217"/>
      <c r="L114" s="217"/>
      <c r="M114" s="217"/>
      <c r="N114" s="217"/>
      <c r="O114" s="241"/>
    </row>
    <row r="115" spans="1:15" ht="15.75">
      <c r="A115" s="214" t="s">
        <v>122</v>
      </c>
      <c r="B115" s="215"/>
      <c r="C115" s="217"/>
      <c r="D115" s="217"/>
      <c r="E115" s="217"/>
      <c r="F115" s="217"/>
      <c r="G115" s="241">
        <f>SUM(G107:G114)</f>
        <v>-0.12666793966885437</v>
      </c>
      <c r="I115" s="229" t="s">
        <v>123</v>
      </c>
      <c r="J115" s="215"/>
      <c r="K115" s="217"/>
      <c r="L115" s="217"/>
      <c r="M115" s="243">
        <f>+K94/12*0.5</f>
        <v>8714.4583333333339</v>
      </c>
      <c r="N115" s="217"/>
      <c r="O115" s="244">
        <f>ROUND(-M115/K94*2,2)</f>
        <v>-0.08</v>
      </c>
    </row>
    <row r="116" spans="1:15" ht="15.75">
      <c r="A116" s="214"/>
      <c r="B116" s="215"/>
      <c r="C116" s="217"/>
      <c r="D116" s="217"/>
      <c r="E116" s="217"/>
      <c r="F116" s="217"/>
      <c r="G116" s="241"/>
      <c r="I116" s="214"/>
      <c r="J116" s="215"/>
      <c r="K116" s="217"/>
      <c r="L116" s="217"/>
      <c r="M116" s="217"/>
      <c r="N116" s="217"/>
      <c r="O116" s="241"/>
    </row>
    <row r="117" spans="1:15" ht="20.25">
      <c r="A117" s="229"/>
      <c r="B117" s="217"/>
      <c r="C117" s="217"/>
      <c r="D117" s="217"/>
      <c r="E117" s="245"/>
      <c r="F117" s="217"/>
      <c r="G117" s="246"/>
      <c r="I117" s="229" t="s">
        <v>124</v>
      </c>
      <c r="J117" s="217"/>
      <c r="K117" s="217"/>
      <c r="L117" s="217"/>
      <c r="M117" s="245">
        <v>0.5</v>
      </c>
      <c r="N117" s="217"/>
      <c r="O117" s="246">
        <f>-M117*O112</f>
        <v>-0.40500000000000003</v>
      </c>
    </row>
    <row r="118" spans="1:15" ht="20.25">
      <c r="A118" s="229"/>
      <c r="B118" s="217"/>
      <c r="C118" s="217"/>
      <c r="D118" s="217"/>
      <c r="E118" s="248"/>
      <c r="F118" s="217"/>
      <c r="G118" s="246"/>
      <c r="I118" s="229"/>
      <c r="J118" s="217"/>
      <c r="K118" s="217"/>
      <c r="L118" s="217"/>
      <c r="M118" s="248"/>
      <c r="N118" s="217"/>
      <c r="O118" s="246"/>
    </row>
    <row r="119" spans="1:15" ht="18">
      <c r="A119" s="214"/>
      <c r="B119" s="217"/>
      <c r="C119" s="217"/>
      <c r="D119" s="217"/>
      <c r="E119" s="248"/>
      <c r="F119" s="217"/>
      <c r="G119" s="249"/>
      <c r="I119" s="214" t="s">
        <v>146</v>
      </c>
      <c r="J119" s="217"/>
      <c r="K119" s="217"/>
      <c r="L119" s="217"/>
      <c r="M119" s="248"/>
      <c r="N119" s="217"/>
      <c r="O119" s="249">
        <f>+O113+O117+O115</f>
        <v>-0.77500000000000002</v>
      </c>
    </row>
    <row r="120" spans="1:15" ht="13.5" thickBot="1">
      <c r="A120" s="250"/>
      <c r="B120" s="251"/>
      <c r="C120" s="251"/>
      <c r="D120" s="251"/>
      <c r="E120" s="251"/>
      <c r="F120" s="251"/>
      <c r="G120" s="252"/>
      <c r="I120" s="250"/>
      <c r="J120" s="251"/>
      <c r="K120" s="251"/>
      <c r="L120" s="251"/>
      <c r="M120" s="251"/>
      <c r="N120" s="251"/>
      <c r="O120" s="25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8C6B-3DC7-4123-BE89-81456714B472}">
  <sheetPr>
    <tabColor rgb="FF00B0F0"/>
  </sheetPr>
  <dimension ref="A1:M39"/>
  <sheetViews>
    <sheetView topLeftCell="A2" workbookViewId="0">
      <selection activeCell="A26" sqref="A26"/>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30</v>
      </c>
      <c r="B1" s="21"/>
      <c r="C1" s="12"/>
      <c r="D1" s="12"/>
    </row>
    <row r="2" spans="1:5" ht="15.75">
      <c r="A2" s="23" t="s">
        <v>326</v>
      </c>
      <c r="B2" s="23"/>
      <c r="C2" s="24"/>
      <c r="D2" s="101"/>
    </row>
    <row r="3" spans="1:5" ht="15">
      <c r="A3" s="26"/>
      <c r="B3" s="26"/>
      <c r="C3" s="24"/>
      <c r="D3" s="104" t="s">
        <v>31</v>
      </c>
      <c r="E3" s="103"/>
    </row>
    <row r="4" spans="1:5" ht="15">
      <c r="A4" s="26"/>
      <c r="B4" s="26"/>
      <c r="C4" s="24"/>
      <c r="D4" s="104" t="s">
        <v>15</v>
      </c>
      <c r="E4" s="103"/>
    </row>
    <row r="5" spans="1:5" ht="17.25">
      <c r="A5" s="12"/>
      <c r="B5" s="12"/>
      <c r="C5" s="24"/>
      <c r="D5" s="105" t="s">
        <v>102</v>
      </c>
      <c r="E5" s="103"/>
    </row>
    <row r="6" spans="1:5" ht="15">
      <c r="A6" s="27" t="s">
        <v>18</v>
      </c>
      <c r="B6" s="27"/>
      <c r="C6" s="24"/>
      <c r="D6" s="106"/>
      <c r="E6" s="103"/>
    </row>
    <row r="7" spans="1:5" ht="17.25">
      <c r="A7" s="12" t="s">
        <v>19</v>
      </c>
      <c r="B7" s="12"/>
      <c r="C7" s="24"/>
      <c r="D7" s="107">
        <f>+'Customer Counts - Enspire'!I38</f>
        <v>93927.833333333343</v>
      </c>
      <c r="E7" s="103"/>
    </row>
    <row r="8" spans="1:5" ht="15">
      <c r="A8" s="12"/>
      <c r="B8" s="12"/>
      <c r="C8" s="24"/>
      <c r="D8" s="108"/>
      <c r="E8" s="103"/>
    </row>
    <row r="9" spans="1:5" ht="15">
      <c r="A9" s="12"/>
      <c r="B9" s="12"/>
      <c r="C9" s="24"/>
      <c r="D9" s="108"/>
      <c r="E9" s="103"/>
    </row>
    <row r="10" spans="1:5" ht="15">
      <c r="A10" s="27" t="s">
        <v>20</v>
      </c>
      <c r="B10" s="27"/>
      <c r="C10" s="24"/>
      <c r="D10" s="108"/>
      <c r="E10" s="103"/>
    </row>
    <row r="11" spans="1:5" ht="17.25">
      <c r="A11" s="192" t="s">
        <v>131</v>
      </c>
      <c r="B11" s="28"/>
      <c r="C11" s="24"/>
      <c r="D11" s="109">
        <f>SUM('2022-2023 Recy. Tons &amp; Revenue'!D47:D58)*2</f>
        <v>49518.977811530138</v>
      </c>
      <c r="E11" s="103"/>
    </row>
    <row r="12" spans="1:5" ht="15">
      <c r="A12" s="29"/>
      <c r="B12" s="29"/>
      <c r="C12" s="24"/>
      <c r="D12" s="108"/>
      <c r="E12" s="103"/>
    </row>
    <row r="13" spans="1:5" ht="15">
      <c r="A13" s="29"/>
      <c r="B13" s="29"/>
      <c r="C13" s="24"/>
      <c r="D13" s="108"/>
      <c r="E13" s="103"/>
    </row>
    <row r="14" spans="1:5" ht="21">
      <c r="A14" s="30" t="s">
        <v>21</v>
      </c>
      <c r="B14" s="30"/>
      <c r="C14" s="24"/>
      <c r="D14" s="106"/>
      <c r="E14" s="103"/>
    </row>
    <row r="15" spans="1:5" ht="32.25">
      <c r="A15" s="31" t="s">
        <v>22</v>
      </c>
      <c r="B15" s="31"/>
      <c r="C15" s="32"/>
      <c r="D15" s="110">
        <f>ROUND(SUM('2022-2023 Recy. Tons &amp; Revenue'!H47:H58)*2,-3)</f>
        <v>1861000</v>
      </c>
      <c r="E15" s="103"/>
    </row>
    <row r="16" spans="1:5" ht="15">
      <c r="A16" s="31"/>
      <c r="B16" s="31"/>
      <c r="C16" s="32"/>
      <c r="D16" s="111"/>
      <c r="E16" s="103"/>
    </row>
    <row r="17" spans="1:13" ht="21">
      <c r="A17" s="30" t="s">
        <v>23</v>
      </c>
      <c r="B17" s="31"/>
      <c r="C17" s="32"/>
      <c r="D17" s="111"/>
      <c r="E17" s="103"/>
    </row>
    <row r="18" spans="1:13" ht="15">
      <c r="A18" s="31" t="s">
        <v>24</v>
      </c>
      <c r="B18" s="31"/>
      <c r="C18" s="44">
        <v>0.5</v>
      </c>
      <c r="D18" s="112">
        <f>ROUND(+D15*$C18,-2)</f>
        <v>930500</v>
      </c>
      <c r="E18" s="103"/>
    </row>
    <row r="19" spans="1:13" ht="22.5" customHeight="1">
      <c r="A19" s="34" t="s">
        <v>254</v>
      </c>
      <c r="B19" s="31"/>
      <c r="C19" s="44"/>
      <c r="D19" s="112"/>
      <c r="E19" s="103"/>
    </row>
    <row r="20" spans="1:13" ht="17.25">
      <c r="A20" s="31" t="s">
        <v>94</v>
      </c>
      <c r="B20" s="31"/>
      <c r="C20" s="44"/>
      <c r="D20" s="114">
        <f>ROUND(-D32*0.05,-2)</f>
        <v>0</v>
      </c>
      <c r="E20" s="103"/>
      <c r="F20" s="288"/>
      <c r="G20" s="288"/>
      <c r="H20" s="288"/>
      <c r="I20" s="288"/>
      <c r="J20" s="288"/>
      <c r="K20" s="288"/>
      <c r="L20" s="288"/>
      <c r="M20" s="288"/>
    </row>
    <row r="21" spans="1:13" ht="17.25">
      <c r="A21" s="262" t="s">
        <v>132</v>
      </c>
      <c r="B21" s="31"/>
      <c r="C21" s="44"/>
      <c r="D21" s="115">
        <f>SUM(D18:D20)</f>
        <v>930500</v>
      </c>
      <c r="E21" s="103"/>
    </row>
    <row r="22" spans="1:13" ht="15">
      <c r="A22" s="12"/>
      <c r="B22" s="12"/>
      <c r="C22" s="24"/>
      <c r="D22" s="124"/>
      <c r="E22" s="103"/>
    </row>
    <row r="23" spans="1:13" ht="18.75">
      <c r="A23" s="33" t="s">
        <v>25</v>
      </c>
      <c r="B23" s="33"/>
      <c r="C23" s="24"/>
      <c r="D23" s="106"/>
      <c r="E23" s="103"/>
    </row>
    <row r="24" spans="1:13" ht="17.25">
      <c r="A24" s="34"/>
      <c r="B24" s="34"/>
      <c r="C24" s="35"/>
      <c r="D24" s="125"/>
      <c r="E24" s="103"/>
    </row>
    <row r="25" spans="1:13" ht="17.25">
      <c r="A25" s="36" t="s">
        <v>26</v>
      </c>
      <c r="B25" s="36"/>
      <c r="C25" s="37"/>
      <c r="D25" s="125"/>
      <c r="E25" s="103"/>
    </row>
    <row r="26" spans="1:13" ht="45">
      <c r="A26" s="41" t="s">
        <v>332</v>
      </c>
      <c r="B26" s="394"/>
      <c r="C26" s="395"/>
      <c r="D26" s="263"/>
      <c r="E26" s="103"/>
      <c r="F26" s="11"/>
      <c r="G26" s="209"/>
    </row>
    <row r="27" spans="1:13" ht="15">
      <c r="A27" s="41"/>
      <c r="B27" s="394"/>
      <c r="C27" s="396"/>
      <c r="D27" s="263"/>
      <c r="E27" s="103"/>
    </row>
    <row r="28" spans="1:13" ht="15">
      <c r="A28" s="41"/>
      <c r="B28" s="394"/>
      <c r="C28" s="397"/>
      <c r="D28" s="263"/>
      <c r="E28" s="103"/>
    </row>
    <row r="29" spans="1:13" ht="15">
      <c r="A29" s="41"/>
      <c r="B29" s="394"/>
      <c r="C29" s="398"/>
      <c r="D29" s="263"/>
      <c r="E29" s="103"/>
    </row>
    <row r="30" spans="1:13" ht="15">
      <c r="A30" s="41"/>
      <c r="B30" s="394"/>
      <c r="C30" s="399"/>
      <c r="D30" s="263"/>
      <c r="E30" s="103"/>
    </row>
    <row r="31" spans="1:13" ht="17.25">
      <c r="A31" s="41"/>
      <c r="B31" s="394"/>
      <c r="C31" s="399"/>
      <c r="D31" s="264"/>
      <c r="E31" s="103"/>
    </row>
    <row r="32" spans="1:13" ht="17.25">
      <c r="A32" s="34" t="s">
        <v>27</v>
      </c>
      <c r="B32" s="34"/>
      <c r="C32" s="32"/>
      <c r="D32" s="120">
        <f>SUM(D26:D31)</f>
        <v>0</v>
      </c>
      <c r="E32" s="103"/>
    </row>
    <row r="33" spans="1:5" ht="15">
      <c r="A33" s="34"/>
      <c r="B33" s="34"/>
      <c r="C33" s="42"/>
      <c r="D33" s="126"/>
      <c r="E33" s="103"/>
    </row>
    <row r="34" spans="1:5" ht="18" hidden="1" customHeight="1">
      <c r="A34" s="190" t="s">
        <v>107</v>
      </c>
      <c r="B34" s="26"/>
      <c r="C34" s="43"/>
      <c r="D34" s="207" t="e">
        <f>+#REF!-D21</f>
        <v>#REF!</v>
      </c>
      <c r="E34" s="207"/>
    </row>
    <row r="35" spans="1:5" ht="15">
      <c r="A35" s="26"/>
      <c r="B35" s="26"/>
      <c r="C35" s="43"/>
      <c r="D35" s="127"/>
      <c r="E35" s="117"/>
    </row>
    <row r="36" spans="1:5" ht="15">
      <c r="A36" s="34" t="s">
        <v>28</v>
      </c>
      <c r="B36" s="34"/>
      <c r="C36" s="43"/>
      <c r="D36" s="122">
        <f>+D11*2000/D7/24</f>
        <v>43.933532136844541</v>
      </c>
      <c r="E36" s="103"/>
    </row>
    <row r="37" spans="1:5" ht="15">
      <c r="C37" s="43"/>
      <c r="D37" s="122"/>
      <c r="E37" s="103"/>
    </row>
    <row r="38" spans="1:5" ht="15">
      <c r="A38" s="34" t="s">
        <v>29</v>
      </c>
      <c r="B38" s="34"/>
      <c r="C38" s="43"/>
      <c r="D38" s="123">
        <f>+D15/D11</f>
        <v>37.581551200087162</v>
      </c>
      <c r="E38" s="103"/>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A773-3BAA-4216-B72C-A2653648E258}">
  <sheetPr>
    <tabColor rgb="FF00B0F0"/>
  </sheetPr>
  <dimension ref="A1:J42"/>
  <sheetViews>
    <sheetView topLeftCell="A5" workbookViewId="0">
      <selection activeCell="A27" sqref="A27"/>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28515625" bestFit="1" customWidth="1"/>
    <col min="10" max="10" width="10.140625" bestFit="1" customWidth="1"/>
  </cols>
  <sheetData>
    <row r="1" spans="1:10" ht="23.25">
      <c r="A1" s="21" t="s">
        <v>12</v>
      </c>
      <c r="B1" s="21"/>
      <c r="C1" s="12"/>
      <c r="D1" s="12"/>
      <c r="E1" s="22"/>
    </row>
    <row r="2" spans="1:10" ht="15.75">
      <c r="A2" s="23" t="s">
        <v>246</v>
      </c>
      <c r="B2" s="23"/>
      <c r="C2" s="24"/>
      <c r="D2" s="25"/>
      <c r="E2" s="22"/>
    </row>
    <row r="3" spans="1:10" ht="15.75">
      <c r="A3" s="23"/>
      <c r="B3" s="23"/>
      <c r="C3" s="24"/>
      <c r="D3" s="101"/>
      <c r="E3" s="102"/>
    </row>
    <row r="4" spans="1:10" ht="15">
      <c r="A4" s="188"/>
      <c r="B4" s="188"/>
      <c r="C4" s="189"/>
      <c r="D4" s="536" t="s">
        <v>102</v>
      </c>
      <c r="E4" s="536"/>
    </row>
    <row r="5" spans="1:10" ht="15">
      <c r="A5" s="190"/>
      <c r="B5" s="190"/>
      <c r="C5" s="189"/>
      <c r="D5" s="104" t="s">
        <v>13</v>
      </c>
      <c r="E5" s="102"/>
      <c r="J5" s="501"/>
    </row>
    <row r="6" spans="1:10" ht="17.25">
      <c r="A6" s="204"/>
      <c r="B6" s="204"/>
      <c r="C6" s="189"/>
      <c r="D6" s="105" t="s">
        <v>15</v>
      </c>
      <c r="E6" s="102"/>
      <c r="J6" s="501"/>
    </row>
    <row r="7" spans="1:10" ht="15">
      <c r="A7" s="191" t="s">
        <v>18</v>
      </c>
      <c r="B7" s="191"/>
      <c r="C7" s="189"/>
      <c r="D7" s="106"/>
      <c r="E7" s="102"/>
      <c r="J7" s="501"/>
    </row>
    <row r="8" spans="1:10" ht="17.25">
      <c r="A8" s="204" t="s">
        <v>101</v>
      </c>
      <c r="B8" s="204"/>
      <c r="C8" s="189"/>
      <c r="D8" s="107">
        <f>+'Customer Counts - Enspire'!I36+'Customer Counts - Enspire'!I37</f>
        <v>40291.541666666672</v>
      </c>
      <c r="E8" s="102"/>
      <c r="J8" s="501"/>
    </row>
    <row r="9" spans="1:10" ht="15">
      <c r="A9" s="204"/>
      <c r="B9" s="204"/>
      <c r="C9" s="189"/>
      <c r="D9" s="108"/>
      <c r="E9" s="102"/>
      <c r="J9" s="501"/>
    </row>
    <row r="10" spans="1:10" ht="15">
      <c r="A10" s="204"/>
      <c r="B10" s="204"/>
      <c r="C10" s="189"/>
      <c r="D10" s="108"/>
      <c r="E10" s="102"/>
      <c r="J10" s="501"/>
    </row>
    <row r="11" spans="1:10" ht="15">
      <c r="A11" s="191" t="s">
        <v>20</v>
      </c>
      <c r="B11" s="191"/>
      <c r="C11" s="189"/>
      <c r="D11" s="108"/>
      <c r="E11" s="102"/>
      <c r="J11" s="501"/>
    </row>
    <row r="12" spans="1:10" ht="17.25">
      <c r="A12" s="192" t="s">
        <v>131</v>
      </c>
      <c r="B12" s="192"/>
      <c r="C12" s="189"/>
      <c r="D12" s="109">
        <f>SUM('2022-2023 Recy. Tons &amp; Revenue'!C47:C58)*2</f>
        <v>23185.754970424936</v>
      </c>
      <c r="E12" s="102"/>
      <c r="J12" s="501"/>
    </row>
    <row r="13" spans="1:10" ht="15">
      <c r="A13" s="205"/>
      <c r="B13" s="205"/>
      <c r="C13" s="189"/>
      <c r="D13" s="108"/>
      <c r="E13" s="102"/>
      <c r="J13" s="501"/>
    </row>
    <row r="14" spans="1:10" ht="15">
      <c r="A14" s="205"/>
      <c r="B14" s="205"/>
      <c r="C14" s="189"/>
      <c r="D14" s="108"/>
      <c r="E14" s="102"/>
      <c r="J14" s="501"/>
    </row>
    <row r="15" spans="1:10" ht="15">
      <c r="A15" s="191" t="s">
        <v>21</v>
      </c>
      <c r="B15" s="191"/>
      <c r="C15" s="189"/>
      <c r="D15" s="106"/>
      <c r="E15" s="102"/>
    </row>
    <row r="16" spans="1:10" ht="32.25">
      <c r="A16" s="193" t="s">
        <v>22</v>
      </c>
      <c r="B16" s="193"/>
      <c r="C16" s="194"/>
      <c r="D16" s="110">
        <f>ROUND(SUM('2022-2023 Recy. Tons &amp; Revenue'!G47:G58)*2,-3)</f>
        <v>883000</v>
      </c>
      <c r="E16" s="102"/>
      <c r="G16" s="258"/>
    </row>
    <row r="17" spans="1:7" ht="15">
      <c r="A17" s="193"/>
      <c r="B17" s="193"/>
      <c r="C17" s="194"/>
      <c r="D17" s="111"/>
      <c r="E17" s="102"/>
    </row>
    <row r="18" spans="1:7" ht="15">
      <c r="A18" s="191" t="s">
        <v>23</v>
      </c>
      <c r="B18" s="193"/>
      <c r="C18" s="194"/>
      <c r="D18" s="111"/>
      <c r="E18" s="102"/>
    </row>
    <row r="19" spans="1:7" ht="15">
      <c r="A19" s="193" t="s">
        <v>24</v>
      </c>
      <c r="B19" s="193"/>
      <c r="C19" s="195">
        <v>0.5</v>
      </c>
      <c r="D19" s="112">
        <f>ROUND(+D16*$C19,-2)</f>
        <v>441500</v>
      </c>
      <c r="E19" s="113"/>
    </row>
    <row r="20" spans="1:7" ht="30">
      <c r="A20" s="34" t="s">
        <v>253</v>
      </c>
      <c r="B20" s="193"/>
      <c r="C20" s="195"/>
      <c r="D20" s="112"/>
      <c r="E20" s="113"/>
    </row>
    <row r="21" spans="1:7" ht="17.25">
      <c r="A21" s="193" t="s">
        <v>94</v>
      </c>
      <c r="B21" s="193"/>
      <c r="C21" s="195"/>
      <c r="D21" s="114">
        <f>ROUND(-D30*0.05,-2)</f>
        <v>0</v>
      </c>
      <c r="E21" s="113"/>
    </row>
    <row r="22" spans="1:7" ht="17.25">
      <c r="A22" s="262" t="s">
        <v>132</v>
      </c>
      <c r="B22" s="193"/>
      <c r="C22" s="195"/>
      <c r="D22" s="115">
        <f>SUM(D19:D21)</f>
        <v>441500</v>
      </c>
      <c r="E22" s="115"/>
    </row>
    <row r="23" spans="1:7" ht="17.25">
      <c r="A23" s="196"/>
      <c r="B23" s="196"/>
      <c r="C23" s="189"/>
      <c r="D23" s="116"/>
      <c r="E23" s="102"/>
    </row>
    <row r="24" spans="1:7" ht="15">
      <c r="A24" s="191" t="s">
        <v>25</v>
      </c>
      <c r="B24" s="191"/>
      <c r="C24" s="189"/>
      <c r="D24" s="106"/>
      <c r="E24" s="102"/>
    </row>
    <row r="25" spans="1:7" ht="15">
      <c r="A25" s="197"/>
      <c r="B25" s="197"/>
      <c r="C25" s="198"/>
      <c r="D25" s="104"/>
      <c r="E25" s="102"/>
    </row>
    <row r="26" spans="1:7" ht="15">
      <c r="A26" s="199" t="s">
        <v>26</v>
      </c>
      <c r="B26" s="199"/>
      <c r="C26" s="206"/>
      <c r="D26" s="118"/>
      <c r="E26" s="102"/>
    </row>
    <row r="27" spans="1:7" ht="45">
      <c r="A27" s="41" t="s">
        <v>332</v>
      </c>
      <c r="B27" s="41"/>
      <c r="C27" s="40"/>
      <c r="D27" s="371"/>
      <c r="E27" s="119"/>
      <c r="F27" s="11"/>
      <c r="G27" s="209"/>
    </row>
    <row r="28" spans="1:7" ht="15">
      <c r="A28" s="41"/>
      <c r="B28" s="41"/>
      <c r="C28" s="24"/>
      <c r="D28" s="371"/>
      <c r="E28" s="102"/>
    </row>
    <row r="29" spans="1:7" ht="17.25">
      <c r="A29" s="41"/>
      <c r="B29" s="41"/>
      <c r="C29" s="24"/>
      <c r="D29" s="372"/>
      <c r="E29" s="102"/>
    </row>
    <row r="30" spans="1:7" ht="15">
      <c r="A30" s="197" t="s">
        <v>27</v>
      </c>
      <c r="B30" s="197"/>
      <c r="C30" s="201"/>
      <c r="D30" s="118">
        <f>SUM(D27:D29)</f>
        <v>0</v>
      </c>
      <c r="E30" s="118"/>
    </row>
    <row r="31" spans="1:7" ht="15">
      <c r="A31" s="197"/>
      <c r="B31" s="197"/>
      <c r="C31" s="201"/>
      <c r="D31" s="103"/>
      <c r="E31" s="103"/>
    </row>
    <row r="32" spans="1:7" ht="17.25" hidden="1" customHeight="1">
      <c r="A32" s="190" t="s">
        <v>107</v>
      </c>
      <c r="B32" s="190"/>
      <c r="C32" s="202"/>
      <c r="D32" s="207" t="e">
        <f>+#REF!-D22</f>
        <v>#REF!</v>
      </c>
      <c r="E32" s="207"/>
    </row>
    <row r="33" spans="1:5" ht="15">
      <c r="A33" s="190"/>
      <c r="B33" s="190"/>
      <c r="C33" s="202"/>
      <c r="D33" s="121"/>
      <c r="E33" s="119"/>
    </row>
    <row r="34" spans="1:5" ht="15">
      <c r="A34" s="197" t="s">
        <v>28</v>
      </c>
      <c r="B34" s="197"/>
      <c r="C34" s="202"/>
      <c r="D34" s="122">
        <f>+D12*2000/D8/24</f>
        <v>47.9541404377158</v>
      </c>
      <c r="E34" s="102"/>
    </row>
    <row r="35" spans="1:5" ht="15">
      <c r="A35" s="103"/>
      <c r="B35" s="103"/>
      <c r="C35" s="202"/>
      <c r="D35" s="122"/>
      <c r="E35" s="102"/>
    </row>
    <row r="36" spans="1:5" ht="15">
      <c r="A36" s="197" t="s">
        <v>29</v>
      </c>
      <c r="B36" s="197"/>
      <c r="C36" s="202"/>
      <c r="D36" s="123">
        <f>+D16/D12</f>
        <v>38.083728613811743</v>
      </c>
      <c r="E36" s="102"/>
    </row>
    <row r="37" spans="1:5" ht="15">
      <c r="A37" s="190"/>
      <c r="B37" s="190"/>
      <c r="C37" s="202"/>
      <c r="D37" s="203"/>
      <c r="E37" s="102"/>
    </row>
    <row r="38" spans="1:5" ht="15">
      <c r="A38" s="200"/>
      <c r="B38" s="200"/>
      <c r="C38" s="194"/>
      <c r="D38" s="194"/>
      <c r="E38" s="102"/>
    </row>
    <row r="39" spans="1:5" ht="15">
      <c r="A39" s="103"/>
      <c r="B39" s="103"/>
      <c r="C39" s="103"/>
      <c r="D39" s="103"/>
      <c r="E39" s="103"/>
    </row>
    <row r="40" spans="1:5" ht="15">
      <c r="A40" s="103"/>
      <c r="B40" s="103"/>
      <c r="C40" s="103"/>
      <c r="D40" s="103"/>
      <c r="E40" s="103"/>
    </row>
    <row r="41" spans="1:5" ht="15">
      <c r="A41" s="103"/>
      <c r="B41" s="103"/>
      <c r="C41" s="103"/>
      <c r="D41" s="103"/>
      <c r="E41" s="103"/>
    </row>
    <row r="42" spans="1:5" ht="15">
      <c r="A42" s="103"/>
      <c r="B42" s="103"/>
      <c r="C42" s="103"/>
      <c r="D42" s="103"/>
      <c r="E42" s="103"/>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topLeftCell="A5" workbookViewId="0">
      <selection activeCell="F33" sqref="F33"/>
    </sheetView>
  </sheetViews>
  <sheetFormatPr defaultRowHeight="12.75"/>
  <cols>
    <col min="1" max="1" width="72.5703125" bestFit="1" customWidth="1"/>
    <col min="3" max="3" width="11.28515625" bestFit="1" customWidth="1"/>
    <col min="4" max="4" width="12.85546875" bestFit="1" customWidth="1"/>
    <col min="5" max="5" width="3.85546875" customWidth="1"/>
    <col min="6" max="6" width="12.85546875" bestFit="1" customWidth="1"/>
  </cols>
  <sheetData>
    <row r="1" spans="1:6" ht="23.25">
      <c r="A1" s="21" t="s">
        <v>30</v>
      </c>
      <c r="B1" s="21"/>
      <c r="C1" s="12"/>
      <c r="D1" s="12"/>
      <c r="F1" s="12"/>
    </row>
    <row r="2" spans="1:6" ht="15.75">
      <c r="A2" s="23" t="s">
        <v>246</v>
      </c>
      <c r="B2" s="23"/>
      <c r="C2" s="24"/>
      <c r="D2" s="101"/>
      <c r="F2" s="101"/>
    </row>
    <row r="3" spans="1:6" ht="15">
      <c r="A3" s="26"/>
      <c r="B3" s="26"/>
      <c r="C3" s="24"/>
      <c r="D3" s="104" t="s">
        <v>31</v>
      </c>
      <c r="E3" s="103"/>
      <c r="F3" s="104" t="s">
        <v>31</v>
      </c>
    </row>
    <row r="4" spans="1:6" ht="15">
      <c r="A4" s="26"/>
      <c r="B4" s="26"/>
      <c r="C4" s="24"/>
      <c r="D4" s="104" t="s">
        <v>15</v>
      </c>
      <c r="E4" s="103"/>
      <c r="F4" s="104" t="s">
        <v>15</v>
      </c>
    </row>
    <row r="5" spans="1:6" ht="17.25">
      <c r="A5" s="12"/>
      <c r="B5" s="12"/>
      <c r="C5" s="24"/>
      <c r="D5" s="105" t="s">
        <v>102</v>
      </c>
      <c r="E5" s="103"/>
      <c r="F5" s="105" t="s">
        <v>286</v>
      </c>
    </row>
    <row r="6" spans="1:6" ht="15">
      <c r="A6" s="27" t="s">
        <v>18</v>
      </c>
      <c r="B6" s="27"/>
      <c r="C6" s="24"/>
      <c r="D6" s="106"/>
      <c r="E6" s="103"/>
      <c r="F6" s="106"/>
    </row>
    <row r="7" spans="1:6" ht="17.25">
      <c r="A7" s="12" t="s">
        <v>19</v>
      </c>
      <c r="B7" s="12"/>
      <c r="C7" s="24"/>
      <c r="D7" s="107">
        <v>102549</v>
      </c>
      <c r="E7" s="103"/>
      <c r="F7" s="107">
        <f>'Customer Counts - Enspire'!I38</f>
        <v>93927.833333333343</v>
      </c>
    </row>
    <row r="8" spans="1:6" ht="15">
      <c r="A8" s="12"/>
      <c r="B8" s="12"/>
      <c r="C8" s="24"/>
      <c r="D8" s="108"/>
      <c r="E8" s="103"/>
      <c r="F8" s="108"/>
    </row>
    <row r="9" spans="1:6" ht="15">
      <c r="A9" s="12"/>
      <c r="B9" s="12"/>
      <c r="C9" s="24"/>
      <c r="D9" s="108"/>
      <c r="E9" s="103"/>
      <c r="F9" s="108"/>
    </row>
    <row r="10" spans="1:6" ht="15">
      <c r="A10" s="27" t="s">
        <v>20</v>
      </c>
      <c r="B10" s="27"/>
      <c r="C10" s="24"/>
      <c r="D10" s="108"/>
      <c r="E10" s="103"/>
      <c r="F10" s="108"/>
    </row>
    <row r="11" spans="1:6" ht="17.25">
      <c r="A11" s="192" t="s">
        <v>131</v>
      </c>
      <c r="B11" s="28"/>
      <c r="C11" s="24"/>
      <c r="D11" s="109">
        <v>59436</v>
      </c>
      <c r="E11" s="103"/>
      <c r="F11" s="109">
        <f>'2022-2023 Recy. Tons &amp; Revenue'!D59</f>
        <v>51736.222532366075</v>
      </c>
    </row>
    <row r="12" spans="1:6" ht="15">
      <c r="A12" s="29"/>
      <c r="B12" s="29"/>
      <c r="C12" s="24"/>
      <c r="D12" s="108"/>
      <c r="E12" s="103"/>
      <c r="F12" s="108"/>
    </row>
    <row r="13" spans="1:6" ht="15">
      <c r="A13" s="29"/>
      <c r="B13" s="29"/>
      <c r="C13" s="24"/>
      <c r="D13" s="108"/>
      <c r="E13" s="103"/>
      <c r="F13" s="108"/>
    </row>
    <row r="14" spans="1:6" ht="21">
      <c r="A14" s="30" t="s">
        <v>21</v>
      </c>
      <c r="B14" s="30"/>
      <c r="C14" s="24"/>
      <c r="D14" s="106"/>
      <c r="E14" s="103"/>
      <c r="F14" s="106"/>
    </row>
    <row r="15" spans="1:6" ht="32.25">
      <c r="A15" s="31" t="s">
        <v>22</v>
      </c>
      <c r="B15" s="31"/>
      <c r="C15" s="32"/>
      <c r="D15" s="110">
        <v>4004000</v>
      </c>
      <c r="E15" s="103"/>
      <c r="F15" s="110">
        <f>'2022-2023 Recy. Tons &amp; Revenue'!H59</f>
        <v>2750339.3348079189</v>
      </c>
    </row>
    <row r="16" spans="1:6" ht="15">
      <c r="A16" s="31"/>
      <c r="B16" s="31"/>
      <c r="C16" s="32"/>
      <c r="D16" s="111"/>
      <c r="E16" s="103"/>
      <c r="F16" s="111"/>
    </row>
    <row r="17" spans="1:13" ht="21">
      <c r="A17" s="30" t="s">
        <v>23</v>
      </c>
      <c r="B17" s="31"/>
      <c r="C17" s="32"/>
      <c r="D17" s="111"/>
      <c r="E17" s="103"/>
      <c r="F17" s="111"/>
    </row>
    <row r="18" spans="1:13" ht="15">
      <c r="A18" s="31" t="s">
        <v>24</v>
      </c>
      <c r="B18" s="31"/>
      <c r="C18" s="44">
        <v>0.5</v>
      </c>
      <c r="D18" s="112">
        <f>ROUND(+D15*$C18,-2)</f>
        <v>2002000</v>
      </c>
      <c r="E18" s="103"/>
      <c r="F18" s="112">
        <f>ROUND(+F15*$C18,-2)</f>
        <v>1375200</v>
      </c>
    </row>
    <row r="19" spans="1:13" ht="22.5" customHeight="1">
      <c r="A19" s="34" t="s">
        <v>331</v>
      </c>
      <c r="B19" s="31"/>
      <c r="C19" s="44"/>
      <c r="D19" s="112">
        <v>-65800</v>
      </c>
      <c r="E19" s="103"/>
      <c r="F19" s="112">
        <v>-65800</v>
      </c>
      <c r="H19" s="283"/>
    </row>
    <row r="20" spans="1:13" ht="17.25">
      <c r="A20" s="31" t="s">
        <v>94</v>
      </c>
      <c r="B20" s="31"/>
      <c r="C20" s="44"/>
      <c r="D20" s="114">
        <f>ROUND(-D32*0.05,-2)</f>
        <v>-92200</v>
      </c>
      <c r="E20" s="103"/>
      <c r="F20" s="114">
        <f>ROUND(-F32*0.05,-2)</f>
        <v>-68100</v>
      </c>
      <c r="G20" s="288"/>
      <c r="H20" s="288"/>
      <c r="I20" s="288"/>
      <c r="J20" s="288"/>
      <c r="K20" s="288"/>
      <c r="L20" s="288"/>
      <c r="M20" s="288"/>
    </row>
    <row r="21" spans="1:13" ht="17.25">
      <c r="A21" s="262" t="s">
        <v>132</v>
      </c>
      <c r="B21" s="31"/>
      <c r="C21" s="44"/>
      <c r="D21" s="115">
        <f>SUM(D18:D20)</f>
        <v>1844000</v>
      </c>
      <c r="E21" s="103"/>
      <c r="F21" s="115">
        <f>SUM(F18:F20)</f>
        <v>1241300</v>
      </c>
    </row>
    <row r="22" spans="1:13" ht="15">
      <c r="A22" s="12"/>
      <c r="B22" s="12"/>
      <c r="C22" s="24"/>
      <c r="D22" s="124"/>
      <c r="E22" s="103"/>
      <c r="F22" s="124"/>
    </row>
    <row r="23" spans="1:13" ht="18.75">
      <c r="A23" s="33" t="s">
        <v>25</v>
      </c>
      <c r="B23" s="33"/>
      <c r="C23" s="24"/>
      <c r="D23" s="106"/>
      <c r="E23" s="103"/>
      <c r="F23" s="106"/>
    </row>
    <row r="24" spans="1:13" ht="17.25">
      <c r="A24" s="34"/>
      <c r="B24" s="34"/>
      <c r="C24" s="35"/>
      <c r="D24" s="125"/>
      <c r="E24" s="103"/>
      <c r="F24" s="125"/>
    </row>
    <row r="25" spans="1:13" ht="17.25">
      <c r="A25" s="36" t="s">
        <v>26</v>
      </c>
      <c r="B25" s="36"/>
      <c r="C25" s="37"/>
      <c r="D25" s="125"/>
      <c r="E25" s="103"/>
      <c r="F25" s="125"/>
    </row>
    <row r="26" spans="1:13" ht="15">
      <c r="A26" s="41" t="s">
        <v>258</v>
      </c>
      <c r="B26" s="394"/>
      <c r="C26" s="395"/>
      <c r="D26" s="263">
        <v>197000</v>
      </c>
      <c r="E26" s="103"/>
      <c r="F26" s="263">
        <v>170150</v>
      </c>
      <c r="G26" s="209"/>
    </row>
    <row r="27" spans="1:13" ht="15">
      <c r="A27" s="41" t="s">
        <v>259</v>
      </c>
      <c r="B27" s="394"/>
      <c r="C27" s="396"/>
      <c r="D27" s="263">
        <v>420000</v>
      </c>
      <c r="E27" s="103"/>
      <c r="F27" s="263">
        <v>80000</v>
      </c>
    </row>
    <row r="28" spans="1:13" ht="15">
      <c r="A28" s="41" t="s">
        <v>133</v>
      </c>
      <c r="B28" s="394"/>
      <c r="C28" s="397"/>
      <c r="D28" s="263">
        <v>315000</v>
      </c>
      <c r="E28" s="103"/>
      <c r="F28" s="263">
        <v>247100</v>
      </c>
    </row>
    <row r="29" spans="1:13" ht="30">
      <c r="A29" s="41" t="s">
        <v>134</v>
      </c>
      <c r="B29" s="394"/>
      <c r="C29" s="398"/>
      <c r="D29" s="263">
        <v>105000</v>
      </c>
      <c r="E29" s="103"/>
      <c r="F29" s="263">
        <v>24500</v>
      </c>
    </row>
    <row r="30" spans="1:13" ht="15">
      <c r="A30" s="41" t="s">
        <v>260</v>
      </c>
      <c r="B30" s="394"/>
      <c r="C30" s="399"/>
      <c r="D30" s="263">
        <v>360000</v>
      </c>
      <c r="E30" s="103"/>
      <c r="F30" s="263">
        <v>379977</v>
      </c>
    </row>
    <row r="31" spans="1:13" ht="17.25">
      <c r="A31" s="41" t="s">
        <v>135</v>
      </c>
      <c r="B31" s="394"/>
      <c r="C31" s="399"/>
      <c r="D31" s="264">
        <v>447000</v>
      </c>
      <c r="E31" s="103"/>
      <c r="F31" s="264">
        <v>460000</v>
      </c>
    </row>
    <row r="32" spans="1:13" ht="17.25">
      <c r="A32" s="34" t="s">
        <v>27</v>
      </c>
      <c r="B32" s="34"/>
      <c r="C32" s="32"/>
      <c r="D32" s="120">
        <f>SUM(D26:D31)</f>
        <v>1844000</v>
      </c>
      <c r="E32" s="103"/>
      <c r="F32" s="120">
        <f>SUM(F26:F31)</f>
        <v>1361727</v>
      </c>
    </row>
    <row r="33" spans="1:6" ht="15">
      <c r="A33" s="34"/>
      <c r="B33" s="34"/>
      <c r="C33" s="42"/>
      <c r="D33" s="126"/>
      <c r="E33" s="103"/>
      <c r="F33" s="502">
        <f>F32-F21</f>
        <v>120427</v>
      </c>
    </row>
    <row r="34" spans="1:6" ht="18" hidden="1" customHeight="1">
      <c r="A34" s="190" t="s">
        <v>107</v>
      </c>
      <c r="B34" s="26"/>
      <c r="C34" s="43"/>
      <c r="D34" s="207" t="e">
        <f>+#REF!-D21</f>
        <v>#REF!</v>
      </c>
      <c r="E34" s="207"/>
      <c r="F34" s="207" t="e">
        <f>+#REF!-F21</f>
        <v>#REF!</v>
      </c>
    </row>
    <row r="35" spans="1:6" ht="15">
      <c r="A35" s="26"/>
      <c r="B35" s="26"/>
      <c r="C35" s="43"/>
      <c r="D35" s="127"/>
      <c r="E35" s="117"/>
      <c r="F35" s="127"/>
    </row>
    <row r="36" spans="1:6" ht="15">
      <c r="A36" s="34" t="s">
        <v>28</v>
      </c>
      <c r="B36" s="34"/>
      <c r="C36" s="43"/>
      <c r="D36" s="122">
        <f>+D11*2000/D7/24</f>
        <v>48.298862007430593</v>
      </c>
      <c r="E36" s="103"/>
      <c r="F36" s="122">
        <f>+F11*2000/F7/24</f>
        <v>45.900684862994176</v>
      </c>
    </row>
    <row r="37" spans="1:6" ht="15">
      <c r="C37" s="43"/>
      <c r="D37" s="122"/>
      <c r="E37" s="103"/>
      <c r="F37" s="122"/>
    </row>
    <row r="38" spans="1:6" ht="15">
      <c r="A38" s="34" t="s">
        <v>29</v>
      </c>
      <c r="B38" s="34"/>
      <c r="C38" s="43"/>
      <c r="D38" s="123">
        <f>+D15/D11</f>
        <v>67.366579177602802</v>
      </c>
      <c r="E38" s="103"/>
      <c r="F38" s="123">
        <f>+F15/F11</f>
        <v>53.160806881239004</v>
      </c>
    </row>
    <row r="39" spans="1:6">
      <c r="A39" s="38"/>
      <c r="B39" s="38"/>
      <c r="C39" s="39"/>
      <c r="D39" s="39"/>
      <c r="F39" s="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topLeftCell="A4" workbookViewId="0">
      <selection activeCell="F30" sqref="F30"/>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6" max="6" width="12.7109375" bestFit="1" customWidth="1"/>
    <col min="7" max="7" width="12.28515625" bestFit="1" customWidth="1"/>
  </cols>
  <sheetData>
    <row r="1" spans="1:7" ht="23.25">
      <c r="A1" s="21" t="s">
        <v>12</v>
      </c>
      <c r="B1" s="21"/>
      <c r="C1" s="12"/>
      <c r="D1" s="12"/>
      <c r="E1" s="22"/>
      <c r="F1" s="12"/>
    </row>
    <row r="2" spans="1:7" ht="15.75">
      <c r="A2" s="23" t="s">
        <v>246</v>
      </c>
      <c r="B2" s="23"/>
      <c r="C2" s="24"/>
      <c r="D2" s="25"/>
      <c r="E2" s="22"/>
      <c r="F2" s="25"/>
    </row>
    <row r="3" spans="1:7" ht="15.75">
      <c r="A3" s="23"/>
      <c r="B3" s="23"/>
      <c r="C3" s="24"/>
      <c r="D3" s="101"/>
      <c r="E3" s="102"/>
      <c r="F3" s="101"/>
    </row>
    <row r="4" spans="1:7" ht="15">
      <c r="A4" s="188"/>
      <c r="B4" s="188"/>
      <c r="C4" s="189"/>
      <c r="D4" s="437" t="s">
        <v>102</v>
      </c>
      <c r="E4" s="437"/>
      <c r="F4" s="437" t="s">
        <v>286</v>
      </c>
      <c r="G4" s="438"/>
    </row>
    <row r="5" spans="1:7" ht="15">
      <c r="A5" s="190"/>
      <c r="B5" s="190"/>
      <c r="C5" s="189"/>
      <c r="D5" s="104" t="s">
        <v>13</v>
      </c>
      <c r="E5" s="102"/>
      <c r="F5" s="104" t="s">
        <v>13</v>
      </c>
    </row>
    <row r="6" spans="1:7" ht="17.25">
      <c r="A6" s="204"/>
      <c r="B6" s="204"/>
      <c r="C6" s="189"/>
      <c r="D6" s="105" t="s">
        <v>15</v>
      </c>
      <c r="E6" s="102"/>
      <c r="F6" s="105" t="s">
        <v>15</v>
      </c>
    </row>
    <row r="7" spans="1:7" ht="15">
      <c r="A7" s="191" t="s">
        <v>18</v>
      </c>
      <c r="B7" s="191"/>
      <c r="C7" s="189"/>
      <c r="D7" s="106"/>
      <c r="E7" s="102"/>
      <c r="F7" s="106"/>
    </row>
    <row r="8" spans="1:7" ht="17.25">
      <c r="A8" s="204" t="s">
        <v>101</v>
      </c>
      <c r="B8" s="204"/>
      <c r="C8" s="189"/>
      <c r="D8" s="107">
        <v>40184</v>
      </c>
      <c r="E8" s="102"/>
      <c r="F8" s="107">
        <f>'Customer Counts - Enspire'!I36+'Customer Counts - Enspire'!I37</f>
        <v>40291.541666666672</v>
      </c>
    </row>
    <row r="9" spans="1:7" ht="15">
      <c r="A9" s="204"/>
      <c r="B9" s="204"/>
      <c r="C9" s="189"/>
      <c r="D9" s="108"/>
      <c r="E9" s="102"/>
      <c r="F9" s="108"/>
    </row>
    <row r="10" spans="1:7" ht="15">
      <c r="A10" s="204"/>
      <c r="B10" s="204"/>
      <c r="C10" s="189"/>
      <c r="D10" s="108"/>
      <c r="E10" s="102"/>
      <c r="F10" s="108"/>
    </row>
    <row r="11" spans="1:7" ht="15">
      <c r="A11" s="191" t="s">
        <v>20</v>
      </c>
      <c r="B11" s="191"/>
      <c r="C11" s="189"/>
      <c r="D11" s="108"/>
      <c r="E11" s="102"/>
      <c r="F11" s="108"/>
    </row>
    <row r="12" spans="1:7" ht="17.25">
      <c r="A12" s="192" t="s">
        <v>131</v>
      </c>
      <c r="B12" s="192"/>
      <c r="C12" s="189"/>
      <c r="D12" s="109">
        <v>24584</v>
      </c>
      <c r="E12" s="102"/>
      <c r="F12" s="109">
        <f>'2022-2023 Recy. Tons &amp; Revenue'!C59</f>
        <v>23100.757485212467</v>
      </c>
    </row>
    <row r="13" spans="1:7" ht="15">
      <c r="A13" s="205"/>
      <c r="B13" s="205"/>
      <c r="C13" s="189"/>
      <c r="D13" s="108"/>
      <c r="E13" s="102"/>
      <c r="F13" s="108"/>
    </row>
    <row r="14" spans="1:7" ht="15">
      <c r="A14" s="205"/>
      <c r="B14" s="205"/>
      <c r="C14" s="189"/>
      <c r="D14" s="108"/>
      <c r="E14" s="102"/>
      <c r="F14" s="108"/>
    </row>
    <row r="15" spans="1:7" ht="15">
      <c r="A15" s="191" t="s">
        <v>21</v>
      </c>
      <c r="B15" s="191"/>
      <c r="C15" s="189"/>
      <c r="D15" s="106"/>
      <c r="E15" s="102"/>
      <c r="F15" s="106"/>
    </row>
    <row r="16" spans="1:7" ht="32.25">
      <c r="A16" s="193" t="s">
        <v>22</v>
      </c>
      <c r="B16" s="193"/>
      <c r="C16" s="194"/>
      <c r="D16" s="110">
        <v>1664000</v>
      </c>
      <c r="E16" s="102"/>
      <c r="F16" s="110">
        <f>'2022-2023 Recy. Tons &amp; Revenue'!G59</f>
        <v>1224448.4363318109</v>
      </c>
      <c r="G16" s="258"/>
    </row>
    <row r="17" spans="1:7" ht="15">
      <c r="A17" s="193"/>
      <c r="B17" s="193"/>
      <c r="C17" s="194"/>
      <c r="D17" s="111"/>
      <c r="E17" s="102"/>
      <c r="F17" s="111"/>
    </row>
    <row r="18" spans="1:7" ht="15">
      <c r="A18" s="191" t="s">
        <v>23</v>
      </c>
      <c r="B18" s="193"/>
      <c r="C18" s="194"/>
      <c r="D18" s="111"/>
      <c r="E18" s="102"/>
      <c r="F18" s="111"/>
    </row>
    <row r="19" spans="1:7" ht="15">
      <c r="A19" s="193" t="s">
        <v>24</v>
      </c>
      <c r="B19" s="193"/>
      <c r="C19" s="195">
        <v>0.5</v>
      </c>
      <c r="D19" s="112">
        <f>ROUND(+D16*$C19,-2)</f>
        <v>832000</v>
      </c>
      <c r="E19" s="113"/>
      <c r="F19" s="112">
        <f>ROUND(+F16*$C19,-2)</f>
        <v>612200</v>
      </c>
    </row>
    <row r="20" spans="1:7" ht="30">
      <c r="A20" s="34" t="s">
        <v>253</v>
      </c>
      <c r="B20" s="193"/>
      <c r="C20" s="195"/>
      <c r="D20" s="112">
        <v>62900</v>
      </c>
      <c r="E20" s="113"/>
      <c r="F20" s="112">
        <v>62900</v>
      </c>
    </row>
    <row r="21" spans="1:7" ht="17.25">
      <c r="A21" s="193" t="s">
        <v>94</v>
      </c>
      <c r="B21" s="193"/>
      <c r="C21" s="195"/>
      <c r="D21" s="114">
        <f>ROUND(-D30*0.05,-2)</f>
        <v>-42600</v>
      </c>
      <c r="E21" s="113"/>
      <c r="F21" s="114">
        <f>ROUND(-F30*0.05,-2)</f>
        <v>-29700</v>
      </c>
    </row>
    <row r="22" spans="1:7" ht="17.25">
      <c r="A22" s="262" t="s">
        <v>132</v>
      </c>
      <c r="B22" s="193"/>
      <c r="C22" s="195"/>
      <c r="D22" s="115">
        <f>SUM(D19:D21)</f>
        <v>852300</v>
      </c>
      <c r="E22" s="115"/>
      <c r="F22" s="115">
        <f>SUM(F19:F21)</f>
        <v>645400</v>
      </c>
    </row>
    <row r="23" spans="1:7" ht="17.25">
      <c r="A23" s="196"/>
      <c r="B23" s="196"/>
      <c r="C23" s="189"/>
      <c r="D23" s="116"/>
      <c r="E23" s="102"/>
      <c r="F23" s="116"/>
    </row>
    <row r="24" spans="1:7" ht="15">
      <c r="A24" s="191" t="s">
        <v>25</v>
      </c>
      <c r="B24" s="191"/>
      <c r="C24" s="189"/>
      <c r="D24" s="106"/>
      <c r="E24" s="102"/>
      <c r="F24" s="106"/>
    </row>
    <row r="25" spans="1:7" ht="15">
      <c r="A25" s="197"/>
      <c r="B25" s="197"/>
      <c r="C25" s="198"/>
      <c r="D25" s="104"/>
      <c r="E25" s="102"/>
      <c r="F25" s="104"/>
    </row>
    <row r="26" spans="1:7" ht="15">
      <c r="A26" s="199" t="s">
        <v>26</v>
      </c>
      <c r="B26" s="199"/>
      <c r="C26" s="206"/>
      <c r="D26" s="118"/>
      <c r="E26" s="102"/>
      <c r="F26" s="118"/>
    </row>
    <row r="27" spans="1:7" ht="15">
      <c r="A27" s="41" t="s">
        <v>255</v>
      </c>
      <c r="B27" s="41"/>
      <c r="C27" s="40"/>
      <c r="D27" s="371">
        <v>647000</v>
      </c>
      <c r="E27" s="119"/>
      <c r="F27" s="371">
        <v>423399</v>
      </c>
      <c r="G27" s="209"/>
    </row>
    <row r="28" spans="1:7" ht="15">
      <c r="A28" s="41" t="s">
        <v>256</v>
      </c>
      <c r="B28" s="41"/>
      <c r="C28" s="24"/>
      <c r="D28" s="371">
        <v>200000</v>
      </c>
      <c r="E28" s="102"/>
      <c r="F28" s="371">
        <v>168900</v>
      </c>
    </row>
    <row r="29" spans="1:7" ht="17.25">
      <c r="A29" s="41" t="s">
        <v>257</v>
      </c>
      <c r="B29" s="41"/>
      <c r="C29" s="24"/>
      <c r="D29" s="372">
        <v>5300</v>
      </c>
      <c r="E29" s="102"/>
      <c r="F29" s="372">
        <v>1500</v>
      </c>
    </row>
    <row r="30" spans="1:7" ht="15">
      <c r="A30" s="197" t="s">
        <v>27</v>
      </c>
      <c r="B30" s="197"/>
      <c r="C30" s="201"/>
      <c r="D30" s="118">
        <f>SUM(D27:D29)</f>
        <v>852300</v>
      </c>
      <c r="E30" s="118"/>
      <c r="F30" s="118">
        <f>SUM(F27:F29)</f>
        <v>593799</v>
      </c>
    </row>
    <row r="31" spans="1:7" ht="15">
      <c r="A31" s="197"/>
      <c r="B31" s="197"/>
      <c r="C31" s="201"/>
      <c r="D31" s="103"/>
      <c r="E31" s="103"/>
      <c r="F31" s="103"/>
    </row>
    <row r="32" spans="1:7" ht="17.25" hidden="1" customHeight="1">
      <c r="A32" s="190" t="s">
        <v>107</v>
      </c>
      <c r="B32" s="190"/>
      <c r="C32" s="202"/>
      <c r="D32" s="207" t="e">
        <f>+#REF!-D22</f>
        <v>#REF!</v>
      </c>
      <c r="E32" s="207"/>
      <c r="F32" s="207" t="e">
        <f>+#REF!-F22</f>
        <v>#REF!</v>
      </c>
    </row>
    <row r="33" spans="1:6" ht="15">
      <c r="A33" s="190"/>
      <c r="B33" s="190"/>
      <c r="C33" s="202"/>
      <c r="D33" s="121"/>
      <c r="E33" s="119"/>
      <c r="F33" s="121"/>
    </row>
    <row r="34" spans="1:6" ht="15">
      <c r="A34" s="197" t="s">
        <v>28</v>
      </c>
      <c r="B34" s="197"/>
      <c r="C34" s="202"/>
      <c r="D34" s="122">
        <f>+D12*2000/D8/24</f>
        <v>50.982148782268233</v>
      </c>
      <c r="E34" s="102"/>
      <c r="F34" s="122">
        <f>+F12*2000/F8/24</f>
        <v>47.778343645766149</v>
      </c>
    </row>
    <row r="35" spans="1:6" ht="15">
      <c r="A35" s="103"/>
      <c r="B35" s="103"/>
      <c r="C35" s="202"/>
      <c r="D35" s="122"/>
      <c r="E35" s="102"/>
      <c r="F35" s="122"/>
    </row>
    <row r="36" spans="1:6" ht="15">
      <c r="A36" s="197" t="s">
        <v>29</v>
      </c>
      <c r="B36" s="197"/>
      <c r="C36" s="202"/>
      <c r="D36" s="123">
        <f>+D16/D12</f>
        <v>67.686300032541496</v>
      </c>
      <c r="E36" s="102"/>
      <c r="F36" s="123">
        <f>+F16/F12</f>
        <v>53.004687708427717</v>
      </c>
    </row>
    <row r="37" spans="1:6" ht="15">
      <c r="A37" s="190"/>
      <c r="B37" s="190"/>
      <c r="C37" s="202"/>
      <c r="D37" s="203"/>
      <c r="E37" s="102"/>
      <c r="F37" s="203"/>
    </row>
    <row r="38" spans="1:6" ht="15">
      <c r="A38" s="200"/>
      <c r="B38" s="200"/>
      <c r="C38" s="194"/>
      <c r="D38" s="194"/>
      <c r="E38" s="102"/>
      <c r="F38" s="194"/>
    </row>
    <row r="39" spans="1:6" ht="15">
      <c r="A39" s="103"/>
      <c r="B39" s="103"/>
      <c r="C39" s="103"/>
      <c r="D39" s="103"/>
      <c r="E39" s="103"/>
      <c r="F39" s="103"/>
    </row>
    <row r="40" spans="1:6" ht="15">
      <c r="A40" s="103"/>
      <c r="B40" s="103"/>
      <c r="C40" s="103"/>
      <c r="D40" s="103"/>
      <c r="E40" s="103"/>
      <c r="F40" s="103"/>
    </row>
    <row r="41" spans="1:6" ht="15">
      <c r="A41" s="103"/>
      <c r="B41" s="103"/>
      <c r="C41" s="103"/>
      <c r="D41" s="103"/>
      <c r="E41" s="103"/>
      <c r="F41" s="103"/>
    </row>
    <row r="42" spans="1:6" ht="15">
      <c r="A42" s="103"/>
      <c r="B42" s="103"/>
      <c r="C42" s="103"/>
      <c r="D42" s="103"/>
      <c r="E42" s="103"/>
      <c r="F42" s="10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B633-293A-4516-BDDE-68A29C8829A7}">
  <sheetPr>
    <tabColor rgb="FFFFFF00"/>
  </sheetPr>
  <dimension ref="A1:U46"/>
  <sheetViews>
    <sheetView workbookViewId="0">
      <selection activeCell="H24" sqref="H24"/>
    </sheetView>
  </sheetViews>
  <sheetFormatPr defaultRowHeight="12.75"/>
  <cols>
    <col min="1" max="1" width="9.140625" style="440"/>
    <col min="2" max="2" width="10.5703125" style="440" customWidth="1"/>
    <col min="3" max="3" width="17.7109375" style="440" customWidth="1"/>
    <col min="4" max="4" width="11" style="440" bestFit="1" customWidth="1"/>
    <col min="5" max="5" width="10.42578125" style="440" bestFit="1" customWidth="1"/>
    <col min="6" max="6" width="11.140625" style="440" bestFit="1" customWidth="1"/>
    <col min="7" max="7" width="12.7109375" style="440" bestFit="1" customWidth="1"/>
    <col min="8" max="8" width="7.7109375" style="440" bestFit="1" customWidth="1"/>
    <col min="9" max="10" width="12.7109375" style="440" bestFit="1" customWidth="1"/>
    <col min="11" max="12" width="12.28515625" style="440" bestFit="1" customWidth="1"/>
    <col min="13" max="13" width="8.42578125" style="440" bestFit="1" customWidth="1"/>
    <col min="14" max="14" width="3.28515625" style="440" customWidth="1"/>
    <col min="15" max="15" width="11" style="440" bestFit="1" customWidth="1"/>
    <col min="16" max="16" width="11.28515625" style="440" bestFit="1" customWidth="1"/>
    <col min="17" max="17" width="12.42578125" style="440" bestFit="1" customWidth="1"/>
    <col min="18" max="18" width="10.28515625" style="440" customWidth="1"/>
    <col min="19" max="19" width="8.42578125" style="440" bestFit="1" customWidth="1"/>
    <col min="20" max="257" width="9.140625" style="440"/>
    <col min="258" max="258" width="10.5703125" style="440" customWidth="1"/>
    <col min="259" max="259" width="17.7109375" style="440" customWidth="1"/>
    <col min="260" max="260" width="11" style="440" bestFit="1" customWidth="1"/>
    <col min="261" max="261" width="10.42578125" style="440" bestFit="1" customWidth="1"/>
    <col min="262" max="262" width="11.140625" style="440" bestFit="1" customWidth="1"/>
    <col min="263" max="263" width="10.85546875" style="440" bestFit="1" customWidth="1"/>
    <col min="264" max="264" width="3.7109375" style="440" customWidth="1"/>
    <col min="265" max="265" width="11" style="440" bestFit="1" customWidth="1"/>
    <col min="266" max="266" width="11.140625" style="440" bestFit="1" customWidth="1"/>
    <col min="267" max="268" width="10.85546875" style="440" bestFit="1" customWidth="1"/>
    <col min="269" max="269" width="8.42578125" style="440" bestFit="1" customWidth="1"/>
    <col min="270" max="270" width="3.28515625" style="440" customWidth="1"/>
    <col min="271" max="271" width="11" style="440" bestFit="1" customWidth="1"/>
    <col min="272" max="272" width="11.28515625" style="440" bestFit="1" customWidth="1"/>
    <col min="273" max="273" width="12.42578125" style="440" bestFit="1" customWidth="1"/>
    <col min="274" max="274" width="10.28515625" style="440" customWidth="1"/>
    <col min="275" max="275" width="8.42578125" style="440" bestFit="1" customWidth="1"/>
    <col min="276" max="513" width="9.140625" style="440"/>
    <col min="514" max="514" width="10.5703125" style="440" customWidth="1"/>
    <col min="515" max="515" width="17.7109375" style="440" customWidth="1"/>
    <col min="516" max="516" width="11" style="440" bestFit="1" customWidth="1"/>
    <col min="517" max="517" width="10.42578125" style="440" bestFit="1" customWidth="1"/>
    <col min="518" max="518" width="11.140625" style="440" bestFit="1" customWidth="1"/>
    <col min="519" max="519" width="10.85546875" style="440" bestFit="1" customWidth="1"/>
    <col min="520" max="520" width="3.7109375" style="440" customWidth="1"/>
    <col min="521" max="521" width="11" style="440" bestFit="1" customWidth="1"/>
    <col min="522" max="522" width="11.140625" style="440" bestFit="1" customWidth="1"/>
    <col min="523" max="524" width="10.85546875" style="440" bestFit="1" customWidth="1"/>
    <col min="525" max="525" width="8.42578125" style="440" bestFit="1" customWidth="1"/>
    <col min="526" max="526" width="3.28515625" style="440" customWidth="1"/>
    <col min="527" max="527" width="11" style="440" bestFit="1" customWidth="1"/>
    <col min="528" max="528" width="11.28515625" style="440" bestFit="1" customWidth="1"/>
    <col min="529" max="529" width="12.42578125" style="440" bestFit="1" customWidth="1"/>
    <col min="530" max="530" width="10.28515625" style="440" customWidth="1"/>
    <col min="531" max="531" width="8.42578125" style="440" bestFit="1" customWidth="1"/>
    <col min="532" max="769" width="9.140625" style="440"/>
    <col min="770" max="770" width="10.5703125" style="440" customWidth="1"/>
    <col min="771" max="771" width="17.7109375" style="440" customWidth="1"/>
    <col min="772" max="772" width="11" style="440" bestFit="1" customWidth="1"/>
    <col min="773" max="773" width="10.42578125" style="440" bestFit="1" customWidth="1"/>
    <col min="774" max="774" width="11.140625" style="440" bestFit="1" customWidth="1"/>
    <col min="775" max="775" width="10.85546875" style="440" bestFit="1" customWidth="1"/>
    <col min="776" max="776" width="3.7109375" style="440" customWidth="1"/>
    <col min="777" max="777" width="11" style="440" bestFit="1" customWidth="1"/>
    <col min="778" max="778" width="11.140625" style="440" bestFit="1" customWidth="1"/>
    <col min="779" max="780" width="10.85546875" style="440" bestFit="1" customWidth="1"/>
    <col min="781" max="781" width="8.42578125" style="440" bestFit="1" customWidth="1"/>
    <col min="782" max="782" width="3.28515625" style="440" customWidth="1"/>
    <col min="783" max="783" width="11" style="440" bestFit="1" customWidth="1"/>
    <col min="784" max="784" width="11.28515625" style="440" bestFit="1" customWidth="1"/>
    <col min="785" max="785" width="12.42578125" style="440" bestFit="1" customWidth="1"/>
    <col min="786" max="786" width="10.28515625" style="440" customWidth="1"/>
    <col min="787" max="787" width="8.42578125" style="440" bestFit="1" customWidth="1"/>
    <col min="788" max="1025" width="9.140625" style="440"/>
    <col min="1026" max="1026" width="10.5703125" style="440" customWidth="1"/>
    <col min="1027" max="1027" width="17.7109375" style="440" customWidth="1"/>
    <col min="1028" max="1028" width="11" style="440" bestFit="1" customWidth="1"/>
    <col min="1029" max="1029" width="10.42578125" style="440" bestFit="1" customWidth="1"/>
    <col min="1030" max="1030" width="11.140625" style="440" bestFit="1" customWidth="1"/>
    <col min="1031" max="1031" width="10.85546875" style="440" bestFit="1" customWidth="1"/>
    <col min="1032" max="1032" width="3.7109375" style="440" customWidth="1"/>
    <col min="1033" max="1033" width="11" style="440" bestFit="1" customWidth="1"/>
    <col min="1034" max="1034" width="11.140625" style="440" bestFit="1" customWidth="1"/>
    <col min="1035" max="1036" width="10.85546875" style="440" bestFit="1" customWidth="1"/>
    <col min="1037" max="1037" width="8.42578125" style="440" bestFit="1" customWidth="1"/>
    <col min="1038" max="1038" width="3.28515625" style="440" customWidth="1"/>
    <col min="1039" max="1039" width="11" style="440" bestFit="1" customWidth="1"/>
    <col min="1040" max="1040" width="11.28515625" style="440" bestFit="1" customWidth="1"/>
    <col min="1041" max="1041" width="12.42578125" style="440" bestFit="1" customWidth="1"/>
    <col min="1042" max="1042" width="10.28515625" style="440" customWidth="1"/>
    <col min="1043" max="1043" width="8.42578125" style="440" bestFit="1" customWidth="1"/>
    <col min="1044" max="1281" width="9.140625" style="440"/>
    <col min="1282" max="1282" width="10.5703125" style="440" customWidth="1"/>
    <col min="1283" max="1283" width="17.7109375" style="440" customWidth="1"/>
    <col min="1284" max="1284" width="11" style="440" bestFit="1" customWidth="1"/>
    <col min="1285" max="1285" width="10.42578125" style="440" bestFit="1" customWidth="1"/>
    <col min="1286" max="1286" width="11.140625" style="440" bestFit="1" customWidth="1"/>
    <col min="1287" max="1287" width="10.85546875" style="440" bestFit="1" customWidth="1"/>
    <col min="1288" max="1288" width="3.7109375" style="440" customWidth="1"/>
    <col min="1289" max="1289" width="11" style="440" bestFit="1" customWidth="1"/>
    <col min="1290" max="1290" width="11.140625" style="440" bestFit="1" customWidth="1"/>
    <col min="1291" max="1292" width="10.85546875" style="440" bestFit="1" customWidth="1"/>
    <col min="1293" max="1293" width="8.42578125" style="440" bestFit="1" customWidth="1"/>
    <col min="1294" max="1294" width="3.28515625" style="440" customWidth="1"/>
    <col min="1295" max="1295" width="11" style="440" bestFit="1" customWidth="1"/>
    <col min="1296" max="1296" width="11.28515625" style="440" bestFit="1" customWidth="1"/>
    <col min="1297" max="1297" width="12.42578125" style="440" bestFit="1" customWidth="1"/>
    <col min="1298" max="1298" width="10.28515625" style="440" customWidth="1"/>
    <col min="1299" max="1299" width="8.42578125" style="440" bestFit="1" customWidth="1"/>
    <col min="1300" max="1537" width="9.140625" style="440"/>
    <col min="1538" max="1538" width="10.5703125" style="440" customWidth="1"/>
    <col min="1539" max="1539" width="17.7109375" style="440" customWidth="1"/>
    <col min="1540" max="1540" width="11" style="440" bestFit="1" customWidth="1"/>
    <col min="1541" max="1541" width="10.42578125" style="440" bestFit="1" customWidth="1"/>
    <col min="1542" max="1542" width="11.140625" style="440" bestFit="1" customWidth="1"/>
    <col min="1543" max="1543" width="10.85546875" style="440" bestFit="1" customWidth="1"/>
    <col min="1544" max="1544" width="3.7109375" style="440" customWidth="1"/>
    <col min="1545" max="1545" width="11" style="440" bestFit="1" customWidth="1"/>
    <col min="1546" max="1546" width="11.140625" style="440" bestFit="1" customWidth="1"/>
    <col min="1547" max="1548" width="10.85546875" style="440" bestFit="1" customWidth="1"/>
    <col min="1549" max="1549" width="8.42578125" style="440" bestFit="1" customWidth="1"/>
    <col min="1550" max="1550" width="3.28515625" style="440" customWidth="1"/>
    <col min="1551" max="1551" width="11" style="440" bestFit="1" customWidth="1"/>
    <col min="1552" max="1552" width="11.28515625" style="440" bestFit="1" customWidth="1"/>
    <col min="1553" max="1553" width="12.42578125" style="440" bestFit="1" customWidth="1"/>
    <col min="1554" max="1554" width="10.28515625" style="440" customWidth="1"/>
    <col min="1555" max="1555" width="8.42578125" style="440" bestFit="1" customWidth="1"/>
    <col min="1556" max="1793" width="9.140625" style="440"/>
    <col min="1794" max="1794" width="10.5703125" style="440" customWidth="1"/>
    <col min="1795" max="1795" width="17.7109375" style="440" customWidth="1"/>
    <col min="1796" max="1796" width="11" style="440" bestFit="1" customWidth="1"/>
    <col min="1797" max="1797" width="10.42578125" style="440" bestFit="1" customWidth="1"/>
    <col min="1798" max="1798" width="11.140625" style="440" bestFit="1" customWidth="1"/>
    <col min="1799" max="1799" width="10.85546875" style="440" bestFit="1" customWidth="1"/>
    <col min="1800" max="1800" width="3.7109375" style="440" customWidth="1"/>
    <col min="1801" max="1801" width="11" style="440" bestFit="1" customWidth="1"/>
    <col min="1802" max="1802" width="11.140625" style="440" bestFit="1" customWidth="1"/>
    <col min="1803" max="1804" width="10.85546875" style="440" bestFit="1" customWidth="1"/>
    <col min="1805" max="1805" width="8.42578125" style="440" bestFit="1" customWidth="1"/>
    <col min="1806" max="1806" width="3.28515625" style="440" customWidth="1"/>
    <col min="1807" max="1807" width="11" style="440" bestFit="1" customWidth="1"/>
    <col min="1808" max="1808" width="11.28515625" style="440" bestFit="1" customWidth="1"/>
    <col min="1809" max="1809" width="12.42578125" style="440" bestFit="1" customWidth="1"/>
    <col min="1810" max="1810" width="10.28515625" style="440" customWidth="1"/>
    <col min="1811" max="1811" width="8.42578125" style="440" bestFit="1" customWidth="1"/>
    <col min="1812" max="2049" width="9.140625" style="440"/>
    <col min="2050" max="2050" width="10.5703125" style="440" customWidth="1"/>
    <col min="2051" max="2051" width="17.7109375" style="440" customWidth="1"/>
    <col min="2052" max="2052" width="11" style="440" bestFit="1" customWidth="1"/>
    <col min="2053" max="2053" width="10.42578125" style="440" bestFit="1" customWidth="1"/>
    <col min="2054" max="2054" width="11.140625" style="440" bestFit="1" customWidth="1"/>
    <col min="2055" max="2055" width="10.85546875" style="440" bestFit="1" customWidth="1"/>
    <col min="2056" max="2056" width="3.7109375" style="440" customWidth="1"/>
    <col min="2057" max="2057" width="11" style="440" bestFit="1" customWidth="1"/>
    <col min="2058" max="2058" width="11.140625" style="440" bestFit="1" customWidth="1"/>
    <col min="2059" max="2060" width="10.85546875" style="440" bestFit="1" customWidth="1"/>
    <col min="2061" max="2061" width="8.42578125" style="440" bestFit="1" customWidth="1"/>
    <col min="2062" max="2062" width="3.28515625" style="440" customWidth="1"/>
    <col min="2063" max="2063" width="11" style="440" bestFit="1" customWidth="1"/>
    <col min="2064" max="2064" width="11.28515625" style="440" bestFit="1" customWidth="1"/>
    <col min="2065" max="2065" width="12.42578125" style="440" bestFit="1" customWidth="1"/>
    <col min="2066" max="2066" width="10.28515625" style="440" customWidth="1"/>
    <col min="2067" max="2067" width="8.42578125" style="440" bestFit="1" customWidth="1"/>
    <col min="2068" max="2305" width="9.140625" style="440"/>
    <col min="2306" max="2306" width="10.5703125" style="440" customWidth="1"/>
    <col min="2307" max="2307" width="17.7109375" style="440" customWidth="1"/>
    <col min="2308" max="2308" width="11" style="440" bestFit="1" customWidth="1"/>
    <col min="2309" max="2309" width="10.42578125" style="440" bestFit="1" customWidth="1"/>
    <col min="2310" max="2310" width="11.140625" style="440" bestFit="1" customWidth="1"/>
    <col min="2311" max="2311" width="10.85546875" style="440" bestFit="1" customWidth="1"/>
    <col min="2312" max="2312" width="3.7109375" style="440" customWidth="1"/>
    <col min="2313" max="2313" width="11" style="440" bestFit="1" customWidth="1"/>
    <col min="2314" max="2314" width="11.140625" style="440" bestFit="1" customWidth="1"/>
    <col min="2315" max="2316" width="10.85546875" style="440" bestFit="1" customWidth="1"/>
    <col min="2317" max="2317" width="8.42578125" style="440" bestFit="1" customWidth="1"/>
    <col min="2318" max="2318" width="3.28515625" style="440" customWidth="1"/>
    <col min="2319" max="2319" width="11" style="440" bestFit="1" customWidth="1"/>
    <col min="2320" max="2320" width="11.28515625" style="440" bestFit="1" customWidth="1"/>
    <col min="2321" max="2321" width="12.42578125" style="440" bestFit="1" customWidth="1"/>
    <col min="2322" max="2322" width="10.28515625" style="440" customWidth="1"/>
    <col min="2323" max="2323" width="8.42578125" style="440" bestFit="1" customWidth="1"/>
    <col min="2324" max="2561" width="9.140625" style="440"/>
    <col min="2562" max="2562" width="10.5703125" style="440" customWidth="1"/>
    <col min="2563" max="2563" width="17.7109375" style="440" customWidth="1"/>
    <col min="2564" max="2564" width="11" style="440" bestFit="1" customWidth="1"/>
    <col min="2565" max="2565" width="10.42578125" style="440" bestFit="1" customWidth="1"/>
    <col min="2566" max="2566" width="11.140625" style="440" bestFit="1" customWidth="1"/>
    <col min="2567" max="2567" width="10.85546875" style="440" bestFit="1" customWidth="1"/>
    <col min="2568" max="2568" width="3.7109375" style="440" customWidth="1"/>
    <col min="2569" max="2569" width="11" style="440" bestFit="1" customWidth="1"/>
    <col min="2570" max="2570" width="11.140625" style="440" bestFit="1" customWidth="1"/>
    <col min="2571" max="2572" width="10.85546875" style="440" bestFit="1" customWidth="1"/>
    <col min="2573" max="2573" width="8.42578125" style="440" bestFit="1" customWidth="1"/>
    <col min="2574" max="2574" width="3.28515625" style="440" customWidth="1"/>
    <col min="2575" max="2575" width="11" style="440" bestFit="1" customWidth="1"/>
    <col min="2576" max="2576" width="11.28515625" style="440" bestFit="1" customWidth="1"/>
    <col min="2577" max="2577" width="12.42578125" style="440" bestFit="1" customWidth="1"/>
    <col min="2578" max="2578" width="10.28515625" style="440" customWidth="1"/>
    <col min="2579" max="2579" width="8.42578125" style="440" bestFit="1" customWidth="1"/>
    <col min="2580" max="2817" width="9.140625" style="440"/>
    <col min="2818" max="2818" width="10.5703125" style="440" customWidth="1"/>
    <col min="2819" max="2819" width="17.7109375" style="440" customWidth="1"/>
    <col min="2820" max="2820" width="11" style="440" bestFit="1" customWidth="1"/>
    <col min="2821" max="2821" width="10.42578125" style="440" bestFit="1" customWidth="1"/>
    <col min="2822" max="2822" width="11.140625" style="440" bestFit="1" customWidth="1"/>
    <col min="2823" max="2823" width="10.85546875" style="440" bestFit="1" customWidth="1"/>
    <col min="2824" max="2824" width="3.7109375" style="440" customWidth="1"/>
    <col min="2825" max="2825" width="11" style="440" bestFit="1" customWidth="1"/>
    <col min="2826" max="2826" width="11.140625" style="440" bestFit="1" customWidth="1"/>
    <col min="2827" max="2828" width="10.85546875" style="440" bestFit="1" customWidth="1"/>
    <col min="2829" max="2829" width="8.42578125" style="440" bestFit="1" customWidth="1"/>
    <col min="2830" max="2830" width="3.28515625" style="440" customWidth="1"/>
    <col min="2831" max="2831" width="11" style="440" bestFit="1" customWidth="1"/>
    <col min="2832" max="2832" width="11.28515625" style="440" bestFit="1" customWidth="1"/>
    <col min="2833" max="2833" width="12.42578125" style="440" bestFit="1" customWidth="1"/>
    <col min="2834" max="2834" width="10.28515625" style="440" customWidth="1"/>
    <col min="2835" max="2835" width="8.42578125" style="440" bestFit="1" customWidth="1"/>
    <col min="2836" max="3073" width="9.140625" style="440"/>
    <col min="3074" max="3074" width="10.5703125" style="440" customWidth="1"/>
    <col min="3075" max="3075" width="17.7109375" style="440" customWidth="1"/>
    <col min="3076" max="3076" width="11" style="440" bestFit="1" customWidth="1"/>
    <col min="3077" max="3077" width="10.42578125" style="440" bestFit="1" customWidth="1"/>
    <col min="3078" max="3078" width="11.140625" style="440" bestFit="1" customWidth="1"/>
    <col min="3079" max="3079" width="10.85546875" style="440" bestFit="1" customWidth="1"/>
    <col min="3080" max="3080" width="3.7109375" style="440" customWidth="1"/>
    <col min="3081" max="3081" width="11" style="440" bestFit="1" customWidth="1"/>
    <col min="3082" max="3082" width="11.140625" style="440" bestFit="1" customWidth="1"/>
    <col min="3083" max="3084" width="10.85546875" style="440" bestFit="1" customWidth="1"/>
    <col min="3085" max="3085" width="8.42578125" style="440" bestFit="1" customWidth="1"/>
    <col min="3086" max="3086" width="3.28515625" style="440" customWidth="1"/>
    <col min="3087" max="3087" width="11" style="440" bestFit="1" customWidth="1"/>
    <col min="3088" max="3088" width="11.28515625" style="440" bestFit="1" customWidth="1"/>
    <col min="3089" max="3089" width="12.42578125" style="440" bestFit="1" customWidth="1"/>
    <col min="3090" max="3090" width="10.28515625" style="440" customWidth="1"/>
    <col min="3091" max="3091" width="8.42578125" style="440" bestFit="1" customWidth="1"/>
    <col min="3092" max="3329" width="9.140625" style="440"/>
    <col min="3330" max="3330" width="10.5703125" style="440" customWidth="1"/>
    <col min="3331" max="3331" width="17.7109375" style="440" customWidth="1"/>
    <col min="3332" max="3332" width="11" style="440" bestFit="1" customWidth="1"/>
    <col min="3333" max="3333" width="10.42578125" style="440" bestFit="1" customWidth="1"/>
    <col min="3334" max="3334" width="11.140625" style="440" bestFit="1" customWidth="1"/>
    <col min="3335" max="3335" width="10.85546875" style="440" bestFit="1" customWidth="1"/>
    <col min="3336" max="3336" width="3.7109375" style="440" customWidth="1"/>
    <col min="3337" max="3337" width="11" style="440" bestFit="1" customWidth="1"/>
    <col min="3338" max="3338" width="11.140625" style="440" bestFit="1" customWidth="1"/>
    <col min="3339" max="3340" width="10.85546875" style="440" bestFit="1" customWidth="1"/>
    <col min="3341" max="3341" width="8.42578125" style="440" bestFit="1" customWidth="1"/>
    <col min="3342" max="3342" width="3.28515625" style="440" customWidth="1"/>
    <col min="3343" max="3343" width="11" style="440" bestFit="1" customWidth="1"/>
    <col min="3344" max="3344" width="11.28515625" style="440" bestFit="1" customWidth="1"/>
    <col min="3345" max="3345" width="12.42578125" style="440" bestFit="1" customWidth="1"/>
    <col min="3346" max="3346" width="10.28515625" style="440" customWidth="1"/>
    <col min="3347" max="3347" width="8.42578125" style="440" bestFit="1" customWidth="1"/>
    <col min="3348" max="3585" width="9.140625" style="440"/>
    <col min="3586" max="3586" width="10.5703125" style="440" customWidth="1"/>
    <col min="3587" max="3587" width="17.7109375" style="440" customWidth="1"/>
    <col min="3588" max="3588" width="11" style="440" bestFit="1" customWidth="1"/>
    <col min="3589" max="3589" width="10.42578125" style="440" bestFit="1" customWidth="1"/>
    <col min="3590" max="3590" width="11.140625" style="440" bestFit="1" customWidth="1"/>
    <col min="3591" max="3591" width="10.85546875" style="440" bestFit="1" customWidth="1"/>
    <col min="3592" max="3592" width="3.7109375" style="440" customWidth="1"/>
    <col min="3593" max="3593" width="11" style="440" bestFit="1" customWidth="1"/>
    <col min="3594" max="3594" width="11.140625" style="440" bestFit="1" customWidth="1"/>
    <col min="3595" max="3596" width="10.85546875" style="440" bestFit="1" customWidth="1"/>
    <col min="3597" max="3597" width="8.42578125" style="440" bestFit="1" customWidth="1"/>
    <col min="3598" max="3598" width="3.28515625" style="440" customWidth="1"/>
    <col min="3599" max="3599" width="11" style="440" bestFit="1" customWidth="1"/>
    <col min="3600" max="3600" width="11.28515625" style="440" bestFit="1" customWidth="1"/>
    <col min="3601" max="3601" width="12.42578125" style="440" bestFit="1" customWidth="1"/>
    <col min="3602" max="3602" width="10.28515625" style="440" customWidth="1"/>
    <col min="3603" max="3603" width="8.42578125" style="440" bestFit="1" customWidth="1"/>
    <col min="3604" max="3841" width="9.140625" style="440"/>
    <col min="3842" max="3842" width="10.5703125" style="440" customWidth="1"/>
    <col min="3843" max="3843" width="17.7109375" style="440" customWidth="1"/>
    <col min="3844" max="3844" width="11" style="440" bestFit="1" customWidth="1"/>
    <col min="3845" max="3845" width="10.42578125" style="440" bestFit="1" customWidth="1"/>
    <col min="3846" max="3846" width="11.140625" style="440" bestFit="1" customWidth="1"/>
    <col min="3847" max="3847" width="10.85546875" style="440" bestFit="1" customWidth="1"/>
    <col min="3848" max="3848" width="3.7109375" style="440" customWidth="1"/>
    <col min="3849" max="3849" width="11" style="440" bestFit="1" customWidth="1"/>
    <col min="3850" max="3850" width="11.140625" style="440" bestFit="1" customWidth="1"/>
    <col min="3851" max="3852" width="10.85546875" style="440" bestFit="1" customWidth="1"/>
    <col min="3853" max="3853" width="8.42578125" style="440" bestFit="1" customWidth="1"/>
    <col min="3854" max="3854" width="3.28515625" style="440" customWidth="1"/>
    <col min="3855" max="3855" width="11" style="440" bestFit="1" customWidth="1"/>
    <col min="3856" max="3856" width="11.28515625" style="440" bestFit="1" customWidth="1"/>
    <col min="3857" max="3857" width="12.42578125" style="440" bestFit="1" customWidth="1"/>
    <col min="3858" max="3858" width="10.28515625" style="440" customWidth="1"/>
    <col min="3859" max="3859" width="8.42578125" style="440" bestFit="1" customWidth="1"/>
    <col min="3860" max="4097" width="9.140625" style="440"/>
    <col min="4098" max="4098" width="10.5703125" style="440" customWidth="1"/>
    <col min="4099" max="4099" width="17.7109375" style="440" customWidth="1"/>
    <col min="4100" max="4100" width="11" style="440" bestFit="1" customWidth="1"/>
    <col min="4101" max="4101" width="10.42578125" style="440" bestFit="1" customWidth="1"/>
    <col min="4102" max="4102" width="11.140625" style="440" bestFit="1" customWidth="1"/>
    <col min="4103" max="4103" width="10.85546875" style="440" bestFit="1" customWidth="1"/>
    <col min="4104" max="4104" width="3.7109375" style="440" customWidth="1"/>
    <col min="4105" max="4105" width="11" style="440" bestFit="1" customWidth="1"/>
    <col min="4106" max="4106" width="11.140625" style="440" bestFit="1" customWidth="1"/>
    <col min="4107" max="4108" width="10.85546875" style="440" bestFit="1" customWidth="1"/>
    <col min="4109" max="4109" width="8.42578125" style="440" bestFit="1" customWidth="1"/>
    <col min="4110" max="4110" width="3.28515625" style="440" customWidth="1"/>
    <col min="4111" max="4111" width="11" style="440" bestFit="1" customWidth="1"/>
    <col min="4112" max="4112" width="11.28515625" style="440" bestFit="1" customWidth="1"/>
    <col min="4113" max="4113" width="12.42578125" style="440" bestFit="1" customWidth="1"/>
    <col min="4114" max="4114" width="10.28515625" style="440" customWidth="1"/>
    <col min="4115" max="4115" width="8.42578125" style="440" bestFit="1" customWidth="1"/>
    <col min="4116" max="4353" width="9.140625" style="440"/>
    <col min="4354" max="4354" width="10.5703125" style="440" customWidth="1"/>
    <col min="4355" max="4355" width="17.7109375" style="440" customWidth="1"/>
    <col min="4356" max="4356" width="11" style="440" bestFit="1" customWidth="1"/>
    <col min="4357" max="4357" width="10.42578125" style="440" bestFit="1" customWidth="1"/>
    <col min="4358" max="4358" width="11.140625" style="440" bestFit="1" customWidth="1"/>
    <col min="4359" max="4359" width="10.85546875" style="440" bestFit="1" customWidth="1"/>
    <col min="4360" max="4360" width="3.7109375" style="440" customWidth="1"/>
    <col min="4361" max="4361" width="11" style="440" bestFit="1" customWidth="1"/>
    <col min="4362" max="4362" width="11.140625" style="440" bestFit="1" customWidth="1"/>
    <col min="4363" max="4364" width="10.85546875" style="440" bestFit="1" customWidth="1"/>
    <col min="4365" max="4365" width="8.42578125" style="440" bestFit="1" customWidth="1"/>
    <col min="4366" max="4366" width="3.28515625" style="440" customWidth="1"/>
    <col min="4367" max="4367" width="11" style="440" bestFit="1" customWidth="1"/>
    <col min="4368" max="4368" width="11.28515625" style="440" bestFit="1" customWidth="1"/>
    <col min="4369" max="4369" width="12.42578125" style="440" bestFit="1" customWidth="1"/>
    <col min="4370" max="4370" width="10.28515625" style="440" customWidth="1"/>
    <col min="4371" max="4371" width="8.42578125" style="440" bestFit="1" customWidth="1"/>
    <col min="4372" max="4609" width="9.140625" style="440"/>
    <col min="4610" max="4610" width="10.5703125" style="440" customWidth="1"/>
    <col min="4611" max="4611" width="17.7109375" style="440" customWidth="1"/>
    <col min="4612" max="4612" width="11" style="440" bestFit="1" customWidth="1"/>
    <col min="4613" max="4613" width="10.42578125" style="440" bestFit="1" customWidth="1"/>
    <col min="4614" max="4614" width="11.140625" style="440" bestFit="1" customWidth="1"/>
    <col min="4615" max="4615" width="10.85546875" style="440" bestFit="1" customWidth="1"/>
    <col min="4616" max="4616" width="3.7109375" style="440" customWidth="1"/>
    <col min="4617" max="4617" width="11" style="440" bestFit="1" customWidth="1"/>
    <col min="4618" max="4618" width="11.140625" style="440" bestFit="1" customWidth="1"/>
    <col min="4619" max="4620" width="10.85546875" style="440" bestFit="1" customWidth="1"/>
    <col min="4621" max="4621" width="8.42578125" style="440" bestFit="1" customWidth="1"/>
    <col min="4622" max="4622" width="3.28515625" style="440" customWidth="1"/>
    <col min="4623" max="4623" width="11" style="440" bestFit="1" customWidth="1"/>
    <col min="4624" max="4624" width="11.28515625" style="440" bestFit="1" customWidth="1"/>
    <col min="4625" max="4625" width="12.42578125" style="440" bestFit="1" customWidth="1"/>
    <col min="4626" max="4626" width="10.28515625" style="440" customWidth="1"/>
    <col min="4627" max="4627" width="8.42578125" style="440" bestFit="1" customWidth="1"/>
    <col min="4628" max="4865" width="9.140625" style="440"/>
    <col min="4866" max="4866" width="10.5703125" style="440" customWidth="1"/>
    <col min="4867" max="4867" width="17.7109375" style="440" customWidth="1"/>
    <col min="4868" max="4868" width="11" style="440" bestFit="1" customWidth="1"/>
    <col min="4869" max="4869" width="10.42578125" style="440" bestFit="1" customWidth="1"/>
    <col min="4870" max="4870" width="11.140625" style="440" bestFit="1" customWidth="1"/>
    <col min="4871" max="4871" width="10.85546875" style="440" bestFit="1" customWidth="1"/>
    <col min="4872" max="4872" width="3.7109375" style="440" customWidth="1"/>
    <col min="4873" max="4873" width="11" style="440" bestFit="1" customWidth="1"/>
    <col min="4874" max="4874" width="11.140625" style="440" bestFit="1" customWidth="1"/>
    <col min="4875" max="4876" width="10.85546875" style="440" bestFit="1" customWidth="1"/>
    <col min="4877" max="4877" width="8.42578125" style="440" bestFit="1" customWidth="1"/>
    <col min="4878" max="4878" width="3.28515625" style="440" customWidth="1"/>
    <col min="4879" max="4879" width="11" style="440" bestFit="1" customWidth="1"/>
    <col min="4880" max="4880" width="11.28515625" style="440" bestFit="1" customWidth="1"/>
    <col min="4881" max="4881" width="12.42578125" style="440" bestFit="1" customWidth="1"/>
    <col min="4882" max="4882" width="10.28515625" style="440" customWidth="1"/>
    <col min="4883" max="4883" width="8.42578125" style="440" bestFit="1" customWidth="1"/>
    <col min="4884" max="5121" width="9.140625" style="440"/>
    <col min="5122" max="5122" width="10.5703125" style="440" customWidth="1"/>
    <col min="5123" max="5123" width="17.7109375" style="440" customWidth="1"/>
    <col min="5124" max="5124" width="11" style="440" bestFit="1" customWidth="1"/>
    <col min="5125" max="5125" width="10.42578125" style="440" bestFit="1" customWidth="1"/>
    <col min="5126" max="5126" width="11.140625" style="440" bestFit="1" customWidth="1"/>
    <col min="5127" max="5127" width="10.85546875" style="440" bestFit="1" customWidth="1"/>
    <col min="5128" max="5128" width="3.7109375" style="440" customWidth="1"/>
    <col min="5129" max="5129" width="11" style="440" bestFit="1" customWidth="1"/>
    <col min="5130" max="5130" width="11.140625" style="440" bestFit="1" customWidth="1"/>
    <col min="5131" max="5132" width="10.85546875" style="440" bestFit="1" customWidth="1"/>
    <col min="5133" max="5133" width="8.42578125" style="440" bestFit="1" customWidth="1"/>
    <col min="5134" max="5134" width="3.28515625" style="440" customWidth="1"/>
    <col min="5135" max="5135" width="11" style="440" bestFit="1" customWidth="1"/>
    <col min="5136" max="5136" width="11.28515625" style="440" bestFit="1" customWidth="1"/>
    <col min="5137" max="5137" width="12.42578125" style="440" bestFit="1" customWidth="1"/>
    <col min="5138" max="5138" width="10.28515625" style="440" customWidth="1"/>
    <col min="5139" max="5139" width="8.42578125" style="440" bestFit="1" customWidth="1"/>
    <col min="5140" max="5377" width="9.140625" style="440"/>
    <col min="5378" max="5378" width="10.5703125" style="440" customWidth="1"/>
    <col min="5379" max="5379" width="17.7109375" style="440" customWidth="1"/>
    <col min="5380" max="5380" width="11" style="440" bestFit="1" customWidth="1"/>
    <col min="5381" max="5381" width="10.42578125" style="440" bestFit="1" customWidth="1"/>
    <col min="5382" max="5382" width="11.140625" style="440" bestFit="1" customWidth="1"/>
    <col min="5383" max="5383" width="10.85546875" style="440" bestFit="1" customWidth="1"/>
    <col min="5384" max="5384" width="3.7109375" style="440" customWidth="1"/>
    <col min="5385" max="5385" width="11" style="440" bestFit="1" customWidth="1"/>
    <col min="5386" max="5386" width="11.140625" style="440" bestFit="1" customWidth="1"/>
    <col min="5387" max="5388" width="10.85546875" style="440" bestFit="1" customWidth="1"/>
    <col min="5389" max="5389" width="8.42578125" style="440" bestFit="1" customWidth="1"/>
    <col min="5390" max="5390" width="3.28515625" style="440" customWidth="1"/>
    <col min="5391" max="5391" width="11" style="440" bestFit="1" customWidth="1"/>
    <col min="5392" max="5392" width="11.28515625" style="440" bestFit="1" customWidth="1"/>
    <col min="5393" max="5393" width="12.42578125" style="440" bestFit="1" customWidth="1"/>
    <col min="5394" max="5394" width="10.28515625" style="440" customWidth="1"/>
    <col min="5395" max="5395" width="8.42578125" style="440" bestFit="1" customWidth="1"/>
    <col min="5396" max="5633" width="9.140625" style="440"/>
    <col min="5634" max="5634" width="10.5703125" style="440" customWidth="1"/>
    <col min="5635" max="5635" width="17.7109375" style="440" customWidth="1"/>
    <col min="5636" max="5636" width="11" style="440" bestFit="1" customWidth="1"/>
    <col min="5637" max="5637" width="10.42578125" style="440" bestFit="1" customWidth="1"/>
    <col min="5638" max="5638" width="11.140625" style="440" bestFit="1" customWidth="1"/>
    <col min="5639" max="5639" width="10.85546875" style="440" bestFit="1" customWidth="1"/>
    <col min="5640" max="5640" width="3.7109375" style="440" customWidth="1"/>
    <col min="5641" max="5641" width="11" style="440" bestFit="1" customWidth="1"/>
    <col min="5642" max="5642" width="11.140625" style="440" bestFit="1" customWidth="1"/>
    <col min="5643" max="5644" width="10.85546875" style="440" bestFit="1" customWidth="1"/>
    <col min="5645" max="5645" width="8.42578125" style="440" bestFit="1" customWidth="1"/>
    <col min="5646" max="5646" width="3.28515625" style="440" customWidth="1"/>
    <col min="5647" max="5647" width="11" style="440" bestFit="1" customWidth="1"/>
    <col min="5648" max="5648" width="11.28515625" style="440" bestFit="1" customWidth="1"/>
    <col min="5649" max="5649" width="12.42578125" style="440" bestFit="1" customWidth="1"/>
    <col min="5650" max="5650" width="10.28515625" style="440" customWidth="1"/>
    <col min="5651" max="5651" width="8.42578125" style="440" bestFit="1" customWidth="1"/>
    <col min="5652" max="5889" width="9.140625" style="440"/>
    <col min="5890" max="5890" width="10.5703125" style="440" customWidth="1"/>
    <col min="5891" max="5891" width="17.7109375" style="440" customWidth="1"/>
    <col min="5892" max="5892" width="11" style="440" bestFit="1" customWidth="1"/>
    <col min="5893" max="5893" width="10.42578125" style="440" bestFit="1" customWidth="1"/>
    <col min="5894" max="5894" width="11.140625" style="440" bestFit="1" customWidth="1"/>
    <col min="5895" max="5895" width="10.85546875" style="440" bestFit="1" customWidth="1"/>
    <col min="5896" max="5896" width="3.7109375" style="440" customWidth="1"/>
    <col min="5897" max="5897" width="11" style="440" bestFit="1" customWidth="1"/>
    <col min="5898" max="5898" width="11.140625" style="440" bestFit="1" customWidth="1"/>
    <col min="5899" max="5900" width="10.85546875" style="440" bestFit="1" customWidth="1"/>
    <col min="5901" max="5901" width="8.42578125" style="440" bestFit="1" customWidth="1"/>
    <col min="5902" max="5902" width="3.28515625" style="440" customWidth="1"/>
    <col min="5903" max="5903" width="11" style="440" bestFit="1" customWidth="1"/>
    <col min="5904" max="5904" width="11.28515625" style="440" bestFit="1" customWidth="1"/>
    <col min="5905" max="5905" width="12.42578125" style="440" bestFit="1" customWidth="1"/>
    <col min="5906" max="5906" width="10.28515625" style="440" customWidth="1"/>
    <col min="5907" max="5907" width="8.42578125" style="440" bestFit="1" customWidth="1"/>
    <col min="5908" max="6145" width="9.140625" style="440"/>
    <col min="6146" max="6146" width="10.5703125" style="440" customWidth="1"/>
    <col min="6147" max="6147" width="17.7109375" style="440" customWidth="1"/>
    <col min="6148" max="6148" width="11" style="440" bestFit="1" customWidth="1"/>
    <col min="6149" max="6149" width="10.42578125" style="440" bestFit="1" customWidth="1"/>
    <col min="6150" max="6150" width="11.140625" style="440" bestFit="1" customWidth="1"/>
    <col min="6151" max="6151" width="10.85546875" style="440" bestFit="1" customWidth="1"/>
    <col min="6152" max="6152" width="3.7109375" style="440" customWidth="1"/>
    <col min="6153" max="6153" width="11" style="440" bestFit="1" customWidth="1"/>
    <col min="6154" max="6154" width="11.140625" style="440" bestFit="1" customWidth="1"/>
    <col min="6155" max="6156" width="10.85546875" style="440" bestFit="1" customWidth="1"/>
    <col min="6157" max="6157" width="8.42578125" style="440" bestFit="1" customWidth="1"/>
    <col min="6158" max="6158" width="3.28515625" style="440" customWidth="1"/>
    <col min="6159" max="6159" width="11" style="440" bestFit="1" customWidth="1"/>
    <col min="6160" max="6160" width="11.28515625" style="440" bestFit="1" customWidth="1"/>
    <col min="6161" max="6161" width="12.42578125" style="440" bestFit="1" customWidth="1"/>
    <col min="6162" max="6162" width="10.28515625" style="440" customWidth="1"/>
    <col min="6163" max="6163" width="8.42578125" style="440" bestFit="1" customWidth="1"/>
    <col min="6164" max="6401" width="9.140625" style="440"/>
    <col min="6402" max="6402" width="10.5703125" style="440" customWidth="1"/>
    <col min="6403" max="6403" width="17.7109375" style="440" customWidth="1"/>
    <col min="6404" max="6404" width="11" style="440" bestFit="1" customWidth="1"/>
    <col min="6405" max="6405" width="10.42578125" style="440" bestFit="1" customWidth="1"/>
    <col min="6406" max="6406" width="11.140625" style="440" bestFit="1" customWidth="1"/>
    <col min="6407" max="6407" width="10.85546875" style="440" bestFit="1" customWidth="1"/>
    <col min="6408" max="6408" width="3.7109375" style="440" customWidth="1"/>
    <col min="6409" max="6409" width="11" style="440" bestFit="1" customWidth="1"/>
    <col min="6410" max="6410" width="11.140625" style="440" bestFit="1" customWidth="1"/>
    <col min="6411" max="6412" width="10.85546875" style="440" bestFit="1" customWidth="1"/>
    <col min="6413" max="6413" width="8.42578125" style="440" bestFit="1" customWidth="1"/>
    <col min="6414" max="6414" width="3.28515625" style="440" customWidth="1"/>
    <col min="6415" max="6415" width="11" style="440" bestFit="1" customWidth="1"/>
    <col min="6416" max="6416" width="11.28515625" style="440" bestFit="1" customWidth="1"/>
    <col min="6417" max="6417" width="12.42578125" style="440" bestFit="1" customWidth="1"/>
    <col min="6418" max="6418" width="10.28515625" style="440" customWidth="1"/>
    <col min="6419" max="6419" width="8.42578125" style="440" bestFit="1" customWidth="1"/>
    <col min="6420" max="6657" width="9.140625" style="440"/>
    <col min="6658" max="6658" width="10.5703125" style="440" customWidth="1"/>
    <col min="6659" max="6659" width="17.7109375" style="440" customWidth="1"/>
    <col min="6660" max="6660" width="11" style="440" bestFit="1" customWidth="1"/>
    <col min="6661" max="6661" width="10.42578125" style="440" bestFit="1" customWidth="1"/>
    <col min="6662" max="6662" width="11.140625" style="440" bestFit="1" customWidth="1"/>
    <col min="6663" max="6663" width="10.85546875" style="440" bestFit="1" customWidth="1"/>
    <col min="6664" max="6664" width="3.7109375" style="440" customWidth="1"/>
    <col min="6665" max="6665" width="11" style="440" bestFit="1" customWidth="1"/>
    <col min="6666" max="6666" width="11.140625" style="440" bestFit="1" customWidth="1"/>
    <col min="6667" max="6668" width="10.85546875" style="440" bestFit="1" customWidth="1"/>
    <col min="6669" max="6669" width="8.42578125" style="440" bestFit="1" customWidth="1"/>
    <col min="6670" max="6670" width="3.28515625" style="440" customWidth="1"/>
    <col min="6671" max="6671" width="11" style="440" bestFit="1" customWidth="1"/>
    <col min="6672" max="6672" width="11.28515625" style="440" bestFit="1" customWidth="1"/>
    <col min="6673" max="6673" width="12.42578125" style="440" bestFit="1" customWidth="1"/>
    <col min="6674" max="6674" width="10.28515625" style="440" customWidth="1"/>
    <col min="6675" max="6675" width="8.42578125" style="440" bestFit="1" customWidth="1"/>
    <col min="6676" max="6913" width="9.140625" style="440"/>
    <col min="6914" max="6914" width="10.5703125" style="440" customWidth="1"/>
    <col min="6915" max="6915" width="17.7109375" style="440" customWidth="1"/>
    <col min="6916" max="6916" width="11" style="440" bestFit="1" customWidth="1"/>
    <col min="6917" max="6917" width="10.42578125" style="440" bestFit="1" customWidth="1"/>
    <col min="6918" max="6918" width="11.140625" style="440" bestFit="1" customWidth="1"/>
    <col min="6919" max="6919" width="10.85546875" style="440" bestFit="1" customWidth="1"/>
    <col min="6920" max="6920" width="3.7109375" style="440" customWidth="1"/>
    <col min="6921" max="6921" width="11" style="440" bestFit="1" customWidth="1"/>
    <col min="6922" max="6922" width="11.140625" style="440" bestFit="1" customWidth="1"/>
    <col min="6923" max="6924" width="10.85546875" style="440" bestFit="1" customWidth="1"/>
    <col min="6925" max="6925" width="8.42578125" style="440" bestFit="1" customWidth="1"/>
    <col min="6926" max="6926" width="3.28515625" style="440" customWidth="1"/>
    <col min="6927" max="6927" width="11" style="440" bestFit="1" customWidth="1"/>
    <col min="6928" max="6928" width="11.28515625" style="440" bestFit="1" customWidth="1"/>
    <col min="6929" max="6929" width="12.42578125" style="440" bestFit="1" customWidth="1"/>
    <col min="6930" max="6930" width="10.28515625" style="440" customWidth="1"/>
    <col min="6931" max="6931" width="8.42578125" style="440" bestFit="1" customWidth="1"/>
    <col min="6932" max="7169" width="9.140625" style="440"/>
    <col min="7170" max="7170" width="10.5703125" style="440" customWidth="1"/>
    <col min="7171" max="7171" width="17.7109375" style="440" customWidth="1"/>
    <col min="7172" max="7172" width="11" style="440" bestFit="1" customWidth="1"/>
    <col min="7173" max="7173" width="10.42578125" style="440" bestFit="1" customWidth="1"/>
    <col min="7174" max="7174" width="11.140625" style="440" bestFit="1" customWidth="1"/>
    <col min="7175" max="7175" width="10.85546875" style="440" bestFit="1" customWidth="1"/>
    <col min="7176" max="7176" width="3.7109375" style="440" customWidth="1"/>
    <col min="7177" max="7177" width="11" style="440" bestFit="1" customWidth="1"/>
    <col min="7178" max="7178" width="11.140625" style="440" bestFit="1" customWidth="1"/>
    <col min="7179" max="7180" width="10.85546875" style="440" bestFit="1" customWidth="1"/>
    <col min="7181" max="7181" width="8.42578125" style="440" bestFit="1" customWidth="1"/>
    <col min="7182" max="7182" width="3.28515625" style="440" customWidth="1"/>
    <col min="7183" max="7183" width="11" style="440" bestFit="1" customWidth="1"/>
    <col min="7184" max="7184" width="11.28515625" style="440" bestFit="1" customWidth="1"/>
    <col min="7185" max="7185" width="12.42578125" style="440" bestFit="1" customWidth="1"/>
    <col min="7186" max="7186" width="10.28515625" style="440" customWidth="1"/>
    <col min="7187" max="7187" width="8.42578125" style="440" bestFit="1" customWidth="1"/>
    <col min="7188" max="7425" width="9.140625" style="440"/>
    <col min="7426" max="7426" width="10.5703125" style="440" customWidth="1"/>
    <col min="7427" max="7427" width="17.7109375" style="440" customWidth="1"/>
    <col min="7428" max="7428" width="11" style="440" bestFit="1" customWidth="1"/>
    <col min="7429" max="7429" width="10.42578125" style="440" bestFit="1" customWidth="1"/>
    <col min="7430" max="7430" width="11.140625" style="440" bestFit="1" customWidth="1"/>
    <col min="7431" max="7431" width="10.85546875" style="440" bestFit="1" customWidth="1"/>
    <col min="7432" max="7432" width="3.7109375" style="440" customWidth="1"/>
    <col min="7433" max="7433" width="11" style="440" bestFit="1" customWidth="1"/>
    <col min="7434" max="7434" width="11.140625" style="440" bestFit="1" customWidth="1"/>
    <col min="7435" max="7436" width="10.85546875" style="440" bestFit="1" customWidth="1"/>
    <col min="7437" max="7437" width="8.42578125" style="440" bestFit="1" customWidth="1"/>
    <col min="7438" max="7438" width="3.28515625" style="440" customWidth="1"/>
    <col min="7439" max="7439" width="11" style="440" bestFit="1" customWidth="1"/>
    <col min="7440" max="7440" width="11.28515625" style="440" bestFit="1" customWidth="1"/>
    <col min="7441" max="7441" width="12.42578125" style="440" bestFit="1" customWidth="1"/>
    <col min="7442" max="7442" width="10.28515625" style="440" customWidth="1"/>
    <col min="7443" max="7443" width="8.42578125" style="440" bestFit="1" customWidth="1"/>
    <col min="7444" max="7681" width="9.140625" style="440"/>
    <col min="7682" max="7682" width="10.5703125" style="440" customWidth="1"/>
    <col min="7683" max="7683" width="17.7109375" style="440" customWidth="1"/>
    <col min="7684" max="7684" width="11" style="440" bestFit="1" customWidth="1"/>
    <col min="7685" max="7685" width="10.42578125" style="440" bestFit="1" customWidth="1"/>
    <col min="7686" max="7686" width="11.140625" style="440" bestFit="1" customWidth="1"/>
    <col min="7687" max="7687" width="10.85546875" style="440" bestFit="1" customWidth="1"/>
    <col min="7688" max="7688" width="3.7109375" style="440" customWidth="1"/>
    <col min="7689" max="7689" width="11" style="440" bestFit="1" customWidth="1"/>
    <col min="7690" max="7690" width="11.140625" style="440" bestFit="1" customWidth="1"/>
    <col min="7691" max="7692" width="10.85546875" style="440" bestFit="1" customWidth="1"/>
    <col min="7693" max="7693" width="8.42578125" style="440" bestFit="1" customWidth="1"/>
    <col min="7694" max="7694" width="3.28515625" style="440" customWidth="1"/>
    <col min="7695" max="7695" width="11" style="440" bestFit="1" customWidth="1"/>
    <col min="7696" max="7696" width="11.28515625" style="440" bestFit="1" customWidth="1"/>
    <col min="7697" max="7697" width="12.42578125" style="440" bestFit="1" customWidth="1"/>
    <col min="7698" max="7698" width="10.28515625" style="440" customWidth="1"/>
    <col min="7699" max="7699" width="8.42578125" style="440" bestFit="1" customWidth="1"/>
    <col min="7700" max="7937" width="9.140625" style="440"/>
    <col min="7938" max="7938" width="10.5703125" style="440" customWidth="1"/>
    <col min="7939" max="7939" width="17.7109375" style="440" customWidth="1"/>
    <col min="7940" max="7940" width="11" style="440" bestFit="1" customWidth="1"/>
    <col min="7941" max="7941" width="10.42578125" style="440" bestFit="1" customWidth="1"/>
    <col min="7942" max="7942" width="11.140625" style="440" bestFit="1" customWidth="1"/>
    <col min="7943" max="7943" width="10.85546875" style="440" bestFit="1" customWidth="1"/>
    <col min="7944" max="7944" width="3.7109375" style="440" customWidth="1"/>
    <col min="7945" max="7945" width="11" style="440" bestFit="1" customWidth="1"/>
    <col min="7946" max="7946" width="11.140625" style="440" bestFit="1" customWidth="1"/>
    <col min="7947" max="7948" width="10.85546875" style="440" bestFit="1" customWidth="1"/>
    <col min="7949" max="7949" width="8.42578125" style="440" bestFit="1" customWidth="1"/>
    <col min="7950" max="7950" width="3.28515625" style="440" customWidth="1"/>
    <col min="7951" max="7951" width="11" style="440" bestFit="1" customWidth="1"/>
    <col min="7952" max="7952" width="11.28515625" style="440" bestFit="1" customWidth="1"/>
    <col min="7953" max="7953" width="12.42578125" style="440" bestFit="1" customWidth="1"/>
    <col min="7954" max="7954" width="10.28515625" style="440" customWidth="1"/>
    <col min="7955" max="7955" width="8.42578125" style="440" bestFit="1" customWidth="1"/>
    <col min="7956" max="8193" width="9.140625" style="440"/>
    <col min="8194" max="8194" width="10.5703125" style="440" customWidth="1"/>
    <col min="8195" max="8195" width="17.7109375" style="440" customWidth="1"/>
    <col min="8196" max="8196" width="11" style="440" bestFit="1" customWidth="1"/>
    <col min="8197" max="8197" width="10.42578125" style="440" bestFit="1" customWidth="1"/>
    <col min="8198" max="8198" width="11.140625" style="440" bestFit="1" customWidth="1"/>
    <col min="8199" max="8199" width="10.85546875" style="440" bestFit="1" customWidth="1"/>
    <col min="8200" max="8200" width="3.7109375" style="440" customWidth="1"/>
    <col min="8201" max="8201" width="11" style="440" bestFit="1" customWidth="1"/>
    <col min="8202" max="8202" width="11.140625" style="440" bestFit="1" customWidth="1"/>
    <col min="8203" max="8204" width="10.85546875" style="440" bestFit="1" customWidth="1"/>
    <col min="8205" max="8205" width="8.42578125" style="440" bestFit="1" customWidth="1"/>
    <col min="8206" max="8206" width="3.28515625" style="440" customWidth="1"/>
    <col min="8207" max="8207" width="11" style="440" bestFit="1" customWidth="1"/>
    <col min="8208" max="8208" width="11.28515625" style="440" bestFit="1" customWidth="1"/>
    <col min="8209" max="8209" width="12.42578125" style="440" bestFit="1" customWidth="1"/>
    <col min="8210" max="8210" width="10.28515625" style="440" customWidth="1"/>
    <col min="8211" max="8211" width="8.42578125" style="440" bestFit="1" customWidth="1"/>
    <col min="8212" max="8449" width="9.140625" style="440"/>
    <col min="8450" max="8450" width="10.5703125" style="440" customWidth="1"/>
    <col min="8451" max="8451" width="17.7109375" style="440" customWidth="1"/>
    <col min="8452" max="8452" width="11" style="440" bestFit="1" customWidth="1"/>
    <col min="8453" max="8453" width="10.42578125" style="440" bestFit="1" customWidth="1"/>
    <col min="8454" max="8454" width="11.140625" style="440" bestFit="1" customWidth="1"/>
    <col min="8455" max="8455" width="10.85546875" style="440" bestFit="1" customWidth="1"/>
    <col min="8456" max="8456" width="3.7109375" style="440" customWidth="1"/>
    <col min="8457" max="8457" width="11" style="440" bestFit="1" customWidth="1"/>
    <col min="8458" max="8458" width="11.140625" style="440" bestFit="1" customWidth="1"/>
    <col min="8459" max="8460" width="10.85546875" style="440" bestFit="1" customWidth="1"/>
    <col min="8461" max="8461" width="8.42578125" style="440" bestFit="1" customWidth="1"/>
    <col min="8462" max="8462" width="3.28515625" style="440" customWidth="1"/>
    <col min="8463" max="8463" width="11" style="440" bestFit="1" customWidth="1"/>
    <col min="8464" max="8464" width="11.28515625" style="440" bestFit="1" customWidth="1"/>
    <col min="8465" max="8465" width="12.42578125" style="440" bestFit="1" customWidth="1"/>
    <col min="8466" max="8466" width="10.28515625" style="440" customWidth="1"/>
    <col min="8467" max="8467" width="8.42578125" style="440" bestFit="1" customWidth="1"/>
    <col min="8468" max="8705" width="9.140625" style="440"/>
    <col min="8706" max="8706" width="10.5703125" style="440" customWidth="1"/>
    <col min="8707" max="8707" width="17.7109375" style="440" customWidth="1"/>
    <col min="8708" max="8708" width="11" style="440" bestFit="1" customWidth="1"/>
    <col min="8709" max="8709" width="10.42578125" style="440" bestFit="1" customWidth="1"/>
    <col min="8710" max="8710" width="11.140625" style="440" bestFit="1" customWidth="1"/>
    <col min="8711" max="8711" width="10.85546875" style="440" bestFit="1" customWidth="1"/>
    <col min="8712" max="8712" width="3.7109375" style="440" customWidth="1"/>
    <col min="8713" max="8713" width="11" style="440" bestFit="1" customWidth="1"/>
    <col min="8714" max="8714" width="11.140625" style="440" bestFit="1" customWidth="1"/>
    <col min="8715" max="8716" width="10.85546875" style="440" bestFit="1" customWidth="1"/>
    <col min="8717" max="8717" width="8.42578125" style="440" bestFit="1" customWidth="1"/>
    <col min="8718" max="8718" width="3.28515625" style="440" customWidth="1"/>
    <col min="8719" max="8719" width="11" style="440" bestFit="1" customWidth="1"/>
    <col min="8720" max="8720" width="11.28515625" style="440" bestFit="1" customWidth="1"/>
    <col min="8721" max="8721" width="12.42578125" style="440" bestFit="1" customWidth="1"/>
    <col min="8722" max="8722" width="10.28515625" style="440" customWidth="1"/>
    <col min="8723" max="8723" width="8.42578125" style="440" bestFit="1" customWidth="1"/>
    <col min="8724" max="8961" width="9.140625" style="440"/>
    <col min="8962" max="8962" width="10.5703125" style="440" customWidth="1"/>
    <col min="8963" max="8963" width="17.7109375" style="440" customWidth="1"/>
    <col min="8964" max="8964" width="11" style="440" bestFit="1" customWidth="1"/>
    <col min="8965" max="8965" width="10.42578125" style="440" bestFit="1" customWidth="1"/>
    <col min="8966" max="8966" width="11.140625" style="440" bestFit="1" customWidth="1"/>
    <col min="8967" max="8967" width="10.85546875" style="440" bestFit="1" customWidth="1"/>
    <col min="8968" max="8968" width="3.7109375" style="440" customWidth="1"/>
    <col min="8969" max="8969" width="11" style="440" bestFit="1" customWidth="1"/>
    <col min="8970" max="8970" width="11.140625" style="440" bestFit="1" customWidth="1"/>
    <col min="8971" max="8972" width="10.85546875" style="440" bestFit="1" customWidth="1"/>
    <col min="8973" max="8973" width="8.42578125" style="440" bestFit="1" customWidth="1"/>
    <col min="8974" max="8974" width="3.28515625" style="440" customWidth="1"/>
    <col min="8975" max="8975" width="11" style="440" bestFit="1" customWidth="1"/>
    <col min="8976" max="8976" width="11.28515625" style="440" bestFit="1" customWidth="1"/>
    <col min="8977" max="8977" width="12.42578125" style="440" bestFit="1" customWidth="1"/>
    <col min="8978" max="8978" width="10.28515625" style="440" customWidth="1"/>
    <col min="8979" max="8979" width="8.42578125" style="440" bestFit="1" customWidth="1"/>
    <col min="8980" max="9217" width="9.140625" style="440"/>
    <col min="9218" max="9218" width="10.5703125" style="440" customWidth="1"/>
    <col min="9219" max="9219" width="17.7109375" style="440" customWidth="1"/>
    <col min="9220" max="9220" width="11" style="440" bestFit="1" customWidth="1"/>
    <col min="9221" max="9221" width="10.42578125" style="440" bestFit="1" customWidth="1"/>
    <col min="9222" max="9222" width="11.140625" style="440" bestFit="1" customWidth="1"/>
    <col min="9223" max="9223" width="10.85546875" style="440" bestFit="1" customWidth="1"/>
    <col min="9224" max="9224" width="3.7109375" style="440" customWidth="1"/>
    <col min="9225" max="9225" width="11" style="440" bestFit="1" customWidth="1"/>
    <col min="9226" max="9226" width="11.140625" style="440" bestFit="1" customWidth="1"/>
    <col min="9227" max="9228" width="10.85546875" style="440" bestFit="1" customWidth="1"/>
    <col min="9229" max="9229" width="8.42578125" style="440" bestFit="1" customWidth="1"/>
    <col min="9230" max="9230" width="3.28515625" style="440" customWidth="1"/>
    <col min="9231" max="9231" width="11" style="440" bestFit="1" customWidth="1"/>
    <col min="9232" max="9232" width="11.28515625" style="440" bestFit="1" customWidth="1"/>
    <col min="9233" max="9233" width="12.42578125" style="440" bestFit="1" customWidth="1"/>
    <col min="9234" max="9234" width="10.28515625" style="440" customWidth="1"/>
    <col min="9235" max="9235" width="8.42578125" style="440" bestFit="1" customWidth="1"/>
    <col min="9236" max="9473" width="9.140625" style="440"/>
    <col min="9474" max="9474" width="10.5703125" style="440" customWidth="1"/>
    <col min="9475" max="9475" width="17.7109375" style="440" customWidth="1"/>
    <col min="9476" max="9476" width="11" style="440" bestFit="1" customWidth="1"/>
    <col min="9477" max="9477" width="10.42578125" style="440" bestFit="1" customWidth="1"/>
    <col min="9478" max="9478" width="11.140625" style="440" bestFit="1" customWidth="1"/>
    <col min="9479" max="9479" width="10.85546875" style="440" bestFit="1" customWidth="1"/>
    <col min="9480" max="9480" width="3.7109375" style="440" customWidth="1"/>
    <col min="9481" max="9481" width="11" style="440" bestFit="1" customWidth="1"/>
    <col min="9482" max="9482" width="11.140625" style="440" bestFit="1" customWidth="1"/>
    <col min="9483" max="9484" width="10.85546875" style="440" bestFit="1" customWidth="1"/>
    <col min="9485" max="9485" width="8.42578125" style="440" bestFit="1" customWidth="1"/>
    <col min="9486" max="9486" width="3.28515625" style="440" customWidth="1"/>
    <col min="9487" max="9487" width="11" style="440" bestFit="1" customWidth="1"/>
    <col min="9488" max="9488" width="11.28515625" style="440" bestFit="1" customWidth="1"/>
    <col min="9489" max="9489" width="12.42578125" style="440" bestFit="1" customWidth="1"/>
    <col min="9490" max="9490" width="10.28515625" style="440" customWidth="1"/>
    <col min="9491" max="9491" width="8.42578125" style="440" bestFit="1" customWidth="1"/>
    <col min="9492" max="9729" width="9.140625" style="440"/>
    <col min="9730" max="9730" width="10.5703125" style="440" customWidth="1"/>
    <col min="9731" max="9731" width="17.7109375" style="440" customWidth="1"/>
    <col min="9732" max="9732" width="11" style="440" bestFit="1" customWidth="1"/>
    <col min="9733" max="9733" width="10.42578125" style="440" bestFit="1" customWidth="1"/>
    <col min="9734" max="9734" width="11.140625" style="440" bestFit="1" customWidth="1"/>
    <col min="9735" max="9735" width="10.85546875" style="440" bestFit="1" customWidth="1"/>
    <col min="9736" max="9736" width="3.7109375" style="440" customWidth="1"/>
    <col min="9737" max="9737" width="11" style="440" bestFit="1" customWidth="1"/>
    <col min="9738" max="9738" width="11.140625" style="440" bestFit="1" customWidth="1"/>
    <col min="9739" max="9740" width="10.85546875" style="440" bestFit="1" customWidth="1"/>
    <col min="9741" max="9741" width="8.42578125" style="440" bestFit="1" customWidth="1"/>
    <col min="9742" max="9742" width="3.28515625" style="440" customWidth="1"/>
    <col min="9743" max="9743" width="11" style="440" bestFit="1" customWidth="1"/>
    <col min="9744" max="9744" width="11.28515625" style="440" bestFit="1" customWidth="1"/>
    <col min="9745" max="9745" width="12.42578125" style="440" bestFit="1" customWidth="1"/>
    <col min="9746" max="9746" width="10.28515625" style="440" customWidth="1"/>
    <col min="9747" max="9747" width="8.42578125" style="440" bestFit="1" customWidth="1"/>
    <col min="9748" max="9985" width="9.140625" style="440"/>
    <col min="9986" max="9986" width="10.5703125" style="440" customWidth="1"/>
    <col min="9987" max="9987" width="17.7109375" style="440" customWidth="1"/>
    <col min="9988" max="9988" width="11" style="440" bestFit="1" customWidth="1"/>
    <col min="9989" max="9989" width="10.42578125" style="440" bestFit="1" customWidth="1"/>
    <col min="9990" max="9990" width="11.140625" style="440" bestFit="1" customWidth="1"/>
    <col min="9991" max="9991" width="10.85546875" style="440" bestFit="1" customWidth="1"/>
    <col min="9992" max="9992" width="3.7109375" style="440" customWidth="1"/>
    <col min="9993" max="9993" width="11" style="440" bestFit="1" customWidth="1"/>
    <col min="9994" max="9994" width="11.140625" style="440" bestFit="1" customWidth="1"/>
    <col min="9995" max="9996" width="10.85546875" style="440" bestFit="1" customWidth="1"/>
    <col min="9997" max="9997" width="8.42578125" style="440" bestFit="1" customWidth="1"/>
    <col min="9998" max="9998" width="3.28515625" style="440" customWidth="1"/>
    <col min="9999" max="9999" width="11" style="440" bestFit="1" customWidth="1"/>
    <col min="10000" max="10000" width="11.28515625" style="440" bestFit="1" customWidth="1"/>
    <col min="10001" max="10001" width="12.42578125" style="440" bestFit="1" customWidth="1"/>
    <col min="10002" max="10002" width="10.28515625" style="440" customWidth="1"/>
    <col min="10003" max="10003" width="8.42578125" style="440" bestFit="1" customWidth="1"/>
    <col min="10004" max="10241" width="9.140625" style="440"/>
    <col min="10242" max="10242" width="10.5703125" style="440" customWidth="1"/>
    <col min="10243" max="10243" width="17.7109375" style="440" customWidth="1"/>
    <col min="10244" max="10244" width="11" style="440" bestFit="1" customWidth="1"/>
    <col min="10245" max="10245" width="10.42578125" style="440" bestFit="1" customWidth="1"/>
    <col min="10246" max="10246" width="11.140625" style="440" bestFit="1" customWidth="1"/>
    <col min="10247" max="10247" width="10.85546875" style="440" bestFit="1" customWidth="1"/>
    <col min="10248" max="10248" width="3.7109375" style="440" customWidth="1"/>
    <col min="10249" max="10249" width="11" style="440" bestFit="1" customWidth="1"/>
    <col min="10250" max="10250" width="11.140625" style="440" bestFit="1" customWidth="1"/>
    <col min="10251" max="10252" width="10.85546875" style="440" bestFit="1" customWidth="1"/>
    <col min="10253" max="10253" width="8.42578125" style="440" bestFit="1" customWidth="1"/>
    <col min="10254" max="10254" width="3.28515625" style="440" customWidth="1"/>
    <col min="10255" max="10255" width="11" style="440" bestFit="1" customWidth="1"/>
    <col min="10256" max="10256" width="11.28515625" style="440" bestFit="1" customWidth="1"/>
    <col min="10257" max="10257" width="12.42578125" style="440" bestFit="1" customWidth="1"/>
    <col min="10258" max="10258" width="10.28515625" style="440" customWidth="1"/>
    <col min="10259" max="10259" width="8.42578125" style="440" bestFit="1" customWidth="1"/>
    <col min="10260" max="10497" width="9.140625" style="440"/>
    <col min="10498" max="10498" width="10.5703125" style="440" customWidth="1"/>
    <col min="10499" max="10499" width="17.7109375" style="440" customWidth="1"/>
    <col min="10500" max="10500" width="11" style="440" bestFit="1" customWidth="1"/>
    <col min="10501" max="10501" width="10.42578125" style="440" bestFit="1" customWidth="1"/>
    <col min="10502" max="10502" width="11.140625" style="440" bestFit="1" customWidth="1"/>
    <col min="10503" max="10503" width="10.85546875" style="440" bestFit="1" customWidth="1"/>
    <col min="10504" max="10504" width="3.7109375" style="440" customWidth="1"/>
    <col min="10505" max="10505" width="11" style="440" bestFit="1" customWidth="1"/>
    <col min="10506" max="10506" width="11.140625" style="440" bestFit="1" customWidth="1"/>
    <col min="10507" max="10508" width="10.85546875" style="440" bestFit="1" customWidth="1"/>
    <col min="10509" max="10509" width="8.42578125" style="440" bestFit="1" customWidth="1"/>
    <col min="10510" max="10510" width="3.28515625" style="440" customWidth="1"/>
    <col min="10511" max="10511" width="11" style="440" bestFit="1" customWidth="1"/>
    <col min="10512" max="10512" width="11.28515625" style="440" bestFit="1" customWidth="1"/>
    <col min="10513" max="10513" width="12.42578125" style="440" bestFit="1" customWidth="1"/>
    <col min="10514" max="10514" width="10.28515625" style="440" customWidth="1"/>
    <col min="10515" max="10515" width="8.42578125" style="440" bestFit="1" customWidth="1"/>
    <col min="10516" max="10753" width="9.140625" style="440"/>
    <col min="10754" max="10754" width="10.5703125" style="440" customWidth="1"/>
    <col min="10755" max="10755" width="17.7109375" style="440" customWidth="1"/>
    <col min="10756" max="10756" width="11" style="440" bestFit="1" customWidth="1"/>
    <col min="10757" max="10757" width="10.42578125" style="440" bestFit="1" customWidth="1"/>
    <col min="10758" max="10758" width="11.140625" style="440" bestFit="1" customWidth="1"/>
    <col min="10759" max="10759" width="10.85546875" style="440" bestFit="1" customWidth="1"/>
    <col min="10760" max="10760" width="3.7109375" style="440" customWidth="1"/>
    <col min="10761" max="10761" width="11" style="440" bestFit="1" customWidth="1"/>
    <col min="10762" max="10762" width="11.140625" style="440" bestFit="1" customWidth="1"/>
    <col min="10763" max="10764" width="10.85546875" style="440" bestFit="1" customWidth="1"/>
    <col min="10765" max="10765" width="8.42578125" style="440" bestFit="1" customWidth="1"/>
    <col min="10766" max="10766" width="3.28515625" style="440" customWidth="1"/>
    <col min="10767" max="10767" width="11" style="440" bestFit="1" customWidth="1"/>
    <col min="10768" max="10768" width="11.28515625" style="440" bestFit="1" customWidth="1"/>
    <col min="10769" max="10769" width="12.42578125" style="440" bestFit="1" customWidth="1"/>
    <col min="10770" max="10770" width="10.28515625" style="440" customWidth="1"/>
    <col min="10771" max="10771" width="8.42578125" style="440" bestFit="1" customWidth="1"/>
    <col min="10772" max="11009" width="9.140625" style="440"/>
    <col min="11010" max="11010" width="10.5703125" style="440" customWidth="1"/>
    <col min="11011" max="11011" width="17.7109375" style="440" customWidth="1"/>
    <col min="11012" max="11012" width="11" style="440" bestFit="1" customWidth="1"/>
    <col min="11013" max="11013" width="10.42578125" style="440" bestFit="1" customWidth="1"/>
    <col min="11014" max="11014" width="11.140625" style="440" bestFit="1" customWidth="1"/>
    <col min="11015" max="11015" width="10.85546875" style="440" bestFit="1" customWidth="1"/>
    <col min="11016" max="11016" width="3.7109375" style="440" customWidth="1"/>
    <col min="11017" max="11017" width="11" style="440" bestFit="1" customWidth="1"/>
    <col min="11018" max="11018" width="11.140625" style="440" bestFit="1" customWidth="1"/>
    <col min="11019" max="11020" width="10.85546875" style="440" bestFit="1" customWidth="1"/>
    <col min="11021" max="11021" width="8.42578125" style="440" bestFit="1" customWidth="1"/>
    <col min="11022" max="11022" width="3.28515625" style="440" customWidth="1"/>
    <col min="11023" max="11023" width="11" style="440" bestFit="1" customWidth="1"/>
    <col min="11024" max="11024" width="11.28515625" style="440" bestFit="1" customWidth="1"/>
    <col min="11025" max="11025" width="12.42578125" style="440" bestFit="1" customWidth="1"/>
    <col min="11026" max="11026" width="10.28515625" style="440" customWidth="1"/>
    <col min="11027" max="11027" width="8.42578125" style="440" bestFit="1" customWidth="1"/>
    <col min="11028" max="11265" width="9.140625" style="440"/>
    <col min="11266" max="11266" width="10.5703125" style="440" customWidth="1"/>
    <col min="11267" max="11267" width="17.7109375" style="440" customWidth="1"/>
    <col min="11268" max="11268" width="11" style="440" bestFit="1" customWidth="1"/>
    <col min="11269" max="11269" width="10.42578125" style="440" bestFit="1" customWidth="1"/>
    <col min="11270" max="11270" width="11.140625" style="440" bestFit="1" customWidth="1"/>
    <col min="11271" max="11271" width="10.85546875" style="440" bestFit="1" customWidth="1"/>
    <col min="11272" max="11272" width="3.7109375" style="440" customWidth="1"/>
    <col min="11273" max="11273" width="11" style="440" bestFit="1" customWidth="1"/>
    <col min="11274" max="11274" width="11.140625" style="440" bestFit="1" customWidth="1"/>
    <col min="11275" max="11276" width="10.85546875" style="440" bestFit="1" customWidth="1"/>
    <col min="11277" max="11277" width="8.42578125" style="440" bestFit="1" customWidth="1"/>
    <col min="11278" max="11278" width="3.28515625" style="440" customWidth="1"/>
    <col min="11279" max="11279" width="11" style="440" bestFit="1" customWidth="1"/>
    <col min="11280" max="11280" width="11.28515625" style="440" bestFit="1" customWidth="1"/>
    <col min="11281" max="11281" width="12.42578125" style="440" bestFit="1" customWidth="1"/>
    <col min="11282" max="11282" width="10.28515625" style="440" customWidth="1"/>
    <col min="11283" max="11283" width="8.42578125" style="440" bestFit="1" customWidth="1"/>
    <col min="11284" max="11521" width="9.140625" style="440"/>
    <col min="11522" max="11522" width="10.5703125" style="440" customWidth="1"/>
    <col min="11523" max="11523" width="17.7109375" style="440" customWidth="1"/>
    <col min="11524" max="11524" width="11" style="440" bestFit="1" customWidth="1"/>
    <col min="11525" max="11525" width="10.42578125" style="440" bestFit="1" customWidth="1"/>
    <col min="11526" max="11526" width="11.140625" style="440" bestFit="1" customWidth="1"/>
    <col min="11527" max="11527" width="10.85546875" style="440" bestFit="1" customWidth="1"/>
    <col min="11528" max="11528" width="3.7109375" style="440" customWidth="1"/>
    <col min="11529" max="11529" width="11" style="440" bestFit="1" customWidth="1"/>
    <col min="11530" max="11530" width="11.140625" style="440" bestFit="1" customWidth="1"/>
    <col min="11531" max="11532" width="10.85546875" style="440" bestFit="1" customWidth="1"/>
    <col min="11533" max="11533" width="8.42578125" style="440" bestFit="1" customWidth="1"/>
    <col min="11534" max="11534" width="3.28515625" style="440" customWidth="1"/>
    <col min="11535" max="11535" width="11" style="440" bestFit="1" customWidth="1"/>
    <col min="11536" max="11536" width="11.28515625" style="440" bestFit="1" customWidth="1"/>
    <col min="11537" max="11537" width="12.42578125" style="440" bestFit="1" customWidth="1"/>
    <col min="11538" max="11538" width="10.28515625" style="440" customWidth="1"/>
    <col min="11539" max="11539" width="8.42578125" style="440" bestFit="1" customWidth="1"/>
    <col min="11540" max="11777" width="9.140625" style="440"/>
    <col min="11778" max="11778" width="10.5703125" style="440" customWidth="1"/>
    <col min="11779" max="11779" width="17.7109375" style="440" customWidth="1"/>
    <col min="11780" max="11780" width="11" style="440" bestFit="1" customWidth="1"/>
    <col min="11781" max="11781" width="10.42578125" style="440" bestFit="1" customWidth="1"/>
    <col min="11782" max="11782" width="11.140625" style="440" bestFit="1" customWidth="1"/>
    <col min="11783" max="11783" width="10.85546875" style="440" bestFit="1" customWidth="1"/>
    <col min="11784" max="11784" width="3.7109375" style="440" customWidth="1"/>
    <col min="11785" max="11785" width="11" style="440" bestFit="1" customWidth="1"/>
    <col min="11786" max="11786" width="11.140625" style="440" bestFit="1" customWidth="1"/>
    <col min="11787" max="11788" width="10.85546875" style="440" bestFit="1" customWidth="1"/>
    <col min="11789" max="11789" width="8.42578125" style="440" bestFit="1" customWidth="1"/>
    <col min="11790" max="11790" width="3.28515625" style="440" customWidth="1"/>
    <col min="11791" max="11791" width="11" style="440" bestFit="1" customWidth="1"/>
    <col min="11792" max="11792" width="11.28515625" style="440" bestFit="1" customWidth="1"/>
    <col min="11793" max="11793" width="12.42578125" style="440" bestFit="1" customWidth="1"/>
    <col min="11794" max="11794" width="10.28515625" style="440" customWidth="1"/>
    <col min="11795" max="11795" width="8.42578125" style="440" bestFit="1" customWidth="1"/>
    <col min="11796" max="12033" width="9.140625" style="440"/>
    <col min="12034" max="12034" width="10.5703125" style="440" customWidth="1"/>
    <col min="12035" max="12035" width="17.7109375" style="440" customWidth="1"/>
    <col min="12036" max="12036" width="11" style="440" bestFit="1" customWidth="1"/>
    <col min="12037" max="12037" width="10.42578125" style="440" bestFit="1" customWidth="1"/>
    <col min="12038" max="12038" width="11.140625" style="440" bestFit="1" customWidth="1"/>
    <col min="12039" max="12039" width="10.85546875" style="440" bestFit="1" customWidth="1"/>
    <col min="12040" max="12040" width="3.7109375" style="440" customWidth="1"/>
    <col min="12041" max="12041" width="11" style="440" bestFit="1" customWidth="1"/>
    <col min="12042" max="12042" width="11.140625" style="440" bestFit="1" customWidth="1"/>
    <col min="12043" max="12044" width="10.85546875" style="440" bestFit="1" customWidth="1"/>
    <col min="12045" max="12045" width="8.42578125" style="440" bestFit="1" customWidth="1"/>
    <col min="12046" max="12046" width="3.28515625" style="440" customWidth="1"/>
    <col min="12047" max="12047" width="11" style="440" bestFit="1" customWidth="1"/>
    <col min="12048" max="12048" width="11.28515625" style="440" bestFit="1" customWidth="1"/>
    <col min="12049" max="12049" width="12.42578125" style="440" bestFit="1" customWidth="1"/>
    <col min="12050" max="12050" width="10.28515625" style="440" customWidth="1"/>
    <col min="12051" max="12051" width="8.42578125" style="440" bestFit="1" customWidth="1"/>
    <col min="12052" max="12289" width="9.140625" style="440"/>
    <col min="12290" max="12290" width="10.5703125" style="440" customWidth="1"/>
    <col min="12291" max="12291" width="17.7109375" style="440" customWidth="1"/>
    <col min="12292" max="12292" width="11" style="440" bestFit="1" customWidth="1"/>
    <col min="12293" max="12293" width="10.42578125" style="440" bestFit="1" customWidth="1"/>
    <col min="12294" max="12294" width="11.140625" style="440" bestFit="1" customWidth="1"/>
    <col min="12295" max="12295" width="10.85546875" style="440" bestFit="1" customWidth="1"/>
    <col min="12296" max="12296" width="3.7109375" style="440" customWidth="1"/>
    <col min="12297" max="12297" width="11" style="440" bestFit="1" customWidth="1"/>
    <col min="12298" max="12298" width="11.140625" style="440" bestFit="1" customWidth="1"/>
    <col min="12299" max="12300" width="10.85546875" style="440" bestFit="1" customWidth="1"/>
    <col min="12301" max="12301" width="8.42578125" style="440" bestFit="1" customWidth="1"/>
    <col min="12302" max="12302" width="3.28515625" style="440" customWidth="1"/>
    <col min="12303" max="12303" width="11" style="440" bestFit="1" customWidth="1"/>
    <col min="12304" max="12304" width="11.28515625" style="440" bestFit="1" customWidth="1"/>
    <col min="12305" max="12305" width="12.42578125" style="440" bestFit="1" customWidth="1"/>
    <col min="12306" max="12306" width="10.28515625" style="440" customWidth="1"/>
    <col min="12307" max="12307" width="8.42578125" style="440" bestFit="1" customWidth="1"/>
    <col min="12308" max="12545" width="9.140625" style="440"/>
    <col min="12546" max="12546" width="10.5703125" style="440" customWidth="1"/>
    <col min="12547" max="12547" width="17.7109375" style="440" customWidth="1"/>
    <col min="12548" max="12548" width="11" style="440" bestFit="1" customWidth="1"/>
    <col min="12549" max="12549" width="10.42578125" style="440" bestFit="1" customWidth="1"/>
    <col min="12550" max="12550" width="11.140625" style="440" bestFit="1" customWidth="1"/>
    <col min="12551" max="12551" width="10.85546875" style="440" bestFit="1" customWidth="1"/>
    <col min="12552" max="12552" width="3.7109375" style="440" customWidth="1"/>
    <col min="12553" max="12553" width="11" style="440" bestFit="1" customWidth="1"/>
    <col min="12554" max="12554" width="11.140625" style="440" bestFit="1" customWidth="1"/>
    <col min="12555" max="12556" width="10.85546875" style="440" bestFit="1" customWidth="1"/>
    <col min="12557" max="12557" width="8.42578125" style="440" bestFit="1" customWidth="1"/>
    <col min="12558" max="12558" width="3.28515625" style="440" customWidth="1"/>
    <col min="12559" max="12559" width="11" style="440" bestFit="1" customWidth="1"/>
    <col min="12560" max="12560" width="11.28515625" style="440" bestFit="1" customWidth="1"/>
    <col min="12561" max="12561" width="12.42578125" style="440" bestFit="1" customWidth="1"/>
    <col min="12562" max="12562" width="10.28515625" style="440" customWidth="1"/>
    <col min="12563" max="12563" width="8.42578125" style="440" bestFit="1" customWidth="1"/>
    <col min="12564" max="12801" width="9.140625" style="440"/>
    <col min="12802" max="12802" width="10.5703125" style="440" customWidth="1"/>
    <col min="12803" max="12803" width="17.7109375" style="440" customWidth="1"/>
    <col min="12804" max="12804" width="11" style="440" bestFit="1" customWidth="1"/>
    <col min="12805" max="12805" width="10.42578125" style="440" bestFit="1" customWidth="1"/>
    <col min="12806" max="12806" width="11.140625" style="440" bestFit="1" customWidth="1"/>
    <col min="12807" max="12807" width="10.85546875" style="440" bestFit="1" customWidth="1"/>
    <col min="12808" max="12808" width="3.7109375" style="440" customWidth="1"/>
    <col min="12809" max="12809" width="11" style="440" bestFit="1" customWidth="1"/>
    <col min="12810" max="12810" width="11.140625" style="440" bestFit="1" customWidth="1"/>
    <col min="12811" max="12812" width="10.85546875" style="440" bestFit="1" customWidth="1"/>
    <col min="12813" max="12813" width="8.42578125" style="440" bestFit="1" customWidth="1"/>
    <col min="12814" max="12814" width="3.28515625" style="440" customWidth="1"/>
    <col min="12815" max="12815" width="11" style="440" bestFit="1" customWidth="1"/>
    <col min="12816" max="12816" width="11.28515625" style="440" bestFit="1" customWidth="1"/>
    <col min="12817" max="12817" width="12.42578125" style="440" bestFit="1" customWidth="1"/>
    <col min="12818" max="12818" width="10.28515625" style="440" customWidth="1"/>
    <col min="12819" max="12819" width="8.42578125" style="440" bestFit="1" customWidth="1"/>
    <col min="12820" max="13057" width="9.140625" style="440"/>
    <col min="13058" max="13058" width="10.5703125" style="440" customWidth="1"/>
    <col min="13059" max="13059" width="17.7109375" style="440" customWidth="1"/>
    <col min="13060" max="13060" width="11" style="440" bestFit="1" customWidth="1"/>
    <col min="13061" max="13061" width="10.42578125" style="440" bestFit="1" customWidth="1"/>
    <col min="13062" max="13062" width="11.140625" style="440" bestFit="1" customWidth="1"/>
    <col min="13063" max="13063" width="10.85546875" style="440" bestFit="1" customWidth="1"/>
    <col min="13064" max="13064" width="3.7109375" style="440" customWidth="1"/>
    <col min="13065" max="13065" width="11" style="440" bestFit="1" customWidth="1"/>
    <col min="13066" max="13066" width="11.140625" style="440" bestFit="1" customWidth="1"/>
    <col min="13067" max="13068" width="10.85546875" style="440" bestFit="1" customWidth="1"/>
    <col min="13069" max="13069" width="8.42578125" style="440" bestFit="1" customWidth="1"/>
    <col min="13070" max="13070" width="3.28515625" style="440" customWidth="1"/>
    <col min="13071" max="13071" width="11" style="440" bestFit="1" customWidth="1"/>
    <col min="13072" max="13072" width="11.28515625" style="440" bestFit="1" customWidth="1"/>
    <col min="13073" max="13073" width="12.42578125" style="440" bestFit="1" customWidth="1"/>
    <col min="13074" max="13074" width="10.28515625" style="440" customWidth="1"/>
    <col min="13075" max="13075" width="8.42578125" style="440" bestFit="1" customWidth="1"/>
    <col min="13076" max="13313" width="9.140625" style="440"/>
    <col min="13314" max="13314" width="10.5703125" style="440" customWidth="1"/>
    <col min="13315" max="13315" width="17.7109375" style="440" customWidth="1"/>
    <col min="13316" max="13316" width="11" style="440" bestFit="1" customWidth="1"/>
    <col min="13317" max="13317" width="10.42578125" style="440" bestFit="1" customWidth="1"/>
    <col min="13318" max="13318" width="11.140625" style="440" bestFit="1" customWidth="1"/>
    <col min="13319" max="13319" width="10.85546875" style="440" bestFit="1" customWidth="1"/>
    <col min="13320" max="13320" width="3.7109375" style="440" customWidth="1"/>
    <col min="13321" max="13321" width="11" style="440" bestFit="1" customWidth="1"/>
    <col min="13322" max="13322" width="11.140625" style="440" bestFit="1" customWidth="1"/>
    <col min="13323" max="13324" width="10.85546875" style="440" bestFit="1" customWidth="1"/>
    <col min="13325" max="13325" width="8.42578125" style="440" bestFit="1" customWidth="1"/>
    <col min="13326" max="13326" width="3.28515625" style="440" customWidth="1"/>
    <col min="13327" max="13327" width="11" style="440" bestFit="1" customWidth="1"/>
    <col min="13328" max="13328" width="11.28515625" style="440" bestFit="1" customWidth="1"/>
    <col min="13329" max="13329" width="12.42578125" style="440" bestFit="1" customWidth="1"/>
    <col min="13330" max="13330" width="10.28515625" style="440" customWidth="1"/>
    <col min="13331" max="13331" width="8.42578125" style="440" bestFit="1" customWidth="1"/>
    <col min="13332" max="13569" width="9.140625" style="440"/>
    <col min="13570" max="13570" width="10.5703125" style="440" customWidth="1"/>
    <col min="13571" max="13571" width="17.7109375" style="440" customWidth="1"/>
    <col min="13572" max="13572" width="11" style="440" bestFit="1" customWidth="1"/>
    <col min="13573" max="13573" width="10.42578125" style="440" bestFit="1" customWidth="1"/>
    <col min="13574" max="13574" width="11.140625" style="440" bestFit="1" customWidth="1"/>
    <col min="13575" max="13575" width="10.85546875" style="440" bestFit="1" customWidth="1"/>
    <col min="13576" max="13576" width="3.7109375" style="440" customWidth="1"/>
    <col min="13577" max="13577" width="11" style="440" bestFit="1" customWidth="1"/>
    <col min="13578" max="13578" width="11.140625" style="440" bestFit="1" customWidth="1"/>
    <col min="13579" max="13580" width="10.85546875" style="440" bestFit="1" customWidth="1"/>
    <col min="13581" max="13581" width="8.42578125" style="440" bestFit="1" customWidth="1"/>
    <col min="13582" max="13582" width="3.28515625" style="440" customWidth="1"/>
    <col min="13583" max="13583" width="11" style="440" bestFit="1" customWidth="1"/>
    <col min="13584" max="13584" width="11.28515625" style="440" bestFit="1" customWidth="1"/>
    <col min="13585" max="13585" width="12.42578125" style="440" bestFit="1" customWidth="1"/>
    <col min="13586" max="13586" width="10.28515625" style="440" customWidth="1"/>
    <col min="13587" max="13587" width="8.42578125" style="440" bestFit="1" customWidth="1"/>
    <col min="13588" max="13825" width="9.140625" style="440"/>
    <col min="13826" max="13826" width="10.5703125" style="440" customWidth="1"/>
    <col min="13827" max="13827" width="17.7109375" style="440" customWidth="1"/>
    <col min="13828" max="13828" width="11" style="440" bestFit="1" customWidth="1"/>
    <col min="13829" max="13829" width="10.42578125" style="440" bestFit="1" customWidth="1"/>
    <col min="13830" max="13830" width="11.140625" style="440" bestFit="1" customWidth="1"/>
    <col min="13831" max="13831" width="10.85546875" style="440" bestFit="1" customWidth="1"/>
    <col min="13832" max="13832" width="3.7109375" style="440" customWidth="1"/>
    <col min="13833" max="13833" width="11" style="440" bestFit="1" customWidth="1"/>
    <col min="13834" max="13834" width="11.140625" style="440" bestFit="1" customWidth="1"/>
    <col min="13835" max="13836" width="10.85546875" style="440" bestFit="1" customWidth="1"/>
    <col min="13837" max="13837" width="8.42578125" style="440" bestFit="1" customWidth="1"/>
    <col min="13838" max="13838" width="3.28515625" style="440" customWidth="1"/>
    <col min="13839" max="13839" width="11" style="440" bestFit="1" customWidth="1"/>
    <col min="13840" max="13840" width="11.28515625" style="440" bestFit="1" customWidth="1"/>
    <col min="13841" max="13841" width="12.42578125" style="440" bestFit="1" customWidth="1"/>
    <col min="13842" max="13842" width="10.28515625" style="440" customWidth="1"/>
    <col min="13843" max="13843" width="8.42578125" style="440" bestFit="1" customWidth="1"/>
    <col min="13844" max="14081" width="9.140625" style="440"/>
    <col min="14082" max="14082" width="10.5703125" style="440" customWidth="1"/>
    <col min="14083" max="14083" width="17.7109375" style="440" customWidth="1"/>
    <col min="14084" max="14084" width="11" style="440" bestFit="1" customWidth="1"/>
    <col min="14085" max="14085" width="10.42578125" style="440" bestFit="1" customWidth="1"/>
    <col min="14086" max="14086" width="11.140625" style="440" bestFit="1" customWidth="1"/>
    <col min="14087" max="14087" width="10.85546875" style="440" bestFit="1" customWidth="1"/>
    <col min="14088" max="14088" width="3.7109375" style="440" customWidth="1"/>
    <col min="14089" max="14089" width="11" style="440" bestFit="1" customWidth="1"/>
    <col min="14090" max="14090" width="11.140625" style="440" bestFit="1" customWidth="1"/>
    <col min="14091" max="14092" width="10.85546875" style="440" bestFit="1" customWidth="1"/>
    <col min="14093" max="14093" width="8.42578125" style="440" bestFit="1" customWidth="1"/>
    <col min="14094" max="14094" width="3.28515625" style="440" customWidth="1"/>
    <col min="14095" max="14095" width="11" style="440" bestFit="1" customWidth="1"/>
    <col min="14096" max="14096" width="11.28515625" style="440" bestFit="1" customWidth="1"/>
    <col min="14097" max="14097" width="12.42578125" style="440" bestFit="1" customWidth="1"/>
    <col min="14098" max="14098" width="10.28515625" style="440" customWidth="1"/>
    <col min="14099" max="14099" width="8.42578125" style="440" bestFit="1" customWidth="1"/>
    <col min="14100" max="14337" width="9.140625" style="440"/>
    <col min="14338" max="14338" width="10.5703125" style="440" customWidth="1"/>
    <col min="14339" max="14339" width="17.7109375" style="440" customWidth="1"/>
    <col min="14340" max="14340" width="11" style="440" bestFit="1" customWidth="1"/>
    <col min="14341" max="14341" width="10.42578125" style="440" bestFit="1" customWidth="1"/>
    <col min="14342" max="14342" width="11.140625" style="440" bestFit="1" customWidth="1"/>
    <col min="14343" max="14343" width="10.85546875" style="440" bestFit="1" customWidth="1"/>
    <col min="14344" max="14344" width="3.7109375" style="440" customWidth="1"/>
    <col min="14345" max="14345" width="11" style="440" bestFit="1" customWidth="1"/>
    <col min="14346" max="14346" width="11.140625" style="440" bestFit="1" customWidth="1"/>
    <col min="14347" max="14348" width="10.85546875" style="440" bestFit="1" customWidth="1"/>
    <col min="14349" max="14349" width="8.42578125" style="440" bestFit="1" customWidth="1"/>
    <col min="14350" max="14350" width="3.28515625" style="440" customWidth="1"/>
    <col min="14351" max="14351" width="11" style="440" bestFit="1" customWidth="1"/>
    <col min="14352" max="14352" width="11.28515625" style="440" bestFit="1" customWidth="1"/>
    <col min="14353" max="14353" width="12.42578125" style="440" bestFit="1" customWidth="1"/>
    <col min="14354" max="14354" width="10.28515625" style="440" customWidth="1"/>
    <col min="14355" max="14355" width="8.42578125" style="440" bestFit="1" customWidth="1"/>
    <col min="14356" max="14593" width="9.140625" style="440"/>
    <col min="14594" max="14594" width="10.5703125" style="440" customWidth="1"/>
    <col min="14595" max="14595" width="17.7109375" style="440" customWidth="1"/>
    <col min="14596" max="14596" width="11" style="440" bestFit="1" customWidth="1"/>
    <col min="14597" max="14597" width="10.42578125" style="440" bestFit="1" customWidth="1"/>
    <col min="14598" max="14598" width="11.140625" style="440" bestFit="1" customWidth="1"/>
    <col min="14599" max="14599" width="10.85546875" style="440" bestFit="1" customWidth="1"/>
    <col min="14600" max="14600" width="3.7109375" style="440" customWidth="1"/>
    <col min="14601" max="14601" width="11" style="440" bestFit="1" customWidth="1"/>
    <col min="14602" max="14602" width="11.140625" style="440" bestFit="1" customWidth="1"/>
    <col min="14603" max="14604" width="10.85546875" style="440" bestFit="1" customWidth="1"/>
    <col min="14605" max="14605" width="8.42578125" style="440" bestFit="1" customWidth="1"/>
    <col min="14606" max="14606" width="3.28515625" style="440" customWidth="1"/>
    <col min="14607" max="14607" width="11" style="440" bestFit="1" customWidth="1"/>
    <col min="14608" max="14608" width="11.28515625" style="440" bestFit="1" customWidth="1"/>
    <col min="14609" max="14609" width="12.42578125" style="440" bestFit="1" customWidth="1"/>
    <col min="14610" max="14610" width="10.28515625" style="440" customWidth="1"/>
    <col min="14611" max="14611" width="8.42578125" style="440" bestFit="1" customWidth="1"/>
    <col min="14612" max="14849" width="9.140625" style="440"/>
    <col min="14850" max="14850" width="10.5703125" style="440" customWidth="1"/>
    <col min="14851" max="14851" width="17.7109375" style="440" customWidth="1"/>
    <col min="14852" max="14852" width="11" style="440" bestFit="1" customWidth="1"/>
    <col min="14853" max="14853" width="10.42578125" style="440" bestFit="1" customWidth="1"/>
    <col min="14854" max="14854" width="11.140625" style="440" bestFit="1" customWidth="1"/>
    <col min="14855" max="14855" width="10.85546875" style="440" bestFit="1" customWidth="1"/>
    <col min="14856" max="14856" width="3.7109375" style="440" customWidth="1"/>
    <col min="14857" max="14857" width="11" style="440" bestFit="1" customWidth="1"/>
    <col min="14858" max="14858" width="11.140625" style="440" bestFit="1" customWidth="1"/>
    <col min="14859" max="14860" width="10.85546875" style="440" bestFit="1" customWidth="1"/>
    <col min="14861" max="14861" width="8.42578125" style="440" bestFit="1" customWidth="1"/>
    <col min="14862" max="14862" width="3.28515625" style="440" customWidth="1"/>
    <col min="14863" max="14863" width="11" style="440" bestFit="1" customWidth="1"/>
    <col min="14864" max="14864" width="11.28515625" style="440" bestFit="1" customWidth="1"/>
    <col min="14865" max="14865" width="12.42578125" style="440" bestFit="1" customWidth="1"/>
    <col min="14866" max="14866" width="10.28515625" style="440" customWidth="1"/>
    <col min="14867" max="14867" width="8.42578125" style="440" bestFit="1" customWidth="1"/>
    <col min="14868" max="15105" width="9.140625" style="440"/>
    <col min="15106" max="15106" width="10.5703125" style="440" customWidth="1"/>
    <col min="15107" max="15107" width="17.7109375" style="440" customWidth="1"/>
    <col min="15108" max="15108" width="11" style="440" bestFit="1" customWidth="1"/>
    <col min="15109" max="15109" width="10.42578125" style="440" bestFit="1" customWidth="1"/>
    <col min="15110" max="15110" width="11.140625" style="440" bestFit="1" customWidth="1"/>
    <col min="15111" max="15111" width="10.85546875" style="440" bestFit="1" customWidth="1"/>
    <col min="15112" max="15112" width="3.7109375" style="440" customWidth="1"/>
    <col min="15113" max="15113" width="11" style="440" bestFit="1" customWidth="1"/>
    <col min="15114" max="15114" width="11.140625" style="440" bestFit="1" customWidth="1"/>
    <col min="15115" max="15116" width="10.85546875" style="440" bestFit="1" customWidth="1"/>
    <col min="15117" max="15117" width="8.42578125" style="440" bestFit="1" customWidth="1"/>
    <col min="15118" max="15118" width="3.28515625" style="440" customWidth="1"/>
    <col min="15119" max="15119" width="11" style="440" bestFit="1" customWidth="1"/>
    <col min="15120" max="15120" width="11.28515625" style="440" bestFit="1" customWidth="1"/>
    <col min="15121" max="15121" width="12.42578125" style="440" bestFit="1" customWidth="1"/>
    <col min="15122" max="15122" width="10.28515625" style="440" customWidth="1"/>
    <col min="15123" max="15123" width="8.42578125" style="440" bestFit="1" customWidth="1"/>
    <col min="15124" max="15361" width="9.140625" style="440"/>
    <col min="15362" max="15362" width="10.5703125" style="440" customWidth="1"/>
    <col min="15363" max="15363" width="17.7109375" style="440" customWidth="1"/>
    <col min="15364" max="15364" width="11" style="440" bestFit="1" customWidth="1"/>
    <col min="15365" max="15365" width="10.42578125" style="440" bestFit="1" customWidth="1"/>
    <col min="15366" max="15366" width="11.140625" style="440" bestFit="1" customWidth="1"/>
    <col min="15367" max="15367" width="10.85546875" style="440" bestFit="1" customWidth="1"/>
    <col min="15368" max="15368" width="3.7109375" style="440" customWidth="1"/>
    <col min="15369" max="15369" width="11" style="440" bestFit="1" customWidth="1"/>
    <col min="15370" max="15370" width="11.140625" style="440" bestFit="1" customWidth="1"/>
    <col min="15371" max="15372" width="10.85546875" style="440" bestFit="1" customWidth="1"/>
    <col min="15373" max="15373" width="8.42578125" style="440" bestFit="1" customWidth="1"/>
    <col min="15374" max="15374" width="3.28515625" style="440" customWidth="1"/>
    <col min="15375" max="15375" width="11" style="440" bestFit="1" customWidth="1"/>
    <col min="15376" max="15376" width="11.28515625" style="440" bestFit="1" customWidth="1"/>
    <col min="15377" max="15377" width="12.42578125" style="440" bestFit="1" customWidth="1"/>
    <col min="15378" max="15378" width="10.28515625" style="440" customWidth="1"/>
    <col min="15379" max="15379" width="8.42578125" style="440" bestFit="1" customWidth="1"/>
    <col min="15380" max="15617" width="9.140625" style="440"/>
    <col min="15618" max="15618" width="10.5703125" style="440" customWidth="1"/>
    <col min="15619" max="15619" width="17.7109375" style="440" customWidth="1"/>
    <col min="15620" max="15620" width="11" style="440" bestFit="1" customWidth="1"/>
    <col min="15621" max="15621" width="10.42578125" style="440" bestFit="1" customWidth="1"/>
    <col min="15622" max="15622" width="11.140625" style="440" bestFit="1" customWidth="1"/>
    <col min="15623" max="15623" width="10.85546875" style="440" bestFit="1" customWidth="1"/>
    <col min="15624" max="15624" width="3.7109375" style="440" customWidth="1"/>
    <col min="15625" max="15625" width="11" style="440" bestFit="1" customWidth="1"/>
    <col min="15626" max="15626" width="11.140625" style="440" bestFit="1" customWidth="1"/>
    <col min="15627" max="15628" width="10.85546875" style="440" bestFit="1" customWidth="1"/>
    <col min="15629" max="15629" width="8.42578125" style="440" bestFit="1" customWidth="1"/>
    <col min="15630" max="15630" width="3.28515625" style="440" customWidth="1"/>
    <col min="15631" max="15631" width="11" style="440" bestFit="1" customWidth="1"/>
    <col min="15632" max="15632" width="11.28515625" style="440" bestFit="1" customWidth="1"/>
    <col min="15633" max="15633" width="12.42578125" style="440" bestFit="1" customWidth="1"/>
    <col min="15634" max="15634" width="10.28515625" style="440" customWidth="1"/>
    <col min="15635" max="15635" width="8.42578125" style="440" bestFit="1" customWidth="1"/>
    <col min="15636" max="15873" width="9.140625" style="440"/>
    <col min="15874" max="15874" width="10.5703125" style="440" customWidth="1"/>
    <col min="15875" max="15875" width="17.7109375" style="440" customWidth="1"/>
    <col min="15876" max="15876" width="11" style="440" bestFit="1" customWidth="1"/>
    <col min="15877" max="15877" width="10.42578125" style="440" bestFit="1" customWidth="1"/>
    <col min="15878" max="15878" width="11.140625" style="440" bestFit="1" customWidth="1"/>
    <col min="15879" max="15879" width="10.85546875" style="440" bestFit="1" customWidth="1"/>
    <col min="15880" max="15880" width="3.7109375" style="440" customWidth="1"/>
    <col min="15881" max="15881" width="11" style="440" bestFit="1" customWidth="1"/>
    <col min="15882" max="15882" width="11.140625" style="440" bestFit="1" customWidth="1"/>
    <col min="15883" max="15884" width="10.85546875" style="440" bestFit="1" customWidth="1"/>
    <col min="15885" max="15885" width="8.42578125" style="440" bestFit="1" customWidth="1"/>
    <col min="15886" max="15886" width="3.28515625" style="440" customWidth="1"/>
    <col min="15887" max="15887" width="11" style="440" bestFit="1" customWidth="1"/>
    <col min="15888" max="15888" width="11.28515625" style="440" bestFit="1" customWidth="1"/>
    <col min="15889" max="15889" width="12.42578125" style="440" bestFit="1" customWidth="1"/>
    <col min="15890" max="15890" width="10.28515625" style="440" customWidth="1"/>
    <col min="15891" max="15891" width="8.42578125" style="440" bestFit="1" customWidth="1"/>
    <col min="15892" max="16129" width="9.140625" style="440"/>
    <col min="16130" max="16130" width="10.5703125" style="440" customWidth="1"/>
    <col min="16131" max="16131" width="17.7109375" style="440" customWidth="1"/>
    <col min="16132" max="16132" width="11" style="440" bestFit="1" customWidth="1"/>
    <col min="16133" max="16133" width="10.42578125" style="440" bestFit="1" customWidth="1"/>
    <col min="16134" max="16134" width="11.140625" style="440" bestFit="1" customWidth="1"/>
    <col min="16135" max="16135" width="10.85546875" style="440" bestFit="1" customWidth="1"/>
    <col min="16136" max="16136" width="3.7109375" style="440" customWidth="1"/>
    <col min="16137" max="16137" width="11" style="440" bestFit="1" customWidth="1"/>
    <col min="16138" max="16138" width="11.140625" style="440" bestFit="1" customWidth="1"/>
    <col min="16139" max="16140" width="10.85546875" style="440" bestFit="1" customWidth="1"/>
    <col min="16141" max="16141" width="8.42578125" style="440" bestFit="1" customWidth="1"/>
    <col min="16142" max="16142" width="3.28515625" style="440" customWidth="1"/>
    <col min="16143" max="16143" width="11" style="440" bestFit="1" customWidth="1"/>
    <col min="16144" max="16144" width="11.28515625" style="440" bestFit="1" customWidth="1"/>
    <col min="16145" max="16145" width="12.42578125" style="440" bestFit="1" customWidth="1"/>
    <col min="16146" max="16146" width="10.28515625" style="440" customWidth="1"/>
    <col min="16147" max="16147" width="8.42578125" style="440" bestFit="1" customWidth="1"/>
    <col min="16148" max="16384" width="9.140625" style="440"/>
  </cols>
  <sheetData>
    <row r="1" spans="1:21" ht="23.25">
      <c r="A1" s="439" t="s">
        <v>287</v>
      </c>
      <c r="H1" s="441"/>
    </row>
    <row r="2" spans="1:21">
      <c r="H2" s="441"/>
    </row>
    <row r="3" spans="1:21">
      <c r="E3" s="442"/>
      <c r="F3" s="442"/>
      <c r="H3" s="443"/>
    </row>
    <row r="4" spans="1:21" ht="15">
      <c r="C4" s="444"/>
      <c r="D4" s="445" t="s">
        <v>288</v>
      </c>
      <c r="E4" s="442"/>
      <c r="F4" s="445" t="s">
        <v>324</v>
      </c>
      <c r="H4" s="443"/>
    </row>
    <row r="5" spans="1:21" ht="15">
      <c r="C5" s="446"/>
      <c r="D5" s="447" t="s">
        <v>289</v>
      </c>
      <c r="E5" s="442"/>
      <c r="F5" s="447" t="s">
        <v>289</v>
      </c>
      <c r="H5" s="442" t="s">
        <v>70</v>
      </c>
      <c r="I5" s="448" t="s">
        <v>17</v>
      </c>
      <c r="J5" s="443" t="s">
        <v>16</v>
      </c>
    </row>
    <row r="6" spans="1:21" ht="15.75">
      <c r="A6" s="449" t="s">
        <v>290</v>
      </c>
      <c r="C6" s="446"/>
      <c r="D6" s="447"/>
      <c r="E6" s="442"/>
      <c r="F6" s="442"/>
      <c r="H6" s="443"/>
    </row>
    <row r="7" spans="1:21" ht="14.25">
      <c r="A7" s="450" t="s">
        <v>291</v>
      </c>
      <c r="B7" s="451"/>
      <c r="E7" s="442"/>
      <c r="F7" s="442"/>
      <c r="H7" s="452"/>
      <c r="I7" s="376"/>
      <c r="J7" s="376"/>
      <c r="K7" s="376"/>
    </row>
    <row r="8" spans="1:21" ht="14.25">
      <c r="A8" s="453"/>
      <c r="B8" s="440" t="s">
        <v>292</v>
      </c>
      <c r="C8" s="454"/>
      <c r="D8" s="454">
        <v>21539.26</v>
      </c>
      <c r="E8" s="442"/>
      <c r="F8" s="455">
        <f>'2022-2023 Recy. Tons &amp; Revenue'!E98</f>
        <v>20689.150246525187</v>
      </c>
      <c r="H8" s="452"/>
      <c r="I8" s="376"/>
      <c r="J8" s="376"/>
      <c r="K8" s="376"/>
      <c r="U8" s="454"/>
    </row>
    <row r="9" spans="1:21" ht="14.25">
      <c r="A9" s="453"/>
      <c r="B9" s="440" t="s">
        <v>293</v>
      </c>
      <c r="C9" s="454"/>
      <c r="D9" s="454">
        <v>25053</v>
      </c>
      <c r="E9" s="442"/>
      <c r="F9" s="456">
        <f>+H9+I9+J9</f>
        <v>25825.31</v>
      </c>
      <c r="H9" s="63">
        <v>8690.57</v>
      </c>
      <c r="I9" s="63">
        <v>2604.5700000000002</v>
      </c>
      <c r="J9" s="63">
        <f>12242.87+2287.3</f>
        <v>14530.170000000002</v>
      </c>
      <c r="K9" s="376"/>
      <c r="U9" s="454"/>
    </row>
    <row r="10" spans="1:21" ht="16.5">
      <c r="A10" s="453"/>
      <c r="B10" s="440" t="s">
        <v>294</v>
      </c>
      <c r="C10" s="457"/>
      <c r="D10" s="458">
        <v>39680</v>
      </c>
      <c r="E10" s="442"/>
      <c r="F10" s="459">
        <f>+H10+I10+J10</f>
        <v>44580.65</v>
      </c>
      <c r="H10" s="63">
        <v>11727.96</v>
      </c>
      <c r="I10" s="63">
        <v>9599.5400000000009</v>
      </c>
      <c r="J10" s="63">
        <f>20093.56+3159.59</f>
        <v>23253.15</v>
      </c>
      <c r="K10" s="376"/>
      <c r="U10" s="460"/>
    </row>
    <row r="11" spans="1:21" ht="15">
      <c r="A11" s="461"/>
      <c r="B11" s="462" t="s">
        <v>295</v>
      </c>
      <c r="C11" s="463"/>
      <c r="D11" s="464">
        <f>SUM(D8:D10)</f>
        <v>86272.26</v>
      </c>
      <c r="E11" s="442"/>
      <c r="F11" s="464">
        <f>SUM(F8:F10)</f>
        <v>91095.11024652519</v>
      </c>
      <c r="H11" s="452"/>
      <c r="I11" s="376"/>
      <c r="J11" s="376"/>
      <c r="K11" s="376"/>
      <c r="U11" s="465"/>
    </row>
    <row r="12" spans="1:21" ht="14.25">
      <c r="A12" s="450" t="s">
        <v>296</v>
      </c>
      <c r="B12" s="451"/>
      <c r="E12" s="442"/>
      <c r="F12" s="442"/>
      <c r="H12" s="452"/>
      <c r="I12" s="376"/>
      <c r="J12" s="376"/>
      <c r="K12" s="376"/>
      <c r="U12" s="466"/>
    </row>
    <row r="13" spans="1:21" ht="14.25">
      <c r="A13" s="453"/>
      <c r="B13" s="440" t="s">
        <v>297</v>
      </c>
      <c r="D13" s="454">
        <v>2261.62</v>
      </c>
      <c r="E13" s="442"/>
      <c r="F13" s="456">
        <f>'2022-2023 Recy. Tons &amp; Revenue'!E129</f>
        <v>2411.607238687277</v>
      </c>
      <c r="H13" s="452"/>
      <c r="I13" s="376"/>
      <c r="J13" s="376"/>
      <c r="K13" s="376"/>
      <c r="U13" s="454"/>
    </row>
    <row r="14" spans="1:21" ht="14.25">
      <c r="A14" s="453"/>
      <c r="B14" s="440" t="s">
        <v>298</v>
      </c>
      <c r="D14" s="454">
        <v>38</v>
      </c>
      <c r="E14" s="442"/>
      <c r="F14" s="456">
        <f>+H14+I14+J14</f>
        <v>83.55</v>
      </c>
      <c r="H14" s="63">
        <v>36.29</v>
      </c>
      <c r="I14" s="63">
        <v>36.979999999999997</v>
      </c>
      <c r="J14" s="63">
        <f>3.36+6.92</f>
        <v>10.28</v>
      </c>
      <c r="K14" s="376"/>
      <c r="U14" s="454"/>
    </row>
    <row r="15" spans="1:21" ht="16.5">
      <c r="A15" s="453"/>
      <c r="B15" s="440" t="s">
        <v>299</v>
      </c>
      <c r="C15" s="467"/>
      <c r="D15" s="458">
        <v>8346</v>
      </c>
      <c r="E15" s="442"/>
      <c r="F15" s="459">
        <f>+H15+I15+J15</f>
        <v>9141.39</v>
      </c>
      <c r="H15" s="63">
        <v>6419.32</v>
      </c>
      <c r="I15" s="63">
        <v>343.34</v>
      </c>
      <c r="J15" s="63">
        <f>314.9+2063.83</f>
        <v>2378.73</v>
      </c>
      <c r="K15" s="376"/>
      <c r="U15" s="460"/>
    </row>
    <row r="16" spans="1:21" ht="16.5">
      <c r="A16" s="461"/>
      <c r="B16" s="451" t="s">
        <v>300</v>
      </c>
      <c r="C16" s="468"/>
      <c r="D16" s="464">
        <f>SUM(D13:D15)</f>
        <v>10645.619999999999</v>
      </c>
      <c r="E16" s="464"/>
      <c r="F16" s="464">
        <f t="shared" ref="F16" si="0">SUM(F13:F15)</f>
        <v>11636.547238687277</v>
      </c>
      <c r="H16" s="57"/>
      <c r="I16" s="376"/>
      <c r="J16" s="376"/>
      <c r="K16" s="376"/>
      <c r="U16" s="469"/>
    </row>
    <row r="17" spans="1:21" ht="15">
      <c r="A17" s="470" t="s">
        <v>301</v>
      </c>
      <c r="B17" s="471"/>
      <c r="C17" s="472"/>
      <c r="D17" s="473">
        <f>+D16+D11</f>
        <v>96917.87999999999</v>
      </c>
      <c r="E17" s="473"/>
      <c r="F17" s="473">
        <f t="shared" ref="F17" si="1">+F16+F11</f>
        <v>102731.65748521246</v>
      </c>
      <c r="H17" s="452"/>
      <c r="I17" s="376"/>
      <c r="J17" s="376"/>
      <c r="K17" s="376"/>
      <c r="U17" s="473"/>
    </row>
    <row r="18" spans="1:21" ht="15">
      <c r="A18" s="470"/>
      <c r="B18" s="471"/>
      <c r="C18" s="463"/>
      <c r="D18" s="474"/>
      <c r="E18" s="442"/>
      <c r="F18" s="442"/>
      <c r="H18" s="452"/>
      <c r="I18" s="376"/>
      <c r="J18" s="376"/>
      <c r="K18" s="376"/>
    </row>
    <row r="19" spans="1:21" ht="15">
      <c r="A19" s="475"/>
      <c r="B19" s="476" t="s">
        <v>302</v>
      </c>
      <c r="C19" s="472"/>
      <c r="D19" s="473">
        <f>+D8+D9+D13+D14</f>
        <v>48891.88</v>
      </c>
      <c r="E19" s="442"/>
      <c r="F19" s="473">
        <f>+F8+F9+F13+F14</f>
        <v>49009.617485212468</v>
      </c>
      <c r="H19" s="452"/>
      <c r="I19" s="376"/>
      <c r="J19" s="376"/>
      <c r="K19" s="376"/>
    </row>
    <row r="20" spans="1:21" ht="15">
      <c r="A20" s="475"/>
      <c r="B20" s="476" t="s">
        <v>303</v>
      </c>
      <c r="C20" s="477"/>
      <c r="D20" s="478">
        <f>+D19/D17</f>
        <v>0.50446708079045888</v>
      </c>
      <c r="E20" s="442"/>
      <c r="F20" s="478">
        <f>+F19/F17</f>
        <v>0.47706440920869086</v>
      </c>
      <c r="H20" s="452"/>
      <c r="I20" s="376"/>
      <c r="J20" s="376"/>
      <c r="K20" s="376"/>
    </row>
    <row r="21" spans="1:21" ht="15">
      <c r="A21" s="475"/>
      <c r="B21" s="476"/>
      <c r="C21" s="477"/>
      <c r="D21" s="478"/>
      <c r="E21" s="478"/>
      <c r="F21" s="478"/>
      <c r="G21" s="478"/>
      <c r="H21" s="452"/>
      <c r="I21" s="376"/>
      <c r="J21" s="376"/>
      <c r="K21" s="376"/>
    </row>
    <row r="22" spans="1:21" ht="15.75">
      <c r="A22" s="449" t="s">
        <v>304</v>
      </c>
      <c r="E22" s="479"/>
      <c r="F22" s="479"/>
      <c r="H22" s="57"/>
      <c r="I22" s="376"/>
      <c r="J22" s="376"/>
      <c r="K22" s="376"/>
    </row>
    <row r="23" spans="1:21">
      <c r="E23" s="539"/>
      <c r="F23" s="539"/>
      <c r="G23" s="539"/>
      <c r="H23" s="376"/>
      <c r="I23" s="540"/>
      <c r="J23" s="540"/>
      <c r="K23" s="540"/>
      <c r="O23" s="539"/>
      <c r="P23" s="539"/>
      <c r="Q23" s="539"/>
    </row>
    <row r="24" spans="1:21">
      <c r="E24" s="480" t="s">
        <v>305</v>
      </c>
      <c r="F24" s="480" t="s">
        <v>306</v>
      </c>
      <c r="G24" s="441"/>
      <c r="H24" s="376"/>
      <c r="I24" s="481"/>
      <c r="J24" s="481"/>
      <c r="K24" s="57"/>
      <c r="L24" s="480"/>
      <c r="O24" s="480"/>
      <c r="P24" s="480"/>
      <c r="Q24" s="441"/>
      <c r="R24" s="480"/>
    </row>
    <row r="25" spans="1:21">
      <c r="E25" s="442" t="s">
        <v>87</v>
      </c>
      <c r="F25" s="442" t="s">
        <v>87</v>
      </c>
      <c r="G25" s="482" t="s">
        <v>71</v>
      </c>
      <c r="H25" s="376"/>
      <c r="I25" s="483" t="s">
        <v>70</v>
      </c>
      <c r="J25" s="483" t="s">
        <v>17</v>
      </c>
      <c r="K25" s="483" t="s">
        <v>16</v>
      </c>
      <c r="O25" s="442"/>
      <c r="P25" s="442"/>
      <c r="Q25" s="442"/>
      <c r="R25" s="442"/>
    </row>
    <row r="26" spans="1:21">
      <c r="B26" s="440" t="s">
        <v>307</v>
      </c>
      <c r="E26" s="484">
        <v>40184</v>
      </c>
      <c r="F26" s="484">
        <f>+I26+J26+K26</f>
        <v>22690</v>
      </c>
      <c r="G26" s="454">
        <f>+F26+E26</f>
        <v>62874</v>
      </c>
      <c r="H26" s="376"/>
      <c r="I26" s="63">
        <v>7952</v>
      </c>
      <c r="J26" s="63">
        <v>2889</v>
      </c>
      <c r="K26" s="63">
        <v>11849</v>
      </c>
      <c r="O26" s="484"/>
      <c r="P26" s="484"/>
      <c r="Q26" s="485"/>
    </row>
    <row r="27" spans="1:21">
      <c r="E27" s="484"/>
      <c r="F27" s="484"/>
      <c r="G27" s="454"/>
      <c r="H27" s="376"/>
      <c r="I27" s="63"/>
      <c r="J27" s="63"/>
      <c r="K27" s="63"/>
      <c r="O27" s="484"/>
      <c r="P27" s="484"/>
      <c r="Q27" s="485"/>
    </row>
    <row r="28" spans="1:21">
      <c r="B28" s="440" t="s">
        <v>327</v>
      </c>
      <c r="E28" s="484">
        <f>'Customer Counts - Enspire'!D29+'Customer Counts - Enspire'!F29</f>
        <v>40496</v>
      </c>
      <c r="F28" s="484">
        <f>+I28+J28+K28</f>
        <v>23489</v>
      </c>
      <c r="G28" s="454">
        <f t="shared" ref="G28" si="2">+F28+E28</f>
        <v>63985</v>
      </c>
      <c r="H28" s="376"/>
      <c r="I28" s="63">
        <v>8162</v>
      </c>
      <c r="J28" s="63">
        <v>2959</v>
      </c>
      <c r="K28" s="63">
        <f>10348+2020</f>
        <v>12368</v>
      </c>
      <c r="O28" s="484"/>
      <c r="P28" s="484"/>
      <c r="Q28" s="485"/>
    </row>
    <row r="29" spans="1:21">
      <c r="H29" s="376"/>
      <c r="I29" s="376"/>
      <c r="J29" s="376"/>
      <c r="K29" s="376"/>
    </row>
    <row r="30" spans="1:21">
      <c r="B30" s="486" t="s">
        <v>308</v>
      </c>
      <c r="C30" s="486"/>
      <c r="D30" s="486"/>
      <c r="E30" s="487">
        <f>+E28/E26-1</f>
        <v>7.7642842922556188E-3</v>
      </c>
      <c r="F30" s="487">
        <f>+F28/F26-1</f>
        <v>3.5213750550903589E-2</v>
      </c>
      <c r="G30" s="487">
        <f>+G28/G26-1</f>
        <v>1.7670261157235023E-2</v>
      </c>
      <c r="H30" s="376"/>
      <c r="I30" s="376"/>
      <c r="J30" s="376"/>
      <c r="K30" s="376"/>
    </row>
    <row r="31" spans="1:21">
      <c r="H31" s="376"/>
      <c r="I31" s="376"/>
      <c r="J31" s="376"/>
      <c r="K31" s="376"/>
    </row>
    <row r="32" spans="1:21" ht="15.75">
      <c r="A32" s="488" t="s">
        <v>309</v>
      </c>
    </row>
    <row r="33" spans="1:13" ht="15.75">
      <c r="A33" s="488"/>
    </row>
    <row r="34" spans="1:13" ht="15.75">
      <c r="A34" s="489"/>
    </row>
    <row r="35" spans="1:13" ht="15.75">
      <c r="A35" s="489" t="s">
        <v>310</v>
      </c>
    </row>
    <row r="36" spans="1:13" ht="15.75">
      <c r="A36" s="489"/>
    </row>
    <row r="37" spans="1:13" ht="96" customHeight="1">
      <c r="A37" s="537" t="s">
        <v>329</v>
      </c>
      <c r="B37" s="538"/>
      <c r="C37" s="538"/>
      <c r="D37" s="538"/>
      <c r="E37" s="538"/>
      <c r="F37" s="538"/>
      <c r="G37" s="538"/>
      <c r="H37" s="538"/>
      <c r="I37" s="538"/>
      <c r="J37" s="538"/>
      <c r="K37" s="538"/>
      <c r="L37" s="538"/>
      <c r="M37" s="538"/>
    </row>
    <row r="38" spans="1:13" ht="12.75" customHeight="1">
      <c r="A38" s="490"/>
    </row>
    <row r="39" spans="1:13" ht="15.75">
      <c r="A39" s="490"/>
    </row>
    <row r="40" spans="1:13" ht="66" customHeight="1">
      <c r="A40" s="537" t="s">
        <v>311</v>
      </c>
      <c r="B40" s="538"/>
      <c r="C40" s="538"/>
      <c r="D40" s="538"/>
      <c r="E40" s="538"/>
      <c r="F40" s="538"/>
      <c r="G40" s="538"/>
      <c r="H40" s="538"/>
      <c r="I40" s="538"/>
      <c r="J40" s="538"/>
      <c r="K40" s="538"/>
      <c r="L40" s="538"/>
      <c r="M40" s="538"/>
    </row>
    <row r="41" spans="1:13" ht="15.75">
      <c r="A41" s="491"/>
      <c r="B41" s="492"/>
      <c r="C41" s="492"/>
      <c r="D41" s="492"/>
      <c r="E41" s="492"/>
      <c r="F41" s="492"/>
      <c r="G41" s="492"/>
      <c r="H41" s="492"/>
      <c r="I41" s="492"/>
      <c r="J41" s="492"/>
      <c r="K41" s="492"/>
      <c r="L41" s="492"/>
      <c r="M41" s="492"/>
    </row>
    <row r="43" spans="1:13" ht="53.25" customHeight="1">
      <c r="A43" s="537" t="s">
        <v>312</v>
      </c>
      <c r="B43" s="538"/>
      <c r="C43" s="538"/>
      <c r="D43" s="538"/>
      <c r="E43" s="538"/>
      <c r="F43" s="538"/>
      <c r="G43" s="538"/>
      <c r="H43" s="538"/>
      <c r="I43" s="538"/>
      <c r="J43" s="538"/>
      <c r="K43" s="538"/>
      <c r="L43" s="538"/>
      <c r="M43" s="538"/>
    </row>
    <row r="44" spans="1:13" ht="12.75" customHeight="1">
      <c r="A44" s="489"/>
    </row>
    <row r="45" spans="1:13" ht="12.75" customHeight="1"/>
    <row r="46" spans="1:13" ht="12.75" customHeight="1"/>
  </sheetData>
  <mergeCells count="6">
    <mergeCell ref="A43:M43"/>
    <mergeCell ref="E23:G23"/>
    <mergeCell ref="I23:K23"/>
    <mergeCell ref="O23:Q23"/>
    <mergeCell ref="A37:M37"/>
    <mergeCell ref="A40:M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629A-1F54-42BC-A849-1841485C1AC1}">
  <sheetPr>
    <tabColor rgb="FFFFFF00"/>
  </sheetPr>
  <dimension ref="A1:U49"/>
  <sheetViews>
    <sheetView workbookViewId="0">
      <selection activeCell="F34" sqref="F34"/>
    </sheetView>
  </sheetViews>
  <sheetFormatPr defaultRowHeight="12.75"/>
  <cols>
    <col min="1" max="1" width="9.140625" style="440"/>
    <col min="2" max="2" width="15.42578125" style="440" customWidth="1"/>
    <col min="3" max="3" width="19.42578125" style="440" customWidth="1"/>
    <col min="4" max="6" width="13" style="440" customWidth="1"/>
    <col min="7" max="7" width="10.28515625" style="440" bestFit="1" customWidth="1"/>
    <col min="8" max="8" width="11.140625" style="440" bestFit="1" customWidth="1"/>
    <col min="9" max="9" width="10.28515625" style="440" bestFit="1" customWidth="1"/>
    <col min="10" max="10" width="11.42578125" style="440" bestFit="1" customWidth="1"/>
    <col min="11" max="11" width="12.7109375" style="440" bestFit="1" customWidth="1"/>
    <col min="12" max="12" width="9.140625" style="440"/>
    <col min="13" max="13" width="11" style="440" bestFit="1" customWidth="1"/>
    <col min="14" max="14" width="9.140625" style="440"/>
    <col min="15" max="15" width="5" style="440" customWidth="1"/>
    <col min="16" max="16" width="11.140625" style="440" bestFit="1" customWidth="1"/>
    <col min="17" max="17" width="11" style="484" bestFit="1" customWidth="1"/>
    <col min="18" max="18" width="11" style="484" customWidth="1"/>
    <col min="19" max="19" width="12" style="484" bestFit="1" customWidth="1"/>
    <col min="20" max="20" width="2.5703125" style="484" customWidth="1"/>
    <col min="21" max="21" width="10.28515625" style="440" bestFit="1" customWidth="1"/>
    <col min="22" max="22" width="12.42578125" style="440" bestFit="1" customWidth="1"/>
    <col min="23" max="23" width="12.42578125" style="440" customWidth="1"/>
    <col min="24" max="24" width="12.28515625" style="440" bestFit="1" customWidth="1"/>
    <col min="25" max="262" width="9.140625" style="440"/>
    <col min="263" max="265" width="10.28515625" style="440" bestFit="1" customWidth="1"/>
    <col min="266" max="266" width="11.42578125" style="440" bestFit="1" customWidth="1"/>
    <col min="267" max="267" width="3" style="440" customWidth="1"/>
    <col min="268" max="268" width="9.140625" style="440"/>
    <col min="269" max="269" width="11" style="440" bestFit="1" customWidth="1"/>
    <col min="270" max="270" width="9.140625" style="440"/>
    <col min="271" max="271" width="5" style="440" customWidth="1"/>
    <col min="272" max="272" width="9.140625" style="440"/>
    <col min="273" max="273" width="11" style="440" bestFit="1" customWidth="1"/>
    <col min="274" max="274" width="11" style="440" customWidth="1"/>
    <col min="275" max="275" width="12" style="440" bestFit="1" customWidth="1"/>
    <col min="276" max="276" width="2.5703125" style="440" customWidth="1"/>
    <col min="277" max="277" width="10.28515625" style="440" bestFit="1" customWidth="1"/>
    <col min="278" max="278" width="12.42578125" style="440" bestFit="1" customWidth="1"/>
    <col min="279" max="279" width="12.42578125" style="440" customWidth="1"/>
    <col min="280" max="280" width="12.28515625" style="440" bestFit="1" customWidth="1"/>
    <col min="281" max="518" width="9.140625" style="440"/>
    <col min="519" max="521" width="10.28515625" style="440" bestFit="1" customWidth="1"/>
    <col min="522" max="522" width="11.42578125" style="440" bestFit="1" customWidth="1"/>
    <col min="523" max="523" width="3" style="440" customWidth="1"/>
    <col min="524" max="524" width="9.140625" style="440"/>
    <col min="525" max="525" width="11" style="440" bestFit="1" customWidth="1"/>
    <col min="526" max="526" width="9.140625" style="440"/>
    <col min="527" max="527" width="5" style="440" customWidth="1"/>
    <col min="528" max="528" width="9.140625" style="440"/>
    <col min="529" max="529" width="11" style="440" bestFit="1" customWidth="1"/>
    <col min="530" max="530" width="11" style="440" customWidth="1"/>
    <col min="531" max="531" width="12" style="440" bestFit="1" customWidth="1"/>
    <col min="532" max="532" width="2.5703125" style="440" customWidth="1"/>
    <col min="533" max="533" width="10.28515625" style="440" bestFit="1" customWidth="1"/>
    <col min="534" max="534" width="12.42578125" style="440" bestFit="1" customWidth="1"/>
    <col min="535" max="535" width="12.42578125" style="440" customWidth="1"/>
    <col min="536" max="536" width="12.28515625" style="440" bestFit="1" customWidth="1"/>
    <col min="537" max="774" width="9.140625" style="440"/>
    <col min="775" max="777" width="10.28515625" style="440" bestFit="1" customWidth="1"/>
    <col min="778" max="778" width="11.42578125" style="440" bestFit="1" customWidth="1"/>
    <col min="779" max="779" width="3" style="440" customWidth="1"/>
    <col min="780" max="780" width="9.140625" style="440"/>
    <col min="781" max="781" width="11" style="440" bestFit="1" customWidth="1"/>
    <col min="782" max="782" width="9.140625" style="440"/>
    <col min="783" max="783" width="5" style="440" customWidth="1"/>
    <col min="784" max="784" width="9.140625" style="440"/>
    <col min="785" max="785" width="11" style="440" bestFit="1" customWidth="1"/>
    <col min="786" max="786" width="11" style="440" customWidth="1"/>
    <col min="787" max="787" width="12" style="440" bestFit="1" customWidth="1"/>
    <col min="788" max="788" width="2.5703125" style="440" customWidth="1"/>
    <col min="789" max="789" width="10.28515625" style="440" bestFit="1" customWidth="1"/>
    <col min="790" max="790" width="12.42578125" style="440" bestFit="1" customWidth="1"/>
    <col min="791" max="791" width="12.42578125" style="440" customWidth="1"/>
    <col min="792" max="792" width="12.28515625" style="440" bestFit="1" customWidth="1"/>
    <col min="793" max="1030" width="9.140625" style="440"/>
    <col min="1031" max="1033" width="10.28515625" style="440" bestFit="1" customWidth="1"/>
    <col min="1034" max="1034" width="11.42578125" style="440" bestFit="1" customWidth="1"/>
    <col min="1035" max="1035" width="3" style="440" customWidth="1"/>
    <col min="1036" max="1036" width="9.140625" style="440"/>
    <col min="1037" max="1037" width="11" style="440" bestFit="1" customWidth="1"/>
    <col min="1038" max="1038" width="9.140625" style="440"/>
    <col min="1039" max="1039" width="5" style="440" customWidth="1"/>
    <col min="1040" max="1040" width="9.140625" style="440"/>
    <col min="1041" max="1041" width="11" style="440" bestFit="1" customWidth="1"/>
    <col min="1042" max="1042" width="11" style="440" customWidth="1"/>
    <col min="1043" max="1043" width="12" style="440" bestFit="1" customWidth="1"/>
    <col min="1044" max="1044" width="2.5703125" style="440" customWidth="1"/>
    <col min="1045" max="1045" width="10.28515625" style="440" bestFit="1" customWidth="1"/>
    <col min="1046" max="1046" width="12.42578125" style="440" bestFit="1" customWidth="1"/>
    <col min="1047" max="1047" width="12.42578125" style="440" customWidth="1"/>
    <col min="1048" max="1048" width="12.28515625" style="440" bestFit="1" customWidth="1"/>
    <col min="1049" max="1286" width="9.140625" style="440"/>
    <col min="1287" max="1289" width="10.28515625" style="440" bestFit="1" customWidth="1"/>
    <col min="1290" max="1290" width="11.42578125" style="440" bestFit="1" customWidth="1"/>
    <col min="1291" max="1291" width="3" style="440" customWidth="1"/>
    <col min="1292" max="1292" width="9.140625" style="440"/>
    <col min="1293" max="1293" width="11" style="440" bestFit="1" customWidth="1"/>
    <col min="1294" max="1294" width="9.140625" style="440"/>
    <col min="1295" max="1295" width="5" style="440" customWidth="1"/>
    <col min="1296" max="1296" width="9.140625" style="440"/>
    <col min="1297" max="1297" width="11" style="440" bestFit="1" customWidth="1"/>
    <col min="1298" max="1298" width="11" style="440" customWidth="1"/>
    <col min="1299" max="1299" width="12" style="440" bestFit="1" customWidth="1"/>
    <col min="1300" max="1300" width="2.5703125" style="440" customWidth="1"/>
    <col min="1301" max="1301" width="10.28515625" style="440" bestFit="1" customWidth="1"/>
    <col min="1302" max="1302" width="12.42578125" style="440" bestFit="1" customWidth="1"/>
    <col min="1303" max="1303" width="12.42578125" style="440" customWidth="1"/>
    <col min="1304" max="1304" width="12.28515625" style="440" bestFit="1" customWidth="1"/>
    <col min="1305" max="1542" width="9.140625" style="440"/>
    <col min="1543" max="1545" width="10.28515625" style="440" bestFit="1" customWidth="1"/>
    <col min="1546" max="1546" width="11.42578125" style="440" bestFit="1" customWidth="1"/>
    <col min="1547" max="1547" width="3" style="440" customWidth="1"/>
    <col min="1548" max="1548" width="9.140625" style="440"/>
    <col min="1549" max="1549" width="11" style="440" bestFit="1" customWidth="1"/>
    <col min="1550" max="1550" width="9.140625" style="440"/>
    <col min="1551" max="1551" width="5" style="440" customWidth="1"/>
    <col min="1552" max="1552" width="9.140625" style="440"/>
    <col min="1553" max="1553" width="11" style="440" bestFit="1" customWidth="1"/>
    <col min="1554" max="1554" width="11" style="440" customWidth="1"/>
    <col min="1555" max="1555" width="12" style="440" bestFit="1" customWidth="1"/>
    <col min="1556" max="1556" width="2.5703125" style="440" customWidth="1"/>
    <col min="1557" max="1557" width="10.28515625" style="440" bestFit="1" customWidth="1"/>
    <col min="1558" max="1558" width="12.42578125" style="440" bestFit="1" customWidth="1"/>
    <col min="1559" max="1559" width="12.42578125" style="440" customWidth="1"/>
    <col min="1560" max="1560" width="12.28515625" style="440" bestFit="1" customWidth="1"/>
    <col min="1561" max="1798" width="9.140625" style="440"/>
    <col min="1799" max="1801" width="10.28515625" style="440" bestFit="1" customWidth="1"/>
    <col min="1802" max="1802" width="11.42578125" style="440" bestFit="1" customWidth="1"/>
    <col min="1803" max="1803" width="3" style="440" customWidth="1"/>
    <col min="1804" max="1804" width="9.140625" style="440"/>
    <col min="1805" max="1805" width="11" style="440" bestFit="1" customWidth="1"/>
    <col min="1806" max="1806" width="9.140625" style="440"/>
    <col min="1807" max="1807" width="5" style="440" customWidth="1"/>
    <col min="1808" max="1808" width="9.140625" style="440"/>
    <col min="1809" max="1809" width="11" style="440" bestFit="1" customWidth="1"/>
    <col min="1810" max="1810" width="11" style="440" customWidth="1"/>
    <col min="1811" max="1811" width="12" style="440" bestFit="1" customWidth="1"/>
    <col min="1812" max="1812" width="2.5703125" style="440" customWidth="1"/>
    <col min="1813" max="1813" width="10.28515625" style="440" bestFit="1" customWidth="1"/>
    <col min="1814" max="1814" width="12.42578125" style="440" bestFit="1" customWidth="1"/>
    <col min="1815" max="1815" width="12.42578125" style="440" customWidth="1"/>
    <col min="1816" max="1816" width="12.28515625" style="440" bestFit="1" customWidth="1"/>
    <col min="1817" max="2054" width="9.140625" style="440"/>
    <col min="2055" max="2057" width="10.28515625" style="440" bestFit="1" customWidth="1"/>
    <col min="2058" max="2058" width="11.42578125" style="440" bestFit="1" customWidth="1"/>
    <col min="2059" max="2059" width="3" style="440" customWidth="1"/>
    <col min="2060" max="2060" width="9.140625" style="440"/>
    <col min="2061" max="2061" width="11" style="440" bestFit="1" customWidth="1"/>
    <col min="2062" max="2062" width="9.140625" style="440"/>
    <col min="2063" max="2063" width="5" style="440" customWidth="1"/>
    <col min="2064" max="2064" width="9.140625" style="440"/>
    <col min="2065" max="2065" width="11" style="440" bestFit="1" customWidth="1"/>
    <col min="2066" max="2066" width="11" style="440" customWidth="1"/>
    <col min="2067" max="2067" width="12" style="440" bestFit="1" customWidth="1"/>
    <col min="2068" max="2068" width="2.5703125" style="440" customWidth="1"/>
    <col min="2069" max="2069" width="10.28515625" style="440" bestFit="1" customWidth="1"/>
    <col min="2070" max="2070" width="12.42578125" style="440" bestFit="1" customWidth="1"/>
    <col min="2071" max="2071" width="12.42578125" style="440" customWidth="1"/>
    <col min="2072" max="2072" width="12.28515625" style="440" bestFit="1" customWidth="1"/>
    <col min="2073" max="2310" width="9.140625" style="440"/>
    <col min="2311" max="2313" width="10.28515625" style="440" bestFit="1" customWidth="1"/>
    <col min="2314" max="2314" width="11.42578125" style="440" bestFit="1" customWidth="1"/>
    <col min="2315" max="2315" width="3" style="440" customWidth="1"/>
    <col min="2316" max="2316" width="9.140625" style="440"/>
    <col min="2317" max="2317" width="11" style="440" bestFit="1" customWidth="1"/>
    <col min="2318" max="2318" width="9.140625" style="440"/>
    <col min="2319" max="2319" width="5" style="440" customWidth="1"/>
    <col min="2320" max="2320" width="9.140625" style="440"/>
    <col min="2321" max="2321" width="11" style="440" bestFit="1" customWidth="1"/>
    <col min="2322" max="2322" width="11" style="440" customWidth="1"/>
    <col min="2323" max="2323" width="12" style="440" bestFit="1" customWidth="1"/>
    <col min="2324" max="2324" width="2.5703125" style="440" customWidth="1"/>
    <col min="2325" max="2325" width="10.28515625" style="440" bestFit="1" customWidth="1"/>
    <col min="2326" max="2326" width="12.42578125" style="440" bestFit="1" customWidth="1"/>
    <col min="2327" max="2327" width="12.42578125" style="440" customWidth="1"/>
    <col min="2328" max="2328" width="12.28515625" style="440" bestFit="1" customWidth="1"/>
    <col min="2329" max="2566" width="9.140625" style="440"/>
    <col min="2567" max="2569" width="10.28515625" style="440" bestFit="1" customWidth="1"/>
    <col min="2570" max="2570" width="11.42578125" style="440" bestFit="1" customWidth="1"/>
    <col min="2571" max="2571" width="3" style="440" customWidth="1"/>
    <col min="2572" max="2572" width="9.140625" style="440"/>
    <col min="2573" max="2573" width="11" style="440" bestFit="1" customWidth="1"/>
    <col min="2574" max="2574" width="9.140625" style="440"/>
    <col min="2575" max="2575" width="5" style="440" customWidth="1"/>
    <col min="2576" max="2576" width="9.140625" style="440"/>
    <col min="2577" max="2577" width="11" style="440" bestFit="1" customWidth="1"/>
    <col min="2578" max="2578" width="11" style="440" customWidth="1"/>
    <col min="2579" max="2579" width="12" style="440" bestFit="1" customWidth="1"/>
    <col min="2580" max="2580" width="2.5703125" style="440" customWidth="1"/>
    <col min="2581" max="2581" width="10.28515625" style="440" bestFit="1" customWidth="1"/>
    <col min="2582" max="2582" width="12.42578125" style="440" bestFit="1" customWidth="1"/>
    <col min="2583" max="2583" width="12.42578125" style="440" customWidth="1"/>
    <col min="2584" max="2584" width="12.28515625" style="440" bestFit="1" customWidth="1"/>
    <col min="2585" max="2822" width="9.140625" style="440"/>
    <col min="2823" max="2825" width="10.28515625" style="440" bestFit="1" customWidth="1"/>
    <col min="2826" max="2826" width="11.42578125" style="440" bestFit="1" customWidth="1"/>
    <col min="2827" max="2827" width="3" style="440" customWidth="1"/>
    <col min="2828" max="2828" width="9.140625" style="440"/>
    <col min="2829" max="2829" width="11" style="440" bestFit="1" customWidth="1"/>
    <col min="2830" max="2830" width="9.140625" style="440"/>
    <col min="2831" max="2831" width="5" style="440" customWidth="1"/>
    <col min="2832" max="2832" width="9.140625" style="440"/>
    <col min="2833" max="2833" width="11" style="440" bestFit="1" customWidth="1"/>
    <col min="2834" max="2834" width="11" style="440" customWidth="1"/>
    <col min="2835" max="2835" width="12" style="440" bestFit="1" customWidth="1"/>
    <col min="2836" max="2836" width="2.5703125" style="440" customWidth="1"/>
    <col min="2837" max="2837" width="10.28515625" style="440" bestFit="1" customWidth="1"/>
    <col min="2838" max="2838" width="12.42578125" style="440" bestFit="1" customWidth="1"/>
    <col min="2839" max="2839" width="12.42578125" style="440" customWidth="1"/>
    <col min="2840" max="2840" width="12.28515625" style="440" bestFit="1" customWidth="1"/>
    <col min="2841" max="3078" width="9.140625" style="440"/>
    <col min="3079" max="3081" width="10.28515625" style="440" bestFit="1" customWidth="1"/>
    <col min="3082" max="3082" width="11.42578125" style="440" bestFit="1" customWidth="1"/>
    <col min="3083" max="3083" width="3" style="440" customWidth="1"/>
    <col min="3084" max="3084" width="9.140625" style="440"/>
    <col min="3085" max="3085" width="11" style="440" bestFit="1" customWidth="1"/>
    <col min="3086" max="3086" width="9.140625" style="440"/>
    <col min="3087" max="3087" width="5" style="440" customWidth="1"/>
    <col min="3088" max="3088" width="9.140625" style="440"/>
    <col min="3089" max="3089" width="11" style="440" bestFit="1" customWidth="1"/>
    <col min="3090" max="3090" width="11" style="440" customWidth="1"/>
    <col min="3091" max="3091" width="12" style="440" bestFit="1" customWidth="1"/>
    <col min="3092" max="3092" width="2.5703125" style="440" customWidth="1"/>
    <col min="3093" max="3093" width="10.28515625" style="440" bestFit="1" customWidth="1"/>
    <col min="3094" max="3094" width="12.42578125" style="440" bestFit="1" customWidth="1"/>
    <col min="3095" max="3095" width="12.42578125" style="440" customWidth="1"/>
    <col min="3096" max="3096" width="12.28515625" style="440" bestFit="1" customWidth="1"/>
    <col min="3097" max="3334" width="9.140625" style="440"/>
    <col min="3335" max="3337" width="10.28515625" style="440" bestFit="1" customWidth="1"/>
    <col min="3338" max="3338" width="11.42578125" style="440" bestFit="1" customWidth="1"/>
    <col min="3339" max="3339" width="3" style="440" customWidth="1"/>
    <col min="3340" max="3340" width="9.140625" style="440"/>
    <col min="3341" max="3341" width="11" style="440" bestFit="1" customWidth="1"/>
    <col min="3342" max="3342" width="9.140625" style="440"/>
    <col min="3343" max="3343" width="5" style="440" customWidth="1"/>
    <col min="3344" max="3344" width="9.140625" style="440"/>
    <col min="3345" max="3345" width="11" style="440" bestFit="1" customWidth="1"/>
    <col min="3346" max="3346" width="11" style="440" customWidth="1"/>
    <col min="3347" max="3347" width="12" style="440" bestFit="1" customWidth="1"/>
    <col min="3348" max="3348" width="2.5703125" style="440" customWidth="1"/>
    <col min="3349" max="3349" width="10.28515625" style="440" bestFit="1" customWidth="1"/>
    <col min="3350" max="3350" width="12.42578125" style="440" bestFit="1" customWidth="1"/>
    <col min="3351" max="3351" width="12.42578125" style="440" customWidth="1"/>
    <col min="3352" max="3352" width="12.28515625" style="440" bestFit="1" customWidth="1"/>
    <col min="3353" max="3590" width="9.140625" style="440"/>
    <col min="3591" max="3593" width="10.28515625" style="440" bestFit="1" customWidth="1"/>
    <col min="3594" max="3594" width="11.42578125" style="440" bestFit="1" customWidth="1"/>
    <col min="3595" max="3595" width="3" style="440" customWidth="1"/>
    <col min="3596" max="3596" width="9.140625" style="440"/>
    <col min="3597" max="3597" width="11" style="440" bestFit="1" customWidth="1"/>
    <col min="3598" max="3598" width="9.140625" style="440"/>
    <col min="3599" max="3599" width="5" style="440" customWidth="1"/>
    <col min="3600" max="3600" width="9.140625" style="440"/>
    <col min="3601" max="3601" width="11" style="440" bestFit="1" customWidth="1"/>
    <col min="3602" max="3602" width="11" style="440" customWidth="1"/>
    <col min="3603" max="3603" width="12" style="440" bestFit="1" customWidth="1"/>
    <col min="3604" max="3604" width="2.5703125" style="440" customWidth="1"/>
    <col min="3605" max="3605" width="10.28515625" style="440" bestFit="1" customWidth="1"/>
    <col min="3606" max="3606" width="12.42578125" style="440" bestFit="1" customWidth="1"/>
    <col min="3607" max="3607" width="12.42578125" style="440" customWidth="1"/>
    <col min="3608" max="3608" width="12.28515625" style="440" bestFit="1" customWidth="1"/>
    <col min="3609" max="3846" width="9.140625" style="440"/>
    <col min="3847" max="3849" width="10.28515625" style="440" bestFit="1" customWidth="1"/>
    <col min="3850" max="3850" width="11.42578125" style="440" bestFit="1" customWidth="1"/>
    <col min="3851" max="3851" width="3" style="440" customWidth="1"/>
    <col min="3852" max="3852" width="9.140625" style="440"/>
    <col min="3853" max="3853" width="11" style="440" bestFit="1" customWidth="1"/>
    <col min="3854" max="3854" width="9.140625" style="440"/>
    <col min="3855" max="3855" width="5" style="440" customWidth="1"/>
    <col min="3856" max="3856" width="9.140625" style="440"/>
    <col min="3857" max="3857" width="11" style="440" bestFit="1" customWidth="1"/>
    <col min="3858" max="3858" width="11" style="440" customWidth="1"/>
    <col min="3859" max="3859" width="12" style="440" bestFit="1" customWidth="1"/>
    <col min="3860" max="3860" width="2.5703125" style="440" customWidth="1"/>
    <col min="3861" max="3861" width="10.28515625" style="440" bestFit="1" customWidth="1"/>
    <col min="3862" max="3862" width="12.42578125" style="440" bestFit="1" customWidth="1"/>
    <col min="3863" max="3863" width="12.42578125" style="440" customWidth="1"/>
    <col min="3864" max="3864" width="12.28515625" style="440" bestFit="1" customWidth="1"/>
    <col min="3865" max="4102" width="9.140625" style="440"/>
    <col min="4103" max="4105" width="10.28515625" style="440" bestFit="1" customWidth="1"/>
    <col min="4106" max="4106" width="11.42578125" style="440" bestFit="1" customWidth="1"/>
    <col min="4107" max="4107" width="3" style="440" customWidth="1"/>
    <col min="4108" max="4108" width="9.140625" style="440"/>
    <col min="4109" max="4109" width="11" style="440" bestFit="1" customWidth="1"/>
    <col min="4110" max="4110" width="9.140625" style="440"/>
    <col min="4111" max="4111" width="5" style="440" customWidth="1"/>
    <col min="4112" max="4112" width="9.140625" style="440"/>
    <col min="4113" max="4113" width="11" style="440" bestFit="1" customWidth="1"/>
    <col min="4114" max="4114" width="11" style="440" customWidth="1"/>
    <col min="4115" max="4115" width="12" style="440" bestFit="1" customWidth="1"/>
    <col min="4116" max="4116" width="2.5703125" style="440" customWidth="1"/>
    <col min="4117" max="4117" width="10.28515625" style="440" bestFit="1" customWidth="1"/>
    <col min="4118" max="4118" width="12.42578125" style="440" bestFit="1" customWidth="1"/>
    <col min="4119" max="4119" width="12.42578125" style="440" customWidth="1"/>
    <col min="4120" max="4120" width="12.28515625" style="440" bestFit="1" customWidth="1"/>
    <col min="4121" max="4358" width="9.140625" style="440"/>
    <col min="4359" max="4361" width="10.28515625" style="440" bestFit="1" customWidth="1"/>
    <col min="4362" max="4362" width="11.42578125" style="440" bestFit="1" customWidth="1"/>
    <col min="4363" max="4363" width="3" style="440" customWidth="1"/>
    <col min="4364" max="4364" width="9.140625" style="440"/>
    <col min="4365" max="4365" width="11" style="440" bestFit="1" customWidth="1"/>
    <col min="4366" max="4366" width="9.140625" style="440"/>
    <col min="4367" max="4367" width="5" style="440" customWidth="1"/>
    <col min="4368" max="4368" width="9.140625" style="440"/>
    <col min="4369" max="4369" width="11" style="440" bestFit="1" customWidth="1"/>
    <col min="4370" max="4370" width="11" style="440" customWidth="1"/>
    <col min="4371" max="4371" width="12" style="440" bestFit="1" customWidth="1"/>
    <col min="4372" max="4372" width="2.5703125" style="440" customWidth="1"/>
    <col min="4373" max="4373" width="10.28515625" style="440" bestFit="1" customWidth="1"/>
    <col min="4374" max="4374" width="12.42578125" style="440" bestFit="1" customWidth="1"/>
    <col min="4375" max="4375" width="12.42578125" style="440" customWidth="1"/>
    <col min="4376" max="4376" width="12.28515625" style="440" bestFit="1" customWidth="1"/>
    <col min="4377" max="4614" width="9.140625" style="440"/>
    <col min="4615" max="4617" width="10.28515625" style="440" bestFit="1" customWidth="1"/>
    <col min="4618" max="4618" width="11.42578125" style="440" bestFit="1" customWidth="1"/>
    <col min="4619" max="4619" width="3" style="440" customWidth="1"/>
    <col min="4620" max="4620" width="9.140625" style="440"/>
    <col min="4621" max="4621" width="11" style="440" bestFit="1" customWidth="1"/>
    <col min="4622" max="4622" width="9.140625" style="440"/>
    <col min="4623" max="4623" width="5" style="440" customWidth="1"/>
    <col min="4624" max="4624" width="9.140625" style="440"/>
    <col min="4625" max="4625" width="11" style="440" bestFit="1" customWidth="1"/>
    <col min="4626" max="4626" width="11" style="440" customWidth="1"/>
    <col min="4627" max="4627" width="12" style="440" bestFit="1" customWidth="1"/>
    <col min="4628" max="4628" width="2.5703125" style="440" customWidth="1"/>
    <col min="4629" max="4629" width="10.28515625" style="440" bestFit="1" customWidth="1"/>
    <col min="4630" max="4630" width="12.42578125" style="440" bestFit="1" customWidth="1"/>
    <col min="4631" max="4631" width="12.42578125" style="440" customWidth="1"/>
    <col min="4632" max="4632" width="12.28515625" style="440" bestFit="1" customWidth="1"/>
    <col min="4633" max="4870" width="9.140625" style="440"/>
    <col min="4871" max="4873" width="10.28515625" style="440" bestFit="1" customWidth="1"/>
    <col min="4874" max="4874" width="11.42578125" style="440" bestFit="1" customWidth="1"/>
    <col min="4875" max="4875" width="3" style="440" customWidth="1"/>
    <col min="4876" max="4876" width="9.140625" style="440"/>
    <col min="4877" max="4877" width="11" style="440" bestFit="1" customWidth="1"/>
    <col min="4878" max="4878" width="9.140625" style="440"/>
    <col min="4879" max="4879" width="5" style="440" customWidth="1"/>
    <col min="4880" max="4880" width="9.140625" style="440"/>
    <col min="4881" max="4881" width="11" style="440" bestFit="1" customWidth="1"/>
    <col min="4882" max="4882" width="11" style="440" customWidth="1"/>
    <col min="4883" max="4883" width="12" style="440" bestFit="1" customWidth="1"/>
    <col min="4884" max="4884" width="2.5703125" style="440" customWidth="1"/>
    <col min="4885" max="4885" width="10.28515625" style="440" bestFit="1" customWidth="1"/>
    <col min="4886" max="4886" width="12.42578125" style="440" bestFit="1" customWidth="1"/>
    <col min="4887" max="4887" width="12.42578125" style="440" customWidth="1"/>
    <col min="4888" max="4888" width="12.28515625" style="440" bestFit="1" customWidth="1"/>
    <col min="4889" max="5126" width="9.140625" style="440"/>
    <col min="5127" max="5129" width="10.28515625" style="440" bestFit="1" customWidth="1"/>
    <col min="5130" max="5130" width="11.42578125" style="440" bestFit="1" customWidth="1"/>
    <col min="5131" max="5131" width="3" style="440" customWidth="1"/>
    <col min="5132" max="5132" width="9.140625" style="440"/>
    <col min="5133" max="5133" width="11" style="440" bestFit="1" customWidth="1"/>
    <col min="5134" max="5134" width="9.140625" style="440"/>
    <col min="5135" max="5135" width="5" style="440" customWidth="1"/>
    <col min="5136" max="5136" width="9.140625" style="440"/>
    <col min="5137" max="5137" width="11" style="440" bestFit="1" customWidth="1"/>
    <col min="5138" max="5138" width="11" style="440" customWidth="1"/>
    <col min="5139" max="5139" width="12" style="440" bestFit="1" customWidth="1"/>
    <col min="5140" max="5140" width="2.5703125" style="440" customWidth="1"/>
    <col min="5141" max="5141" width="10.28515625" style="440" bestFit="1" customWidth="1"/>
    <col min="5142" max="5142" width="12.42578125" style="440" bestFit="1" customWidth="1"/>
    <col min="5143" max="5143" width="12.42578125" style="440" customWidth="1"/>
    <col min="5144" max="5144" width="12.28515625" style="440" bestFit="1" customWidth="1"/>
    <col min="5145" max="5382" width="9.140625" style="440"/>
    <col min="5383" max="5385" width="10.28515625" style="440" bestFit="1" customWidth="1"/>
    <col min="5386" max="5386" width="11.42578125" style="440" bestFit="1" customWidth="1"/>
    <col min="5387" max="5387" width="3" style="440" customWidth="1"/>
    <col min="5388" max="5388" width="9.140625" style="440"/>
    <col min="5389" max="5389" width="11" style="440" bestFit="1" customWidth="1"/>
    <col min="5390" max="5390" width="9.140625" style="440"/>
    <col min="5391" max="5391" width="5" style="440" customWidth="1"/>
    <col min="5392" max="5392" width="9.140625" style="440"/>
    <col min="5393" max="5393" width="11" style="440" bestFit="1" customWidth="1"/>
    <col min="5394" max="5394" width="11" style="440" customWidth="1"/>
    <col min="5395" max="5395" width="12" style="440" bestFit="1" customWidth="1"/>
    <col min="5396" max="5396" width="2.5703125" style="440" customWidth="1"/>
    <col min="5397" max="5397" width="10.28515625" style="440" bestFit="1" customWidth="1"/>
    <col min="5398" max="5398" width="12.42578125" style="440" bestFit="1" customWidth="1"/>
    <col min="5399" max="5399" width="12.42578125" style="440" customWidth="1"/>
    <col min="5400" max="5400" width="12.28515625" style="440" bestFit="1" customWidth="1"/>
    <col min="5401" max="5638" width="9.140625" style="440"/>
    <col min="5639" max="5641" width="10.28515625" style="440" bestFit="1" customWidth="1"/>
    <col min="5642" max="5642" width="11.42578125" style="440" bestFit="1" customWidth="1"/>
    <col min="5643" max="5643" width="3" style="440" customWidth="1"/>
    <col min="5644" max="5644" width="9.140625" style="440"/>
    <col min="5645" max="5645" width="11" style="440" bestFit="1" customWidth="1"/>
    <col min="5646" max="5646" width="9.140625" style="440"/>
    <col min="5647" max="5647" width="5" style="440" customWidth="1"/>
    <col min="5648" max="5648" width="9.140625" style="440"/>
    <col min="5649" max="5649" width="11" style="440" bestFit="1" customWidth="1"/>
    <col min="5650" max="5650" width="11" style="440" customWidth="1"/>
    <col min="5651" max="5651" width="12" style="440" bestFit="1" customWidth="1"/>
    <col min="5652" max="5652" width="2.5703125" style="440" customWidth="1"/>
    <col min="5653" max="5653" width="10.28515625" style="440" bestFit="1" customWidth="1"/>
    <col min="5654" max="5654" width="12.42578125" style="440" bestFit="1" customWidth="1"/>
    <col min="5655" max="5655" width="12.42578125" style="440" customWidth="1"/>
    <col min="5656" max="5656" width="12.28515625" style="440" bestFit="1" customWidth="1"/>
    <col min="5657" max="5894" width="9.140625" style="440"/>
    <col min="5895" max="5897" width="10.28515625" style="440" bestFit="1" customWidth="1"/>
    <col min="5898" max="5898" width="11.42578125" style="440" bestFit="1" customWidth="1"/>
    <col min="5899" max="5899" width="3" style="440" customWidth="1"/>
    <col min="5900" max="5900" width="9.140625" style="440"/>
    <col min="5901" max="5901" width="11" style="440" bestFit="1" customWidth="1"/>
    <col min="5902" max="5902" width="9.140625" style="440"/>
    <col min="5903" max="5903" width="5" style="440" customWidth="1"/>
    <col min="5904" max="5904" width="9.140625" style="440"/>
    <col min="5905" max="5905" width="11" style="440" bestFit="1" customWidth="1"/>
    <col min="5906" max="5906" width="11" style="440" customWidth="1"/>
    <col min="5907" max="5907" width="12" style="440" bestFit="1" customWidth="1"/>
    <col min="5908" max="5908" width="2.5703125" style="440" customWidth="1"/>
    <col min="5909" max="5909" width="10.28515625" style="440" bestFit="1" customWidth="1"/>
    <col min="5910" max="5910" width="12.42578125" style="440" bestFit="1" customWidth="1"/>
    <col min="5911" max="5911" width="12.42578125" style="440" customWidth="1"/>
    <col min="5912" max="5912" width="12.28515625" style="440" bestFit="1" customWidth="1"/>
    <col min="5913" max="6150" width="9.140625" style="440"/>
    <col min="6151" max="6153" width="10.28515625" style="440" bestFit="1" customWidth="1"/>
    <col min="6154" max="6154" width="11.42578125" style="440" bestFit="1" customWidth="1"/>
    <col min="6155" max="6155" width="3" style="440" customWidth="1"/>
    <col min="6156" max="6156" width="9.140625" style="440"/>
    <col min="6157" max="6157" width="11" style="440" bestFit="1" customWidth="1"/>
    <col min="6158" max="6158" width="9.140625" style="440"/>
    <col min="6159" max="6159" width="5" style="440" customWidth="1"/>
    <col min="6160" max="6160" width="9.140625" style="440"/>
    <col min="6161" max="6161" width="11" style="440" bestFit="1" customWidth="1"/>
    <col min="6162" max="6162" width="11" style="440" customWidth="1"/>
    <col min="6163" max="6163" width="12" style="440" bestFit="1" customWidth="1"/>
    <col min="6164" max="6164" width="2.5703125" style="440" customWidth="1"/>
    <col min="6165" max="6165" width="10.28515625" style="440" bestFit="1" customWidth="1"/>
    <col min="6166" max="6166" width="12.42578125" style="440" bestFit="1" customWidth="1"/>
    <col min="6167" max="6167" width="12.42578125" style="440" customWidth="1"/>
    <col min="6168" max="6168" width="12.28515625" style="440" bestFit="1" customWidth="1"/>
    <col min="6169" max="6406" width="9.140625" style="440"/>
    <col min="6407" max="6409" width="10.28515625" style="440" bestFit="1" customWidth="1"/>
    <col min="6410" max="6410" width="11.42578125" style="440" bestFit="1" customWidth="1"/>
    <col min="6411" max="6411" width="3" style="440" customWidth="1"/>
    <col min="6412" max="6412" width="9.140625" style="440"/>
    <col min="6413" max="6413" width="11" style="440" bestFit="1" customWidth="1"/>
    <col min="6414" max="6414" width="9.140625" style="440"/>
    <col min="6415" max="6415" width="5" style="440" customWidth="1"/>
    <col min="6416" max="6416" width="9.140625" style="440"/>
    <col min="6417" max="6417" width="11" style="440" bestFit="1" customWidth="1"/>
    <col min="6418" max="6418" width="11" style="440" customWidth="1"/>
    <col min="6419" max="6419" width="12" style="440" bestFit="1" customWidth="1"/>
    <col min="6420" max="6420" width="2.5703125" style="440" customWidth="1"/>
    <col min="6421" max="6421" width="10.28515625" style="440" bestFit="1" customWidth="1"/>
    <col min="6422" max="6422" width="12.42578125" style="440" bestFit="1" customWidth="1"/>
    <col min="6423" max="6423" width="12.42578125" style="440" customWidth="1"/>
    <col min="6424" max="6424" width="12.28515625" style="440" bestFit="1" customWidth="1"/>
    <col min="6425" max="6662" width="9.140625" style="440"/>
    <col min="6663" max="6665" width="10.28515625" style="440" bestFit="1" customWidth="1"/>
    <col min="6666" max="6666" width="11.42578125" style="440" bestFit="1" customWidth="1"/>
    <col min="6667" max="6667" width="3" style="440" customWidth="1"/>
    <col min="6668" max="6668" width="9.140625" style="440"/>
    <col min="6669" max="6669" width="11" style="440" bestFit="1" customWidth="1"/>
    <col min="6670" max="6670" width="9.140625" style="440"/>
    <col min="6671" max="6671" width="5" style="440" customWidth="1"/>
    <col min="6672" max="6672" width="9.140625" style="440"/>
    <col min="6673" max="6673" width="11" style="440" bestFit="1" customWidth="1"/>
    <col min="6674" max="6674" width="11" style="440" customWidth="1"/>
    <col min="6675" max="6675" width="12" style="440" bestFit="1" customWidth="1"/>
    <col min="6676" max="6676" width="2.5703125" style="440" customWidth="1"/>
    <col min="6677" max="6677" width="10.28515625" style="440" bestFit="1" customWidth="1"/>
    <col min="6678" max="6678" width="12.42578125" style="440" bestFit="1" customWidth="1"/>
    <col min="6679" max="6679" width="12.42578125" style="440" customWidth="1"/>
    <col min="6680" max="6680" width="12.28515625" style="440" bestFit="1" customWidth="1"/>
    <col min="6681" max="6918" width="9.140625" style="440"/>
    <col min="6919" max="6921" width="10.28515625" style="440" bestFit="1" customWidth="1"/>
    <col min="6922" max="6922" width="11.42578125" style="440" bestFit="1" customWidth="1"/>
    <col min="6923" max="6923" width="3" style="440" customWidth="1"/>
    <col min="6924" max="6924" width="9.140625" style="440"/>
    <col min="6925" max="6925" width="11" style="440" bestFit="1" customWidth="1"/>
    <col min="6926" max="6926" width="9.140625" style="440"/>
    <col min="6927" max="6927" width="5" style="440" customWidth="1"/>
    <col min="6928" max="6928" width="9.140625" style="440"/>
    <col min="6929" max="6929" width="11" style="440" bestFit="1" customWidth="1"/>
    <col min="6930" max="6930" width="11" style="440" customWidth="1"/>
    <col min="6931" max="6931" width="12" style="440" bestFit="1" customWidth="1"/>
    <col min="6932" max="6932" width="2.5703125" style="440" customWidth="1"/>
    <col min="6933" max="6933" width="10.28515625" style="440" bestFit="1" customWidth="1"/>
    <col min="6934" max="6934" width="12.42578125" style="440" bestFit="1" customWidth="1"/>
    <col min="6935" max="6935" width="12.42578125" style="440" customWidth="1"/>
    <col min="6936" max="6936" width="12.28515625" style="440" bestFit="1" customWidth="1"/>
    <col min="6937" max="7174" width="9.140625" style="440"/>
    <col min="7175" max="7177" width="10.28515625" style="440" bestFit="1" customWidth="1"/>
    <col min="7178" max="7178" width="11.42578125" style="440" bestFit="1" customWidth="1"/>
    <col min="7179" max="7179" width="3" style="440" customWidth="1"/>
    <col min="7180" max="7180" width="9.140625" style="440"/>
    <col min="7181" max="7181" width="11" style="440" bestFit="1" customWidth="1"/>
    <col min="7182" max="7182" width="9.140625" style="440"/>
    <col min="7183" max="7183" width="5" style="440" customWidth="1"/>
    <col min="7184" max="7184" width="9.140625" style="440"/>
    <col min="7185" max="7185" width="11" style="440" bestFit="1" customWidth="1"/>
    <col min="7186" max="7186" width="11" style="440" customWidth="1"/>
    <col min="7187" max="7187" width="12" style="440" bestFit="1" customWidth="1"/>
    <col min="7188" max="7188" width="2.5703125" style="440" customWidth="1"/>
    <col min="7189" max="7189" width="10.28515625" style="440" bestFit="1" customWidth="1"/>
    <col min="7190" max="7190" width="12.42578125" style="440" bestFit="1" customWidth="1"/>
    <col min="7191" max="7191" width="12.42578125" style="440" customWidth="1"/>
    <col min="7192" max="7192" width="12.28515625" style="440" bestFit="1" customWidth="1"/>
    <col min="7193" max="7430" width="9.140625" style="440"/>
    <col min="7431" max="7433" width="10.28515625" style="440" bestFit="1" customWidth="1"/>
    <col min="7434" max="7434" width="11.42578125" style="440" bestFit="1" customWidth="1"/>
    <col min="7435" max="7435" width="3" style="440" customWidth="1"/>
    <col min="7436" max="7436" width="9.140625" style="440"/>
    <col min="7437" max="7437" width="11" style="440" bestFit="1" customWidth="1"/>
    <col min="7438" max="7438" width="9.140625" style="440"/>
    <col min="7439" max="7439" width="5" style="440" customWidth="1"/>
    <col min="7440" max="7440" width="9.140625" style="440"/>
    <col min="7441" max="7441" width="11" style="440" bestFit="1" customWidth="1"/>
    <col min="7442" max="7442" width="11" style="440" customWidth="1"/>
    <col min="7443" max="7443" width="12" style="440" bestFit="1" customWidth="1"/>
    <col min="7444" max="7444" width="2.5703125" style="440" customWidth="1"/>
    <col min="7445" max="7445" width="10.28515625" style="440" bestFit="1" customWidth="1"/>
    <col min="7446" max="7446" width="12.42578125" style="440" bestFit="1" customWidth="1"/>
    <col min="7447" max="7447" width="12.42578125" style="440" customWidth="1"/>
    <col min="7448" max="7448" width="12.28515625" style="440" bestFit="1" customWidth="1"/>
    <col min="7449" max="7686" width="9.140625" style="440"/>
    <col min="7687" max="7689" width="10.28515625" style="440" bestFit="1" customWidth="1"/>
    <col min="7690" max="7690" width="11.42578125" style="440" bestFit="1" customWidth="1"/>
    <col min="7691" max="7691" width="3" style="440" customWidth="1"/>
    <col min="7692" max="7692" width="9.140625" style="440"/>
    <col min="7693" max="7693" width="11" style="440" bestFit="1" customWidth="1"/>
    <col min="7694" max="7694" width="9.140625" style="440"/>
    <col min="7695" max="7695" width="5" style="440" customWidth="1"/>
    <col min="7696" max="7696" width="9.140625" style="440"/>
    <col min="7697" max="7697" width="11" style="440" bestFit="1" customWidth="1"/>
    <col min="7698" max="7698" width="11" style="440" customWidth="1"/>
    <col min="7699" max="7699" width="12" style="440" bestFit="1" customWidth="1"/>
    <col min="7700" max="7700" width="2.5703125" style="440" customWidth="1"/>
    <col min="7701" max="7701" width="10.28515625" style="440" bestFit="1" customWidth="1"/>
    <col min="7702" max="7702" width="12.42578125" style="440" bestFit="1" customWidth="1"/>
    <col min="7703" max="7703" width="12.42578125" style="440" customWidth="1"/>
    <col min="7704" max="7704" width="12.28515625" style="440" bestFit="1" customWidth="1"/>
    <col min="7705" max="7942" width="9.140625" style="440"/>
    <col min="7943" max="7945" width="10.28515625" style="440" bestFit="1" customWidth="1"/>
    <col min="7946" max="7946" width="11.42578125" style="440" bestFit="1" customWidth="1"/>
    <col min="7947" max="7947" width="3" style="440" customWidth="1"/>
    <col min="7948" max="7948" width="9.140625" style="440"/>
    <col min="7949" max="7949" width="11" style="440" bestFit="1" customWidth="1"/>
    <col min="7950" max="7950" width="9.140625" style="440"/>
    <col min="7951" max="7951" width="5" style="440" customWidth="1"/>
    <col min="7952" max="7952" width="9.140625" style="440"/>
    <col min="7953" max="7953" width="11" style="440" bestFit="1" customWidth="1"/>
    <col min="7954" max="7954" width="11" style="440" customWidth="1"/>
    <col min="7955" max="7955" width="12" style="440" bestFit="1" customWidth="1"/>
    <col min="7956" max="7956" width="2.5703125" style="440" customWidth="1"/>
    <col min="7957" max="7957" width="10.28515625" style="440" bestFit="1" customWidth="1"/>
    <col min="7958" max="7958" width="12.42578125" style="440" bestFit="1" customWidth="1"/>
    <col min="7959" max="7959" width="12.42578125" style="440" customWidth="1"/>
    <col min="7960" max="7960" width="12.28515625" style="440" bestFit="1" customWidth="1"/>
    <col min="7961" max="8198" width="9.140625" style="440"/>
    <col min="8199" max="8201" width="10.28515625" style="440" bestFit="1" customWidth="1"/>
    <col min="8202" max="8202" width="11.42578125" style="440" bestFit="1" customWidth="1"/>
    <col min="8203" max="8203" width="3" style="440" customWidth="1"/>
    <col min="8204" max="8204" width="9.140625" style="440"/>
    <col min="8205" max="8205" width="11" style="440" bestFit="1" customWidth="1"/>
    <col min="8206" max="8206" width="9.140625" style="440"/>
    <col min="8207" max="8207" width="5" style="440" customWidth="1"/>
    <col min="8208" max="8208" width="9.140625" style="440"/>
    <col min="8209" max="8209" width="11" style="440" bestFit="1" customWidth="1"/>
    <col min="8210" max="8210" width="11" style="440" customWidth="1"/>
    <col min="8211" max="8211" width="12" style="440" bestFit="1" customWidth="1"/>
    <col min="8212" max="8212" width="2.5703125" style="440" customWidth="1"/>
    <col min="8213" max="8213" width="10.28515625" style="440" bestFit="1" customWidth="1"/>
    <col min="8214" max="8214" width="12.42578125" style="440" bestFit="1" customWidth="1"/>
    <col min="8215" max="8215" width="12.42578125" style="440" customWidth="1"/>
    <col min="8216" max="8216" width="12.28515625" style="440" bestFit="1" customWidth="1"/>
    <col min="8217" max="8454" width="9.140625" style="440"/>
    <col min="8455" max="8457" width="10.28515625" style="440" bestFit="1" customWidth="1"/>
    <col min="8458" max="8458" width="11.42578125" style="440" bestFit="1" customWidth="1"/>
    <col min="8459" max="8459" width="3" style="440" customWidth="1"/>
    <col min="8460" max="8460" width="9.140625" style="440"/>
    <col min="8461" max="8461" width="11" style="440" bestFit="1" customWidth="1"/>
    <col min="8462" max="8462" width="9.140625" style="440"/>
    <col min="8463" max="8463" width="5" style="440" customWidth="1"/>
    <col min="8464" max="8464" width="9.140625" style="440"/>
    <col min="8465" max="8465" width="11" style="440" bestFit="1" customWidth="1"/>
    <col min="8466" max="8466" width="11" style="440" customWidth="1"/>
    <col min="8467" max="8467" width="12" style="440" bestFit="1" customWidth="1"/>
    <col min="8468" max="8468" width="2.5703125" style="440" customWidth="1"/>
    <col min="8469" max="8469" width="10.28515625" style="440" bestFit="1" customWidth="1"/>
    <col min="8470" max="8470" width="12.42578125" style="440" bestFit="1" customWidth="1"/>
    <col min="8471" max="8471" width="12.42578125" style="440" customWidth="1"/>
    <col min="8472" max="8472" width="12.28515625" style="440" bestFit="1" customWidth="1"/>
    <col min="8473" max="8710" width="9.140625" style="440"/>
    <col min="8711" max="8713" width="10.28515625" style="440" bestFit="1" customWidth="1"/>
    <col min="8714" max="8714" width="11.42578125" style="440" bestFit="1" customWidth="1"/>
    <col min="8715" max="8715" width="3" style="440" customWidth="1"/>
    <col min="8716" max="8716" width="9.140625" style="440"/>
    <col min="8717" max="8717" width="11" style="440" bestFit="1" customWidth="1"/>
    <col min="8718" max="8718" width="9.140625" style="440"/>
    <col min="8719" max="8719" width="5" style="440" customWidth="1"/>
    <col min="8720" max="8720" width="9.140625" style="440"/>
    <col min="8721" max="8721" width="11" style="440" bestFit="1" customWidth="1"/>
    <col min="8722" max="8722" width="11" style="440" customWidth="1"/>
    <col min="8723" max="8723" width="12" style="440" bestFit="1" customWidth="1"/>
    <col min="8724" max="8724" width="2.5703125" style="440" customWidth="1"/>
    <col min="8725" max="8725" width="10.28515625" style="440" bestFit="1" customWidth="1"/>
    <col min="8726" max="8726" width="12.42578125" style="440" bestFit="1" customWidth="1"/>
    <col min="8727" max="8727" width="12.42578125" style="440" customWidth="1"/>
    <col min="8728" max="8728" width="12.28515625" style="440" bestFit="1" customWidth="1"/>
    <col min="8729" max="8966" width="9.140625" style="440"/>
    <col min="8967" max="8969" width="10.28515625" style="440" bestFit="1" customWidth="1"/>
    <col min="8970" max="8970" width="11.42578125" style="440" bestFit="1" customWidth="1"/>
    <col min="8971" max="8971" width="3" style="440" customWidth="1"/>
    <col min="8972" max="8972" width="9.140625" style="440"/>
    <col min="8973" max="8973" width="11" style="440" bestFit="1" customWidth="1"/>
    <col min="8974" max="8974" width="9.140625" style="440"/>
    <col min="8975" max="8975" width="5" style="440" customWidth="1"/>
    <col min="8976" max="8976" width="9.140625" style="440"/>
    <col min="8977" max="8977" width="11" style="440" bestFit="1" customWidth="1"/>
    <col min="8978" max="8978" width="11" style="440" customWidth="1"/>
    <col min="8979" max="8979" width="12" style="440" bestFit="1" customWidth="1"/>
    <col min="8980" max="8980" width="2.5703125" style="440" customWidth="1"/>
    <col min="8981" max="8981" width="10.28515625" style="440" bestFit="1" customWidth="1"/>
    <col min="8982" max="8982" width="12.42578125" style="440" bestFit="1" customWidth="1"/>
    <col min="8983" max="8983" width="12.42578125" style="440" customWidth="1"/>
    <col min="8984" max="8984" width="12.28515625" style="440" bestFit="1" customWidth="1"/>
    <col min="8985" max="9222" width="9.140625" style="440"/>
    <col min="9223" max="9225" width="10.28515625" style="440" bestFit="1" customWidth="1"/>
    <col min="9226" max="9226" width="11.42578125" style="440" bestFit="1" customWidth="1"/>
    <col min="9227" max="9227" width="3" style="440" customWidth="1"/>
    <col min="9228" max="9228" width="9.140625" style="440"/>
    <col min="9229" max="9229" width="11" style="440" bestFit="1" customWidth="1"/>
    <col min="9230" max="9230" width="9.140625" style="440"/>
    <col min="9231" max="9231" width="5" style="440" customWidth="1"/>
    <col min="9232" max="9232" width="9.140625" style="440"/>
    <col min="9233" max="9233" width="11" style="440" bestFit="1" customWidth="1"/>
    <col min="9234" max="9234" width="11" style="440" customWidth="1"/>
    <col min="9235" max="9235" width="12" style="440" bestFit="1" customWidth="1"/>
    <col min="9236" max="9236" width="2.5703125" style="440" customWidth="1"/>
    <col min="9237" max="9237" width="10.28515625" style="440" bestFit="1" customWidth="1"/>
    <col min="9238" max="9238" width="12.42578125" style="440" bestFit="1" customWidth="1"/>
    <col min="9239" max="9239" width="12.42578125" style="440" customWidth="1"/>
    <col min="9240" max="9240" width="12.28515625" style="440" bestFit="1" customWidth="1"/>
    <col min="9241" max="9478" width="9.140625" style="440"/>
    <col min="9479" max="9481" width="10.28515625" style="440" bestFit="1" customWidth="1"/>
    <col min="9482" max="9482" width="11.42578125" style="440" bestFit="1" customWidth="1"/>
    <col min="9483" max="9483" width="3" style="440" customWidth="1"/>
    <col min="9484" max="9484" width="9.140625" style="440"/>
    <col min="9485" max="9485" width="11" style="440" bestFit="1" customWidth="1"/>
    <col min="9486" max="9486" width="9.140625" style="440"/>
    <col min="9487" max="9487" width="5" style="440" customWidth="1"/>
    <col min="9488" max="9488" width="9.140625" style="440"/>
    <col min="9489" max="9489" width="11" style="440" bestFit="1" customWidth="1"/>
    <col min="9490" max="9490" width="11" style="440" customWidth="1"/>
    <col min="9491" max="9491" width="12" style="440" bestFit="1" customWidth="1"/>
    <col min="9492" max="9492" width="2.5703125" style="440" customWidth="1"/>
    <col min="9493" max="9493" width="10.28515625" style="440" bestFit="1" customWidth="1"/>
    <col min="9494" max="9494" width="12.42578125" style="440" bestFit="1" customWidth="1"/>
    <col min="9495" max="9495" width="12.42578125" style="440" customWidth="1"/>
    <col min="9496" max="9496" width="12.28515625" style="440" bestFit="1" customWidth="1"/>
    <col min="9497" max="9734" width="9.140625" style="440"/>
    <col min="9735" max="9737" width="10.28515625" style="440" bestFit="1" customWidth="1"/>
    <col min="9738" max="9738" width="11.42578125" style="440" bestFit="1" customWidth="1"/>
    <col min="9739" max="9739" width="3" style="440" customWidth="1"/>
    <col min="9740" max="9740" width="9.140625" style="440"/>
    <col min="9741" max="9741" width="11" style="440" bestFit="1" customWidth="1"/>
    <col min="9742" max="9742" width="9.140625" style="440"/>
    <col min="9743" max="9743" width="5" style="440" customWidth="1"/>
    <col min="9744" max="9744" width="9.140625" style="440"/>
    <col min="9745" max="9745" width="11" style="440" bestFit="1" customWidth="1"/>
    <col min="9746" max="9746" width="11" style="440" customWidth="1"/>
    <col min="9747" max="9747" width="12" style="440" bestFit="1" customWidth="1"/>
    <col min="9748" max="9748" width="2.5703125" style="440" customWidth="1"/>
    <col min="9749" max="9749" width="10.28515625" style="440" bestFit="1" customWidth="1"/>
    <col min="9750" max="9750" width="12.42578125" style="440" bestFit="1" customWidth="1"/>
    <col min="9751" max="9751" width="12.42578125" style="440" customWidth="1"/>
    <col min="9752" max="9752" width="12.28515625" style="440" bestFit="1" customWidth="1"/>
    <col min="9753" max="9990" width="9.140625" style="440"/>
    <col min="9991" max="9993" width="10.28515625" style="440" bestFit="1" customWidth="1"/>
    <col min="9994" max="9994" width="11.42578125" style="440" bestFit="1" customWidth="1"/>
    <col min="9995" max="9995" width="3" style="440" customWidth="1"/>
    <col min="9996" max="9996" width="9.140625" style="440"/>
    <col min="9997" max="9997" width="11" style="440" bestFit="1" customWidth="1"/>
    <col min="9998" max="9998" width="9.140625" style="440"/>
    <col min="9999" max="9999" width="5" style="440" customWidth="1"/>
    <col min="10000" max="10000" width="9.140625" style="440"/>
    <col min="10001" max="10001" width="11" style="440" bestFit="1" customWidth="1"/>
    <col min="10002" max="10002" width="11" style="440" customWidth="1"/>
    <col min="10003" max="10003" width="12" style="440" bestFit="1" customWidth="1"/>
    <col min="10004" max="10004" width="2.5703125" style="440" customWidth="1"/>
    <col min="10005" max="10005" width="10.28515625" style="440" bestFit="1" customWidth="1"/>
    <col min="10006" max="10006" width="12.42578125" style="440" bestFit="1" customWidth="1"/>
    <col min="10007" max="10007" width="12.42578125" style="440" customWidth="1"/>
    <col min="10008" max="10008" width="12.28515625" style="440" bestFit="1" customWidth="1"/>
    <col min="10009" max="10246" width="9.140625" style="440"/>
    <col min="10247" max="10249" width="10.28515625" style="440" bestFit="1" customWidth="1"/>
    <col min="10250" max="10250" width="11.42578125" style="440" bestFit="1" customWidth="1"/>
    <col min="10251" max="10251" width="3" style="440" customWidth="1"/>
    <col min="10252" max="10252" width="9.140625" style="440"/>
    <col min="10253" max="10253" width="11" style="440" bestFit="1" customWidth="1"/>
    <col min="10254" max="10254" width="9.140625" style="440"/>
    <col min="10255" max="10255" width="5" style="440" customWidth="1"/>
    <col min="10256" max="10256" width="9.140625" style="440"/>
    <col min="10257" max="10257" width="11" style="440" bestFit="1" customWidth="1"/>
    <col min="10258" max="10258" width="11" style="440" customWidth="1"/>
    <col min="10259" max="10259" width="12" style="440" bestFit="1" customWidth="1"/>
    <col min="10260" max="10260" width="2.5703125" style="440" customWidth="1"/>
    <col min="10261" max="10261" width="10.28515625" style="440" bestFit="1" customWidth="1"/>
    <col min="10262" max="10262" width="12.42578125" style="440" bestFit="1" customWidth="1"/>
    <col min="10263" max="10263" width="12.42578125" style="440" customWidth="1"/>
    <col min="10264" max="10264" width="12.28515625" style="440" bestFit="1" customWidth="1"/>
    <col min="10265" max="10502" width="9.140625" style="440"/>
    <col min="10503" max="10505" width="10.28515625" style="440" bestFit="1" customWidth="1"/>
    <col min="10506" max="10506" width="11.42578125" style="440" bestFit="1" customWidth="1"/>
    <col min="10507" max="10507" width="3" style="440" customWidth="1"/>
    <col min="10508" max="10508" width="9.140625" style="440"/>
    <col min="10509" max="10509" width="11" style="440" bestFit="1" customWidth="1"/>
    <col min="10510" max="10510" width="9.140625" style="440"/>
    <col min="10511" max="10511" width="5" style="440" customWidth="1"/>
    <col min="10512" max="10512" width="9.140625" style="440"/>
    <col min="10513" max="10513" width="11" style="440" bestFit="1" customWidth="1"/>
    <col min="10514" max="10514" width="11" style="440" customWidth="1"/>
    <col min="10515" max="10515" width="12" style="440" bestFit="1" customWidth="1"/>
    <col min="10516" max="10516" width="2.5703125" style="440" customWidth="1"/>
    <col min="10517" max="10517" width="10.28515625" style="440" bestFit="1" customWidth="1"/>
    <col min="10518" max="10518" width="12.42578125" style="440" bestFit="1" customWidth="1"/>
    <col min="10519" max="10519" width="12.42578125" style="440" customWidth="1"/>
    <col min="10520" max="10520" width="12.28515625" style="440" bestFit="1" customWidth="1"/>
    <col min="10521" max="10758" width="9.140625" style="440"/>
    <col min="10759" max="10761" width="10.28515625" style="440" bestFit="1" customWidth="1"/>
    <col min="10762" max="10762" width="11.42578125" style="440" bestFit="1" customWidth="1"/>
    <col min="10763" max="10763" width="3" style="440" customWidth="1"/>
    <col min="10764" max="10764" width="9.140625" style="440"/>
    <col min="10765" max="10765" width="11" style="440" bestFit="1" customWidth="1"/>
    <col min="10766" max="10766" width="9.140625" style="440"/>
    <col min="10767" max="10767" width="5" style="440" customWidth="1"/>
    <col min="10768" max="10768" width="9.140625" style="440"/>
    <col min="10769" max="10769" width="11" style="440" bestFit="1" customWidth="1"/>
    <col min="10770" max="10770" width="11" style="440" customWidth="1"/>
    <col min="10771" max="10771" width="12" style="440" bestFit="1" customWidth="1"/>
    <col min="10772" max="10772" width="2.5703125" style="440" customWidth="1"/>
    <col min="10773" max="10773" width="10.28515625" style="440" bestFit="1" customWidth="1"/>
    <col min="10774" max="10774" width="12.42578125" style="440" bestFit="1" customWidth="1"/>
    <col min="10775" max="10775" width="12.42578125" style="440" customWidth="1"/>
    <col min="10776" max="10776" width="12.28515625" style="440" bestFit="1" customWidth="1"/>
    <col min="10777" max="11014" width="9.140625" style="440"/>
    <col min="11015" max="11017" width="10.28515625" style="440" bestFit="1" customWidth="1"/>
    <col min="11018" max="11018" width="11.42578125" style="440" bestFit="1" customWidth="1"/>
    <col min="11019" max="11019" width="3" style="440" customWidth="1"/>
    <col min="11020" max="11020" width="9.140625" style="440"/>
    <col min="11021" max="11021" width="11" style="440" bestFit="1" customWidth="1"/>
    <col min="11022" max="11022" width="9.140625" style="440"/>
    <col min="11023" max="11023" width="5" style="440" customWidth="1"/>
    <col min="11024" max="11024" width="9.140625" style="440"/>
    <col min="11025" max="11025" width="11" style="440" bestFit="1" customWidth="1"/>
    <col min="11026" max="11026" width="11" style="440" customWidth="1"/>
    <col min="11027" max="11027" width="12" style="440" bestFit="1" customWidth="1"/>
    <col min="11028" max="11028" width="2.5703125" style="440" customWidth="1"/>
    <col min="11029" max="11029" width="10.28515625" style="440" bestFit="1" customWidth="1"/>
    <col min="11030" max="11030" width="12.42578125" style="440" bestFit="1" customWidth="1"/>
    <col min="11031" max="11031" width="12.42578125" style="440" customWidth="1"/>
    <col min="11032" max="11032" width="12.28515625" style="440" bestFit="1" customWidth="1"/>
    <col min="11033" max="11270" width="9.140625" style="440"/>
    <col min="11271" max="11273" width="10.28515625" style="440" bestFit="1" customWidth="1"/>
    <col min="11274" max="11274" width="11.42578125" style="440" bestFit="1" customWidth="1"/>
    <col min="11275" max="11275" width="3" style="440" customWidth="1"/>
    <col min="11276" max="11276" width="9.140625" style="440"/>
    <col min="11277" max="11277" width="11" style="440" bestFit="1" customWidth="1"/>
    <col min="11278" max="11278" width="9.140625" style="440"/>
    <col min="11279" max="11279" width="5" style="440" customWidth="1"/>
    <col min="11280" max="11280" width="9.140625" style="440"/>
    <col min="11281" max="11281" width="11" style="440" bestFit="1" customWidth="1"/>
    <col min="11282" max="11282" width="11" style="440" customWidth="1"/>
    <col min="11283" max="11283" width="12" style="440" bestFit="1" customWidth="1"/>
    <col min="11284" max="11284" width="2.5703125" style="440" customWidth="1"/>
    <col min="11285" max="11285" width="10.28515625" style="440" bestFit="1" customWidth="1"/>
    <col min="11286" max="11286" width="12.42578125" style="440" bestFit="1" customWidth="1"/>
    <col min="11287" max="11287" width="12.42578125" style="440" customWidth="1"/>
    <col min="11288" max="11288" width="12.28515625" style="440" bestFit="1" customWidth="1"/>
    <col min="11289" max="11526" width="9.140625" style="440"/>
    <col min="11527" max="11529" width="10.28515625" style="440" bestFit="1" customWidth="1"/>
    <col min="11530" max="11530" width="11.42578125" style="440" bestFit="1" customWidth="1"/>
    <col min="11531" max="11531" width="3" style="440" customWidth="1"/>
    <col min="11532" max="11532" width="9.140625" style="440"/>
    <col min="11533" max="11533" width="11" style="440" bestFit="1" customWidth="1"/>
    <col min="11534" max="11534" width="9.140625" style="440"/>
    <col min="11535" max="11535" width="5" style="440" customWidth="1"/>
    <col min="11536" max="11536" width="9.140625" style="440"/>
    <col min="11537" max="11537" width="11" style="440" bestFit="1" customWidth="1"/>
    <col min="11538" max="11538" width="11" style="440" customWidth="1"/>
    <col min="11539" max="11539" width="12" style="440" bestFit="1" customWidth="1"/>
    <col min="11540" max="11540" width="2.5703125" style="440" customWidth="1"/>
    <col min="11541" max="11541" width="10.28515625" style="440" bestFit="1" customWidth="1"/>
    <col min="11542" max="11542" width="12.42578125" style="440" bestFit="1" customWidth="1"/>
    <col min="11543" max="11543" width="12.42578125" style="440" customWidth="1"/>
    <col min="11544" max="11544" width="12.28515625" style="440" bestFit="1" customWidth="1"/>
    <col min="11545" max="11782" width="9.140625" style="440"/>
    <col min="11783" max="11785" width="10.28515625" style="440" bestFit="1" customWidth="1"/>
    <col min="11786" max="11786" width="11.42578125" style="440" bestFit="1" customWidth="1"/>
    <col min="11787" max="11787" width="3" style="440" customWidth="1"/>
    <col min="11788" max="11788" width="9.140625" style="440"/>
    <col min="11789" max="11789" width="11" style="440" bestFit="1" customWidth="1"/>
    <col min="11790" max="11790" width="9.140625" style="440"/>
    <col min="11791" max="11791" width="5" style="440" customWidth="1"/>
    <col min="11792" max="11792" width="9.140625" style="440"/>
    <col min="11793" max="11793" width="11" style="440" bestFit="1" customWidth="1"/>
    <col min="11794" max="11794" width="11" style="440" customWidth="1"/>
    <col min="11795" max="11795" width="12" style="440" bestFit="1" customWidth="1"/>
    <col min="11796" max="11796" width="2.5703125" style="440" customWidth="1"/>
    <col min="11797" max="11797" width="10.28515625" style="440" bestFit="1" customWidth="1"/>
    <col min="11798" max="11798" width="12.42578125" style="440" bestFit="1" customWidth="1"/>
    <col min="11799" max="11799" width="12.42578125" style="440" customWidth="1"/>
    <col min="11800" max="11800" width="12.28515625" style="440" bestFit="1" customWidth="1"/>
    <col min="11801" max="12038" width="9.140625" style="440"/>
    <col min="12039" max="12041" width="10.28515625" style="440" bestFit="1" customWidth="1"/>
    <col min="12042" max="12042" width="11.42578125" style="440" bestFit="1" customWidth="1"/>
    <col min="12043" max="12043" width="3" style="440" customWidth="1"/>
    <col min="12044" max="12044" width="9.140625" style="440"/>
    <col min="12045" max="12045" width="11" style="440" bestFit="1" customWidth="1"/>
    <col min="12046" max="12046" width="9.140625" style="440"/>
    <col min="12047" max="12047" width="5" style="440" customWidth="1"/>
    <col min="12048" max="12048" width="9.140625" style="440"/>
    <col min="12049" max="12049" width="11" style="440" bestFit="1" customWidth="1"/>
    <col min="12050" max="12050" width="11" style="440" customWidth="1"/>
    <col min="12051" max="12051" width="12" style="440" bestFit="1" customWidth="1"/>
    <col min="12052" max="12052" width="2.5703125" style="440" customWidth="1"/>
    <col min="12053" max="12053" width="10.28515625" style="440" bestFit="1" customWidth="1"/>
    <col min="12054" max="12054" width="12.42578125" style="440" bestFit="1" customWidth="1"/>
    <col min="12055" max="12055" width="12.42578125" style="440" customWidth="1"/>
    <col min="12056" max="12056" width="12.28515625" style="440" bestFit="1" customWidth="1"/>
    <col min="12057" max="12294" width="9.140625" style="440"/>
    <col min="12295" max="12297" width="10.28515625" style="440" bestFit="1" customWidth="1"/>
    <col min="12298" max="12298" width="11.42578125" style="440" bestFit="1" customWidth="1"/>
    <col min="12299" max="12299" width="3" style="440" customWidth="1"/>
    <col min="12300" max="12300" width="9.140625" style="440"/>
    <col min="12301" max="12301" width="11" style="440" bestFit="1" customWidth="1"/>
    <col min="12302" max="12302" width="9.140625" style="440"/>
    <col min="12303" max="12303" width="5" style="440" customWidth="1"/>
    <col min="12304" max="12304" width="9.140625" style="440"/>
    <col min="12305" max="12305" width="11" style="440" bestFit="1" customWidth="1"/>
    <col min="12306" max="12306" width="11" style="440" customWidth="1"/>
    <col min="12307" max="12307" width="12" style="440" bestFit="1" customWidth="1"/>
    <col min="12308" max="12308" width="2.5703125" style="440" customWidth="1"/>
    <col min="12309" max="12309" width="10.28515625" style="440" bestFit="1" customWidth="1"/>
    <col min="12310" max="12310" width="12.42578125" style="440" bestFit="1" customWidth="1"/>
    <col min="12311" max="12311" width="12.42578125" style="440" customWidth="1"/>
    <col min="12312" max="12312" width="12.28515625" style="440" bestFit="1" customWidth="1"/>
    <col min="12313" max="12550" width="9.140625" style="440"/>
    <col min="12551" max="12553" width="10.28515625" style="440" bestFit="1" customWidth="1"/>
    <col min="12554" max="12554" width="11.42578125" style="440" bestFit="1" customWidth="1"/>
    <col min="12555" max="12555" width="3" style="440" customWidth="1"/>
    <col min="12556" max="12556" width="9.140625" style="440"/>
    <col min="12557" max="12557" width="11" style="440" bestFit="1" customWidth="1"/>
    <col min="12558" max="12558" width="9.140625" style="440"/>
    <col min="12559" max="12559" width="5" style="440" customWidth="1"/>
    <col min="12560" max="12560" width="9.140625" style="440"/>
    <col min="12561" max="12561" width="11" style="440" bestFit="1" customWidth="1"/>
    <col min="12562" max="12562" width="11" style="440" customWidth="1"/>
    <col min="12563" max="12563" width="12" style="440" bestFit="1" customWidth="1"/>
    <col min="12564" max="12564" width="2.5703125" style="440" customWidth="1"/>
    <col min="12565" max="12565" width="10.28515625" style="440" bestFit="1" customWidth="1"/>
    <col min="12566" max="12566" width="12.42578125" style="440" bestFit="1" customWidth="1"/>
    <col min="12567" max="12567" width="12.42578125" style="440" customWidth="1"/>
    <col min="12568" max="12568" width="12.28515625" style="440" bestFit="1" customWidth="1"/>
    <col min="12569" max="12806" width="9.140625" style="440"/>
    <col min="12807" max="12809" width="10.28515625" style="440" bestFit="1" customWidth="1"/>
    <col min="12810" max="12810" width="11.42578125" style="440" bestFit="1" customWidth="1"/>
    <col min="12811" max="12811" width="3" style="440" customWidth="1"/>
    <col min="12812" max="12812" width="9.140625" style="440"/>
    <col min="12813" max="12813" width="11" style="440" bestFit="1" customWidth="1"/>
    <col min="12814" max="12814" width="9.140625" style="440"/>
    <col min="12815" max="12815" width="5" style="440" customWidth="1"/>
    <col min="12816" max="12816" width="9.140625" style="440"/>
    <col min="12817" max="12817" width="11" style="440" bestFit="1" customWidth="1"/>
    <col min="12818" max="12818" width="11" style="440" customWidth="1"/>
    <col min="12819" max="12819" width="12" style="440" bestFit="1" customWidth="1"/>
    <col min="12820" max="12820" width="2.5703125" style="440" customWidth="1"/>
    <col min="12821" max="12821" width="10.28515625" style="440" bestFit="1" customWidth="1"/>
    <col min="12822" max="12822" width="12.42578125" style="440" bestFit="1" customWidth="1"/>
    <col min="12823" max="12823" width="12.42578125" style="440" customWidth="1"/>
    <col min="12824" max="12824" width="12.28515625" style="440" bestFit="1" customWidth="1"/>
    <col min="12825" max="13062" width="9.140625" style="440"/>
    <col min="13063" max="13065" width="10.28515625" style="440" bestFit="1" customWidth="1"/>
    <col min="13066" max="13066" width="11.42578125" style="440" bestFit="1" customWidth="1"/>
    <col min="13067" max="13067" width="3" style="440" customWidth="1"/>
    <col min="13068" max="13068" width="9.140625" style="440"/>
    <col min="13069" max="13069" width="11" style="440" bestFit="1" customWidth="1"/>
    <col min="13070" max="13070" width="9.140625" style="440"/>
    <col min="13071" max="13071" width="5" style="440" customWidth="1"/>
    <col min="13072" max="13072" width="9.140625" style="440"/>
    <col min="13073" max="13073" width="11" style="440" bestFit="1" customWidth="1"/>
    <col min="13074" max="13074" width="11" style="440" customWidth="1"/>
    <col min="13075" max="13075" width="12" style="440" bestFit="1" customWidth="1"/>
    <col min="13076" max="13076" width="2.5703125" style="440" customWidth="1"/>
    <col min="13077" max="13077" width="10.28515625" style="440" bestFit="1" customWidth="1"/>
    <col min="13078" max="13078" width="12.42578125" style="440" bestFit="1" customWidth="1"/>
    <col min="13079" max="13079" width="12.42578125" style="440" customWidth="1"/>
    <col min="13080" max="13080" width="12.28515625" style="440" bestFit="1" customWidth="1"/>
    <col min="13081" max="13318" width="9.140625" style="440"/>
    <col min="13319" max="13321" width="10.28515625" style="440" bestFit="1" customWidth="1"/>
    <col min="13322" max="13322" width="11.42578125" style="440" bestFit="1" customWidth="1"/>
    <col min="13323" max="13323" width="3" style="440" customWidth="1"/>
    <col min="13324" max="13324" width="9.140625" style="440"/>
    <col min="13325" max="13325" width="11" style="440" bestFit="1" customWidth="1"/>
    <col min="13326" max="13326" width="9.140625" style="440"/>
    <col min="13327" max="13327" width="5" style="440" customWidth="1"/>
    <col min="13328" max="13328" width="9.140625" style="440"/>
    <col min="13329" max="13329" width="11" style="440" bestFit="1" customWidth="1"/>
    <col min="13330" max="13330" width="11" style="440" customWidth="1"/>
    <col min="13331" max="13331" width="12" style="440" bestFit="1" customWidth="1"/>
    <col min="13332" max="13332" width="2.5703125" style="440" customWidth="1"/>
    <col min="13333" max="13333" width="10.28515625" style="440" bestFit="1" customWidth="1"/>
    <col min="13334" max="13334" width="12.42578125" style="440" bestFit="1" customWidth="1"/>
    <col min="13335" max="13335" width="12.42578125" style="440" customWidth="1"/>
    <col min="13336" max="13336" width="12.28515625" style="440" bestFit="1" customWidth="1"/>
    <col min="13337" max="13574" width="9.140625" style="440"/>
    <col min="13575" max="13577" width="10.28515625" style="440" bestFit="1" customWidth="1"/>
    <col min="13578" max="13578" width="11.42578125" style="440" bestFit="1" customWidth="1"/>
    <col min="13579" max="13579" width="3" style="440" customWidth="1"/>
    <col min="13580" max="13580" width="9.140625" style="440"/>
    <col min="13581" max="13581" width="11" style="440" bestFit="1" customWidth="1"/>
    <col min="13582" max="13582" width="9.140625" style="440"/>
    <col min="13583" max="13583" width="5" style="440" customWidth="1"/>
    <col min="13584" max="13584" width="9.140625" style="440"/>
    <col min="13585" max="13585" width="11" style="440" bestFit="1" customWidth="1"/>
    <col min="13586" max="13586" width="11" style="440" customWidth="1"/>
    <col min="13587" max="13587" width="12" style="440" bestFit="1" customWidth="1"/>
    <col min="13588" max="13588" width="2.5703125" style="440" customWidth="1"/>
    <col min="13589" max="13589" width="10.28515625" style="440" bestFit="1" customWidth="1"/>
    <col min="13590" max="13590" width="12.42578125" style="440" bestFit="1" customWidth="1"/>
    <col min="13591" max="13591" width="12.42578125" style="440" customWidth="1"/>
    <col min="13592" max="13592" width="12.28515625" style="440" bestFit="1" customWidth="1"/>
    <col min="13593" max="13830" width="9.140625" style="440"/>
    <col min="13831" max="13833" width="10.28515625" style="440" bestFit="1" customWidth="1"/>
    <col min="13834" max="13834" width="11.42578125" style="440" bestFit="1" customWidth="1"/>
    <col min="13835" max="13835" width="3" style="440" customWidth="1"/>
    <col min="13836" max="13836" width="9.140625" style="440"/>
    <col min="13837" max="13837" width="11" style="440" bestFit="1" customWidth="1"/>
    <col min="13838" max="13838" width="9.140625" style="440"/>
    <col min="13839" max="13839" width="5" style="440" customWidth="1"/>
    <col min="13840" max="13840" width="9.140625" style="440"/>
    <col min="13841" max="13841" width="11" style="440" bestFit="1" customWidth="1"/>
    <col min="13842" max="13842" width="11" style="440" customWidth="1"/>
    <col min="13843" max="13843" width="12" style="440" bestFit="1" customWidth="1"/>
    <col min="13844" max="13844" width="2.5703125" style="440" customWidth="1"/>
    <col min="13845" max="13845" width="10.28515625" style="440" bestFit="1" customWidth="1"/>
    <col min="13846" max="13846" width="12.42578125" style="440" bestFit="1" customWidth="1"/>
    <col min="13847" max="13847" width="12.42578125" style="440" customWidth="1"/>
    <col min="13848" max="13848" width="12.28515625" style="440" bestFit="1" customWidth="1"/>
    <col min="13849" max="14086" width="9.140625" style="440"/>
    <col min="14087" max="14089" width="10.28515625" style="440" bestFit="1" customWidth="1"/>
    <col min="14090" max="14090" width="11.42578125" style="440" bestFit="1" customWidth="1"/>
    <col min="14091" max="14091" width="3" style="440" customWidth="1"/>
    <col min="14092" max="14092" width="9.140625" style="440"/>
    <col min="14093" max="14093" width="11" style="440" bestFit="1" customWidth="1"/>
    <col min="14094" max="14094" width="9.140625" style="440"/>
    <col min="14095" max="14095" width="5" style="440" customWidth="1"/>
    <col min="14096" max="14096" width="9.140625" style="440"/>
    <col min="14097" max="14097" width="11" style="440" bestFit="1" customWidth="1"/>
    <col min="14098" max="14098" width="11" style="440" customWidth="1"/>
    <col min="14099" max="14099" width="12" style="440" bestFit="1" customWidth="1"/>
    <col min="14100" max="14100" width="2.5703125" style="440" customWidth="1"/>
    <col min="14101" max="14101" width="10.28515625" style="440" bestFit="1" customWidth="1"/>
    <col min="14102" max="14102" width="12.42578125" style="440" bestFit="1" customWidth="1"/>
    <col min="14103" max="14103" width="12.42578125" style="440" customWidth="1"/>
    <col min="14104" max="14104" width="12.28515625" style="440" bestFit="1" customWidth="1"/>
    <col min="14105" max="14342" width="9.140625" style="440"/>
    <col min="14343" max="14345" width="10.28515625" style="440" bestFit="1" customWidth="1"/>
    <col min="14346" max="14346" width="11.42578125" style="440" bestFit="1" customWidth="1"/>
    <col min="14347" max="14347" width="3" style="440" customWidth="1"/>
    <col min="14348" max="14348" width="9.140625" style="440"/>
    <col min="14349" max="14349" width="11" style="440" bestFit="1" customWidth="1"/>
    <col min="14350" max="14350" width="9.140625" style="440"/>
    <col min="14351" max="14351" width="5" style="440" customWidth="1"/>
    <col min="14352" max="14352" width="9.140625" style="440"/>
    <col min="14353" max="14353" width="11" style="440" bestFit="1" customWidth="1"/>
    <col min="14354" max="14354" width="11" style="440" customWidth="1"/>
    <col min="14355" max="14355" width="12" style="440" bestFit="1" customWidth="1"/>
    <col min="14356" max="14356" width="2.5703125" style="440" customWidth="1"/>
    <col min="14357" max="14357" width="10.28515625" style="440" bestFit="1" customWidth="1"/>
    <col min="14358" max="14358" width="12.42578125" style="440" bestFit="1" customWidth="1"/>
    <col min="14359" max="14359" width="12.42578125" style="440" customWidth="1"/>
    <col min="14360" max="14360" width="12.28515625" style="440" bestFit="1" customWidth="1"/>
    <col min="14361" max="14598" width="9.140625" style="440"/>
    <col min="14599" max="14601" width="10.28515625" style="440" bestFit="1" customWidth="1"/>
    <col min="14602" max="14602" width="11.42578125" style="440" bestFit="1" customWidth="1"/>
    <col min="14603" max="14603" width="3" style="440" customWidth="1"/>
    <col min="14604" max="14604" width="9.140625" style="440"/>
    <col min="14605" max="14605" width="11" style="440" bestFit="1" customWidth="1"/>
    <col min="14606" max="14606" width="9.140625" style="440"/>
    <col min="14607" max="14607" width="5" style="440" customWidth="1"/>
    <col min="14608" max="14608" width="9.140625" style="440"/>
    <col min="14609" max="14609" width="11" style="440" bestFit="1" customWidth="1"/>
    <col min="14610" max="14610" width="11" style="440" customWidth="1"/>
    <col min="14611" max="14611" width="12" style="440" bestFit="1" customWidth="1"/>
    <col min="14612" max="14612" width="2.5703125" style="440" customWidth="1"/>
    <col min="14613" max="14613" width="10.28515625" style="440" bestFit="1" customWidth="1"/>
    <col min="14614" max="14614" width="12.42578125" style="440" bestFit="1" customWidth="1"/>
    <col min="14615" max="14615" width="12.42578125" style="440" customWidth="1"/>
    <col min="14616" max="14616" width="12.28515625" style="440" bestFit="1" customWidth="1"/>
    <col min="14617" max="14854" width="9.140625" style="440"/>
    <col min="14855" max="14857" width="10.28515625" style="440" bestFit="1" customWidth="1"/>
    <col min="14858" max="14858" width="11.42578125" style="440" bestFit="1" customWidth="1"/>
    <col min="14859" max="14859" width="3" style="440" customWidth="1"/>
    <col min="14860" max="14860" width="9.140625" style="440"/>
    <col min="14861" max="14861" width="11" style="440" bestFit="1" customWidth="1"/>
    <col min="14862" max="14862" width="9.140625" style="440"/>
    <col min="14863" max="14863" width="5" style="440" customWidth="1"/>
    <col min="14864" max="14864" width="9.140625" style="440"/>
    <col min="14865" max="14865" width="11" style="440" bestFit="1" customWidth="1"/>
    <col min="14866" max="14866" width="11" style="440" customWidth="1"/>
    <col min="14867" max="14867" width="12" style="440" bestFit="1" customWidth="1"/>
    <col min="14868" max="14868" width="2.5703125" style="440" customWidth="1"/>
    <col min="14869" max="14869" width="10.28515625" style="440" bestFit="1" customWidth="1"/>
    <col min="14870" max="14870" width="12.42578125" style="440" bestFit="1" customWidth="1"/>
    <col min="14871" max="14871" width="12.42578125" style="440" customWidth="1"/>
    <col min="14872" max="14872" width="12.28515625" style="440" bestFit="1" customWidth="1"/>
    <col min="14873" max="15110" width="9.140625" style="440"/>
    <col min="15111" max="15113" width="10.28515625" style="440" bestFit="1" customWidth="1"/>
    <col min="15114" max="15114" width="11.42578125" style="440" bestFit="1" customWidth="1"/>
    <col min="15115" max="15115" width="3" style="440" customWidth="1"/>
    <col min="15116" max="15116" width="9.140625" style="440"/>
    <col min="15117" max="15117" width="11" style="440" bestFit="1" customWidth="1"/>
    <col min="15118" max="15118" width="9.140625" style="440"/>
    <col min="15119" max="15119" width="5" style="440" customWidth="1"/>
    <col min="15120" max="15120" width="9.140625" style="440"/>
    <col min="15121" max="15121" width="11" style="440" bestFit="1" customWidth="1"/>
    <col min="15122" max="15122" width="11" style="440" customWidth="1"/>
    <col min="15123" max="15123" width="12" style="440" bestFit="1" customWidth="1"/>
    <col min="15124" max="15124" width="2.5703125" style="440" customWidth="1"/>
    <col min="15125" max="15125" width="10.28515625" style="440" bestFit="1" customWidth="1"/>
    <col min="15126" max="15126" width="12.42578125" style="440" bestFit="1" customWidth="1"/>
    <col min="15127" max="15127" width="12.42578125" style="440" customWidth="1"/>
    <col min="15128" max="15128" width="12.28515625" style="440" bestFit="1" customWidth="1"/>
    <col min="15129" max="15366" width="9.140625" style="440"/>
    <col min="15367" max="15369" width="10.28515625" style="440" bestFit="1" customWidth="1"/>
    <col min="15370" max="15370" width="11.42578125" style="440" bestFit="1" customWidth="1"/>
    <col min="15371" max="15371" width="3" style="440" customWidth="1"/>
    <col min="15372" max="15372" width="9.140625" style="440"/>
    <col min="15373" max="15373" width="11" style="440" bestFit="1" customWidth="1"/>
    <col min="15374" max="15374" width="9.140625" style="440"/>
    <col min="15375" max="15375" width="5" style="440" customWidth="1"/>
    <col min="15376" max="15376" width="9.140625" style="440"/>
    <col min="15377" max="15377" width="11" style="440" bestFit="1" customWidth="1"/>
    <col min="15378" max="15378" width="11" style="440" customWidth="1"/>
    <col min="15379" max="15379" width="12" style="440" bestFit="1" customWidth="1"/>
    <col min="15380" max="15380" width="2.5703125" style="440" customWidth="1"/>
    <col min="15381" max="15381" width="10.28515625" style="440" bestFit="1" customWidth="1"/>
    <col min="15382" max="15382" width="12.42578125" style="440" bestFit="1" customWidth="1"/>
    <col min="15383" max="15383" width="12.42578125" style="440" customWidth="1"/>
    <col min="15384" max="15384" width="12.28515625" style="440" bestFit="1" customWidth="1"/>
    <col min="15385" max="15622" width="9.140625" style="440"/>
    <col min="15623" max="15625" width="10.28515625" style="440" bestFit="1" customWidth="1"/>
    <col min="15626" max="15626" width="11.42578125" style="440" bestFit="1" customWidth="1"/>
    <col min="15627" max="15627" width="3" style="440" customWidth="1"/>
    <col min="15628" max="15628" width="9.140625" style="440"/>
    <col min="15629" max="15629" width="11" style="440" bestFit="1" customWidth="1"/>
    <col min="15630" max="15630" width="9.140625" style="440"/>
    <col min="15631" max="15631" width="5" style="440" customWidth="1"/>
    <col min="15632" max="15632" width="9.140625" style="440"/>
    <col min="15633" max="15633" width="11" style="440" bestFit="1" customWidth="1"/>
    <col min="15634" max="15634" width="11" style="440" customWidth="1"/>
    <col min="15635" max="15635" width="12" style="440" bestFit="1" customWidth="1"/>
    <col min="15636" max="15636" width="2.5703125" style="440" customWidth="1"/>
    <col min="15637" max="15637" width="10.28515625" style="440" bestFit="1" customWidth="1"/>
    <col min="15638" max="15638" width="12.42578125" style="440" bestFit="1" customWidth="1"/>
    <col min="15639" max="15639" width="12.42578125" style="440" customWidth="1"/>
    <col min="15640" max="15640" width="12.28515625" style="440" bestFit="1" customWidth="1"/>
    <col min="15641" max="15878" width="9.140625" style="440"/>
    <col min="15879" max="15881" width="10.28515625" style="440" bestFit="1" customWidth="1"/>
    <col min="15882" max="15882" width="11.42578125" style="440" bestFit="1" customWidth="1"/>
    <col min="15883" max="15883" width="3" style="440" customWidth="1"/>
    <col min="15884" max="15884" width="9.140625" style="440"/>
    <col min="15885" max="15885" width="11" style="440" bestFit="1" customWidth="1"/>
    <col min="15886" max="15886" width="9.140625" style="440"/>
    <col min="15887" max="15887" width="5" style="440" customWidth="1"/>
    <col min="15888" max="15888" width="9.140625" style="440"/>
    <col min="15889" max="15889" width="11" style="440" bestFit="1" customWidth="1"/>
    <col min="15890" max="15890" width="11" style="440" customWidth="1"/>
    <col min="15891" max="15891" width="12" style="440" bestFit="1" customWidth="1"/>
    <col min="15892" max="15892" width="2.5703125" style="440" customWidth="1"/>
    <col min="15893" max="15893" width="10.28515625" style="440" bestFit="1" customWidth="1"/>
    <col min="15894" max="15894" width="12.42578125" style="440" bestFit="1" customWidth="1"/>
    <col min="15895" max="15895" width="12.42578125" style="440" customWidth="1"/>
    <col min="15896" max="15896" width="12.28515625" style="440" bestFit="1" customWidth="1"/>
    <col min="15897" max="16134" width="9.140625" style="440"/>
    <col min="16135" max="16137" width="10.28515625" style="440" bestFit="1" customWidth="1"/>
    <col min="16138" max="16138" width="11.42578125" style="440" bestFit="1" customWidth="1"/>
    <col min="16139" max="16139" width="3" style="440" customWidth="1"/>
    <col min="16140" max="16140" width="9.140625" style="440"/>
    <col min="16141" max="16141" width="11" style="440" bestFit="1" customWidth="1"/>
    <col min="16142" max="16142" width="9.140625" style="440"/>
    <col min="16143" max="16143" width="5" style="440" customWidth="1"/>
    <col min="16144" max="16144" width="9.140625" style="440"/>
    <col min="16145" max="16145" width="11" style="440" bestFit="1" customWidth="1"/>
    <col min="16146" max="16146" width="11" style="440" customWidth="1"/>
    <col min="16147" max="16147" width="12" style="440" bestFit="1" customWidth="1"/>
    <col min="16148" max="16148" width="2.5703125" style="440" customWidth="1"/>
    <col min="16149" max="16149" width="10.28515625" style="440" bestFit="1" customWidth="1"/>
    <col min="16150" max="16150" width="12.42578125" style="440" bestFit="1" customWidth="1"/>
    <col min="16151" max="16151" width="12.42578125" style="440" customWidth="1"/>
    <col min="16152" max="16152" width="12.28515625" style="440" bestFit="1" customWidth="1"/>
    <col min="16153" max="16384" width="9.140625" style="440"/>
  </cols>
  <sheetData>
    <row r="1" spans="1:19" ht="23.25">
      <c r="A1" s="439" t="s">
        <v>313</v>
      </c>
    </row>
    <row r="2" spans="1:19" ht="23.25">
      <c r="A2" s="439"/>
    </row>
    <row r="3" spans="1:19">
      <c r="G3" s="493" t="s">
        <v>314</v>
      </c>
    </row>
    <row r="4" spans="1:19" ht="15">
      <c r="C4" s="444"/>
      <c r="D4" s="444" t="s">
        <v>286</v>
      </c>
      <c r="E4" s="444" t="s">
        <v>286</v>
      </c>
      <c r="F4" s="444" t="s">
        <v>286</v>
      </c>
      <c r="G4" s="480" t="s">
        <v>315</v>
      </c>
      <c r="H4" s="445" t="s">
        <v>324</v>
      </c>
      <c r="J4" s="443"/>
      <c r="N4" s="445"/>
    </row>
    <row r="5" spans="1:19" ht="15">
      <c r="C5" s="446"/>
      <c r="D5" s="494">
        <v>2020</v>
      </c>
      <c r="E5" s="494">
        <v>2021</v>
      </c>
      <c r="F5" s="494">
        <v>2022</v>
      </c>
      <c r="G5" s="442" t="s">
        <v>43</v>
      </c>
      <c r="H5" s="447" t="s">
        <v>289</v>
      </c>
      <c r="J5" s="442" t="s">
        <v>16</v>
      </c>
      <c r="K5" s="482" t="s">
        <v>72</v>
      </c>
      <c r="L5" s="443"/>
      <c r="N5" s="447"/>
    </row>
    <row r="6" spans="1:19" ht="15.75">
      <c r="A6" s="449" t="s">
        <v>290</v>
      </c>
      <c r="C6" s="446"/>
      <c r="D6" s="442"/>
      <c r="E6" s="442"/>
      <c r="G6" s="442"/>
      <c r="H6" s="442"/>
      <c r="J6" s="443"/>
      <c r="N6" s="447"/>
    </row>
    <row r="7" spans="1:19" ht="14.25">
      <c r="A7" s="450" t="s">
        <v>291</v>
      </c>
      <c r="B7" s="451"/>
      <c r="G7" s="442"/>
      <c r="H7" s="442"/>
      <c r="J7" s="452"/>
      <c r="K7" s="376"/>
      <c r="L7" s="376"/>
    </row>
    <row r="8" spans="1:19" ht="14.25">
      <c r="A8" s="453"/>
      <c r="B8" s="440" t="s">
        <v>292</v>
      </c>
      <c r="C8" s="454"/>
      <c r="D8" s="376">
        <f>'[3]PricingDashboard - MUNI_SHARE p'!$AN$5+[4]Sheet1!$F$6+[5]Sheet1!$G$5</f>
        <v>23168.284330477756</v>
      </c>
      <c r="E8" s="376">
        <f>'[6]PricingDashboard - MUNI_SHARE p'!$AR$5+[5]Sheet1!$G$5</f>
        <v>24043.737131886912</v>
      </c>
      <c r="F8" s="376">
        <f>'[7]PricingDashboard - MUNI_SHARE p'!$AP$5</f>
        <v>22754.984343056662</v>
      </c>
      <c r="G8" s="376">
        <f>AVERAGE(D8:F8)</f>
        <v>23322.335268473777</v>
      </c>
      <c r="H8" s="376">
        <f>'2022-2023 Recy. Tons &amp; Revenue'!G98</f>
        <v>45242.516236180621</v>
      </c>
      <c r="J8" s="452"/>
      <c r="K8" s="376"/>
      <c r="L8" s="376"/>
      <c r="N8" s="454"/>
    </row>
    <row r="9" spans="1:19" ht="14.25">
      <c r="A9" s="453"/>
      <c r="B9" s="440" t="s">
        <v>293</v>
      </c>
      <c r="C9" s="454"/>
      <c r="D9" s="376">
        <f>'[3]PricingDashboard - MUNI_SHARE p'!$AN$3+[4]Sheet1!$F$4+[5]Sheet1!$G$3</f>
        <v>29503.507684049931</v>
      </c>
      <c r="E9" s="376">
        <f>'[6]PricingDashboard - MUNI_SHARE p'!$AR$3+[5]Sheet1!$G$3</f>
        <v>28253.848038413016</v>
      </c>
      <c r="F9" s="376">
        <f>'[7]PricingDashboard - MUNI_SHARE p'!$AP$3</f>
        <v>28645.621689050986</v>
      </c>
      <c r="G9" s="376">
        <f t="shared" ref="G9:G10" si="0">AVERAGE(D9:F9)</f>
        <v>28800.992470504643</v>
      </c>
      <c r="H9" s="376">
        <f>+J9+K9</f>
        <v>52497.268783027954</v>
      </c>
      <c r="J9" s="63">
        <f>'[8]PricingDashboard - MUNI_SHARE p'!AT3</f>
        <v>42286.724431902854</v>
      </c>
      <c r="K9" s="63">
        <f>'[8]PricingDashboard - MUNI_SHARE p'!AU3</f>
        <v>10210.5443511251</v>
      </c>
      <c r="L9" s="63"/>
      <c r="N9" s="454"/>
    </row>
    <row r="10" spans="1:19" ht="16.5">
      <c r="A10" s="453"/>
      <c r="B10" s="440" t="s">
        <v>294</v>
      </c>
      <c r="C10" s="457"/>
      <c r="D10" s="391">
        <f>'[3]PricingDashboard - MUNI_SHARE p'!$AN$4+[4]Sheet1!$F$5+[5]Sheet1!$G$4</f>
        <v>55067.557410194931</v>
      </c>
      <c r="E10" s="391">
        <f>'[6]PricingDashboard - MUNI_SHARE p'!$AR$4+[5]Sheet1!$G$4</f>
        <v>58107.56104443589</v>
      </c>
      <c r="F10" s="391">
        <f>'[7]PricingDashboard - MUNI_SHARE p'!$AP$4</f>
        <v>56956.576603717796</v>
      </c>
      <c r="G10" s="391">
        <f t="shared" si="0"/>
        <v>56710.565019449539</v>
      </c>
      <c r="H10" s="391">
        <f>+J10+K10</f>
        <v>105764.31035326645</v>
      </c>
      <c r="J10" s="63">
        <f>'[8]PricingDashboard - MUNI_SHARE p'!AT4</f>
        <v>70978.705907315452</v>
      </c>
      <c r="K10" s="63">
        <f>'[8]PricingDashboard - MUNI_SHARE p'!AU4</f>
        <v>34785.604445951001</v>
      </c>
      <c r="L10" s="63"/>
      <c r="N10" s="460"/>
    </row>
    <row r="11" spans="1:19" ht="15">
      <c r="A11" s="461"/>
      <c r="B11" s="462" t="s">
        <v>295</v>
      </c>
      <c r="C11" s="463"/>
      <c r="D11" s="452">
        <f t="shared" ref="D11:G11" si="1">SUM(D8:D10)</f>
        <v>107739.34942472262</v>
      </c>
      <c r="E11" s="452">
        <f t="shared" si="1"/>
        <v>110405.14621473581</v>
      </c>
      <c r="F11" s="452">
        <f t="shared" si="1"/>
        <v>108357.18263582545</v>
      </c>
      <c r="G11" s="452">
        <f t="shared" si="1"/>
        <v>108833.89275842796</v>
      </c>
      <c r="H11" s="452">
        <f>SUM(H8:H10)</f>
        <v>203504.09537247504</v>
      </c>
      <c r="J11" s="452"/>
      <c r="K11" s="376"/>
      <c r="L11" s="376"/>
      <c r="N11" s="464"/>
    </row>
    <row r="12" spans="1:19" ht="14.25">
      <c r="A12" s="450" t="s">
        <v>296</v>
      </c>
      <c r="B12" s="451"/>
      <c r="D12" s="376"/>
      <c r="E12" s="376"/>
      <c r="F12" s="376"/>
      <c r="G12" s="376"/>
      <c r="H12" s="376"/>
      <c r="J12" s="452"/>
      <c r="K12" s="376"/>
      <c r="L12" s="376"/>
    </row>
    <row r="13" spans="1:19" ht="14.25">
      <c r="A13" s="453"/>
      <c r="B13" s="440" t="s">
        <v>297</v>
      </c>
      <c r="D13" s="376">
        <f>'[3]PricingDashboard - MUNI_SHARE p'!$AN$8+[4]Sheet1!$F$9+[5]Sheet1!$G$8</f>
        <v>3072.5247737547247</v>
      </c>
      <c r="E13" s="376">
        <f>'[6]PricingDashboard - MUNI_SHARE p'!$AR$8+[5]Sheet1!$G$8</f>
        <v>2857.2541207673794</v>
      </c>
      <c r="F13" s="376">
        <f>'[7]PricingDashboard - MUNI_SHARE p'!$AP$8</f>
        <v>3351.4613278582469</v>
      </c>
      <c r="G13" s="376">
        <f>AVERAGE(D13:F13)</f>
        <v>3093.7467407934505</v>
      </c>
      <c r="H13" s="376">
        <f>'2022-2023 Recy. Tons &amp; Revenue'!G129</f>
        <v>6493.7062961854808</v>
      </c>
      <c r="I13" s="454"/>
      <c r="J13" s="452"/>
      <c r="K13" s="376"/>
      <c r="L13" s="376"/>
      <c r="N13" s="454"/>
    </row>
    <row r="14" spans="1:19" ht="14.25">
      <c r="A14" s="453"/>
      <c r="B14" s="440" t="s">
        <v>298</v>
      </c>
      <c r="D14" s="376">
        <f>'[3]PricingDashboard - MUNI_SHARE p'!$AN$6+[4]Sheet1!$F$7+[5]Sheet1!$G$6</f>
        <v>34.550141849494473</v>
      </c>
      <c r="E14" s="376">
        <f>'[6]PricingDashboard - MUNI_SHARE p'!$AR$6+[5]Sheet1!$G$6</f>
        <v>22.322548177562577</v>
      </c>
      <c r="F14" s="376">
        <f>'[7]PricingDashboard - MUNI_SHARE p'!$AP$6</f>
        <v>30.109679487249728</v>
      </c>
      <c r="G14" s="376">
        <f t="shared" ref="G14:G15" si="2">AVERAGE(D14:F14)</f>
        <v>28.994123171435593</v>
      </c>
      <c r="H14" s="376">
        <f>+J14+K14</f>
        <v>43.803771005014845</v>
      </c>
      <c r="J14" s="63">
        <f>'[8]PricingDashboard - MUNI_SHARE p'!AT6</f>
        <v>40.668352592702114</v>
      </c>
      <c r="K14" s="63">
        <f>'[8]PricingDashboard - MUNI_SHARE p'!AU6</f>
        <v>3.1354184123127302</v>
      </c>
      <c r="L14" s="376"/>
      <c r="N14" s="454"/>
    </row>
    <row r="15" spans="1:19" ht="16.5">
      <c r="A15" s="453"/>
      <c r="B15" s="440" t="s">
        <v>299</v>
      </c>
      <c r="C15" s="467"/>
      <c r="D15" s="391">
        <f>'[3]PricingDashboard - MUNI_SHARE p'!$AN$7+[4]Sheet1!$F$8+[5]Sheet1!$G$7</f>
        <v>15928.47964360838</v>
      </c>
      <c r="E15" s="391">
        <f>'[6]PricingDashboard - MUNI_SHARE p'!$AR$7+[5]Sheet1!$G$7</f>
        <v>14321.956931852954</v>
      </c>
      <c r="F15" s="391">
        <f>'[7]PricingDashboard - MUNI_SHARE p'!$AP$7</f>
        <v>16251.50297132312</v>
      </c>
      <c r="G15" s="391">
        <f t="shared" si="2"/>
        <v>15500.646515594817</v>
      </c>
      <c r="H15" s="391">
        <f>+J15+K15</f>
        <v>25509.310504442565</v>
      </c>
      <c r="J15" s="63">
        <f>'[8]PricingDashboard - MUNI_SHARE p'!AT7</f>
        <v>25063.137096178536</v>
      </c>
      <c r="K15" s="63">
        <f>'[8]PricingDashboard - MUNI_SHARE p'!AU7</f>
        <v>446.17340826402801</v>
      </c>
      <c r="L15" s="376"/>
      <c r="N15" s="460"/>
    </row>
    <row r="16" spans="1:19" ht="15">
      <c r="A16" s="461"/>
      <c r="B16" s="451" t="s">
        <v>300</v>
      </c>
      <c r="C16" s="468"/>
      <c r="D16" s="452">
        <f>SUM(D13:D15)</f>
        <v>19035.5545592126</v>
      </c>
      <c r="E16" s="452">
        <f>SUM(E13:E15)</f>
        <v>17201.533600797895</v>
      </c>
      <c r="F16" s="452">
        <f>SUM(F13:F15)</f>
        <v>19633.073978668617</v>
      </c>
      <c r="G16" s="452">
        <f>SUM(G13:G15)</f>
        <v>18623.387379559703</v>
      </c>
      <c r="H16" s="452">
        <f t="shared" ref="H16" si="3">SUM(H13:H15)</f>
        <v>32046.820571633059</v>
      </c>
      <c r="L16" s="376"/>
      <c r="N16" s="464"/>
      <c r="R16" s="57"/>
      <c r="S16" s="376"/>
    </row>
    <row r="17" spans="1:21" ht="15">
      <c r="A17" s="470" t="s">
        <v>301</v>
      </c>
      <c r="B17" s="471"/>
      <c r="C17" s="472"/>
      <c r="D17" s="495">
        <f>+D16+D11</f>
        <v>126774.90398393522</v>
      </c>
      <c r="E17" s="495">
        <f>+E16+E11</f>
        <v>127606.6798155337</v>
      </c>
      <c r="F17" s="495">
        <f>+F16+F11</f>
        <v>127990.25661449406</v>
      </c>
      <c r="G17" s="495">
        <f>+G16+G11</f>
        <v>127457.28013798766</v>
      </c>
      <c r="H17" s="495">
        <f t="shared" ref="H17" si="4">+H16+H11</f>
        <v>235550.9159441081</v>
      </c>
      <c r="L17" s="376"/>
      <c r="N17" s="473"/>
      <c r="R17" s="452"/>
      <c r="S17" s="376"/>
    </row>
    <row r="18" spans="1:21" ht="15">
      <c r="A18" s="470"/>
      <c r="B18" s="471"/>
      <c r="C18" s="463"/>
      <c r="D18" s="474"/>
      <c r="E18" s="474"/>
      <c r="F18" s="474"/>
      <c r="G18" s="474"/>
      <c r="H18" s="474"/>
      <c r="L18" s="376"/>
      <c r="N18" s="474"/>
      <c r="R18" s="452"/>
      <c r="S18" s="376"/>
    </row>
    <row r="19" spans="1:21" ht="15">
      <c r="A19" s="475"/>
      <c r="B19" s="476" t="s">
        <v>302</v>
      </c>
      <c r="C19" s="472"/>
      <c r="D19" s="495">
        <f>+D8+D9+D13+D14</f>
        <v>55778.86693013191</v>
      </c>
      <c r="E19" s="495">
        <f>+E8+E9+E13+E14</f>
        <v>55177.161839244873</v>
      </c>
      <c r="F19" s="495">
        <f>+F8+F9+F13+F14</f>
        <v>54782.177039453149</v>
      </c>
      <c r="G19" s="495">
        <f>+G8+G9+G13+G14</f>
        <v>55246.068602943305</v>
      </c>
      <c r="H19" s="495">
        <f>+H8+H9+H13+H14</f>
        <v>104277.29508639907</v>
      </c>
      <c r="L19" s="376"/>
      <c r="N19" s="473"/>
      <c r="R19" s="452"/>
      <c r="S19" s="376"/>
    </row>
    <row r="20" spans="1:21" ht="15">
      <c r="A20" s="475"/>
      <c r="B20" s="476" t="s">
        <v>303</v>
      </c>
      <c r="C20" s="477"/>
      <c r="D20" s="478">
        <f>+D19/D17</f>
        <v>0.43998350759705679</v>
      </c>
      <c r="E20" s="478">
        <f>+E19/E17</f>
        <v>0.43240026242362978</v>
      </c>
      <c r="F20" s="478">
        <f>+F19/F17</f>
        <v>0.42801833896197866</v>
      </c>
      <c r="G20" s="478">
        <f>+G19/G17</f>
        <v>0.43344772886360722</v>
      </c>
      <c r="H20" s="478">
        <f>+H19/H17</f>
        <v>0.44269534961664997</v>
      </c>
      <c r="L20" s="376"/>
      <c r="N20" s="478"/>
      <c r="R20" s="452"/>
      <c r="S20" s="376"/>
    </row>
    <row r="22" spans="1:21">
      <c r="B22" s="486" t="s">
        <v>316</v>
      </c>
      <c r="D22" s="376"/>
      <c r="E22" s="376"/>
      <c r="F22" s="376"/>
      <c r="G22" s="455" t="e">
        <f>AVERAGE(D22:F22)</f>
        <v>#DIV/0!</v>
      </c>
      <c r="H22" s="376">
        <f>+G31</f>
        <v>94434</v>
      </c>
    </row>
    <row r="23" spans="1:21">
      <c r="B23" s="486"/>
      <c r="E23" s="376"/>
      <c r="F23" s="376"/>
      <c r="H23" s="376"/>
    </row>
    <row r="24" spans="1:21">
      <c r="B24" s="486" t="s">
        <v>317</v>
      </c>
      <c r="D24" s="466" t="e">
        <f>+D19*2000/D22</f>
        <v>#DIV/0!</v>
      </c>
      <c r="E24" s="466" t="e">
        <f>+E19*2000/E22</f>
        <v>#DIV/0!</v>
      </c>
      <c r="F24" s="466" t="e">
        <f>+F19*2000/F22</f>
        <v>#DIV/0!</v>
      </c>
      <c r="G24" s="466" t="e">
        <f>+G19*2000/G22</f>
        <v>#DIV/0!</v>
      </c>
      <c r="H24" s="466">
        <f>+H19*2000/H22/2</f>
        <v>1104.2346515703991</v>
      </c>
      <c r="U24" s="484"/>
    </row>
    <row r="25" spans="1:21" ht="15.75">
      <c r="B25" s="449"/>
      <c r="H25" s="479"/>
      <c r="I25" s="479"/>
      <c r="K25" s="57"/>
      <c r="L25" s="376"/>
      <c r="M25" s="376"/>
      <c r="N25" s="376"/>
      <c r="U25" s="484"/>
    </row>
    <row r="26" spans="1:21" ht="15.75">
      <c r="A26" s="496" t="s">
        <v>318</v>
      </c>
      <c r="H26" s="539"/>
      <c r="I26" s="539"/>
      <c r="J26" s="539"/>
      <c r="K26" s="376"/>
      <c r="L26" s="540"/>
      <c r="M26" s="540"/>
      <c r="N26" s="540"/>
      <c r="U26" s="484"/>
    </row>
    <row r="27" spans="1:21">
      <c r="G27" s="480" t="s">
        <v>305</v>
      </c>
      <c r="H27" s="480" t="s">
        <v>306</v>
      </c>
      <c r="I27" s="441"/>
      <c r="J27" s="376"/>
      <c r="K27" s="481"/>
      <c r="L27" s="481"/>
      <c r="M27" s="57"/>
      <c r="N27" s="57"/>
      <c r="U27" s="484"/>
    </row>
    <row r="28" spans="1:21">
      <c r="G28" s="442" t="s">
        <v>87</v>
      </c>
      <c r="H28" s="442" t="s">
        <v>87</v>
      </c>
      <c r="I28" s="482" t="s">
        <v>71</v>
      </c>
      <c r="J28" s="376"/>
      <c r="K28" s="442" t="s">
        <v>16</v>
      </c>
      <c r="L28" s="482" t="s">
        <v>72</v>
      </c>
      <c r="M28" s="483"/>
      <c r="N28" s="483"/>
      <c r="U28" s="484"/>
    </row>
    <row r="29" spans="1:21">
      <c r="B29" s="440" t="s">
        <v>328</v>
      </c>
      <c r="G29" s="484">
        <f>'Customer Counts - Enspire'!G8+'Customer Counts - Enspire'!H8</f>
        <v>92545</v>
      </c>
      <c r="H29" s="484">
        <f>+K29+L29</f>
        <v>44944</v>
      </c>
      <c r="I29" s="454">
        <f>+H29+G29</f>
        <v>137489</v>
      </c>
      <c r="J29" s="376"/>
      <c r="K29" s="63">
        <f>1539+105+845+2501+32376</f>
        <v>37366</v>
      </c>
      <c r="L29" s="63">
        <v>7578</v>
      </c>
      <c r="M29" s="63"/>
      <c r="N29" s="63"/>
      <c r="U29" s="484"/>
    </row>
    <row r="30" spans="1:21">
      <c r="G30" s="484"/>
      <c r="H30" s="484"/>
      <c r="I30" s="454">
        <f t="shared" ref="I30:I31" si="5">+H30+G30</f>
        <v>0</v>
      </c>
      <c r="J30" s="376"/>
      <c r="K30" s="63"/>
      <c r="L30" s="63"/>
      <c r="M30" s="63"/>
      <c r="N30" s="63"/>
      <c r="U30" s="484"/>
    </row>
    <row r="31" spans="1:21">
      <c r="B31" s="440" t="s">
        <v>327</v>
      </c>
      <c r="G31" s="484">
        <f>'Customer Counts - Enspire'!G29+'Customer Counts - Enspire'!H29</f>
        <v>94434</v>
      </c>
      <c r="H31" s="484">
        <f>+K31+L31</f>
        <v>47625</v>
      </c>
      <c r="I31" s="454">
        <f t="shared" si="5"/>
        <v>142059</v>
      </c>
      <c r="J31" s="376"/>
      <c r="K31" s="63">
        <f>1593+130+1066+2791+33754</f>
        <v>39334</v>
      </c>
      <c r="L31" s="63">
        <v>8291</v>
      </c>
      <c r="M31" s="63"/>
      <c r="N31" s="63"/>
      <c r="U31" s="484"/>
    </row>
    <row r="32" spans="1:21">
      <c r="J32" s="376"/>
      <c r="K32" s="376"/>
      <c r="L32" s="376"/>
      <c r="M32" s="376"/>
      <c r="N32" s="376"/>
      <c r="U32" s="484"/>
    </row>
    <row r="33" spans="1:21">
      <c r="B33" s="486" t="s">
        <v>308</v>
      </c>
      <c r="C33" s="486"/>
      <c r="D33" s="486"/>
      <c r="E33" s="486"/>
      <c r="F33" s="486"/>
      <c r="G33" s="487">
        <f>+G31/G29-1</f>
        <v>2.0411691609487193E-2</v>
      </c>
      <c r="H33" s="487">
        <f>+H31/H29-1</f>
        <v>5.9652011391954529E-2</v>
      </c>
      <c r="I33" s="487">
        <f>+I31/I29-1</f>
        <v>3.3239022758184245E-2</v>
      </c>
      <c r="J33" s="376"/>
      <c r="K33" s="376"/>
      <c r="L33" s="376"/>
      <c r="M33" s="376"/>
      <c r="N33" s="376"/>
      <c r="U33" s="484"/>
    </row>
    <row r="34" spans="1:21" ht="15">
      <c r="B34" s="486"/>
      <c r="G34" s="497"/>
      <c r="H34" s="497"/>
      <c r="M34" s="497"/>
    </row>
    <row r="36" spans="1:21" ht="15.75">
      <c r="A36" s="488" t="s">
        <v>309</v>
      </c>
    </row>
    <row r="37" spans="1:21" ht="15.75">
      <c r="A37" s="488"/>
    </row>
    <row r="38" spans="1:21" ht="86.25" customHeight="1">
      <c r="A38" s="541" t="s">
        <v>319</v>
      </c>
      <c r="B38" s="538"/>
      <c r="C38" s="538"/>
      <c r="D38" s="538"/>
      <c r="E38" s="538"/>
      <c r="F38" s="538"/>
      <c r="G38" s="538"/>
      <c r="H38" s="538"/>
      <c r="I38" s="538"/>
      <c r="J38" s="538"/>
      <c r="K38" s="538"/>
      <c r="L38" s="538"/>
      <c r="M38" s="538"/>
      <c r="N38" s="538"/>
    </row>
    <row r="39" spans="1:21" ht="15.75">
      <c r="A39" s="489"/>
    </row>
    <row r="40" spans="1:21" ht="52.5" customHeight="1">
      <c r="A40" s="541" t="s">
        <v>320</v>
      </c>
      <c r="B40" s="538"/>
      <c r="C40" s="538"/>
      <c r="D40" s="538"/>
      <c r="E40" s="538"/>
      <c r="F40" s="538"/>
      <c r="G40" s="538"/>
      <c r="H40" s="538"/>
      <c r="I40" s="538"/>
      <c r="J40" s="538"/>
      <c r="K40" s="538"/>
      <c r="L40" s="538"/>
      <c r="M40" s="538"/>
      <c r="N40" s="538"/>
    </row>
    <row r="41" spans="1:21" ht="15.75">
      <c r="A41" s="489"/>
    </row>
    <row r="42" spans="1:21" ht="15.75">
      <c r="A42" s="489" t="s">
        <v>310</v>
      </c>
    </row>
    <row r="43" spans="1:21" ht="15.75">
      <c r="A43" s="489"/>
    </row>
    <row r="44" spans="1:21" ht="97.5" customHeight="1">
      <c r="A44" s="542" t="s">
        <v>321</v>
      </c>
      <c r="B44" s="543"/>
      <c r="C44" s="543"/>
      <c r="D44" s="543"/>
      <c r="E44" s="543"/>
      <c r="F44" s="543"/>
      <c r="G44" s="543"/>
      <c r="H44" s="543"/>
      <c r="I44" s="543"/>
      <c r="J44" s="543"/>
      <c r="K44" s="543"/>
      <c r="L44" s="543"/>
      <c r="M44" s="543"/>
      <c r="N44" s="543"/>
    </row>
    <row r="45" spans="1:21" ht="51.75" customHeight="1">
      <c r="A45" s="537" t="s">
        <v>322</v>
      </c>
      <c r="B45" s="538"/>
      <c r="C45" s="538"/>
      <c r="D45" s="538"/>
      <c r="E45" s="538"/>
      <c r="F45" s="538"/>
      <c r="G45" s="538"/>
      <c r="H45" s="538"/>
      <c r="I45" s="538"/>
      <c r="J45" s="538"/>
      <c r="K45" s="538"/>
      <c r="L45" s="538"/>
      <c r="M45" s="538"/>
      <c r="N45" s="538"/>
    </row>
    <row r="46" spans="1:21" ht="15.75">
      <c r="A46" s="490"/>
    </row>
    <row r="47" spans="1:21" ht="87" customHeight="1">
      <c r="A47" s="537" t="s">
        <v>323</v>
      </c>
      <c r="B47" s="538"/>
      <c r="C47" s="538"/>
      <c r="D47" s="538"/>
      <c r="E47" s="538"/>
      <c r="F47" s="538"/>
      <c r="G47" s="538"/>
      <c r="H47" s="538"/>
      <c r="I47" s="538"/>
      <c r="J47" s="538"/>
      <c r="K47" s="538"/>
      <c r="L47" s="538"/>
      <c r="M47" s="538"/>
      <c r="N47" s="538"/>
    </row>
    <row r="49" spans="1:14" ht="66" customHeight="1">
      <c r="A49" s="537" t="s">
        <v>330</v>
      </c>
      <c r="B49" s="538"/>
      <c r="C49" s="538"/>
      <c r="D49" s="538"/>
      <c r="E49" s="538"/>
      <c r="F49" s="538"/>
      <c r="G49" s="538"/>
      <c r="H49" s="538"/>
      <c r="I49" s="538"/>
      <c r="J49" s="538"/>
      <c r="K49" s="538"/>
      <c r="L49" s="538"/>
      <c r="M49" s="538"/>
      <c r="N49" s="538"/>
    </row>
  </sheetData>
  <mergeCells count="8">
    <mergeCell ref="A47:N47"/>
    <mergeCell ref="A49:N49"/>
    <mergeCell ref="H26:J26"/>
    <mergeCell ref="L26:N26"/>
    <mergeCell ref="A38:N38"/>
    <mergeCell ref="A40:N40"/>
    <mergeCell ref="A44:N44"/>
    <mergeCell ref="A45:N4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tabSelected="1" workbookViewId="0">
      <selection activeCell="N14" sqref="N14"/>
    </sheetView>
  </sheetViews>
  <sheetFormatPr defaultRowHeight="15"/>
  <cols>
    <col min="1" max="1" width="4.5703125" style="289" customWidth="1"/>
    <col min="2" max="2" width="27.28515625" style="289" customWidth="1"/>
    <col min="3" max="3" width="8.28515625" style="289" bestFit="1" customWidth="1"/>
    <col min="4" max="4" width="11.7109375" style="289" bestFit="1" customWidth="1"/>
    <col min="5" max="5" width="11.140625" style="291" bestFit="1" customWidth="1"/>
    <col min="6" max="6" width="12.7109375" style="289" bestFit="1" customWidth="1"/>
    <col min="7" max="7" width="11" style="289" bestFit="1" customWidth="1"/>
    <col min="8" max="8" width="10" style="289" bestFit="1" customWidth="1"/>
    <col min="9" max="9" width="12.7109375" style="289" bestFit="1" customWidth="1"/>
    <col min="10" max="10" width="10.7109375" style="289" bestFit="1" customWidth="1"/>
    <col min="11" max="11" width="9.5703125" style="289" bestFit="1" customWidth="1"/>
    <col min="12" max="12" width="12.7109375" style="289" bestFit="1" customWidth="1"/>
    <col min="13" max="13" width="7.7109375" style="289" customWidth="1"/>
    <col min="14" max="14" width="10.28515625" style="289" customWidth="1"/>
    <col min="15" max="15" width="9.85546875" style="289" customWidth="1"/>
    <col min="16" max="16" width="9.7109375" style="289" customWidth="1"/>
    <col min="17" max="17" width="8.85546875" style="289" customWidth="1"/>
    <col min="18" max="18" width="11" style="290" bestFit="1" customWidth="1"/>
    <col min="19" max="19" width="9.140625" style="289"/>
    <col min="20" max="20" width="14.140625" style="289" bestFit="1" customWidth="1"/>
    <col min="21" max="21" width="9.140625" style="289"/>
    <col min="22" max="22" width="12.7109375" style="289" bestFit="1" customWidth="1"/>
    <col min="23" max="23" width="9.7109375" style="289" bestFit="1" customWidth="1"/>
    <col min="24" max="16384" width="9.140625" style="289"/>
  </cols>
  <sheetData>
    <row r="1" spans="1:255" ht="23.25">
      <c r="A1" s="515" t="s">
        <v>204</v>
      </c>
      <c r="B1" s="515"/>
      <c r="C1" s="515"/>
      <c r="D1" s="515"/>
      <c r="E1" s="515"/>
      <c r="F1" s="515"/>
      <c r="G1" s="515"/>
      <c r="H1" s="515"/>
      <c r="I1" s="515"/>
      <c r="J1" s="515"/>
      <c r="K1" s="515"/>
      <c r="L1" s="515"/>
    </row>
    <row r="2" spans="1:255" ht="15.75" thickBot="1"/>
    <row r="3" spans="1:255" ht="16.5" thickBot="1">
      <c r="A3" s="292"/>
      <c r="B3" s="293"/>
      <c r="C3" s="294"/>
      <c r="D3" s="516" t="s">
        <v>205</v>
      </c>
      <c r="E3" s="517"/>
      <c r="F3" s="518"/>
      <c r="G3" s="516" t="s">
        <v>206</v>
      </c>
      <c r="H3" s="517"/>
      <c r="I3" s="518"/>
      <c r="J3" s="516" t="s">
        <v>207</v>
      </c>
      <c r="K3" s="517"/>
      <c r="L3" s="518"/>
      <c r="M3" s="295"/>
      <c r="N3" s="509"/>
      <c r="O3" s="509"/>
      <c r="P3" s="509"/>
      <c r="Q3" s="295"/>
      <c r="R3" s="296"/>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O3" s="295"/>
      <c r="DP3" s="295"/>
      <c r="DQ3" s="295"/>
      <c r="DR3" s="295"/>
      <c r="DS3" s="295"/>
      <c r="DT3" s="295"/>
      <c r="DU3" s="295"/>
      <c r="DV3" s="295"/>
      <c r="DW3" s="295"/>
      <c r="DX3" s="295"/>
      <c r="DY3" s="295"/>
      <c r="DZ3" s="295"/>
      <c r="EA3" s="295"/>
      <c r="EB3" s="295"/>
      <c r="EC3" s="295"/>
      <c r="ED3" s="295"/>
      <c r="EE3" s="295"/>
      <c r="EF3" s="295"/>
      <c r="EG3" s="295"/>
      <c r="EH3" s="295"/>
      <c r="EI3" s="295"/>
      <c r="EJ3" s="295"/>
      <c r="EK3" s="295"/>
      <c r="EL3" s="295"/>
      <c r="EM3" s="295"/>
      <c r="EN3" s="295"/>
      <c r="EO3" s="295"/>
      <c r="EP3" s="295"/>
      <c r="EQ3" s="295"/>
      <c r="ER3" s="295"/>
      <c r="ES3" s="295"/>
      <c r="ET3" s="295"/>
      <c r="EU3" s="295"/>
      <c r="EV3" s="295"/>
      <c r="EW3" s="295"/>
      <c r="EX3" s="295"/>
      <c r="EY3" s="295"/>
      <c r="EZ3" s="295"/>
      <c r="FA3" s="295"/>
      <c r="FB3" s="295"/>
      <c r="FC3" s="295"/>
      <c r="FD3" s="295"/>
      <c r="FE3" s="295"/>
      <c r="FF3" s="295"/>
      <c r="FG3" s="295"/>
      <c r="FH3" s="295"/>
      <c r="FI3" s="295"/>
      <c r="FJ3" s="295"/>
      <c r="FK3" s="295"/>
      <c r="FL3" s="295"/>
      <c r="FM3" s="295"/>
      <c r="FN3" s="295"/>
      <c r="FO3" s="295"/>
      <c r="FP3" s="295"/>
      <c r="FQ3" s="295"/>
      <c r="FR3" s="295"/>
      <c r="FS3" s="295"/>
      <c r="FT3" s="295"/>
      <c r="FU3" s="295"/>
      <c r="FV3" s="295"/>
      <c r="FW3" s="295"/>
      <c r="FX3" s="295"/>
      <c r="FY3" s="295"/>
      <c r="FZ3" s="295"/>
      <c r="GA3" s="295"/>
      <c r="GB3" s="295"/>
      <c r="GC3" s="295"/>
      <c r="GD3" s="295"/>
      <c r="GE3" s="295"/>
      <c r="GF3" s="295"/>
      <c r="GG3" s="295"/>
      <c r="GH3" s="295"/>
      <c r="GI3" s="295"/>
      <c r="GJ3" s="295"/>
      <c r="GK3" s="295"/>
      <c r="GL3" s="295"/>
      <c r="GM3" s="295"/>
      <c r="GN3" s="295"/>
      <c r="GO3" s="295"/>
      <c r="GP3" s="295"/>
      <c r="GQ3" s="295"/>
      <c r="GR3" s="295"/>
      <c r="GS3" s="295"/>
      <c r="GT3" s="295"/>
      <c r="GU3" s="295"/>
      <c r="GV3" s="295"/>
      <c r="GW3" s="295"/>
      <c r="GX3" s="295"/>
      <c r="GY3" s="295"/>
      <c r="GZ3" s="295"/>
      <c r="HA3" s="295"/>
      <c r="HB3" s="295"/>
      <c r="HC3" s="295"/>
      <c r="HD3" s="295"/>
      <c r="HE3" s="295"/>
      <c r="HF3" s="295"/>
      <c r="HG3" s="295"/>
      <c r="HH3" s="295"/>
      <c r="HI3" s="295"/>
      <c r="HJ3" s="295"/>
      <c r="HK3" s="295"/>
      <c r="HL3" s="295"/>
      <c r="HM3" s="295"/>
      <c r="HN3" s="295"/>
      <c r="HO3" s="295"/>
      <c r="HP3" s="295"/>
      <c r="HQ3" s="295"/>
      <c r="HR3" s="295"/>
      <c r="HS3" s="295"/>
      <c r="HT3" s="295"/>
      <c r="HU3" s="295"/>
      <c r="HV3" s="295"/>
      <c r="HW3" s="295"/>
      <c r="HX3" s="295"/>
      <c r="HY3" s="295"/>
      <c r="HZ3" s="295"/>
      <c r="IA3" s="295"/>
      <c r="IB3" s="295"/>
      <c r="IC3" s="295"/>
      <c r="ID3" s="295"/>
      <c r="IE3" s="295"/>
      <c r="IF3" s="295"/>
      <c r="IG3" s="295"/>
      <c r="IH3" s="295"/>
      <c r="II3" s="295"/>
      <c r="IJ3" s="295"/>
      <c r="IK3" s="295"/>
      <c r="IL3" s="295"/>
      <c r="IM3" s="295"/>
      <c r="IN3" s="295"/>
      <c r="IO3" s="295"/>
      <c r="IP3" s="295"/>
      <c r="IQ3" s="295"/>
      <c r="IR3" s="295"/>
      <c r="IS3" s="295"/>
      <c r="IT3" s="295"/>
      <c r="IU3" s="295"/>
    </row>
    <row r="4" spans="1:255" ht="16.5" thickBot="1">
      <c r="A4" s="510" t="s">
        <v>208</v>
      </c>
      <c r="B4" s="511"/>
      <c r="C4" s="512"/>
      <c r="D4" s="297" t="s">
        <v>209</v>
      </c>
      <c r="E4" s="298" t="s">
        <v>210</v>
      </c>
      <c r="F4" s="297" t="s">
        <v>211</v>
      </c>
      <c r="G4" s="297" t="s">
        <v>209</v>
      </c>
      <c r="H4" s="297" t="s">
        <v>210</v>
      </c>
      <c r="I4" s="297" t="s">
        <v>211</v>
      </c>
      <c r="J4" s="297" t="s">
        <v>209</v>
      </c>
      <c r="K4" s="297" t="s">
        <v>210</v>
      </c>
      <c r="L4" s="299" t="s">
        <v>211</v>
      </c>
      <c r="M4" s="295"/>
      <c r="N4" s="300"/>
      <c r="O4" s="300"/>
      <c r="P4" s="300"/>
      <c r="Q4" s="295"/>
      <c r="R4" s="296"/>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295"/>
      <c r="DK4" s="295"/>
      <c r="DL4" s="295"/>
      <c r="DM4" s="295"/>
      <c r="DN4" s="295"/>
      <c r="DO4" s="295"/>
      <c r="DP4" s="295"/>
      <c r="DQ4" s="295"/>
      <c r="DR4" s="295"/>
      <c r="DS4" s="295"/>
      <c r="DT4" s="295"/>
      <c r="DU4" s="295"/>
      <c r="DV4" s="295"/>
      <c r="DW4" s="295"/>
      <c r="DX4" s="295"/>
      <c r="DY4" s="295"/>
      <c r="DZ4" s="295"/>
      <c r="EA4" s="295"/>
      <c r="EB4" s="295"/>
      <c r="EC4" s="295"/>
      <c r="ED4" s="295"/>
      <c r="EE4" s="295"/>
      <c r="EF4" s="295"/>
      <c r="EG4" s="295"/>
      <c r="EH4" s="295"/>
      <c r="EI4" s="295"/>
      <c r="EJ4" s="295"/>
      <c r="EK4" s="295"/>
      <c r="EL4" s="295"/>
      <c r="EM4" s="295"/>
      <c r="EN4" s="295"/>
      <c r="EO4" s="295"/>
      <c r="EP4" s="295"/>
      <c r="EQ4" s="295"/>
      <c r="ER4" s="295"/>
      <c r="ES4" s="295"/>
      <c r="ET4" s="295"/>
      <c r="EU4" s="295"/>
      <c r="EV4" s="295"/>
      <c r="EW4" s="295"/>
      <c r="EX4" s="295"/>
      <c r="EY4" s="295"/>
      <c r="EZ4" s="295"/>
      <c r="FA4" s="295"/>
      <c r="FB4" s="295"/>
      <c r="FC4" s="295"/>
      <c r="FD4" s="295"/>
      <c r="FE4" s="295"/>
      <c r="FF4" s="295"/>
      <c r="FG4" s="295"/>
      <c r="FH4" s="295"/>
      <c r="FI4" s="295"/>
      <c r="FJ4" s="295"/>
      <c r="FK4" s="295"/>
      <c r="FL4" s="295"/>
      <c r="FM4" s="295"/>
      <c r="FN4" s="295"/>
      <c r="FO4" s="295"/>
      <c r="FP4" s="295"/>
      <c r="FQ4" s="295"/>
      <c r="FR4" s="295"/>
      <c r="FS4" s="295"/>
      <c r="FT4" s="295"/>
      <c r="FU4" s="295"/>
      <c r="FV4" s="295"/>
      <c r="FW4" s="295"/>
      <c r="FX4" s="295"/>
      <c r="FY4" s="295"/>
      <c r="FZ4" s="295"/>
      <c r="GA4" s="295"/>
      <c r="GB4" s="295"/>
      <c r="GC4" s="295"/>
      <c r="GD4" s="295"/>
      <c r="GE4" s="295"/>
      <c r="GF4" s="295"/>
      <c r="GG4" s="295"/>
      <c r="GH4" s="295"/>
      <c r="GI4" s="295"/>
      <c r="GJ4" s="295"/>
      <c r="GK4" s="295"/>
      <c r="GL4" s="295"/>
      <c r="GM4" s="295"/>
      <c r="GN4" s="295"/>
      <c r="GO4" s="295"/>
      <c r="GP4" s="295"/>
      <c r="GQ4" s="295"/>
      <c r="GR4" s="295"/>
      <c r="GS4" s="295"/>
      <c r="GT4" s="295"/>
      <c r="GU4" s="295"/>
      <c r="GV4" s="295"/>
      <c r="GW4" s="295"/>
      <c r="GX4" s="295"/>
      <c r="GY4" s="295"/>
      <c r="GZ4" s="295"/>
      <c r="HA4" s="295"/>
      <c r="HB4" s="295"/>
      <c r="HC4" s="295"/>
      <c r="HD4" s="295"/>
      <c r="HE4" s="295"/>
      <c r="HF4" s="295"/>
      <c r="HG4" s="295"/>
      <c r="HH4" s="295"/>
      <c r="HI4" s="295"/>
      <c r="HJ4" s="295"/>
      <c r="HK4" s="295"/>
      <c r="HL4" s="295"/>
      <c r="HM4" s="295"/>
      <c r="HN4" s="295"/>
      <c r="HO4" s="295"/>
      <c r="HP4" s="295"/>
      <c r="HQ4" s="295"/>
      <c r="HR4" s="295"/>
      <c r="HS4" s="295"/>
      <c r="HT4" s="295"/>
      <c r="HU4" s="295"/>
      <c r="HV4" s="295"/>
      <c r="HW4" s="295"/>
      <c r="HX4" s="295"/>
      <c r="HY4" s="295"/>
      <c r="HZ4" s="295"/>
      <c r="IA4" s="295"/>
      <c r="IB4" s="295"/>
      <c r="IC4" s="295"/>
      <c r="ID4" s="295"/>
      <c r="IE4" s="295"/>
      <c r="IF4" s="295"/>
      <c r="IG4" s="295"/>
      <c r="IH4" s="295"/>
      <c r="II4" s="295"/>
      <c r="IJ4" s="295"/>
      <c r="IK4" s="295"/>
      <c r="IL4" s="295"/>
      <c r="IM4" s="295"/>
      <c r="IN4" s="295"/>
      <c r="IO4" s="295"/>
      <c r="IP4" s="295"/>
      <c r="IQ4" s="295"/>
      <c r="IR4" s="295"/>
      <c r="IS4" s="295"/>
      <c r="IT4" s="295"/>
      <c r="IU4" s="295"/>
    </row>
    <row r="5" spans="1:255">
      <c r="A5" s="301"/>
      <c r="B5" s="302"/>
      <c r="C5" s="303"/>
      <c r="D5" s="304"/>
      <c r="E5" s="305"/>
      <c r="F5" s="304"/>
      <c r="G5" s="304"/>
      <c r="H5" s="304"/>
      <c r="I5" s="304"/>
      <c r="J5" s="304"/>
      <c r="K5" s="304"/>
      <c r="L5" s="306"/>
      <c r="M5" s="307"/>
      <c r="N5" s="307"/>
      <c r="O5" s="307"/>
      <c r="P5" s="307"/>
      <c r="Q5" s="307"/>
      <c r="R5" s="308"/>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c r="IS5" s="307"/>
      <c r="IT5" s="307"/>
      <c r="IU5" s="307"/>
    </row>
    <row r="6" spans="1:255" ht="15.75">
      <c r="A6" s="309" t="s">
        <v>212</v>
      </c>
      <c r="B6" s="307"/>
      <c r="C6" s="310"/>
      <c r="D6" s="311">
        <f>+'Rebate (charge) Calculation'!G34</f>
        <v>-0.34116806874471073</v>
      </c>
      <c r="E6" s="312">
        <v>0.97317230515894448</v>
      </c>
      <c r="F6" s="544">
        <f>(D6-E6)/E6</f>
        <v>-1.3505731379079773</v>
      </c>
      <c r="G6" s="314">
        <f>+'Rebate (charge) Calculation'!G76</f>
        <v>-0.31479954992115511</v>
      </c>
      <c r="H6" s="312">
        <v>0.86618596161770789</v>
      </c>
      <c r="I6" s="544">
        <f>(G6-H6)/H6</f>
        <v>-1.3634318308890951</v>
      </c>
      <c r="J6" s="314">
        <f>+'Rebate (charge) Calculation'!G115</f>
        <v>-0.18423938944688079</v>
      </c>
      <c r="K6" s="315">
        <v>1.01914947883102</v>
      </c>
      <c r="L6" s="544">
        <f>(J6-K6)/K6</f>
        <v>-1.1807775927611779</v>
      </c>
      <c r="M6" s="307"/>
      <c r="N6" s="316"/>
      <c r="O6" s="316"/>
      <c r="P6" s="316"/>
      <c r="Q6" s="307"/>
      <c r="R6" s="308"/>
      <c r="S6" s="307"/>
      <c r="T6" s="317"/>
      <c r="U6" s="307"/>
      <c r="V6" s="31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row>
    <row r="7" spans="1:255" ht="15.75">
      <c r="A7" s="309"/>
      <c r="B7" s="307"/>
      <c r="C7" s="310" t="s">
        <v>74</v>
      </c>
      <c r="D7" s="311">
        <f>+'Rebate (charge) Calculation'!G39</f>
        <v>1.8831931255289258E-2</v>
      </c>
      <c r="E7" s="312">
        <v>1.6831723051589444</v>
      </c>
      <c r="F7" s="544">
        <f>(D7-E7)/E7</f>
        <v>-0.98881164382424247</v>
      </c>
      <c r="G7" s="312"/>
      <c r="H7" s="312"/>
      <c r="I7" s="313"/>
      <c r="J7" s="312"/>
      <c r="K7" s="312"/>
      <c r="L7" s="313"/>
      <c r="M7" s="307"/>
      <c r="N7" s="318"/>
      <c r="O7" s="318"/>
      <c r="P7" s="316"/>
      <c r="Q7" s="307"/>
      <c r="R7" s="308"/>
      <c r="S7" s="307"/>
      <c r="T7" s="317"/>
      <c r="U7" s="307"/>
      <c r="V7" s="31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c r="IS7" s="307"/>
      <c r="IT7" s="307"/>
      <c r="IU7" s="307"/>
    </row>
    <row r="8" spans="1:255" ht="15.75">
      <c r="A8" s="319" t="s">
        <v>213</v>
      </c>
      <c r="B8" s="307"/>
      <c r="C8" s="310"/>
      <c r="D8" s="320"/>
      <c r="E8" s="321"/>
      <c r="F8" s="320"/>
      <c r="G8" s="312"/>
      <c r="H8" s="312"/>
      <c r="I8" s="313"/>
      <c r="J8" s="312"/>
      <c r="K8" s="312"/>
      <c r="L8" s="313"/>
      <c r="M8" s="307"/>
      <c r="N8" s="322"/>
      <c r="O8" s="322"/>
      <c r="P8" s="322"/>
      <c r="Q8" s="307"/>
      <c r="R8" s="308"/>
      <c r="S8" s="307"/>
      <c r="T8" s="317"/>
      <c r="U8" s="307"/>
      <c r="V8" s="31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c r="HT8" s="307"/>
      <c r="HU8" s="307"/>
      <c r="HV8" s="307"/>
      <c r="HW8" s="307"/>
      <c r="HX8" s="307"/>
      <c r="HY8" s="307"/>
      <c r="HZ8" s="307"/>
      <c r="IA8" s="307"/>
      <c r="IB8" s="307"/>
      <c r="IC8" s="307"/>
      <c r="ID8" s="307"/>
      <c r="IE8" s="307"/>
      <c r="IF8" s="307"/>
      <c r="IG8" s="307"/>
      <c r="IH8" s="307"/>
      <c r="II8" s="307"/>
      <c r="IJ8" s="307"/>
      <c r="IK8" s="307"/>
      <c r="IL8" s="307"/>
      <c r="IM8" s="307"/>
      <c r="IN8" s="307"/>
      <c r="IO8" s="307"/>
      <c r="IP8" s="307"/>
      <c r="IQ8" s="307"/>
      <c r="IR8" s="307"/>
      <c r="IS8" s="307"/>
      <c r="IT8" s="307"/>
      <c r="IU8" s="307"/>
    </row>
    <row r="9" spans="1:255" ht="15.75">
      <c r="A9" s="319"/>
      <c r="B9" s="307" t="s">
        <v>214</v>
      </c>
      <c r="C9" s="310"/>
      <c r="D9" s="312">
        <f t="shared" ref="D9:D20" si="0">+ROUND(E9*(1+$F$6),3)</f>
        <v>0.01</v>
      </c>
      <c r="E9" s="321">
        <v>-2.9000000000000001E-2</v>
      </c>
      <c r="F9" s="313">
        <f>-1+D9/E9</f>
        <v>-1.3448275862068966</v>
      </c>
      <c r="G9" s="312"/>
      <c r="H9" s="312"/>
      <c r="I9" s="313"/>
      <c r="J9" s="312"/>
      <c r="K9" s="312"/>
      <c r="L9" s="313"/>
      <c r="M9" s="307"/>
      <c r="N9" s="307"/>
      <c r="O9" s="307"/>
      <c r="P9" s="307"/>
      <c r="Q9" s="307"/>
      <c r="R9" s="308"/>
      <c r="S9" s="307"/>
      <c r="T9" s="317"/>
      <c r="U9" s="307"/>
      <c r="V9" s="317"/>
      <c r="W9" s="323"/>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7"/>
      <c r="FP9" s="307"/>
      <c r="FQ9" s="307"/>
      <c r="FR9" s="307"/>
      <c r="FS9" s="307"/>
      <c r="FT9" s="307"/>
      <c r="FU9" s="307"/>
      <c r="FV9" s="307"/>
      <c r="FW9" s="307"/>
      <c r="FX9" s="307"/>
      <c r="FY9" s="307"/>
      <c r="FZ9" s="307"/>
      <c r="GA9" s="307"/>
      <c r="GB9" s="307"/>
      <c r="GC9" s="307"/>
      <c r="GD9" s="307"/>
      <c r="GE9" s="307"/>
      <c r="GF9" s="307"/>
      <c r="GG9" s="307"/>
      <c r="GH9" s="307"/>
      <c r="GI9" s="307"/>
      <c r="GJ9" s="307"/>
      <c r="GK9" s="307"/>
      <c r="GL9" s="307"/>
      <c r="GM9" s="307"/>
      <c r="GN9" s="307"/>
      <c r="GO9" s="307"/>
      <c r="GP9" s="307"/>
      <c r="GQ9" s="307"/>
      <c r="GR9" s="307"/>
      <c r="GS9" s="307"/>
      <c r="GT9" s="307"/>
      <c r="GU9" s="307"/>
      <c r="GV9" s="307"/>
      <c r="GW9" s="307"/>
      <c r="GX9" s="307"/>
      <c r="GY9" s="307"/>
      <c r="GZ9" s="307"/>
      <c r="HA9" s="307"/>
      <c r="HB9" s="307"/>
      <c r="HC9" s="307"/>
      <c r="HD9" s="307"/>
      <c r="HE9" s="307"/>
      <c r="HF9" s="307"/>
      <c r="HG9" s="307"/>
      <c r="HH9" s="307"/>
      <c r="HI9" s="307"/>
      <c r="HJ9" s="307"/>
      <c r="HK9" s="307"/>
      <c r="HL9" s="307"/>
      <c r="HM9" s="307"/>
      <c r="HN9" s="307"/>
      <c r="HO9" s="307"/>
      <c r="HP9" s="307"/>
      <c r="HQ9" s="307"/>
      <c r="HR9" s="307"/>
      <c r="HS9" s="307"/>
      <c r="HT9" s="307"/>
      <c r="HU9" s="307"/>
      <c r="HV9" s="307"/>
      <c r="HW9" s="307"/>
      <c r="HX9" s="307"/>
      <c r="HY9" s="307"/>
      <c r="HZ9" s="307"/>
      <c r="IA9" s="307"/>
      <c r="IB9" s="307"/>
      <c r="IC9" s="307"/>
      <c r="ID9" s="307"/>
      <c r="IE9" s="307"/>
      <c r="IF9" s="307"/>
      <c r="IG9" s="307"/>
      <c r="IH9" s="307"/>
      <c r="II9" s="307"/>
      <c r="IJ9" s="307"/>
      <c r="IK9" s="307"/>
      <c r="IL9" s="307"/>
      <c r="IM9" s="307"/>
      <c r="IN9" s="307"/>
      <c r="IO9" s="307"/>
      <c r="IP9" s="307"/>
      <c r="IQ9" s="307"/>
      <c r="IR9" s="307"/>
      <c r="IS9" s="307"/>
      <c r="IT9" s="307"/>
      <c r="IU9" s="307"/>
    </row>
    <row r="10" spans="1:255">
      <c r="A10" s="324"/>
      <c r="B10" s="307" t="s">
        <v>215</v>
      </c>
      <c r="C10" s="325"/>
      <c r="D10" s="312">
        <f t="shared" si="0"/>
        <v>1.4999999999999999E-2</v>
      </c>
      <c r="E10" s="321">
        <v>-4.3999999999999997E-2</v>
      </c>
      <c r="F10" s="313">
        <f>-1+D10/E10</f>
        <v>-1.3409090909090908</v>
      </c>
      <c r="G10" s="312">
        <f t="shared" ref="G10:G20" si="1">ROUND(+H10*(1+$I$6),2)</f>
        <v>0.01</v>
      </c>
      <c r="H10" s="312">
        <v>-0.03</v>
      </c>
      <c r="I10" s="313">
        <f>-1+G10/H10</f>
        <v>-1.3333333333333335</v>
      </c>
      <c r="J10" s="312">
        <f>ROUND(+K10*(1+$L$6),2)</f>
        <v>0.01</v>
      </c>
      <c r="K10" s="307">
        <v>-0.03</v>
      </c>
      <c r="L10" s="313">
        <f t="shared" ref="L10:L11" si="2">-1+J10/K10</f>
        <v>-1.3333333333333335</v>
      </c>
      <c r="M10" s="307"/>
      <c r="N10" s="307">
        <v>-1</v>
      </c>
      <c r="O10" s="307"/>
      <c r="P10" s="307"/>
      <c r="Q10" s="307"/>
      <c r="R10" s="308"/>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7"/>
      <c r="FK10" s="307"/>
      <c r="FL10" s="307"/>
      <c r="FM10" s="307"/>
      <c r="FN10" s="307"/>
      <c r="FO10" s="307"/>
      <c r="FP10" s="307"/>
      <c r="FQ10" s="307"/>
      <c r="FR10" s="307"/>
      <c r="FS10" s="307"/>
      <c r="FT10" s="307"/>
      <c r="FU10" s="307"/>
      <c r="FV10" s="307"/>
      <c r="FW10" s="307"/>
      <c r="FX10" s="307"/>
      <c r="FY10" s="307"/>
      <c r="FZ10" s="307"/>
      <c r="GA10" s="307"/>
      <c r="GB10" s="307"/>
      <c r="GC10" s="307"/>
      <c r="GD10" s="307"/>
      <c r="GE10" s="307"/>
      <c r="GF10" s="307"/>
      <c r="GG10" s="307"/>
      <c r="GH10" s="307"/>
      <c r="GI10" s="307"/>
      <c r="GJ10" s="307"/>
      <c r="GK10" s="307"/>
      <c r="GL10" s="307"/>
      <c r="GM10" s="307"/>
      <c r="GN10" s="307"/>
      <c r="GO10" s="307"/>
      <c r="GP10" s="307"/>
      <c r="GQ10" s="307"/>
      <c r="GR10" s="307"/>
      <c r="GS10" s="307"/>
      <c r="GT10" s="307"/>
      <c r="GU10" s="307"/>
      <c r="GV10" s="307"/>
      <c r="GW10" s="307"/>
      <c r="GX10" s="307"/>
      <c r="GY10" s="307"/>
      <c r="GZ10" s="307"/>
      <c r="HA10" s="307"/>
      <c r="HB10" s="307"/>
      <c r="HC10" s="307"/>
      <c r="HD10" s="307"/>
      <c r="HE10" s="307"/>
      <c r="HF10" s="307"/>
      <c r="HG10" s="307"/>
      <c r="HH10" s="307"/>
      <c r="HI10" s="307"/>
      <c r="HJ10" s="307"/>
      <c r="HK10" s="307"/>
      <c r="HL10" s="307"/>
      <c r="HM10" s="307"/>
      <c r="HN10" s="307"/>
      <c r="HO10" s="307"/>
      <c r="HP10" s="307"/>
      <c r="HQ10" s="307"/>
      <c r="HR10" s="307"/>
      <c r="HS10" s="307"/>
      <c r="HT10" s="307"/>
      <c r="HU10" s="307"/>
      <c r="HV10" s="307"/>
      <c r="HW10" s="307"/>
      <c r="HX10" s="307"/>
      <c r="HY10" s="307"/>
      <c r="HZ10" s="307"/>
      <c r="IA10" s="307"/>
      <c r="IB10" s="307"/>
      <c r="IC10" s="307"/>
      <c r="ID10" s="307"/>
      <c r="IE10" s="307"/>
      <c r="IF10" s="307"/>
      <c r="IG10" s="307"/>
      <c r="IH10" s="307"/>
      <c r="II10" s="307"/>
      <c r="IJ10" s="307"/>
      <c r="IK10" s="307"/>
      <c r="IL10" s="307"/>
      <c r="IM10" s="307"/>
      <c r="IN10" s="307"/>
      <c r="IO10" s="307"/>
      <c r="IP10" s="307"/>
      <c r="IQ10" s="307"/>
      <c r="IR10" s="307"/>
      <c r="IS10" s="307"/>
      <c r="IT10" s="307"/>
      <c r="IU10" s="307"/>
    </row>
    <row r="11" spans="1:255">
      <c r="A11" s="324"/>
      <c r="B11" s="307" t="s">
        <v>216</v>
      </c>
      <c r="C11" s="325"/>
      <c r="D11" s="312">
        <f t="shared" si="0"/>
        <v>1.4999999999999999E-2</v>
      </c>
      <c r="E11" s="321">
        <v>-4.3999999999999997E-2</v>
      </c>
      <c r="F11" s="313">
        <f t="shared" ref="F11:F20" si="3">-1+D11/E11</f>
        <v>-1.3409090909090908</v>
      </c>
      <c r="G11" s="312">
        <f t="shared" si="1"/>
        <v>0.01</v>
      </c>
      <c r="H11" s="312">
        <v>-0.03</v>
      </c>
      <c r="I11" s="313">
        <f>-1+G11/H11</f>
        <v>-1.3333333333333335</v>
      </c>
      <c r="J11" s="312">
        <f>+J10</f>
        <v>0.01</v>
      </c>
      <c r="K11" s="307">
        <v>-0.03</v>
      </c>
      <c r="L11" s="313">
        <f t="shared" si="2"/>
        <v>-1.3333333333333335</v>
      </c>
      <c r="M11" s="307"/>
      <c r="N11" s="307"/>
      <c r="O11" s="307"/>
      <c r="P11" s="307"/>
      <c r="Q11" s="307"/>
      <c r="R11" s="308"/>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c r="CT11" s="307"/>
      <c r="CU11" s="307"/>
      <c r="CV11" s="307"/>
      <c r="CW11" s="307"/>
      <c r="CX11" s="307"/>
      <c r="CY11" s="307"/>
      <c r="CZ11" s="307"/>
      <c r="DA11" s="307"/>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7"/>
      <c r="FK11" s="307"/>
      <c r="FL11" s="307"/>
      <c r="FM11" s="307"/>
      <c r="FN11" s="307"/>
      <c r="FO11" s="307"/>
      <c r="FP11" s="307"/>
      <c r="FQ11" s="307"/>
      <c r="FR11" s="307"/>
      <c r="FS11" s="307"/>
      <c r="FT11" s="307"/>
      <c r="FU11" s="307"/>
      <c r="FV11" s="307"/>
      <c r="FW11" s="307"/>
      <c r="FX11" s="307"/>
      <c r="FY11" s="307"/>
      <c r="FZ11" s="307"/>
      <c r="GA11" s="307"/>
      <c r="GB11" s="307"/>
      <c r="GC11" s="307"/>
      <c r="GD11" s="307"/>
      <c r="GE11" s="307"/>
      <c r="GF11" s="307"/>
      <c r="GG11" s="307"/>
      <c r="GH11" s="307"/>
      <c r="GI11" s="307"/>
      <c r="GJ11" s="307"/>
      <c r="GK11" s="307"/>
      <c r="GL11" s="307"/>
      <c r="GM11" s="307"/>
      <c r="GN11" s="307"/>
      <c r="GO11" s="307"/>
      <c r="GP11" s="307"/>
      <c r="GQ11" s="307"/>
      <c r="GR11" s="307"/>
      <c r="GS11" s="307"/>
      <c r="GT11" s="307"/>
      <c r="GU11" s="307"/>
      <c r="GV11" s="307"/>
      <c r="GW11" s="307"/>
      <c r="GX11" s="307"/>
      <c r="GY11" s="307"/>
      <c r="GZ11" s="307"/>
      <c r="HA11" s="307"/>
      <c r="HB11" s="307"/>
      <c r="HC11" s="307"/>
      <c r="HD11" s="307"/>
      <c r="HE11" s="307"/>
      <c r="HF11" s="307"/>
      <c r="HG11" s="307"/>
      <c r="HH11" s="307"/>
      <c r="HI11" s="307"/>
      <c r="HJ11" s="307"/>
      <c r="HK11" s="307"/>
      <c r="HL11" s="307"/>
      <c r="HM11" s="307"/>
      <c r="HN11" s="307"/>
      <c r="HO11" s="307"/>
      <c r="HP11" s="307"/>
      <c r="HQ11" s="307"/>
      <c r="HR11" s="307"/>
      <c r="HS11" s="307"/>
      <c r="HT11" s="307"/>
      <c r="HU11" s="307"/>
      <c r="HV11" s="307"/>
      <c r="HW11" s="307"/>
      <c r="HX11" s="307"/>
      <c r="HY11" s="307"/>
      <c r="HZ11" s="307"/>
      <c r="IA11" s="307"/>
      <c r="IB11" s="307"/>
      <c r="IC11" s="307"/>
      <c r="ID11" s="307"/>
      <c r="IE11" s="307"/>
      <c r="IF11" s="307"/>
      <c r="IG11" s="307"/>
      <c r="IH11" s="307"/>
      <c r="II11" s="307"/>
      <c r="IJ11" s="307"/>
      <c r="IK11" s="307"/>
      <c r="IL11" s="307"/>
      <c r="IM11" s="307"/>
      <c r="IN11" s="307"/>
      <c r="IO11" s="307"/>
      <c r="IP11" s="307"/>
      <c r="IQ11" s="307"/>
      <c r="IR11" s="307"/>
      <c r="IS11" s="307"/>
      <c r="IT11" s="307"/>
      <c r="IU11" s="307"/>
    </row>
    <row r="12" spans="1:255">
      <c r="A12" s="324"/>
      <c r="B12" s="307" t="s">
        <v>217</v>
      </c>
      <c r="C12" s="325"/>
      <c r="D12" s="312">
        <f>+D13/3*2</f>
        <v>2.0666666666666667E-2</v>
      </c>
      <c r="E12" s="321">
        <v>-5.8666666666666666E-2</v>
      </c>
      <c r="F12" s="313">
        <f t="shared" si="3"/>
        <v>-1.3522727272727273</v>
      </c>
      <c r="G12" s="312">
        <f t="shared" si="1"/>
        <v>0.02</v>
      </c>
      <c r="H12" s="312">
        <v>-0.05</v>
      </c>
      <c r="I12" s="313">
        <f>-1+G12/H12</f>
        <v>-1.4</v>
      </c>
      <c r="J12" s="312">
        <f>+J13/3*2</f>
        <v>9.5049504950494995E-3</v>
      </c>
      <c r="K12" s="307">
        <v>-6.0198019801980168E-2</v>
      </c>
      <c r="L12" s="313">
        <f>-1+J12/K12</f>
        <v>-1.1578947368421053</v>
      </c>
      <c r="M12" s="307"/>
      <c r="N12" s="307"/>
      <c r="O12" s="307"/>
      <c r="P12" s="307"/>
      <c r="Q12" s="307"/>
      <c r="R12" s="308"/>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307"/>
      <c r="DQ12" s="307"/>
      <c r="DR12" s="307"/>
      <c r="DS12" s="307"/>
      <c r="DT12" s="307"/>
      <c r="DU12" s="307"/>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7"/>
      <c r="FK12" s="307"/>
      <c r="FL12" s="307"/>
      <c r="FM12" s="307"/>
      <c r="FN12" s="307"/>
      <c r="FO12" s="307"/>
      <c r="FP12" s="307"/>
      <c r="FQ12" s="307"/>
      <c r="FR12" s="307"/>
      <c r="FS12" s="307"/>
      <c r="FT12" s="307"/>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07"/>
      <c r="HB12" s="307"/>
      <c r="HC12" s="307"/>
      <c r="HD12" s="307"/>
      <c r="HE12" s="307"/>
      <c r="HF12" s="307"/>
      <c r="HG12" s="307"/>
      <c r="HH12" s="307"/>
      <c r="HI12" s="307"/>
      <c r="HJ12" s="307"/>
      <c r="HK12" s="307"/>
      <c r="HL12" s="307"/>
      <c r="HM12" s="307"/>
      <c r="HN12" s="307"/>
      <c r="HO12" s="307"/>
      <c r="HP12" s="307"/>
      <c r="HQ12" s="307"/>
      <c r="HR12" s="307"/>
      <c r="HS12" s="307"/>
      <c r="HT12" s="307"/>
      <c r="HU12" s="307"/>
      <c r="HV12" s="307"/>
      <c r="HW12" s="307"/>
      <c r="HX12" s="307"/>
      <c r="HY12" s="307"/>
      <c r="HZ12" s="307"/>
      <c r="IA12" s="307"/>
      <c r="IB12" s="307"/>
      <c r="IC12" s="307"/>
      <c r="ID12" s="307"/>
      <c r="IE12" s="307"/>
      <c r="IF12" s="307"/>
      <c r="IG12" s="307"/>
      <c r="IH12" s="307"/>
      <c r="II12" s="307"/>
      <c r="IJ12" s="307"/>
      <c r="IK12" s="307"/>
      <c r="IL12" s="307"/>
      <c r="IM12" s="307"/>
      <c r="IN12" s="307"/>
      <c r="IO12" s="307"/>
      <c r="IP12" s="307"/>
      <c r="IQ12" s="307"/>
      <c r="IR12" s="307"/>
      <c r="IS12" s="307"/>
      <c r="IT12" s="307"/>
      <c r="IU12" s="307"/>
    </row>
    <row r="13" spans="1:255">
      <c r="A13" s="324"/>
      <c r="B13" s="307" t="s">
        <v>218</v>
      </c>
      <c r="C13" s="310"/>
      <c r="D13" s="312">
        <f t="shared" si="0"/>
        <v>3.1E-2</v>
      </c>
      <c r="E13" s="321">
        <v>-8.7999999999999995E-2</v>
      </c>
      <c r="F13" s="313">
        <f t="shared" si="3"/>
        <v>-1.3522727272727273</v>
      </c>
      <c r="G13" s="312">
        <f t="shared" si="1"/>
        <v>0.03</v>
      </c>
      <c r="H13" s="312">
        <v>-0.08</v>
      </c>
      <c r="I13" s="313">
        <f>-1+G13/H13</f>
        <v>-1.375</v>
      </c>
      <c r="J13" s="312">
        <f>0.475247524752475*J14</f>
        <v>1.4257425742574249E-2</v>
      </c>
      <c r="K13" s="307">
        <v>-9.0297029702970252E-2</v>
      </c>
      <c r="L13" s="313">
        <f>-1+J13/K13</f>
        <v>-1.1578947368421053</v>
      </c>
      <c r="M13" s="307"/>
      <c r="N13" s="307"/>
      <c r="O13" s="307"/>
      <c r="P13" s="307"/>
      <c r="Q13" s="307"/>
      <c r="R13" s="308"/>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c r="CT13" s="307"/>
      <c r="CU13" s="307"/>
      <c r="CV13" s="307"/>
      <c r="CW13" s="307"/>
      <c r="CX13" s="307"/>
      <c r="CY13" s="307"/>
      <c r="CZ13" s="307"/>
      <c r="DA13" s="307"/>
      <c r="DB13" s="307"/>
      <c r="DC13" s="307"/>
      <c r="DD13" s="307"/>
      <c r="DE13" s="307"/>
      <c r="DF13" s="307"/>
      <c r="DG13" s="307"/>
      <c r="DH13" s="307"/>
      <c r="DI13" s="307"/>
      <c r="DJ13" s="307"/>
      <c r="DK13" s="307"/>
      <c r="DL13" s="307"/>
      <c r="DM13" s="307"/>
      <c r="DN13" s="307"/>
      <c r="DO13" s="307"/>
      <c r="DP13" s="307"/>
      <c r="DQ13" s="307"/>
      <c r="DR13" s="307"/>
      <c r="DS13" s="307"/>
      <c r="DT13" s="307"/>
      <c r="DU13" s="307"/>
      <c r="DV13" s="307"/>
      <c r="DW13" s="307"/>
      <c r="DX13" s="307"/>
      <c r="DY13" s="307"/>
      <c r="DZ13" s="307"/>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7"/>
      <c r="FK13" s="307"/>
      <c r="FL13" s="307"/>
      <c r="FM13" s="307"/>
      <c r="FN13" s="307"/>
      <c r="FO13" s="307"/>
      <c r="FP13" s="307"/>
      <c r="FQ13" s="307"/>
      <c r="FR13" s="307"/>
      <c r="FS13" s="307"/>
      <c r="FT13" s="307"/>
      <c r="FU13" s="307"/>
      <c r="FV13" s="307"/>
      <c r="FW13" s="307"/>
      <c r="FX13" s="307"/>
      <c r="FY13" s="307"/>
      <c r="FZ13" s="307"/>
      <c r="GA13" s="307"/>
      <c r="GB13" s="307"/>
      <c r="GC13" s="307"/>
      <c r="GD13" s="307"/>
      <c r="GE13" s="307"/>
      <c r="GF13" s="307"/>
      <c r="GG13" s="307"/>
      <c r="GH13" s="307"/>
      <c r="GI13" s="307"/>
      <c r="GJ13" s="307"/>
      <c r="GK13" s="307"/>
      <c r="GL13" s="307"/>
      <c r="GM13" s="307"/>
      <c r="GN13" s="307"/>
      <c r="GO13" s="307"/>
      <c r="GP13" s="307"/>
      <c r="GQ13" s="307"/>
      <c r="GR13" s="307"/>
      <c r="GS13" s="307"/>
      <c r="GT13" s="307"/>
      <c r="GU13" s="307"/>
      <c r="GV13" s="307"/>
      <c r="GW13" s="307"/>
      <c r="GX13" s="307"/>
      <c r="GY13" s="307"/>
      <c r="GZ13" s="307"/>
      <c r="HA13" s="307"/>
      <c r="HB13" s="307"/>
      <c r="HC13" s="307"/>
      <c r="HD13" s="307"/>
      <c r="HE13" s="307"/>
      <c r="HF13" s="307"/>
      <c r="HG13" s="307"/>
      <c r="HH13" s="307"/>
      <c r="HI13" s="307"/>
      <c r="HJ13" s="307"/>
      <c r="HK13" s="307"/>
      <c r="HL13" s="307"/>
      <c r="HM13" s="307"/>
      <c r="HN13" s="307"/>
      <c r="HO13" s="307"/>
      <c r="HP13" s="307"/>
      <c r="HQ13" s="307"/>
      <c r="HR13" s="307"/>
      <c r="HS13" s="307"/>
      <c r="HT13" s="307"/>
      <c r="HU13" s="307"/>
      <c r="HV13" s="307"/>
      <c r="HW13" s="307"/>
      <c r="HX13" s="307"/>
      <c r="HY13" s="307"/>
      <c r="HZ13" s="307"/>
      <c r="IA13" s="307"/>
      <c r="IB13" s="307"/>
      <c r="IC13" s="307"/>
      <c r="ID13" s="307"/>
      <c r="IE13" s="307"/>
      <c r="IF13" s="307"/>
      <c r="IG13" s="307"/>
      <c r="IH13" s="307"/>
      <c r="II13" s="307"/>
      <c r="IJ13" s="307"/>
      <c r="IK13" s="307"/>
      <c r="IL13" s="307"/>
      <c r="IM13" s="307"/>
      <c r="IN13" s="307"/>
      <c r="IO13" s="307"/>
      <c r="IP13" s="307"/>
      <c r="IQ13" s="307"/>
      <c r="IR13" s="307"/>
      <c r="IS13" s="307"/>
      <c r="IT13" s="307"/>
      <c r="IU13" s="307"/>
    </row>
    <row r="14" spans="1:255">
      <c r="A14" s="324"/>
      <c r="B14" s="307" t="s">
        <v>219</v>
      </c>
      <c r="C14" s="310"/>
      <c r="D14" s="312">
        <f t="shared" si="0"/>
        <v>6.3E-2</v>
      </c>
      <c r="E14" s="321">
        <v>-0.18099999999999999</v>
      </c>
      <c r="F14" s="313">
        <f t="shared" si="3"/>
        <v>-1.3480662983425415</v>
      </c>
      <c r="G14" s="312">
        <f t="shared" si="1"/>
        <v>0.06</v>
      </c>
      <c r="H14" s="326">
        <v>-0.17</v>
      </c>
      <c r="I14" s="313">
        <f t="shared" ref="I14:I20" si="4">-1+G14/H14</f>
        <v>-1.3529411764705883</v>
      </c>
      <c r="J14" s="312">
        <f t="shared" ref="J14:J15" si="5">ROUND(+K14*(1+$L$6),2)</f>
        <v>0.03</v>
      </c>
      <c r="K14" s="307">
        <v>-0.19</v>
      </c>
      <c r="L14" s="313">
        <f t="shared" ref="L14:L20" si="6">-1+J14/K14</f>
        <v>-1.1578947368421053</v>
      </c>
      <c r="M14" s="307">
        <f>G14*3</f>
        <v>0.18</v>
      </c>
      <c r="N14" s="307">
        <f>J14*3</f>
        <v>0.09</v>
      </c>
      <c r="O14" s="307"/>
      <c r="P14" s="307"/>
      <c r="Q14" s="307"/>
      <c r="R14" s="308"/>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row>
    <row r="15" spans="1:255">
      <c r="A15" s="324"/>
      <c r="B15" s="307" t="s">
        <v>220</v>
      </c>
      <c r="C15" s="310"/>
      <c r="D15" s="312">
        <f t="shared" si="0"/>
        <v>9.5000000000000001E-2</v>
      </c>
      <c r="E15" s="321">
        <v>-0.27</v>
      </c>
      <c r="F15" s="313">
        <f t="shared" si="3"/>
        <v>-1.3518518518518519</v>
      </c>
      <c r="G15" s="312">
        <f t="shared" si="1"/>
        <v>0.08</v>
      </c>
      <c r="H15" s="312">
        <v>-0.22</v>
      </c>
      <c r="I15" s="313">
        <f t="shared" si="4"/>
        <v>-1.3636363636363638</v>
      </c>
      <c r="J15" s="312">
        <f t="shared" si="5"/>
        <v>0.05</v>
      </c>
      <c r="K15" s="307">
        <v>-0.28000000000000003</v>
      </c>
      <c r="L15" s="313">
        <f t="shared" si="6"/>
        <v>-1.1785714285714286</v>
      </c>
      <c r="M15" s="307"/>
      <c r="N15" s="307"/>
      <c r="O15" s="307"/>
      <c r="P15" s="307"/>
      <c r="Q15" s="307"/>
      <c r="R15" s="308"/>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307"/>
      <c r="DE15" s="307"/>
      <c r="DF15" s="307"/>
      <c r="DG15" s="307"/>
      <c r="DH15" s="307"/>
      <c r="DI15" s="307"/>
      <c r="DJ15" s="307"/>
      <c r="DK15" s="307"/>
      <c r="DL15" s="307"/>
      <c r="DM15" s="307"/>
      <c r="DN15" s="307"/>
      <c r="DO15" s="307"/>
      <c r="DP15" s="307"/>
      <c r="DQ15" s="307"/>
      <c r="DR15" s="307"/>
      <c r="DS15" s="307"/>
      <c r="DT15" s="307"/>
      <c r="DU15" s="307"/>
      <c r="DV15" s="307"/>
      <c r="DW15" s="307"/>
      <c r="DX15" s="307"/>
      <c r="DY15" s="307"/>
      <c r="DZ15" s="307"/>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7"/>
      <c r="FK15" s="307"/>
      <c r="FL15" s="307"/>
      <c r="FM15" s="307"/>
      <c r="FN15" s="307"/>
      <c r="FO15" s="307"/>
      <c r="FP15" s="307"/>
      <c r="FQ15" s="307"/>
      <c r="FR15" s="307"/>
      <c r="FS15" s="307"/>
      <c r="FT15" s="307"/>
      <c r="FU15" s="307"/>
      <c r="FV15" s="307"/>
      <c r="FW15" s="307"/>
      <c r="FX15" s="307"/>
      <c r="FY15" s="307"/>
      <c r="FZ15" s="307"/>
      <c r="GA15" s="307"/>
      <c r="GB15" s="307"/>
      <c r="GC15" s="307"/>
      <c r="GD15" s="307"/>
      <c r="GE15" s="307"/>
      <c r="GF15" s="307"/>
      <c r="GG15" s="307"/>
      <c r="GH15" s="307"/>
      <c r="GI15" s="307"/>
      <c r="GJ15" s="307"/>
      <c r="GK15" s="307"/>
      <c r="GL15" s="307"/>
      <c r="GM15" s="307"/>
      <c r="GN15" s="307"/>
      <c r="GO15" s="307"/>
      <c r="GP15" s="307"/>
      <c r="GQ15" s="307"/>
      <c r="GR15" s="307"/>
      <c r="GS15" s="307"/>
      <c r="GT15" s="307"/>
      <c r="GU15" s="307"/>
      <c r="GV15" s="307"/>
      <c r="GW15" s="307"/>
      <c r="GX15" s="307"/>
      <c r="GY15" s="307"/>
      <c r="GZ15" s="307"/>
      <c r="HA15" s="307"/>
      <c r="HB15" s="307"/>
      <c r="HC15" s="307"/>
      <c r="HD15" s="307"/>
      <c r="HE15" s="307"/>
      <c r="HF15" s="307"/>
      <c r="HG15" s="307"/>
      <c r="HH15" s="307"/>
      <c r="HI15" s="307"/>
      <c r="HJ15" s="307"/>
      <c r="HK15" s="307"/>
      <c r="HL15" s="307"/>
      <c r="HM15" s="307"/>
      <c r="HN15" s="307"/>
      <c r="HO15" s="307"/>
      <c r="HP15" s="307"/>
      <c r="HQ15" s="307"/>
      <c r="HR15" s="307"/>
      <c r="HS15" s="307"/>
      <c r="HT15" s="307"/>
      <c r="HU15" s="307"/>
      <c r="HV15" s="307"/>
      <c r="HW15" s="307"/>
      <c r="HX15" s="307"/>
      <c r="HY15" s="307"/>
      <c r="HZ15" s="307"/>
      <c r="IA15" s="307"/>
      <c r="IB15" s="307"/>
      <c r="IC15" s="307"/>
      <c r="ID15" s="307"/>
      <c r="IE15" s="307"/>
      <c r="IF15" s="307"/>
      <c r="IG15" s="307"/>
      <c r="IH15" s="307"/>
      <c r="II15" s="307"/>
      <c r="IJ15" s="307"/>
      <c r="IK15" s="307"/>
      <c r="IL15" s="307"/>
      <c r="IM15" s="307"/>
      <c r="IN15" s="307"/>
      <c r="IO15" s="307"/>
      <c r="IP15" s="307"/>
      <c r="IQ15" s="307"/>
      <c r="IR15" s="307"/>
      <c r="IS15" s="307"/>
      <c r="IT15" s="307"/>
      <c r="IU15" s="307"/>
    </row>
    <row r="16" spans="1:255">
      <c r="A16" s="324"/>
      <c r="B16" s="307" t="s">
        <v>221</v>
      </c>
      <c r="C16" s="310"/>
      <c r="D16" s="312">
        <f t="shared" si="0"/>
        <v>0.127</v>
      </c>
      <c r="E16" s="321">
        <v>-0.36299999999999999</v>
      </c>
      <c r="F16" s="313">
        <f t="shared" si="3"/>
        <v>-1.3498622589531681</v>
      </c>
      <c r="G16" s="312">
        <f t="shared" si="1"/>
        <v>0.12</v>
      </c>
      <c r="H16" s="312">
        <v>-0.33</v>
      </c>
      <c r="I16" s="313">
        <f t="shared" si="4"/>
        <v>-1.3636363636363635</v>
      </c>
      <c r="J16" s="312">
        <f>+J14*2</f>
        <v>0.06</v>
      </c>
      <c r="K16" s="307">
        <v>-0.38</v>
      </c>
      <c r="L16" s="313">
        <f t="shared" si="6"/>
        <v>-1.1578947368421053</v>
      </c>
      <c r="M16" s="307"/>
      <c r="N16" s="307"/>
      <c r="O16" s="307"/>
      <c r="P16" s="307"/>
      <c r="Q16" s="307"/>
      <c r="R16" s="308"/>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row>
    <row r="17" spans="1:255">
      <c r="A17" s="324"/>
      <c r="B17" s="307" t="s">
        <v>222</v>
      </c>
      <c r="C17" s="310"/>
      <c r="D17" s="312">
        <f t="shared" si="0"/>
        <v>0.191</v>
      </c>
      <c r="E17" s="321">
        <v>-0.54400000000000004</v>
      </c>
      <c r="F17" s="313">
        <f t="shared" si="3"/>
        <v>-1.3511029411764706</v>
      </c>
      <c r="G17" s="312">
        <f t="shared" si="1"/>
        <v>0.18</v>
      </c>
      <c r="H17" s="312">
        <v>-0.5</v>
      </c>
      <c r="I17" s="313">
        <f t="shared" si="4"/>
        <v>-1.3599999999999999</v>
      </c>
      <c r="J17" s="312">
        <f>+J14*3</f>
        <v>0.09</v>
      </c>
      <c r="K17" s="307">
        <v>-0.57000000000000006</v>
      </c>
      <c r="L17" s="313">
        <f t="shared" si="6"/>
        <v>-1.1578947368421053</v>
      </c>
      <c r="M17" s="307"/>
      <c r="N17" s="307"/>
      <c r="O17" s="307"/>
      <c r="P17" s="307"/>
      <c r="Q17" s="307"/>
      <c r="R17" s="308"/>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7"/>
      <c r="DA17" s="307"/>
      <c r="DB17" s="307"/>
      <c r="DC17" s="307"/>
      <c r="DD17" s="307"/>
      <c r="DE17" s="307"/>
      <c r="DF17" s="307"/>
      <c r="DG17" s="307"/>
      <c r="DH17" s="307"/>
      <c r="DI17" s="307"/>
      <c r="DJ17" s="307"/>
      <c r="DK17" s="307"/>
      <c r="DL17" s="307"/>
      <c r="DM17" s="307"/>
      <c r="DN17" s="307"/>
      <c r="DO17" s="307"/>
      <c r="DP17" s="307"/>
      <c r="DQ17" s="307"/>
      <c r="DR17" s="307"/>
      <c r="DS17" s="307"/>
      <c r="DT17" s="307"/>
      <c r="DU17" s="307"/>
      <c r="DV17" s="307"/>
      <c r="DW17" s="307"/>
      <c r="DX17" s="307"/>
      <c r="DY17" s="307"/>
      <c r="DZ17" s="307"/>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7"/>
      <c r="FK17" s="307"/>
      <c r="FL17" s="307"/>
      <c r="FM17" s="307"/>
      <c r="FN17" s="307"/>
      <c r="FO17" s="307"/>
      <c r="FP17" s="307"/>
      <c r="FQ17" s="307"/>
      <c r="FR17" s="307"/>
      <c r="FS17" s="307"/>
      <c r="FT17" s="307"/>
      <c r="FU17" s="307"/>
      <c r="FV17" s="307"/>
      <c r="FW17" s="307"/>
      <c r="FX17" s="307"/>
      <c r="FY17" s="307"/>
      <c r="FZ17" s="307"/>
      <c r="GA17" s="307"/>
      <c r="GB17" s="307"/>
      <c r="GC17" s="307"/>
      <c r="GD17" s="307"/>
      <c r="GE17" s="307"/>
      <c r="GF17" s="307"/>
      <c r="GG17" s="307"/>
      <c r="GH17" s="307"/>
      <c r="GI17" s="307"/>
      <c r="GJ17" s="307"/>
      <c r="GK17" s="307"/>
      <c r="GL17" s="307"/>
      <c r="GM17" s="307"/>
      <c r="GN17" s="307"/>
      <c r="GO17" s="307"/>
      <c r="GP17" s="307"/>
      <c r="GQ17" s="307"/>
      <c r="GR17" s="307"/>
      <c r="GS17" s="307"/>
      <c r="GT17" s="307"/>
      <c r="GU17" s="307"/>
      <c r="GV17" s="307"/>
      <c r="GW17" s="307"/>
      <c r="GX17" s="307"/>
      <c r="GY17" s="307"/>
      <c r="GZ17" s="307"/>
      <c r="HA17" s="307"/>
      <c r="HB17" s="307"/>
      <c r="HC17" s="307"/>
      <c r="HD17" s="307"/>
      <c r="HE17" s="307"/>
      <c r="HF17" s="307"/>
      <c r="HG17" s="307"/>
      <c r="HH17" s="307"/>
      <c r="HI17" s="307"/>
      <c r="HJ17" s="307"/>
      <c r="HK17" s="307"/>
      <c r="HL17" s="307"/>
      <c r="HM17" s="307"/>
      <c r="HN17" s="307"/>
      <c r="HO17" s="307"/>
      <c r="HP17" s="307"/>
      <c r="HQ17" s="307"/>
      <c r="HR17" s="307"/>
      <c r="HS17" s="307"/>
      <c r="HT17" s="307"/>
      <c r="HU17" s="307"/>
      <c r="HV17" s="307"/>
      <c r="HW17" s="307"/>
      <c r="HX17" s="307"/>
      <c r="HY17" s="307"/>
      <c r="HZ17" s="307"/>
      <c r="IA17" s="307"/>
      <c r="IB17" s="307"/>
      <c r="IC17" s="307"/>
      <c r="ID17" s="307"/>
      <c r="IE17" s="307"/>
      <c r="IF17" s="307"/>
      <c r="IG17" s="307"/>
      <c r="IH17" s="307"/>
      <c r="II17" s="307"/>
      <c r="IJ17" s="307"/>
      <c r="IK17" s="307"/>
      <c r="IL17" s="307"/>
      <c r="IM17" s="307"/>
      <c r="IN17" s="307"/>
      <c r="IO17" s="307"/>
      <c r="IP17" s="307"/>
      <c r="IQ17" s="307"/>
      <c r="IR17" s="307"/>
      <c r="IS17" s="307"/>
      <c r="IT17" s="307"/>
      <c r="IU17" s="307"/>
    </row>
    <row r="18" spans="1:255">
      <c r="A18" s="324"/>
      <c r="B18" s="307" t="s">
        <v>223</v>
      </c>
      <c r="C18" s="310"/>
      <c r="D18" s="312">
        <f t="shared" si="0"/>
        <v>0.255</v>
      </c>
      <c r="E18" s="321">
        <v>-0.72599999999999998</v>
      </c>
      <c r="F18" s="313">
        <f t="shared" si="3"/>
        <v>-1.3512396694214877</v>
      </c>
      <c r="G18" s="312">
        <f t="shared" si="1"/>
        <v>0.24</v>
      </c>
      <c r="H18" s="312">
        <v>-0.67</v>
      </c>
      <c r="I18" s="313">
        <f t="shared" si="4"/>
        <v>-1.3582089552238805</v>
      </c>
      <c r="J18" s="312">
        <f>+J14*4</f>
        <v>0.12</v>
      </c>
      <c r="K18" s="307">
        <v>-0.76</v>
      </c>
      <c r="L18" s="313">
        <f t="shared" si="6"/>
        <v>-1.1578947368421053</v>
      </c>
      <c r="M18" s="307"/>
      <c r="N18" s="307"/>
      <c r="O18" s="307"/>
      <c r="P18" s="307"/>
      <c r="Q18" s="307"/>
      <c r="R18" s="308"/>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307"/>
      <c r="DT18" s="307"/>
      <c r="DU18" s="307"/>
      <c r="DV18" s="307"/>
      <c r="DW18" s="307"/>
      <c r="DX18" s="307"/>
      <c r="DY18" s="307"/>
      <c r="DZ18" s="307"/>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7"/>
      <c r="FK18" s="307"/>
      <c r="FL18" s="307"/>
      <c r="FM18" s="307"/>
      <c r="FN18" s="307"/>
      <c r="FO18" s="307"/>
      <c r="FP18" s="307"/>
      <c r="FQ18" s="307"/>
      <c r="FR18" s="307"/>
      <c r="FS18" s="307"/>
      <c r="FT18" s="307"/>
      <c r="FU18" s="307"/>
      <c r="FV18" s="307"/>
      <c r="FW18" s="307"/>
      <c r="FX18" s="307"/>
      <c r="FY18" s="307"/>
      <c r="FZ18" s="307"/>
      <c r="GA18" s="307"/>
      <c r="GB18" s="307"/>
      <c r="GC18" s="307"/>
      <c r="GD18" s="307"/>
      <c r="GE18" s="307"/>
      <c r="GF18" s="307"/>
      <c r="GG18" s="307"/>
      <c r="GH18" s="307"/>
      <c r="GI18" s="307"/>
      <c r="GJ18" s="307"/>
      <c r="GK18" s="307"/>
      <c r="GL18" s="307"/>
      <c r="GM18" s="307"/>
      <c r="GN18" s="307"/>
      <c r="GO18" s="307"/>
      <c r="GP18" s="307"/>
      <c r="GQ18" s="307"/>
      <c r="GR18" s="307"/>
      <c r="GS18" s="307"/>
      <c r="GT18" s="307"/>
      <c r="GU18" s="307"/>
      <c r="GV18" s="307"/>
      <c r="GW18" s="307"/>
      <c r="GX18" s="307"/>
      <c r="GY18" s="307"/>
      <c r="GZ18" s="307"/>
      <c r="HA18" s="307"/>
      <c r="HB18" s="307"/>
      <c r="HC18" s="307"/>
      <c r="HD18" s="307"/>
      <c r="HE18" s="307"/>
      <c r="HF18" s="307"/>
      <c r="HG18" s="307"/>
      <c r="HH18" s="307"/>
      <c r="HI18" s="307"/>
      <c r="HJ18" s="307"/>
      <c r="HK18" s="307"/>
      <c r="HL18" s="307"/>
      <c r="HM18" s="307"/>
      <c r="HN18" s="307"/>
      <c r="HO18" s="307"/>
      <c r="HP18" s="307"/>
      <c r="HQ18" s="307"/>
      <c r="HR18" s="307"/>
      <c r="HS18" s="307"/>
      <c r="HT18" s="307"/>
      <c r="HU18" s="307"/>
      <c r="HV18" s="307"/>
      <c r="HW18" s="307"/>
      <c r="HX18" s="307"/>
      <c r="HY18" s="307"/>
      <c r="HZ18" s="307"/>
      <c r="IA18" s="307"/>
      <c r="IB18" s="307"/>
      <c r="IC18" s="307"/>
      <c r="ID18" s="307"/>
      <c r="IE18" s="307"/>
      <c r="IF18" s="307"/>
      <c r="IG18" s="307"/>
      <c r="IH18" s="307"/>
      <c r="II18" s="307"/>
      <c r="IJ18" s="307"/>
      <c r="IK18" s="307"/>
      <c r="IL18" s="307"/>
      <c r="IM18" s="307"/>
      <c r="IN18" s="307"/>
      <c r="IO18" s="307"/>
      <c r="IP18" s="307"/>
      <c r="IQ18" s="307"/>
      <c r="IR18" s="307"/>
      <c r="IS18" s="307"/>
      <c r="IT18" s="307"/>
      <c r="IU18" s="307"/>
    </row>
    <row r="19" spans="1:255">
      <c r="A19" s="324"/>
      <c r="B19" s="307" t="s">
        <v>224</v>
      </c>
      <c r="C19" s="310"/>
      <c r="D19" s="312">
        <f t="shared" si="0"/>
        <v>0.38</v>
      </c>
      <c r="E19" s="321">
        <v>-1.0840000000000001</v>
      </c>
      <c r="F19" s="313">
        <f t="shared" si="3"/>
        <v>-1.3505535055350553</v>
      </c>
      <c r="G19" s="312">
        <f t="shared" si="1"/>
        <v>0.36</v>
      </c>
      <c r="H19" s="312">
        <v>-1</v>
      </c>
      <c r="I19" s="313">
        <f t="shared" si="4"/>
        <v>-1.3599999999999999</v>
      </c>
      <c r="J19" s="312">
        <f>+J14*6</f>
        <v>0.18</v>
      </c>
      <c r="K19" s="307">
        <v>-1.1400000000000001</v>
      </c>
      <c r="L19" s="313">
        <f t="shared" si="6"/>
        <v>-1.1578947368421053</v>
      </c>
      <c r="M19" s="307"/>
      <c r="N19" s="307"/>
      <c r="O19" s="307"/>
      <c r="P19" s="307"/>
      <c r="Q19" s="307"/>
      <c r="R19" s="308"/>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c r="CT19" s="307"/>
      <c r="CU19" s="307"/>
      <c r="CV19" s="307"/>
      <c r="CW19" s="307"/>
      <c r="CX19" s="307"/>
      <c r="CY19" s="307"/>
      <c r="CZ19" s="307"/>
      <c r="DA19" s="307"/>
      <c r="DB19" s="307"/>
      <c r="DC19" s="307"/>
      <c r="DD19" s="307"/>
      <c r="DE19" s="307"/>
      <c r="DF19" s="307"/>
      <c r="DG19" s="307"/>
      <c r="DH19" s="307"/>
      <c r="DI19" s="307"/>
      <c r="DJ19" s="307"/>
      <c r="DK19" s="307"/>
      <c r="DL19" s="307"/>
      <c r="DM19" s="307"/>
      <c r="DN19" s="307"/>
      <c r="DO19" s="307"/>
      <c r="DP19" s="307"/>
      <c r="DQ19" s="307"/>
      <c r="DR19" s="307"/>
      <c r="DS19" s="307"/>
      <c r="DT19" s="307"/>
      <c r="DU19" s="307"/>
      <c r="DV19" s="307"/>
      <c r="DW19" s="307"/>
      <c r="DX19" s="307"/>
      <c r="DY19" s="307"/>
      <c r="DZ19" s="307"/>
      <c r="EA19" s="307"/>
      <c r="EB19" s="307"/>
      <c r="EC19" s="307"/>
      <c r="ED19" s="307"/>
      <c r="EE19" s="307"/>
      <c r="EF19" s="307"/>
      <c r="EG19" s="307"/>
      <c r="EH19" s="307"/>
      <c r="EI19" s="307"/>
      <c r="EJ19" s="307"/>
      <c r="EK19" s="307"/>
      <c r="EL19" s="307"/>
      <c r="EM19" s="307"/>
      <c r="EN19" s="307"/>
      <c r="EO19" s="307"/>
      <c r="EP19" s="307"/>
      <c r="EQ19" s="307"/>
      <c r="ER19" s="307"/>
      <c r="ES19" s="307"/>
      <c r="ET19" s="307"/>
      <c r="EU19" s="307"/>
      <c r="EV19" s="307"/>
      <c r="EW19" s="307"/>
      <c r="EX19" s="307"/>
      <c r="EY19" s="307"/>
      <c r="EZ19" s="307"/>
      <c r="FA19" s="307"/>
      <c r="FB19" s="307"/>
      <c r="FC19" s="307"/>
      <c r="FD19" s="307"/>
      <c r="FE19" s="307"/>
      <c r="FF19" s="307"/>
      <c r="FG19" s="307"/>
      <c r="FH19" s="307"/>
      <c r="FI19" s="307"/>
      <c r="FJ19" s="307"/>
      <c r="FK19" s="307"/>
      <c r="FL19" s="307"/>
      <c r="FM19" s="307"/>
      <c r="FN19" s="307"/>
      <c r="FO19" s="307"/>
      <c r="FP19" s="307"/>
      <c r="FQ19" s="307"/>
      <c r="FR19" s="307"/>
      <c r="FS19" s="307"/>
      <c r="FT19" s="307"/>
      <c r="FU19" s="307"/>
      <c r="FV19" s="307"/>
      <c r="FW19" s="307"/>
      <c r="FX19" s="307"/>
      <c r="FY19" s="307"/>
      <c r="FZ19" s="307"/>
      <c r="GA19" s="307"/>
      <c r="GB19" s="307"/>
      <c r="GC19" s="307"/>
      <c r="GD19" s="307"/>
      <c r="GE19" s="307"/>
      <c r="GF19" s="307"/>
      <c r="GG19" s="307"/>
      <c r="GH19" s="307"/>
      <c r="GI19" s="307"/>
      <c r="GJ19" s="307"/>
      <c r="GK19" s="307"/>
      <c r="GL19" s="307"/>
      <c r="GM19" s="307"/>
      <c r="GN19" s="307"/>
      <c r="GO19" s="307"/>
      <c r="GP19" s="307"/>
      <c r="GQ19" s="307"/>
      <c r="GR19" s="307"/>
      <c r="GS19" s="307"/>
      <c r="GT19" s="307"/>
      <c r="GU19" s="307"/>
      <c r="GV19" s="307"/>
      <c r="GW19" s="307"/>
      <c r="GX19" s="307"/>
      <c r="GY19" s="307"/>
      <c r="GZ19" s="307"/>
      <c r="HA19" s="307"/>
      <c r="HB19" s="307"/>
      <c r="HC19" s="307"/>
      <c r="HD19" s="307"/>
      <c r="HE19" s="307"/>
      <c r="HF19" s="307"/>
      <c r="HG19" s="307"/>
      <c r="HH19" s="307"/>
      <c r="HI19" s="307"/>
      <c r="HJ19" s="307"/>
      <c r="HK19" s="307"/>
      <c r="HL19" s="307"/>
      <c r="HM19" s="307"/>
      <c r="HN19" s="307"/>
      <c r="HO19" s="307"/>
      <c r="HP19" s="307"/>
      <c r="HQ19" s="307"/>
      <c r="HR19" s="307"/>
      <c r="HS19" s="307"/>
      <c r="HT19" s="307"/>
      <c r="HU19" s="307"/>
      <c r="HV19" s="307"/>
      <c r="HW19" s="307"/>
      <c r="HX19" s="307"/>
      <c r="HY19" s="307"/>
      <c r="HZ19" s="307"/>
      <c r="IA19" s="307"/>
      <c r="IB19" s="307"/>
      <c r="IC19" s="307"/>
      <c r="ID19" s="307"/>
      <c r="IE19" s="307"/>
      <c r="IF19" s="307"/>
      <c r="IG19" s="307"/>
      <c r="IH19" s="307"/>
      <c r="II19" s="307"/>
      <c r="IJ19" s="307"/>
      <c r="IK19" s="307"/>
      <c r="IL19" s="307"/>
      <c r="IM19" s="307"/>
      <c r="IN19" s="307"/>
      <c r="IO19" s="307"/>
      <c r="IP19" s="307"/>
      <c r="IQ19" s="307"/>
      <c r="IR19" s="307"/>
      <c r="IS19" s="307"/>
      <c r="IT19" s="307"/>
      <c r="IU19" s="307"/>
    </row>
    <row r="20" spans="1:255">
      <c r="A20" s="324"/>
      <c r="B20" s="307" t="s">
        <v>225</v>
      </c>
      <c r="C20" s="310"/>
      <c r="D20" s="312">
        <f t="shared" si="0"/>
        <v>0.50700000000000001</v>
      </c>
      <c r="E20" s="321">
        <v>-1.4470000000000001</v>
      </c>
      <c r="F20" s="313">
        <f t="shared" si="3"/>
        <v>-1.3503800967519004</v>
      </c>
      <c r="G20" s="312">
        <f t="shared" si="1"/>
        <v>0.48</v>
      </c>
      <c r="H20" s="312">
        <v>-1.33</v>
      </c>
      <c r="I20" s="313">
        <f t="shared" si="4"/>
        <v>-1.3609022556390977</v>
      </c>
      <c r="J20" s="312">
        <f>+J14*8</f>
        <v>0.24</v>
      </c>
      <c r="K20" s="307">
        <v>-1.52</v>
      </c>
      <c r="L20" s="313">
        <f t="shared" si="6"/>
        <v>-1.1578947368421053</v>
      </c>
      <c r="M20" s="307"/>
      <c r="N20" s="307"/>
      <c r="O20" s="307"/>
      <c r="P20" s="307"/>
      <c r="Q20" s="307"/>
      <c r="R20" s="308"/>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c r="CT20" s="307"/>
      <c r="CU20" s="307"/>
      <c r="CV20" s="307"/>
      <c r="CW20" s="307"/>
      <c r="CX20" s="307"/>
      <c r="CY20" s="307"/>
      <c r="CZ20" s="307"/>
      <c r="DA20" s="307"/>
      <c r="DB20" s="307"/>
      <c r="DC20" s="307"/>
      <c r="DD20" s="307"/>
      <c r="DE20" s="307"/>
      <c r="DF20" s="307"/>
      <c r="DG20" s="307"/>
      <c r="DH20" s="307"/>
      <c r="DI20" s="307"/>
      <c r="DJ20" s="307"/>
      <c r="DK20" s="307"/>
      <c r="DL20" s="307"/>
      <c r="DM20" s="307"/>
      <c r="DN20" s="307"/>
      <c r="DO20" s="307"/>
      <c r="DP20" s="307"/>
      <c r="DQ20" s="307"/>
      <c r="DR20" s="307"/>
      <c r="DS20" s="307"/>
      <c r="DT20" s="307"/>
      <c r="DU20" s="307"/>
      <c r="DV20" s="307"/>
      <c r="DW20" s="307"/>
      <c r="DX20" s="307"/>
      <c r="DY20" s="307"/>
      <c r="DZ20" s="307"/>
      <c r="EA20" s="307"/>
      <c r="EB20" s="307"/>
      <c r="EC20" s="307"/>
      <c r="ED20" s="307"/>
      <c r="EE20" s="307"/>
      <c r="EF20" s="307"/>
      <c r="EG20" s="307"/>
      <c r="EH20" s="307"/>
      <c r="EI20" s="307"/>
      <c r="EJ20" s="307"/>
      <c r="EK20" s="307"/>
      <c r="EL20" s="307"/>
      <c r="EM20" s="307"/>
      <c r="EN20" s="307"/>
      <c r="EO20" s="307"/>
      <c r="EP20" s="307"/>
      <c r="EQ20" s="307"/>
      <c r="ER20" s="307"/>
      <c r="ES20" s="307"/>
      <c r="ET20" s="307"/>
      <c r="EU20" s="307"/>
      <c r="EV20" s="307"/>
      <c r="EW20" s="307"/>
      <c r="EX20" s="307"/>
      <c r="EY20" s="307"/>
      <c r="EZ20" s="307"/>
      <c r="FA20" s="307"/>
      <c r="FB20" s="307"/>
      <c r="FC20" s="307"/>
      <c r="FD20" s="307"/>
      <c r="FE20" s="307"/>
      <c r="FF20" s="307"/>
      <c r="FG20" s="307"/>
      <c r="FH20" s="307"/>
      <c r="FI20" s="307"/>
      <c r="FJ20" s="307"/>
      <c r="FK20" s="307"/>
      <c r="FL20" s="307"/>
      <c r="FM20" s="307"/>
      <c r="FN20" s="307"/>
      <c r="FO20" s="307"/>
      <c r="FP20" s="307"/>
      <c r="FQ20" s="307"/>
      <c r="FR20" s="307"/>
      <c r="FS20" s="307"/>
      <c r="FT20" s="307"/>
      <c r="FU20" s="307"/>
      <c r="FV20" s="307"/>
      <c r="FW20" s="307"/>
      <c r="FX20" s="307"/>
      <c r="FY20" s="307"/>
      <c r="FZ20" s="307"/>
      <c r="GA20" s="307"/>
      <c r="GB20" s="307"/>
      <c r="GC20" s="307"/>
      <c r="GD20" s="307"/>
      <c r="GE20" s="307"/>
      <c r="GF20" s="307"/>
      <c r="GG20" s="307"/>
      <c r="GH20" s="307"/>
      <c r="GI20" s="307"/>
      <c r="GJ20" s="307"/>
      <c r="GK20" s="307"/>
      <c r="GL20" s="307"/>
      <c r="GM20" s="307"/>
      <c r="GN20" s="307"/>
      <c r="GO20" s="307"/>
      <c r="GP20" s="307"/>
      <c r="GQ20" s="307"/>
      <c r="GR20" s="307"/>
      <c r="GS20" s="307"/>
      <c r="GT20" s="307"/>
      <c r="GU20" s="307"/>
      <c r="GV20" s="307"/>
      <c r="GW20" s="307"/>
      <c r="GX20" s="307"/>
      <c r="GY20" s="307"/>
      <c r="GZ20" s="307"/>
      <c r="HA20" s="307"/>
      <c r="HB20" s="307"/>
      <c r="HC20" s="307"/>
      <c r="HD20" s="307"/>
      <c r="HE20" s="307"/>
      <c r="HF20" s="307"/>
      <c r="HG20" s="307"/>
      <c r="HH20" s="307"/>
      <c r="HI20" s="307"/>
      <c r="HJ20" s="307"/>
      <c r="HK20" s="307"/>
      <c r="HL20" s="307"/>
      <c r="HM20" s="307"/>
      <c r="HN20" s="307"/>
      <c r="HO20" s="307"/>
      <c r="HP20" s="307"/>
      <c r="HQ20" s="307"/>
      <c r="HR20" s="307"/>
      <c r="HS20" s="307"/>
      <c r="HT20" s="307"/>
      <c r="HU20" s="307"/>
      <c r="HV20" s="307"/>
      <c r="HW20" s="307"/>
      <c r="HX20" s="307"/>
      <c r="HY20" s="307"/>
      <c r="HZ20" s="307"/>
      <c r="IA20" s="307"/>
      <c r="IB20" s="307"/>
      <c r="IC20" s="307"/>
      <c r="ID20" s="307"/>
      <c r="IE20" s="307"/>
      <c r="IF20" s="307"/>
      <c r="IG20" s="307"/>
      <c r="IH20" s="307"/>
      <c r="II20" s="307"/>
      <c r="IJ20" s="307"/>
      <c r="IK20" s="307"/>
      <c r="IL20" s="307"/>
      <c r="IM20" s="307"/>
      <c r="IN20" s="307"/>
      <c r="IO20" s="307"/>
      <c r="IP20" s="307"/>
      <c r="IQ20" s="307"/>
      <c r="IR20" s="307"/>
      <c r="IS20" s="307"/>
      <c r="IT20" s="307"/>
      <c r="IU20" s="307"/>
    </row>
    <row r="21" spans="1:255">
      <c r="A21" s="324"/>
      <c r="B21" s="307"/>
      <c r="C21" s="310"/>
      <c r="D21" s="320"/>
      <c r="E21" s="312"/>
      <c r="F21" s="320"/>
      <c r="G21" s="312"/>
      <c r="H21" s="312"/>
      <c r="I21" s="313"/>
      <c r="J21" s="312"/>
      <c r="K21" s="312"/>
      <c r="L21" s="313"/>
      <c r="M21" s="307"/>
      <c r="N21" s="307"/>
      <c r="O21" s="307"/>
      <c r="P21" s="307"/>
      <c r="Q21" s="307"/>
      <c r="R21" s="308"/>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7"/>
      <c r="DY21" s="307"/>
      <c r="DZ21" s="307"/>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7"/>
      <c r="FK21" s="307"/>
      <c r="FL21" s="307"/>
      <c r="FM21" s="307"/>
      <c r="FN21" s="307"/>
      <c r="FO21" s="307"/>
      <c r="FP21" s="307"/>
      <c r="FQ21" s="307"/>
      <c r="FR21" s="307"/>
      <c r="FS21" s="307"/>
      <c r="FT21" s="307"/>
      <c r="FU21" s="307"/>
      <c r="FV21" s="307"/>
      <c r="FW21" s="307"/>
      <c r="FX21" s="307"/>
      <c r="FY21" s="307"/>
      <c r="FZ21" s="307"/>
      <c r="GA21" s="307"/>
      <c r="GB21" s="307"/>
      <c r="GC21" s="307"/>
      <c r="GD21" s="307"/>
      <c r="GE21" s="307"/>
      <c r="GF21" s="307"/>
      <c r="GG21" s="307"/>
      <c r="GH21" s="307"/>
      <c r="GI21" s="307"/>
      <c r="GJ21" s="307"/>
      <c r="GK21" s="307"/>
      <c r="GL21" s="307"/>
      <c r="GM21" s="307"/>
      <c r="GN21" s="307"/>
      <c r="GO21" s="307"/>
      <c r="GP21" s="307"/>
      <c r="GQ21" s="307"/>
      <c r="GR21" s="307"/>
      <c r="GS21" s="307"/>
      <c r="GT21" s="307"/>
      <c r="GU21" s="307"/>
      <c r="GV21" s="307"/>
      <c r="GW21" s="307"/>
      <c r="GX21" s="307"/>
      <c r="GY21" s="307"/>
      <c r="GZ21" s="307"/>
      <c r="HA21" s="307"/>
      <c r="HB21" s="307"/>
      <c r="HC21" s="307"/>
      <c r="HD21" s="307"/>
      <c r="HE21" s="307"/>
      <c r="HF21" s="307"/>
      <c r="HG21" s="307"/>
      <c r="HH21" s="307"/>
      <c r="HI21" s="307"/>
      <c r="HJ21" s="307"/>
      <c r="HK21" s="307"/>
      <c r="HL21" s="307"/>
      <c r="HM21" s="307"/>
      <c r="HN21" s="307"/>
      <c r="HO21" s="307"/>
      <c r="HP21" s="307"/>
      <c r="HQ21" s="307"/>
      <c r="HR21" s="307"/>
      <c r="HS21" s="307"/>
      <c r="HT21" s="307"/>
      <c r="HU21" s="307"/>
      <c r="HV21" s="307"/>
      <c r="HW21" s="307"/>
      <c r="HX21" s="307"/>
      <c r="HY21" s="307"/>
      <c r="HZ21" s="307"/>
      <c r="IA21" s="307"/>
      <c r="IB21" s="307"/>
      <c r="IC21" s="307"/>
      <c r="ID21" s="307"/>
      <c r="IE21" s="307"/>
      <c r="IF21" s="307"/>
      <c r="IG21" s="307"/>
      <c r="IH21" s="307"/>
      <c r="II21" s="307"/>
      <c r="IJ21" s="307"/>
      <c r="IK21" s="307"/>
      <c r="IL21" s="307"/>
      <c r="IM21" s="307"/>
      <c r="IN21" s="307"/>
      <c r="IO21" s="307"/>
      <c r="IP21" s="307"/>
      <c r="IQ21" s="307"/>
      <c r="IR21" s="307"/>
      <c r="IS21" s="307"/>
      <c r="IT21" s="307"/>
      <c r="IU21" s="307"/>
    </row>
    <row r="22" spans="1:255">
      <c r="A22" s="324"/>
      <c r="B22" s="307"/>
      <c r="C22" s="310"/>
      <c r="D22" s="320"/>
      <c r="E22" s="312"/>
      <c r="F22" s="320"/>
      <c r="G22" s="312"/>
      <c r="H22" s="312"/>
      <c r="I22" s="313"/>
      <c r="J22" s="312"/>
      <c r="K22" s="312"/>
      <c r="L22" s="313"/>
      <c r="M22" s="307"/>
      <c r="N22" s="307"/>
      <c r="O22" s="307"/>
      <c r="P22" s="307"/>
      <c r="Q22" s="307"/>
      <c r="R22" s="308"/>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7"/>
      <c r="FK22" s="307"/>
      <c r="FL22" s="307"/>
      <c r="FM22" s="307"/>
      <c r="FN22" s="307"/>
      <c r="FO22" s="307"/>
      <c r="FP22" s="307"/>
      <c r="FQ22" s="307"/>
      <c r="FR22" s="307"/>
      <c r="FS22" s="307"/>
      <c r="FT22" s="307"/>
      <c r="FU22" s="307"/>
      <c r="FV22" s="307"/>
      <c r="FW22" s="307"/>
      <c r="FX22" s="307"/>
      <c r="FY22" s="307"/>
      <c r="FZ22" s="307"/>
      <c r="GA22" s="307"/>
      <c r="GB22" s="307"/>
      <c r="GC22" s="307"/>
      <c r="GD22" s="307"/>
      <c r="GE22" s="307"/>
      <c r="GF22" s="307"/>
      <c r="GG22" s="307"/>
      <c r="GH22" s="307"/>
      <c r="GI22" s="307"/>
      <c r="GJ22" s="307"/>
      <c r="GK22" s="307"/>
      <c r="GL22" s="307"/>
      <c r="GM22" s="307"/>
      <c r="GN22" s="307"/>
      <c r="GO22" s="307"/>
      <c r="GP22" s="307"/>
      <c r="GQ22" s="307"/>
      <c r="GR22" s="307"/>
      <c r="GS22" s="307"/>
      <c r="GT22" s="307"/>
      <c r="GU22" s="307"/>
      <c r="GV22" s="307"/>
      <c r="GW22" s="307"/>
      <c r="GX22" s="307"/>
      <c r="GY22" s="307"/>
      <c r="GZ22" s="307"/>
      <c r="HA22" s="307"/>
      <c r="HB22" s="307"/>
      <c r="HC22" s="307"/>
      <c r="HD22" s="307"/>
      <c r="HE22" s="307"/>
      <c r="HF22" s="307"/>
      <c r="HG22" s="307"/>
      <c r="HH22" s="307"/>
      <c r="HI22" s="307"/>
      <c r="HJ22" s="307"/>
      <c r="HK22" s="307"/>
      <c r="HL22" s="307"/>
      <c r="HM22" s="307"/>
      <c r="HN22" s="307"/>
      <c r="HO22" s="307"/>
      <c r="HP22" s="307"/>
      <c r="HQ22" s="307"/>
      <c r="HR22" s="307"/>
      <c r="HS22" s="307"/>
      <c r="HT22" s="307"/>
      <c r="HU22" s="307"/>
      <c r="HV22" s="307"/>
      <c r="HW22" s="307"/>
      <c r="HX22" s="307"/>
      <c r="HY22" s="307"/>
      <c r="HZ22" s="307"/>
      <c r="IA22" s="307"/>
      <c r="IB22" s="307"/>
      <c r="IC22" s="307"/>
      <c r="ID22" s="307"/>
      <c r="IE22" s="307"/>
      <c r="IF22" s="307"/>
      <c r="IG22" s="307"/>
      <c r="IH22" s="307"/>
      <c r="II22" s="307"/>
      <c r="IJ22" s="307"/>
      <c r="IK22" s="307"/>
      <c r="IL22" s="307"/>
      <c r="IM22" s="307"/>
      <c r="IN22" s="307"/>
      <c r="IO22" s="307"/>
      <c r="IP22" s="307"/>
      <c r="IQ22" s="307"/>
      <c r="IR22" s="307"/>
      <c r="IS22" s="307"/>
      <c r="IT22" s="307"/>
      <c r="IU22" s="307"/>
    </row>
    <row r="23" spans="1:255" ht="15.75">
      <c r="A23" s="319" t="s">
        <v>226</v>
      </c>
      <c r="B23" s="307"/>
      <c r="C23" s="310"/>
      <c r="D23" s="320"/>
      <c r="E23" s="312"/>
      <c r="F23" s="320"/>
      <c r="G23" s="312"/>
      <c r="H23" s="312"/>
      <c r="I23" s="313"/>
      <c r="J23" s="312"/>
      <c r="K23" s="312"/>
      <c r="L23" s="313"/>
      <c r="M23" s="307"/>
      <c r="N23" s="307"/>
      <c r="O23" s="307"/>
      <c r="P23" s="307"/>
      <c r="Q23" s="307"/>
      <c r="R23" s="308"/>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c r="DS23" s="307"/>
      <c r="DT23" s="307"/>
      <c r="DU23" s="307"/>
      <c r="DV23" s="307"/>
      <c r="DW23" s="307"/>
      <c r="DX23" s="307"/>
      <c r="DY23" s="307"/>
      <c r="DZ23" s="307"/>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7"/>
      <c r="FK23" s="307"/>
      <c r="FL23" s="307"/>
      <c r="FM23" s="307"/>
      <c r="FN23" s="307"/>
      <c r="FO23" s="307"/>
      <c r="FP23" s="307"/>
      <c r="FQ23" s="307"/>
      <c r="FR23" s="307"/>
      <c r="FS23" s="307"/>
      <c r="FT23" s="307"/>
      <c r="FU23" s="307"/>
      <c r="FV23" s="307"/>
      <c r="FW23" s="307"/>
      <c r="FX23" s="307"/>
      <c r="FY23" s="307"/>
      <c r="FZ23" s="307"/>
      <c r="GA23" s="307"/>
      <c r="GB23" s="307"/>
      <c r="GC23" s="307"/>
      <c r="GD23" s="307"/>
      <c r="GE23" s="307"/>
      <c r="GF23" s="307"/>
      <c r="GG23" s="307"/>
      <c r="GH23" s="307"/>
      <c r="GI23" s="307"/>
      <c r="GJ23" s="307"/>
      <c r="GK23" s="307"/>
      <c r="GL23" s="307"/>
      <c r="GM23" s="307"/>
      <c r="GN23" s="307"/>
      <c r="GO23" s="307"/>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M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row>
    <row r="24" spans="1:255" ht="15.75">
      <c r="A24" s="319"/>
      <c r="B24" s="307" t="s">
        <v>214</v>
      </c>
      <c r="C24" s="310"/>
      <c r="D24" s="312">
        <f>+ROUND(E24*(1+$F$7),3)</f>
        <v>0</v>
      </c>
      <c r="E24" s="312">
        <v>-2.9000000000000001E-2</v>
      </c>
      <c r="F24" s="313">
        <f t="shared" ref="F24:F35" si="7">-1+D24/E24</f>
        <v>-1</v>
      </c>
      <c r="G24" s="312"/>
      <c r="H24" s="312"/>
      <c r="I24" s="313"/>
      <c r="J24" s="312"/>
      <c r="K24" s="312"/>
      <c r="L24" s="313"/>
      <c r="M24" s="307"/>
      <c r="N24" s="307"/>
      <c r="O24" s="307"/>
      <c r="P24" s="307"/>
      <c r="Q24" s="307"/>
      <c r="R24" s="308"/>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7"/>
      <c r="DS24" s="307"/>
      <c r="DT24" s="307"/>
      <c r="DU24" s="307"/>
      <c r="DV24" s="307"/>
      <c r="DW24" s="307"/>
      <c r="DX24" s="307"/>
      <c r="DY24" s="307"/>
      <c r="DZ24" s="307"/>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7"/>
      <c r="FK24" s="307"/>
      <c r="FL24" s="307"/>
      <c r="FM24" s="307"/>
      <c r="FN24" s="307"/>
      <c r="FO24" s="307"/>
      <c r="FP24" s="307"/>
      <c r="FQ24" s="307"/>
      <c r="FR24" s="307"/>
      <c r="FS24" s="307"/>
      <c r="FT24" s="307"/>
      <c r="FU24" s="307"/>
      <c r="FV24" s="307"/>
      <c r="FW24" s="307"/>
      <c r="FX24" s="307"/>
      <c r="FY24" s="307"/>
      <c r="FZ24" s="307"/>
      <c r="GA24" s="307"/>
      <c r="GB24" s="307"/>
      <c r="GC24" s="307"/>
      <c r="GD24" s="307"/>
      <c r="GE24" s="307"/>
      <c r="GF24" s="307"/>
      <c r="GG24" s="307"/>
      <c r="GH24" s="307"/>
      <c r="GI24" s="307"/>
      <c r="GJ24" s="307"/>
      <c r="GK24" s="307"/>
      <c r="GL24" s="307"/>
      <c r="GM24" s="307"/>
      <c r="GN24" s="307"/>
      <c r="GO24" s="307"/>
      <c r="GP24" s="307"/>
      <c r="GQ24" s="307"/>
      <c r="GR24" s="307"/>
      <c r="GS24" s="307"/>
      <c r="GT24" s="307"/>
      <c r="GU24" s="307"/>
      <c r="GV24" s="307"/>
      <c r="GW24" s="307"/>
      <c r="GX24" s="307"/>
      <c r="GY24" s="307"/>
      <c r="GZ24" s="307"/>
      <c r="HA24" s="307"/>
      <c r="HB24" s="307"/>
      <c r="HC24" s="307"/>
      <c r="HD24" s="307"/>
      <c r="HE24" s="307"/>
      <c r="HF24" s="307"/>
      <c r="HG24" s="307"/>
      <c r="HH24" s="307"/>
      <c r="HI24" s="307"/>
      <c r="HJ24" s="307"/>
      <c r="HK24" s="307"/>
      <c r="HL24" s="307"/>
      <c r="HM24" s="307"/>
      <c r="HN24" s="307"/>
      <c r="HO24" s="307"/>
      <c r="HP24" s="307"/>
      <c r="HQ24" s="307"/>
      <c r="HR24" s="307"/>
      <c r="HS24" s="307"/>
      <c r="HT24" s="307"/>
      <c r="HU24" s="307"/>
      <c r="HV24" s="307"/>
      <c r="HW24" s="307"/>
      <c r="HX24" s="307"/>
      <c r="HY24" s="307"/>
      <c r="HZ24" s="307"/>
      <c r="IA24" s="307"/>
      <c r="IB24" s="307"/>
      <c r="IC24" s="307"/>
      <c r="ID24" s="307"/>
      <c r="IE24" s="307"/>
      <c r="IF24" s="307"/>
      <c r="IG24" s="307"/>
      <c r="IH24" s="307"/>
      <c r="II24" s="307"/>
      <c r="IJ24" s="307"/>
      <c r="IK24" s="307"/>
      <c r="IL24" s="307"/>
      <c r="IM24" s="307"/>
      <c r="IN24" s="307"/>
      <c r="IO24" s="307"/>
      <c r="IP24" s="307"/>
      <c r="IQ24" s="307"/>
      <c r="IR24" s="307"/>
      <c r="IS24" s="307"/>
      <c r="IT24" s="307"/>
      <c r="IU24" s="307"/>
    </row>
    <row r="25" spans="1:255">
      <c r="A25" s="324"/>
      <c r="B25" s="307" t="s">
        <v>215</v>
      </c>
      <c r="C25" s="325"/>
      <c r="D25" s="312">
        <f t="shared" ref="D25:D35" si="8">+ROUND(E25*(1+$F$7),3)</f>
        <v>-1E-3</v>
      </c>
      <c r="E25" s="312">
        <v>-4.7E-2</v>
      </c>
      <c r="F25" s="313">
        <f t="shared" si="7"/>
        <v>-0.97872340425531912</v>
      </c>
      <c r="G25" s="312"/>
      <c r="H25" s="312"/>
      <c r="I25" s="313"/>
      <c r="J25" s="312"/>
      <c r="K25" s="312"/>
      <c r="L25" s="313"/>
      <c r="M25" s="307"/>
      <c r="N25" s="307"/>
      <c r="O25" s="307"/>
      <c r="P25" s="307"/>
      <c r="Q25" s="307"/>
      <c r="R25" s="308"/>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c r="CB25" s="307"/>
      <c r="CC25" s="307"/>
      <c r="CD25" s="307"/>
      <c r="CE25" s="307"/>
      <c r="CF25" s="307"/>
      <c r="CG25" s="307"/>
      <c r="CH25" s="307"/>
      <c r="CI25" s="307"/>
      <c r="CJ25" s="307"/>
      <c r="CK25" s="307"/>
      <c r="CL25" s="307"/>
      <c r="CM25" s="307"/>
      <c r="CN25" s="307"/>
      <c r="CO25" s="307"/>
      <c r="CP25" s="307"/>
      <c r="CQ25" s="307"/>
      <c r="CR25" s="307"/>
      <c r="CS25" s="307"/>
      <c r="CT25" s="307"/>
      <c r="CU25" s="307"/>
      <c r="CV25" s="307"/>
      <c r="CW25" s="307"/>
      <c r="CX25" s="307"/>
      <c r="CY25" s="307"/>
      <c r="CZ25" s="307"/>
      <c r="DA25" s="307"/>
      <c r="DB25" s="307"/>
      <c r="DC25" s="307"/>
      <c r="DD25" s="307"/>
      <c r="DE25" s="307"/>
      <c r="DF25" s="307"/>
      <c r="DG25" s="307"/>
      <c r="DH25" s="307"/>
      <c r="DI25" s="307"/>
      <c r="DJ25" s="307"/>
      <c r="DK25" s="307"/>
      <c r="DL25" s="307"/>
      <c r="DM25" s="307"/>
      <c r="DN25" s="307"/>
      <c r="DO25" s="307"/>
      <c r="DP25" s="307"/>
      <c r="DQ25" s="307"/>
      <c r="DR25" s="307"/>
      <c r="DS25" s="307"/>
      <c r="DT25" s="307"/>
      <c r="DU25" s="307"/>
      <c r="DV25" s="307"/>
      <c r="DW25" s="307"/>
      <c r="DX25" s="307"/>
      <c r="DY25" s="307"/>
      <c r="DZ25" s="307"/>
      <c r="EA25" s="307"/>
      <c r="EB25" s="307"/>
      <c r="EC25" s="307"/>
      <c r="ED25" s="307"/>
      <c r="EE25" s="307"/>
      <c r="EF25" s="307"/>
      <c r="EG25" s="307"/>
      <c r="EH25" s="307"/>
      <c r="EI25" s="307"/>
      <c r="EJ25" s="307"/>
      <c r="EK25" s="307"/>
      <c r="EL25" s="307"/>
      <c r="EM25" s="307"/>
      <c r="EN25" s="307"/>
      <c r="EO25" s="307"/>
      <c r="EP25" s="307"/>
      <c r="EQ25" s="307"/>
      <c r="ER25" s="307"/>
      <c r="ES25" s="307"/>
      <c r="ET25" s="307"/>
      <c r="EU25" s="307"/>
      <c r="EV25" s="307"/>
      <c r="EW25" s="307"/>
      <c r="EX25" s="307"/>
      <c r="EY25" s="307"/>
      <c r="EZ25" s="307"/>
      <c r="FA25" s="307"/>
      <c r="FB25" s="307"/>
      <c r="FC25" s="307"/>
      <c r="FD25" s="307"/>
      <c r="FE25" s="307"/>
      <c r="FF25" s="307"/>
      <c r="FG25" s="307"/>
      <c r="FH25" s="307"/>
      <c r="FI25" s="307"/>
      <c r="FJ25" s="307"/>
      <c r="FK25" s="307"/>
      <c r="FL25" s="307"/>
      <c r="FM25" s="307"/>
      <c r="FN25" s="307"/>
      <c r="FO25" s="307"/>
      <c r="FP25" s="307"/>
      <c r="FQ25" s="307"/>
      <c r="FR25" s="307"/>
      <c r="FS25" s="307"/>
      <c r="FT25" s="307"/>
      <c r="FU25" s="307"/>
      <c r="FV25" s="307"/>
      <c r="FW25" s="307"/>
      <c r="FX25" s="307"/>
      <c r="FY25" s="307"/>
      <c r="FZ25" s="307"/>
      <c r="GA25" s="307"/>
      <c r="GB25" s="307"/>
      <c r="GC25" s="307"/>
      <c r="GD25" s="307"/>
      <c r="GE25" s="307"/>
      <c r="GF25" s="307"/>
      <c r="GG25" s="307"/>
      <c r="GH25" s="307"/>
      <c r="GI25" s="307"/>
      <c r="GJ25" s="307"/>
      <c r="GK25" s="307"/>
      <c r="GL25" s="307"/>
      <c r="GM25" s="307"/>
      <c r="GN25" s="307"/>
      <c r="GO25" s="307"/>
      <c r="GP25" s="307"/>
      <c r="GQ25" s="307"/>
      <c r="GR25" s="307"/>
      <c r="GS25" s="307"/>
      <c r="GT25" s="307"/>
      <c r="GU25" s="307"/>
      <c r="GV25" s="307"/>
      <c r="GW25" s="307"/>
      <c r="GX25" s="307"/>
      <c r="GY25" s="307"/>
      <c r="GZ25" s="307"/>
      <c r="HA25" s="307"/>
      <c r="HB25" s="307"/>
      <c r="HC25" s="307"/>
      <c r="HD25" s="307"/>
      <c r="HE25" s="307"/>
      <c r="HF25" s="307"/>
      <c r="HG25" s="307"/>
      <c r="HH25" s="307"/>
      <c r="HI25" s="307"/>
      <c r="HJ25" s="307"/>
      <c r="HK25" s="307"/>
      <c r="HL25" s="307"/>
      <c r="HM25" s="307"/>
      <c r="HN25" s="307"/>
      <c r="HO25" s="307"/>
      <c r="HP25" s="307"/>
      <c r="HQ25" s="307"/>
      <c r="HR25" s="307"/>
      <c r="HS25" s="307"/>
      <c r="HT25" s="307"/>
      <c r="HU25" s="307"/>
      <c r="HV25" s="307"/>
      <c r="HW25" s="307"/>
      <c r="HX25" s="307"/>
      <c r="HY25" s="307"/>
      <c r="HZ25" s="307"/>
      <c r="IA25" s="307"/>
      <c r="IB25" s="307"/>
      <c r="IC25" s="307"/>
      <c r="ID25" s="307"/>
      <c r="IE25" s="307"/>
      <c r="IF25" s="307"/>
      <c r="IG25" s="307"/>
      <c r="IH25" s="307"/>
      <c r="II25" s="307"/>
      <c r="IJ25" s="307"/>
      <c r="IK25" s="307"/>
      <c r="IL25" s="307"/>
      <c r="IM25" s="307"/>
      <c r="IN25" s="307"/>
      <c r="IO25" s="307"/>
      <c r="IP25" s="307"/>
      <c r="IQ25" s="307"/>
      <c r="IR25" s="307"/>
      <c r="IS25" s="307"/>
      <c r="IT25" s="307"/>
      <c r="IU25" s="307"/>
    </row>
    <row r="26" spans="1:255">
      <c r="A26" s="324"/>
      <c r="B26" s="307" t="s">
        <v>216</v>
      </c>
      <c r="C26" s="325"/>
      <c r="D26" s="312">
        <f t="shared" si="8"/>
        <v>-1E-3</v>
      </c>
      <c r="E26" s="312">
        <v>-4.7E-2</v>
      </c>
      <c r="F26" s="313">
        <f t="shared" si="7"/>
        <v>-0.97872340425531912</v>
      </c>
      <c r="G26" s="312"/>
      <c r="H26" s="312"/>
      <c r="I26" s="313"/>
      <c r="J26" s="312"/>
      <c r="K26" s="312"/>
      <c r="L26" s="313"/>
      <c r="M26" s="307"/>
      <c r="N26" s="307"/>
      <c r="O26" s="307"/>
      <c r="P26" s="307"/>
      <c r="Q26" s="307"/>
      <c r="R26" s="308"/>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7"/>
      <c r="DV26" s="307"/>
      <c r="DW26" s="307"/>
      <c r="DX26" s="307"/>
      <c r="DY26" s="307"/>
      <c r="DZ26" s="307"/>
      <c r="EA26" s="307"/>
      <c r="EB26" s="307"/>
      <c r="EC26" s="307"/>
      <c r="ED26" s="307"/>
      <c r="EE26" s="307"/>
      <c r="EF26" s="307"/>
      <c r="EG26" s="307"/>
      <c r="EH26" s="307"/>
      <c r="EI26" s="307"/>
      <c r="EJ26" s="307"/>
      <c r="EK26" s="307"/>
      <c r="EL26" s="307"/>
      <c r="EM26" s="307"/>
      <c r="EN26" s="307"/>
      <c r="EO26" s="307"/>
      <c r="EP26" s="307"/>
      <c r="EQ26" s="307"/>
      <c r="ER26" s="307"/>
      <c r="ES26" s="307"/>
      <c r="ET26" s="307"/>
      <c r="EU26" s="307"/>
      <c r="EV26" s="307"/>
      <c r="EW26" s="307"/>
      <c r="EX26" s="307"/>
      <c r="EY26" s="307"/>
      <c r="EZ26" s="307"/>
      <c r="FA26" s="307"/>
      <c r="FB26" s="307"/>
      <c r="FC26" s="307"/>
      <c r="FD26" s="307"/>
      <c r="FE26" s="307"/>
      <c r="FF26" s="307"/>
      <c r="FG26" s="307"/>
      <c r="FH26" s="307"/>
      <c r="FI26" s="307"/>
      <c r="FJ26" s="307"/>
      <c r="FK26" s="307"/>
      <c r="FL26" s="307"/>
      <c r="FM26" s="307"/>
      <c r="FN26" s="307"/>
      <c r="FO26" s="307"/>
      <c r="FP26" s="307"/>
      <c r="FQ26" s="307"/>
      <c r="FR26" s="307"/>
      <c r="FS26" s="307"/>
      <c r="FT26" s="307"/>
      <c r="FU26" s="307"/>
      <c r="FV26" s="307"/>
      <c r="FW26" s="307"/>
      <c r="FX26" s="307"/>
      <c r="FY26" s="307"/>
      <c r="FZ26" s="307"/>
      <c r="GA26" s="307"/>
      <c r="GB26" s="307"/>
      <c r="GC26" s="307"/>
      <c r="GD26" s="307"/>
      <c r="GE26" s="307"/>
      <c r="GF26" s="307"/>
      <c r="GG26" s="307"/>
      <c r="GH26" s="307"/>
      <c r="GI26" s="307"/>
      <c r="GJ26" s="307"/>
      <c r="GK26" s="307"/>
      <c r="GL26" s="307"/>
      <c r="GM26" s="307"/>
      <c r="GN26" s="307"/>
      <c r="GO26" s="307"/>
      <c r="GP26" s="307"/>
      <c r="GQ26" s="307"/>
      <c r="GR26" s="307"/>
      <c r="GS26" s="307"/>
      <c r="GT26" s="307"/>
      <c r="GU26" s="307"/>
      <c r="GV26" s="307"/>
      <c r="GW26" s="307"/>
      <c r="GX26" s="307"/>
      <c r="GY26" s="307"/>
      <c r="GZ26" s="307"/>
      <c r="HA26" s="307"/>
      <c r="HB26" s="307"/>
      <c r="HC26" s="307"/>
      <c r="HD26" s="307"/>
      <c r="HE26" s="307"/>
      <c r="HF26" s="307"/>
      <c r="HG26" s="307"/>
      <c r="HH26" s="307"/>
      <c r="HI26" s="307"/>
      <c r="HJ26" s="307"/>
      <c r="HK26" s="307"/>
      <c r="HL26" s="307"/>
      <c r="HM26" s="307"/>
      <c r="HN26" s="307"/>
      <c r="HO26" s="307"/>
      <c r="HP26" s="307"/>
      <c r="HQ26" s="307"/>
      <c r="HR26" s="307"/>
      <c r="HS26" s="307"/>
      <c r="HT26" s="307"/>
      <c r="HU26" s="307"/>
      <c r="HV26" s="307"/>
      <c r="HW26" s="307"/>
      <c r="HX26" s="307"/>
      <c r="HY26" s="307"/>
      <c r="HZ26" s="307"/>
      <c r="IA26" s="307"/>
      <c r="IB26" s="307"/>
      <c r="IC26" s="307"/>
      <c r="ID26" s="307"/>
      <c r="IE26" s="307"/>
      <c r="IF26" s="307"/>
      <c r="IG26" s="307"/>
      <c r="IH26" s="307"/>
      <c r="II26" s="307"/>
      <c r="IJ26" s="307"/>
      <c r="IK26" s="307"/>
      <c r="IL26" s="307"/>
      <c r="IM26" s="307"/>
      <c r="IN26" s="307"/>
      <c r="IO26" s="307"/>
      <c r="IP26" s="307"/>
      <c r="IQ26" s="307"/>
      <c r="IR26" s="307"/>
      <c r="IS26" s="307"/>
      <c r="IT26" s="307"/>
      <c r="IU26" s="307"/>
    </row>
    <row r="27" spans="1:255">
      <c r="A27" s="324"/>
      <c r="B27" s="307" t="s">
        <v>217</v>
      </c>
      <c r="C27" s="325"/>
      <c r="D27" s="312">
        <f t="shared" si="8"/>
        <v>-1E-3</v>
      </c>
      <c r="E27" s="312">
        <v>-6.2E-2</v>
      </c>
      <c r="F27" s="313">
        <f t="shared" si="7"/>
        <v>-0.9838709677419355</v>
      </c>
      <c r="G27" s="312"/>
      <c r="H27" s="312"/>
      <c r="I27" s="313"/>
      <c r="J27" s="312"/>
      <c r="K27" s="312"/>
      <c r="L27" s="313"/>
      <c r="M27" s="307"/>
      <c r="N27" s="307"/>
      <c r="O27" s="307"/>
      <c r="P27" s="307"/>
      <c r="Q27" s="307"/>
      <c r="R27" s="308"/>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c r="CG27" s="307"/>
      <c r="CH27" s="307"/>
      <c r="CI27" s="307"/>
      <c r="CJ27" s="307"/>
      <c r="CK27" s="307"/>
      <c r="CL27" s="307"/>
      <c r="CM27" s="307"/>
      <c r="CN27" s="307"/>
      <c r="CO27" s="307"/>
      <c r="CP27" s="307"/>
      <c r="CQ27" s="307"/>
      <c r="CR27" s="307"/>
      <c r="CS27" s="307"/>
      <c r="CT27" s="307"/>
      <c r="CU27" s="307"/>
      <c r="CV27" s="307"/>
      <c r="CW27" s="307"/>
      <c r="CX27" s="307"/>
      <c r="CY27" s="307"/>
      <c r="CZ27" s="307"/>
      <c r="DA27" s="307"/>
      <c r="DB27" s="307"/>
      <c r="DC27" s="307"/>
      <c r="DD27" s="307"/>
      <c r="DE27" s="307"/>
      <c r="DF27" s="307"/>
      <c r="DG27" s="307"/>
      <c r="DH27" s="307"/>
      <c r="DI27" s="307"/>
      <c r="DJ27" s="307"/>
      <c r="DK27" s="307"/>
      <c r="DL27" s="307"/>
      <c r="DM27" s="307"/>
      <c r="DN27" s="307"/>
      <c r="DO27" s="307"/>
      <c r="DP27" s="307"/>
      <c r="DQ27" s="307"/>
      <c r="DR27" s="307"/>
      <c r="DS27" s="307"/>
      <c r="DT27" s="307"/>
      <c r="DU27" s="307"/>
      <c r="DV27" s="307"/>
      <c r="DW27" s="307"/>
      <c r="DX27" s="307"/>
      <c r="DY27" s="307"/>
      <c r="DZ27" s="307"/>
      <c r="EA27" s="307"/>
      <c r="EB27" s="307"/>
      <c r="EC27" s="307"/>
      <c r="ED27" s="307"/>
      <c r="EE27" s="307"/>
      <c r="EF27" s="307"/>
      <c r="EG27" s="307"/>
      <c r="EH27" s="307"/>
      <c r="EI27" s="307"/>
      <c r="EJ27" s="307"/>
      <c r="EK27" s="307"/>
      <c r="EL27" s="307"/>
      <c r="EM27" s="307"/>
      <c r="EN27" s="307"/>
      <c r="EO27" s="307"/>
      <c r="EP27" s="307"/>
      <c r="EQ27" s="307"/>
      <c r="ER27" s="307"/>
      <c r="ES27" s="307"/>
      <c r="ET27" s="307"/>
      <c r="EU27" s="307"/>
      <c r="EV27" s="307"/>
      <c r="EW27" s="307"/>
      <c r="EX27" s="307"/>
      <c r="EY27" s="307"/>
      <c r="EZ27" s="307"/>
      <c r="FA27" s="307"/>
      <c r="FB27" s="307"/>
      <c r="FC27" s="307"/>
      <c r="FD27" s="307"/>
      <c r="FE27" s="307"/>
      <c r="FF27" s="307"/>
      <c r="FG27" s="307"/>
      <c r="FH27" s="307"/>
      <c r="FI27" s="307"/>
      <c r="FJ27" s="307"/>
      <c r="FK27" s="307"/>
      <c r="FL27" s="307"/>
      <c r="FM27" s="307"/>
      <c r="FN27" s="307"/>
      <c r="FO27" s="307"/>
      <c r="FP27" s="307"/>
      <c r="FQ27" s="307"/>
      <c r="FR27" s="307"/>
      <c r="FS27" s="307"/>
      <c r="FT27" s="307"/>
      <c r="FU27" s="307"/>
      <c r="FV27" s="307"/>
      <c r="FW27" s="307"/>
      <c r="FX27" s="307"/>
      <c r="FY27" s="307"/>
      <c r="FZ27" s="307"/>
      <c r="GA27" s="307"/>
      <c r="GB27" s="307"/>
      <c r="GC27" s="307"/>
      <c r="GD27" s="307"/>
      <c r="GE27" s="307"/>
      <c r="GF27" s="307"/>
      <c r="GG27" s="307"/>
      <c r="GH27" s="307"/>
      <c r="GI27" s="307"/>
      <c r="GJ27" s="307"/>
      <c r="GK27" s="307"/>
      <c r="GL27" s="307"/>
      <c r="GM27" s="307"/>
      <c r="GN27" s="307"/>
      <c r="GO27" s="307"/>
      <c r="GP27" s="307"/>
      <c r="GQ27" s="307"/>
      <c r="GR27" s="307"/>
      <c r="GS27" s="307"/>
      <c r="GT27" s="307"/>
      <c r="GU27" s="307"/>
      <c r="GV27" s="307"/>
      <c r="GW27" s="307"/>
      <c r="GX27" s="307"/>
      <c r="GY27" s="307"/>
      <c r="GZ27" s="307"/>
      <c r="HA27" s="307"/>
      <c r="HB27" s="307"/>
      <c r="HC27" s="307"/>
      <c r="HD27" s="307"/>
      <c r="HE27" s="307"/>
      <c r="HF27" s="307"/>
      <c r="HG27" s="307"/>
      <c r="HH27" s="307"/>
      <c r="HI27" s="307"/>
      <c r="HJ27" s="307"/>
      <c r="HK27" s="307"/>
      <c r="HL27" s="307"/>
      <c r="HM27" s="307"/>
      <c r="HN27" s="307"/>
      <c r="HO27" s="307"/>
      <c r="HP27" s="307"/>
      <c r="HQ27" s="307"/>
      <c r="HR27" s="307"/>
      <c r="HS27" s="307"/>
      <c r="HT27" s="307"/>
      <c r="HU27" s="307"/>
      <c r="HV27" s="307"/>
      <c r="HW27" s="307"/>
      <c r="HX27" s="307"/>
      <c r="HY27" s="307"/>
      <c r="HZ27" s="307"/>
      <c r="IA27" s="307"/>
      <c r="IB27" s="307"/>
      <c r="IC27" s="307"/>
      <c r="ID27" s="307"/>
      <c r="IE27" s="307"/>
      <c r="IF27" s="307"/>
      <c r="IG27" s="307"/>
      <c r="IH27" s="307"/>
      <c r="II27" s="307"/>
      <c r="IJ27" s="307"/>
      <c r="IK27" s="307"/>
      <c r="IL27" s="307"/>
      <c r="IM27" s="307"/>
      <c r="IN27" s="307"/>
      <c r="IO27" s="307"/>
      <c r="IP27" s="307"/>
      <c r="IQ27" s="307"/>
      <c r="IR27" s="307"/>
      <c r="IS27" s="307"/>
      <c r="IT27" s="307"/>
      <c r="IU27" s="307"/>
    </row>
    <row r="28" spans="1:255">
      <c r="A28" s="324"/>
      <c r="B28" s="307" t="s">
        <v>218</v>
      </c>
      <c r="C28" s="310"/>
      <c r="D28" s="312">
        <f t="shared" si="8"/>
        <v>-1E-3</v>
      </c>
      <c r="E28" s="312">
        <v>-9.0999999999999998E-2</v>
      </c>
      <c r="F28" s="313">
        <f t="shared" si="7"/>
        <v>-0.98901098901098905</v>
      </c>
      <c r="G28" s="312"/>
      <c r="H28" s="312"/>
      <c r="I28" s="313"/>
      <c r="J28" s="312"/>
      <c r="K28" s="312"/>
      <c r="L28" s="313"/>
      <c r="M28" s="307"/>
      <c r="N28" s="307"/>
      <c r="O28" s="307"/>
      <c r="P28" s="307"/>
      <c r="Q28" s="307"/>
      <c r="R28" s="308"/>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07"/>
      <c r="CO28" s="307"/>
      <c r="CP28" s="307"/>
      <c r="CQ28" s="307"/>
      <c r="CR28" s="307"/>
      <c r="CS28" s="307"/>
      <c r="CT28" s="307"/>
      <c r="CU28" s="307"/>
      <c r="CV28" s="307"/>
      <c r="CW28" s="307"/>
      <c r="CX28" s="307"/>
      <c r="CY28" s="307"/>
      <c r="CZ28" s="307"/>
      <c r="DA28" s="307"/>
      <c r="DB28" s="307"/>
      <c r="DC28" s="307"/>
      <c r="DD28" s="307"/>
      <c r="DE28" s="307"/>
      <c r="DF28" s="307"/>
      <c r="DG28" s="307"/>
      <c r="DH28" s="307"/>
      <c r="DI28" s="307"/>
      <c r="DJ28" s="307"/>
      <c r="DK28" s="307"/>
      <c r="DL28" s="307"/>
      <c r="DM28" s="307"/>
      <c r="DN28" s="307"/>
      <c r="DO28" s="307"/>
      <c r="DP28" s="307"/>
      <c r="DQ28" s="307"/>
      <c r="DR28" s="307"/>
      <c r="DS28" s="307"/>
      <c r="DT28" s="307"/>
      <c r="DU28" s="307"/>
      <c r="DV28" s="307"/>
      <c r="DW28" s="307"/>
      <c r="DX28" s="307"/>
      <c r="DY28" s="307"/>
      <c r="DZ28" s="307"/>
      <c r="EA28" s="307"/>
      <c r="EB28" s="307"/>
      <c r="EC28" s="307"/>
      <c r="ED28" s="307"/>
      <c r="EE28" s="307"/>
      <c r="EF28" s="307"/>
      <c r="EG28" s="307"/>
      <c r="EH28" s="307"/>
      <c r="EI28" s="307"/>
      <c r="EJ28" s="307"/>
      <c r="EK28" s="307"/>
      <c r="EL28" s="307"/>
      <c r="EM28" s="307"/>
      <c r="EN28" s="307"/>
      <c r="EO28" s="307"/>
      <c r="EP28" s="307"/>
      <c r="EQ28" s="307"/>
      <c r="ER28" s="307"/>
      <c r="ES28" s="307"/>
      <c r="ET28" s="307"/>
      <c r="EU28" s="307"/>
      <c r="EV28" s="307"/>
      <c r="EW28" s="307"/>
      <c r="EX28" s="307"/>
      <c r="EY28" s="307"/>
      <c r="EZ28" s="307"/>
      <c r="FA28" s="307"/>
      <c r="FB28" s="307"/>
      <c r="FC28" s="307"/>
      <c r="FD28" s="307"/>
      <c r="FE28" s="307"/>
      <c r="FF28" s="307"/>
      <c r="FG28" s="307"/>
      <c r="FH28" s="307"/>
      <c r="FI28" s="307"/>
      <c r="FJ28" s="307"/>
      <c r="FK28" s="307"/>
      <c r="FL28" s="307"/>
      <c r="FM28" s="307"/>
      <c r="FN28" s="307"/>
      <c r="FO28" s="307"/>
      <c r="FP28" s="307"/>
      <c r="FQ28" s="307"/>
      <c r="FR28" s="307"/>
      <c r="FS28" s="307"/>
      <c r="FT28" s="307"/>
      <c r="FU28" s="307"/>
      <c r="FV28" s="307"/>
      <c r="FW28" s="307"/>
      <c r="FX28" s="307"/>
      <c r="FY28" s="307"/>
      <c r="FZ28" s="307"/>
      <c r="GA28" s="307"/>
      <c r="GB28" s="307"/>
      <c r="GC28" s="307"/>
      <c r="GD28" s="307"/>
      <c r="GE28" s="307"/>
      <c r="GF28" s="307"/>
      <c r="GG28" s="307"/>
      <c r="GH28" s="307"/>
      <c r="GI28" s="307"/>
      <c r="GJ28" s="307"/>
      <c r="GK28" s="307"/>
      <c r="GL28" s="307"/>
      <c r="GM28" s="307"/>
      <c r="GN28" s="307"/>
      <c r="GO28" s="307"/>
      <c r="GP28" s="307"/>
      <c r="GQ28" s="307"/>
      <c r="GR28" s="307"/>
      <c r="GS28" s="307"/>
      <c r="GT28" s="307"/>
      <c r="GU28" s="307"/>
      <c r="GV28" s="307"/>
      <c r="GW28" s="307"/>
      <c r="GX28" s="307"/>
      <c r="GY28" s="307"/>
      <c r="GZ28" s="307"/>
      <c r="HA28" s="307"/>
      <c r="HB28" s="307"/>
      <c r="HC28" s="307"/>
      <c r="HD28" s="307"/>
      <c r="HE28" s="307"/>
      <c r="HF28" s="307"/>
      <c r="HG28" s="307"/>
      <c r="HH28" s="307"/>
      <c r="HI28" s="307"/>
      <c r="HJ28" s="307"/>
      <c r="HK28" s="307"/>
      <c r="HL28" s="307"/>
      <c r="HM28" s="307"/>
      <c r="HN28" s="307"/>
      <c r="HO28" s="307"/>
      <c r="HP28" s="307"/>
      <c r="HQ28" s="307"/>
      <c r="HR28" s="307"/>
      <c r="HS28" s="307"/>
      <c r="HT28" s="307"/>
      <c r="HU28" s="307"/>
      <c r="HV28" s="307"/>
      <c r="HW28" s="307"/>
      <c r="HX28" s="307"/>
      <c r="HY28" s="307"/>
      <c r="HZ28" s="307"/>
      <c r="IA28" s="307"/>
      <c r="IB28" s="307"/>
      <c r="IC28" s="307"/>
      <c r="ID28" s="307"/>
      <c r="IE28" s="307"/>
      <c r="IF28" s="307"/>
      <c r="IG28" s="307"/>
      <c r="IH28" s="307"/>
      <c r="II28" s="307"/>
      <c r="IJ28" s="307"/>
      <c r="IK28" s="307"/>
      <c r="IL28" s="307"/>
      <c r="IM28" s="307"/>
      <c r="IN28" s="307"/>
      <c r="IO28" s="307"/>
      <c r="IP28" s="307"/>
      <c r="IQ28" s="307"/>
      <c r="IR28" s="307"/>
      <c r="IS28" s="307"/>
      <c r="IT28" s="307"/>
      <c r="IU28" s="307"/>
    </row>
    <row r="29" spans="1:255">
      <c r="A29" s="324"/>
      <c r="B29" s="307" t="s">
        <v>219</v>
      </c>
      <c r="C29" s="310"/>
      <c r="D29" s="312">
        <f t="shared" si="8"/>
        <v>-2E-3</v>
      </c>
      <c r="E29" s="321">
        <v>-0.185</v>
      </c>
      <c r="F29" s="313">
        <f t="shared" si="7"/>
        <v>-0.98918918918918919</v>
      </c>
      <c r="G29" s="312"/>
      <c r="H29" s="312"/>
      <c r="I29" s="313"/>
      <c r="J29" s="312"/>
      <c r="K29" s="312"/>
      <c r="L29" s="313"/>
      <c r="M29" s="307"/>
      <c r="N29" s="307"/>
      <c r="O29" s="307"/>
      <c r="P29" s="307"/>
      <c r="Q29" s="307"/>
      <c r="R29" s="308"/>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7"/>
      <c r="DD29" s="307"/>
      <c r="DE29" s="307"/>
      <c r="DF29" s="307"/>
      <c r="DG29" s="307"/>
      <c r="DH29" s="307"/>
      <c r="DI29" s="307"/>
      <c r="DJ29" s="307"/>
      <c r="DK29" s="307"/>
      <c r="DL29" s="307"/>
      <c r="DM29" s="307"/>
      <c r="DN29" s="307"/>
      <c r="DO29" s="307"/>
      <c r="DP29" s="307"/>
      <c r="DQ29" s="307"/>
      <c r="DR29" s="307"/>
      <c r="DS29" s="307"/>
      <c r="DT29" s="307"/>
      <c r="DU29" s="307"/>
      <c r="DV29" s="307"/>
      <c r="DW29" s="307"/>
      <c r="DX29" s="307"/>
      <c r="DY29" s="307"/>
      <c r="DZ29" s="307"/>
      <c r="EA29" s="307"/>
      <c r="EB29" s="307"/>
      <c r="EC29" s="307"/>
      <c r="ED29" s="307"/>
      <c r="EE29" s="307"/>
      <c r="EF29" s="307"/>
      <c r="EG29" s="307"/>
      <c r="EH29" s="307"/>
      <c r="EI29" s="307"/>
      <c r="EJ29" s="307"/>
      <c r="EK29" s="307"/>
      <c r="EL29" s="307"/>
      <c r="EM29" s="307"/>
      <c r="EN29" s="307"/>
      <c r="EO29" s="307"/>
      <c r="EP29" s="307"/>
      <c r="EQ29" s="307"/>
      <c r="ER29" s="307"/>
      <c r="ES29" s="307"/>
      <c r="ET29" s="307"/>
      <c r="EU29" s="307"/>
      <c r="EV29" s="307"/>
      <c r="EW29" s="307"/>
      <c r="EX29" s="307"/>
      <c r="EY29" s="307"/>
      <c r="EZ29" s="307"/>
      <c r="FA29" s="307"/>
      <c r="FB29" s="307"/>
      <c r="FC29" s="307"/>
      <c r="FD29" s="307"/>
      <c r="FE29" s="307"/>
      <c r="FF29" s="307"/>
      <c r="FG29" s="307"/>
      <c r="FH29" s="307"/>
      <c r="FI29" s="307"/>
      <c r="FJ29" s="307"/>
      <c r="FK29" s="307"/>
      <c r="FL29" s="307"/>
      <c r="FM29" s="307"/>
      <c r="FN29" s="307"/>
      <c r="FO29" s="307"/>
      <c r="FP29" s="307"/>
      <c r="FQ29" s="307"/>
      <c r="FR29" s="307"/>
      <c r="FS29" s="307"/>
      <c r="FT29" s="307"/>
      <c r="FU29" s="307"/>
      <c r="FV29" s="307"/>
      <c r="FW29" s="307"/>
      <c r="FX29" s="307"/>
      <c r="FY29" s="307"/>
      <c r="FZ29" s="307"/>
      <c r="GA29" s="307"/>
      <c r="GB29" s="307"/>
      <c r="GC29" s="307"/>
      <c r="GD29" s="307"/>
      <c r="GE29" s="307"/>
      <c r="GF29" s="307"/>
      <c r="GG29" s="307"/>
      <c r="GH29" s="307"/>
      <c r="GI29" s="307"/>
      <c r="GJ29" s="307"/>
      <c r="GK29" s="307"/>
      <c r="GL29" s="307"/>
      <c r="GM29" s="307"/>
      <c r="GN29" s="307"/>
      <c r="GO29" s="307"/>
      <c r="GP29" s="307"/>
      <c r="GQ29" s="307"/>
      <c r="GR29" s="307"/>
      <c r="GS29" s="307"/>
      <c r="GT29" s="307"/>
      <c r="GU29" s="307"/>
      <c r="GV29" s="307"/>
      <c r="GW29" s="307"/>
      <c r="GX29" s="307"/>
      <c r="GY29" s="307"/>
      <c r="GZ29" s="307"/>
      <c r="HA29" s="307"/>
      <c r="HB29" s="307"/>
      <c r="HC29" s="307"/>
      <c r="HD29" s="307"/>
      <c r="HE29" s="307"/>
      <c r="HF29" s="307"/>
      <c r="HG29" s="307"/>
      <c r="HH29" s="307"/>
      <c r="HI29" s="307"/>
      <c r="HJ29" s="307"/>
      <c r="HK29" s="307"/>
      <c r="HL29" s="307"/>
      <c r="HM29" s="307"/>
      <c r="HN29" s="307"/>
      <c r="HO29" s="307"/>
      <c r="HP29" s="307"/>
      <c r="HQ29" s="307"/>
      <c r="HR29" s="307"/>
      <c r="HS29" s="307"/>
      <c r="HT29" s="307"/>
      <c r="HU29" s="307"/>
      <c r="HV29" s="307"/>
      <c r="HW29" s="307"/>
      <c r="HX29" s="307"/>
      <c r="HY29" s="307"/>
      <c r="HZ29" s="307"/>
      <c r="IA29" s="307"/>
      <c r="IB29" s="307"/>
      <c r="IC29" s="307"/>
      <c r="ID29" s="307"/>
      <c r="IE29" s="307"/>
      <c r="IF29" s="307"/>
      <c r="IG29" s="307"/>
      <c r="IH29" s="307"/>
      <c r="II29" s="307"/>
      <c r="IJ29" s="307"/>
      <c r="IK29" s="307"/>
      <c r="IL29" s="307"/>
      <c r="IM29" s="307"/>
      <c r="IN29" s="307"/>
      <c r="IO29" s="307"/>
      <c r="IP29" s="307"/>
      <c r="IQ29" s="307"/>
      <c r="IR29" s="307"/>
      <c r="IS29" s="307"/>
      <c r="IT29" s="307"/>
      <c r="IU29" s="307"/>
    </row>
    <row r="30" spans="1:255">
      <c r="A30" s="324"/>
      <c r="B30" s="307" t="s">
        <v>220</v>
      </c>
      <c r="C30" s="310"/>
      <c r="D30" s="312">
        <f t="shared" si="8"/>
        <v>-3.0000000000000001E-3</v>
      </c>
      <c r="E30" s="321">
        <v>-0.27900000000000003</v>
      </c>
      <c r="F30" s="313">
        <f t="shared" si="7"/>
        <v>-0.989247311827957</v>
      </c>
      <c r="G30" s="312"/>
      <c r="H30" s="312"/>
      <c r="I30" s="313"/>
      <c r="J30" s="312"/>
      <c r="K30" s="312"/>
      <c r="L30" s="313"/>
      <c r="M30" s="307"/>
      <c r="N30" s="307"/>
      <c r="O30" s="307"/>
      <c r="P30" s="307"/>
      <c r="Q30" s="307"/>
      <c r="R30" s="308"/>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c r="CQ30" s="307"/>
      <c r="CR30" s="307"/>
      <c r="CS30" s="307"/>
      <c r="CT30" s="307"/>
      <c r="CU30" s="307"/>
      <c r="CV30" s="307"/>
      <c r="CW30" s="307"/>
      <c r="CX30" s="307"/>
      <c r="CY30" s="307"/>
      <c r="CZ30" s="307"/>
      <c r="DA30" s="307"/>
      <c r="DB30" s="307"/>
      <c r="DC30" s="307"/>
      <c r="DD30" s="307"/>
      <c r="DE30" s="307"/>
      <c r="DF30" s="307"/>
      <c r="DG30" s="307"/>
      <c r="DH30" s="307"/>
      <c r="DI30" s="307"/>
      <c r="DJ30" s="307"/>
      <c r="DK30" s="307"/>
      <c r="DL30" s="307"/>
      <c r="DM30" s="307"/>
      <c r="DN30" s="307"/>
      <c r="DO30" s="307"/>
      <c r="DP30" s="307"/>
      <c r="DQ30" s="307"/>
      <c r="DR30" s="307"/>
      <c r="DS30" s="307"/>
      <c r="DT30" s="307"/>
      <c r="DU30" s="307"/>
      <c r="DV30" s="307"/>
      <c r="DW30" s="307"/>
      <c r="DX30" s="307"/>
      <c r="DY30" s="307"/>
      <c r="DZ30" s="307"/>
      <c r="EA30" s="307"/>
      <c r="EB30" s="307"/>
      <c r="EC30" s="307"/>
      <c r="ED30" s="307"/>
      <c r="EE30" s="307"/>
      <c r="EF30" s="307"/>
      <c r="EG30" s="307"/>
      <c r="EH30" s="307"/>
      <c r="EI30" s="307"/>
      <c r="EJ30" s="307"/>
      <c r="EK30" s="307"/>
      <c r="EL30" s="307"/>
      <c r="EM30" s="307"/>
      <c r="EN30" s="307"/>
      <c r="EO30" s="307"/>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07"/>
      <c r="FR30" s="307"/>
      <c r="FS30" s="307"/>
      <c r="FT30" s="307"/>
      <c r="FU30" s="307"/>
      <c r="FV30" s="307"/>
      <c r="FW30" s="307"/>
      <c r="FX30" s="307"/>
      <c r="FY30" s="307"/>
      <c r="FZ30" s="307"/>
      <c r="GA30" s="307"/>
      <c r="GB30" s="307"/>
      <c r="GC30" s="307"/>
      <c r="GD30" s="307"/>
      <c r="GE30" s="307"/>
      <c r="GF30" s="307"/>
      <c r="GG30" s="307"/>
      <c r="GH30" s="307"/>
      <c r="GI30" s="307"/>
      <c r="GJ30" s="307"/>
      <c r="GK30" s="307"/>
      <c r="GL30" s="307"/>
      <c r="GM30" s="307"/>
      <c r="GN30" s="307"/>
      <c r="GO30" s="307"/>
      <c r="GP30" s="307"/>
      <c r="GQ30" s="307"/>
      <c r="GR30" s="307"/>
      <c r="GS30" s="307"/>
      <c r="GT30" s="307"/>
      <c r="GU30" s="307"/>
      <c r="GV30" s="307"/>
      <c r="GW30" s="307"/>
      <c r="GX30" s="307"/>
      <c r="GY30" s="307"/>
      <c r="GZ30" s="307"/>
      <c r="HA30" s="307"/>
      <c r="HB30" s="307"/>
      <c r="HC30" s="307"/>
      <c r="HD30" s="307"/>
      <c r="HE30" s="307"/>
      <c r="HF30" s="307"/>
      <c r="HG30" s="307"/>
      <c r="HH30" s="307"/>
      <c r="HI30" s="307"/>
      <c r="HJ30" s="307"/>
      <c r="HK30" s="307"/>
      <c r="HL30" s="307"/>
      <c r="HM30" s="307"/>
      <c r="HN30" s="307"/>
      <c r="HO30" s="307"/>
      <c r="HP30" s="307"/>
      <c r="HQ30" s="307"/>
      <c r="HR30" s="307"/>
      <c r="HS30" s="307"/>
      <c r="HT30" s="307"/>
      <c r="HU30" s="307"/>
      <c r="HV30" s="307"/>
      <c r="HW30" s="307"/>
      <c r="HX30" s="307"/>
      <c r="HY30" s="307"/>
      <c r="HZ30" s="307"/>
      <c r="IA30" s="307"/>
      <c r="IB30" s="307"/>
      <c r="IC30" s="307"/>
      <c r="ID30" s="307"/>
      <c r="IE30" s="307"/>
      <c r="IF30" s="307"/>
      <c r="IG30" s="307"/>
      <c r="IH30" s="307"/>
      <c r="II30" s="307"/>
      <c r="IJ30" s="307"/>
      <c r="IK30" s="307"/>
      <c r="IL30" s="307"/>
      <c r="IM30" s="307"/>
      <c r="IN30" s="307"/>
      <c r="IO30" s="307"/>
      <c r="IP30" s="307"/>
      <c r="IQ30" s="307"/>
      <c r="IR30" s="307"/>
      <c r="IS30" s="307"/>
      <c r="IT30" s="307"/>
      <c r="IU30" s="307"/>
    </row>
    <row r="31" spans="1:255">
      <c r="A31" s="324"/>
      <c r="B31" s="307" t="s">
        <v>221</v>
      </c>
      <c r="C31" s="310"/>
      <c r="D31" s="312">
        <f t="shared" si="8"/>
        <v>-4.0000000000000001E-3</v>
      </c>
      <c r="E31" s="321">
        <v>-0.37</v>
      </c>
      <c r="F31" s="313">
        <f t="shared" si="7"/>
        <v>-0.98918918918918919</v>
      </c>
      <c r="G31" s="312"/>
      <c r="H31" s="312"/>
      <c r="I31" s="313"/>
      <c r="J31" s="312"/>
      <c r="K31" s="312"/>
      <c r="L31" s="313"/>
      <c r="M31" s="307"/>
      <c r="N31" s="307"/>
      <c r="O31" s="307"/>
      <c r="P31" s="307"/>
      <c r="Q31" s="307"/>
      <c r="R31" s="308"/>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307"/>
      <c r="EZ31" s="307"/>
      <c r="FA31" s="307"/>
      <c r="FB31" s="307"/>
      <c r="FC31" s="307"/>
      <c r="FD31" s="307"/>
      <c r="FE31" s="307"/>
      <c r="FF31" s="307"/>
      <c r="FG31" s="307"/>
      <c r="FH31" s="307"/>
      <c r="FI31" s="307"/>
      <c r="FJ31" s="307"/>
      <c r="FK31" s="307"/>
      <c r="FL31" s="307"/>
      <c r="FM31" s="307"/>
      <c r="FN31" s="307"/>
      <c r="FO31" s="307"/>
      <c r="FP31" s="307"/>
      <c r="FQ31" s="307"/>
      <c r="FR31" s="307"/>
      <c r="FS31" s="307"/>
      <c r="FT31" s="307"/>
      <c r="FU31" s="307"/>
      <c r="FV31" s="307"/>
      <c r="FW31" s="307"/>
      <c r="FX31" s="307"/>
      <c r="FY31" s="307"/>
      <c r="FZ31" s="307"/>
      <c r="GA31" s="307"/>
      <c r="GB31" s="307"/>
      <c r="GC31" s="307"/>
      <c r="GD31" s="307"/>
      <c r="GE31" s="307"/>
      <c r="GF31" s="307"/>
      <c r="GG31" s="307"/>
      <c r="GH31" s="307"/>
      <c r="GI31" s="307"/>
      <c r="GJ31" s="307"/>
      <c r="GK31" s="307"/>
      <c r="GL31" s="307"/>
      <c r="GM31" s="307"/>
      <c r="GN31" s="307"/>
      <c r="GO31" s="307"/>
      <c r="GP31" s="307"/>
      <c r="GQ31" s="307"/>
      <c r="GR31" s="307"/>
      <c r="GS31" s="307"/>
      <c r="GT31" s="307"/>
      <c r="GU31" s="307"/>
      <c r="GV31" s="307"/>
      <c r="GW31" s="307"/>
      <c r="GX31" s="307"/>
      <c r="GY31" s="307"/>
      <c r="GZ31" s="307"/>
      <c r="HA31" s="307"/>
      <c r="HB31" s="307"/>
      <c r="HC31" s="307"/>
      <c r="HD31" s="307"/>
      <c r="HE31" s="307"/>
      <c r="HF31" s="307"/>
      <c r="HG31" s="307"/>
      <c r="HH31" s="307"/>
      <c r="HI31" s="307"/>
      <c r="HJ31" s="307"/>
      <c r="HK31" s="307"/>
      <c r="HL31" s="307"/>
      <c r="HM31" s="307"/>
      <c r="HN31" s="307"/>
      <c r="HO31" s="307"/>
      <c r="HP31" s="307"/>
      <c r="HQ31" s="307"/>
      <c r="HR31" s="307"/>
      <c r="HS31" s="307"/>
      <c r="HT31" s="307"/>
      <c r="HU31" s="307"/>
      <c r="HV31" s="307"/>
      <c r="HW31" s="307"/>
      <c r="HX31" s="307"/>
      <c r="HY31" s="307"/>
      <c r="HZ31" s="307"/>
      <c r="IA31" s="307"/>
      <c r="IB31" s="307"/>
      <c r="IC31" s="307"/>
      <c r="ID31" s="307"/>
      <c r="IE31" s="307"/>
      <c r="IF31" s="307"/>
      <c r="IG31" s="307"/>
      <c r="IH31" s="307"/>
      <c r="II31" s="307"/>
      <c r="IJ31" s="307"/>
      <c r="IK31" s="307"/>
      <c r="IL31" s="307"/>
      <c r="IM31" s="307"/>
      <c r="IN31" s="307"/>
      <c r="IO31" s="307"/>
      <c r="IP31" s="307"/>
      <c r="IQ31" s="307"/>
      <c r="IR31" s="307"/>
      <c r="IS31" s="307"/>
      <c r="IT31" s="307"/>
      <c r="IU31" s="307"/>
    </row>
    <row r="32" spans="1:255">
      <c r="A32" s="324"/>
      <c r="B32" s="307" t="s">
        <v>222</v>
      </c>
      <c r="C32" s="310"/>
      <c r="D32" s="312">
        <f t="shared" si="8"/>
        <v>-6.0000000000000001E-3</v>
      </c>
      <c r="E32" s="321">
        <v>-0.55500000000000005</v>
      </c>
      <c r="F32" s="313">
        <f t="shared" si="7"/>
        <v>-0.98918918918918919</v>
      </c>
      <c r="G32" s="312"/>
      <c r="H32" s="312"/>
      <c r="I32" s="313"/>
      <c r="J32" s="312"/>
      <c r="K32" s="312"/>
      <c r="L32" s="313"/>
      <c r="M32" s="307"/>
      <c r="N32" s="307"/>
      <c r="O32" s="307"/>
      <c r="P32" s="307"/>
      <c r="Q32" s="307"/>
      <c r="R32" s="308"/>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307"/>
      <c r="EL32" s="307"/>
      <c r="EM32" s="307"/>
      <c r="EN32" s="307"/>
      <c r="EO32" s="307"/>
      <c r="EP32" s="307"/>
      <c r="EQ32" s="307"/>
      <c r="ER32" s="307"/>
      <c r="ES32" s="307"/>
      <c r="ET32" s="307"/>
      <c r="EU32" s="307"/>
      <c r="EV32" s="307"/>
      <c r="EW32" s="307"/>
      <c r="EX32" s="307"/>
      <c r="EY32" s="307"/>
      <c r="EZ32" s="307"/>
      <c r="FA32" s="307"/>
      <c r="FB32" s="307"/>
      <c r="FC32" s="307"/>
      <c r="FD32" s="307"/>
      <c r="FE32" s="307"/>
      <c r="FF32" s="307"/>
      <c r="FG32" s="307"/>
      <c r="FH32" s="307"/>
      <c r="FI32" s="307"/>
      <c r="FJ32" s="307"/>
      <c r="FK32" s="307"/>
      <c r="FL32" s="307"/>
      <c r="FM32" s="307"/>
      <c r="FN32" s="307"/>
      <c r="FO32" s="307"/>
      <c r="FP32" s="307"/>
      <c r="FQ32" s="307"/>
      <c r="FR32" s="307"/>
      <c r="FS32" s="307"/>
      <c r="FT32" s="307"/>
      <c r="FU32" s="307"/>
      <c r="FV32" s="307"/>
      <c r="FW32" s="307"/>
      <c r="FX32" s="307"/>
      <c r="FY32" s="307"/>
      <c r="FZ32" s="307"/>
      <c r="GA32" s="307"/>
      <c r="GB32" s="307"/>
      <c r="GC32" s="307"/>
      <c r="GD32" s="307"/>
      <c r="GE32" s="307"/>
      <c r="GF32" s="307"/>
      <c r="GG32" s="307"/>
      <c r="GH32" s="307"/>
      <c r="GI32" s="307"/>
      <c r="GJ32" s="307"/>
      <c r="GK32" s="307"/>
      <c r="GL32" s="307"/>
      <c r="GM32" s="307"/>
      <c r="GN32" s="307"/>
      <c r="GO32" s="307"/>
      <c r="GP32" s="307"/>
      <c r="GQ32" s="307"/>
      <c r="GR32" s="307"/>
      <c r="GS32" s="307"/>
      <c r="GT32" s="307"/>
      <c r="GU32" s="307"/>
      <c r="GV32" s="307"/>
      <c r="GW32" s="307"/>
      <c r="GX32" s="307"/>
      <c r="GY32" s="307"/>
      <c r="GZ32" s="307"/>
      <c r="HA32" s="307"/>
      <c r="HB32" s="307"/>
      <c r="HC32" s="307"/>
      <c r="HD32" s="307"/>
      <c r="HE32" s="307"/>
      <c r="HF32" s="307"/>
      <c r="HG32" s="307"/>
      <c r="HH32" s="307"/>
      <c r="HI32" s="307"/>
      <c r="HJ32" s="307"/>
      <c r="HK32" s="307"/>
      <c r="HL32" s="307"/>
      <c r="HM32" s="307"/>
      <c r="HN32" s="307"/>
      <c r="HO32" s="307"/>
      <c r="HP32" s="307"/>
      <c r="HQ32" s="307"/>
      <c r="HR32" s="307"/>
      <c r="HS32" s="307"/>
      <c r="HT32" s="307"/>
      <c r="HU32" s="307"/>
      <c r="HV32" s="307"/>
      <c r="HW32" s="307"/>
      <c r="HX32" s="307"/>
      <c r="HY32" s="307"/>
      <c r="HZ32" s="307"/>
      <c r="IA32" s="307"/>
      <c r="IB32" s="307"/>
      <c r="IC32" s="307"/>
      <c r="ID32" s="307"/>
      <c r="IE32" s="307"/>
      <c r="IF32" s="307"/>
      <c r="IG32" s="307"/>
      <c r="IH32" s="307"/>
      <c r="II32" s="307"/>
      <c r="IJ32" s="307"/>
      <c r="IK32" s="307"/>
      <c r="IL32" s="307"/>
      <c r="IM32" s="307"/>
      <c r="IN32" s="307"/>
      <c r="IO32" s="307"/>
      <c r="IP32" s="307"/>
      <c r="IQ32" s="307"/>
      <c r="IR32" s="307"/>
      <c r="IS32" s="307"/>
      <c r="IT32" s="307"/>
      <c r="IU32" s="307"/>
    </row>
    <row r="33" spans="1:255">
      <c r="A33" s="324"/>
      <c r="B33" s="307" t="s">
        <v>223</v>
      </c>
      <c r="C33" s="310"/>
      <c r="D33" s="312">
        <f t="shared" si="8"/>
        <v>-8.0000000000000002E-3</v>
      </c>
      <c r="E33" s="321">
        <v>-0.73899999999999999</v>
      </c>
      <c r="F33" s="313">
        <f t="shared" si="7"/>
        <v>-0.98917456021650885</v>
      </c>
      <c r="G33" s="312"/>
      <c r="H33" s="312"/>
      <c r="I33" s="313"/>
      <c r="J33" s="312"/>
      <c r="K33" s="312"/>
      <c r="L33" s="313"/>
      <c r="M33" s="307"/>
      <c r="N33" s="307"/>
      <c r="O33" s="307"/>
      <c r="P33" s="307"/>
      <c r="Q33" s="307"/>
      <c r="R33" s="308"/>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7"/>
      <c r="GQ33" s="307"/>
      <c r="GR33" s="307"/>
      <c r="GS33" s="307"/>
      <c r="GT33" s="307"/>
      <c r="GU33" s="307"/>
      <c r="GV33" s="307"/>
      <c r="GW33" s="307"/>
      <c r="GX33" s="307"/>
      <c r="GY33" s="307"/>
      <c r="GZ33" s="307"/>
      <c r="HA33" s="307"/>
      <c r="HB33" s="307"/>
      <c r="HC33" s="307"/>
      <c r="HD33" s="307"/>
      <c r="HE33" s="307"/>
      <c r="HF33" s="307"/>
      <c r="HG33" s="307"/>
      <c r="HH33" s="307"/>
      <c r="HI33" s="307"/>
      <c r="HJ33" s="307"/>
      <c r="HK33" s="307"/>
      <c r="HL33" s="307"/>
      <c r="HM33" s="307"/>
      <c r="HN33" s="307"/>
      <c r="HO33" s="307"/>
      <c r="HP33" s="307"/>
      <c r="HQ33" s="307"/>
      <c r="HR33" s="307"/>
      <c r="HS33" s="307"/>
      <c r="HT33" s="307"/>
      <c r="HU33" s="307"/>
      <c r="HV33" s="307"/>
      <c r="HW33" s="307"/>
      <c r="HX33" s="307"/>
      <c r="HY33" s="307"/>
      <c r="HZ33" s="307"/>
      <c r="IA33" s="307"/>
      <c r="IB33" s="307"/>
      <c r="IC33" s="307"/>
      <c r="ID33" s="307"/>
      <c r="IE33" s="307"/>
      <c r="IF33" s="307"/>
      <c r="IG33" s="307"/>
      <c r="IH33" s="307"/>
      <c r="II33" s="307"/>
      <c r="IJ33" s="307"/>
      <c r="IK33" s="307"/>
      <c r="IL33" s="307"/>
      <c r="IM33" s="307"/>
      <c r="IN33" s="307"/>
      <c r="IO33" s="307"/>
      <c r="IP33" s="307"/>
      <c r="IQ33" s="307"/>
      <c r="IR33" s="307"/>
      <c r="IS33" s="307"/>
      <c r="IT33" s="307"/>
      <c r="IU33" s="307"/>
    </row>
    <row r="34" spans="1:255">
      <c r="A34" s="324"/>
      <c r="B34" s="307" t="s">
        <v>224</v>
      </c>
      <c r="C34" s="310"/>
      <c r="D34" s="312">
        <f t="shared" si="8"/>
        <v>-1.2E-2</v>
      </c>
      <c r="E34" s="321">
        <v>-1.109</v>
      </c>
      <c r="F34" s="313">
        <f t="shared" si="7"/>
        <v>-0.98917944093778176</v>
      </c>
      <c r="G34" s="312"/>
      <c r="H34" s="312"/>
      <c r="I34" s="313"/>
      <c r="J34" s="312"/>
      <c r="K34" s="312"/>
      <c r="L34" s="313"/>
      <c r="M34" s="307"/>
      <c r="N34" s="307"/>
      <c r="O34" s="307"/>
      <c r="P34" s="307"/>
      <c r="Q34" s="307"/>
      <c r="R34" s="308"/>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c r="EN34" s="307"/>
      <c r="EO34" s="307"/>
      <c r="EP34" s="307"/>
      <c r="EQ34" s="307"/>
      <c r="ER34" s="307"/>
      <c r="ES34" s="307"/>
      <c r="ET34" s="307"/>
      <c r="EU34" s="307"/>
      <c r="EV34" s="307"/>
      <c r="EW34" s="307"/>
      <c r="EX34" s="307"/>
      <c r="EY34" s="307"/>
      <c r="EZ34" s="307"/>
      <c r="FA34" s="307"/>
      <c r="FB34" s="307"/>
      <c r="FC34" s="307"/>
      <c r="FD34" s="307"/>
      <c r="FE34" s="307"/>
      <c r="FF34" s="307"/>
      <c r="FG34" s="307"/>
      <c r="FH34" s="307"/>
      <c r="FI34" s="307"/>
      <c r="FJ34" s="307"/>
      <c r="FK34" s="307"/>
      <c r="FL34" s="307"/>
      <c r="FM34" s="307"/>
      <c r="FN34" s="307"/>
      <c r="FO34" s="307"/>
      <c r="FP34" s="307"/>
      <c r="FQ34" s="307"/>
      <c r="FR34" s="307"/>
      <c r="FS34" s="307"/>
      <c r="FT34" s="307"/>
      <c r="FU34" s="307"/>
      <c r="FV34" s="307"/>
      <c r="FW34" s="307"/>
      <c r="FX34" s="307"/>
      <c r="FY34" s="307"/>
      <c r="FZ34" s="307"/>
      <c r="GA34" s="307"/>
      <c r="GB34" s="307"/>
      <c r="GC34" s="307"/>
      <c r="GD34" s="307"/>
      <c r="GE34" s="307"/>
      <c r="GF34" s="307"/>
      <c r="GG34" s="307"/>
      <c r="GH34" s="307"/>
      <c r="GI34" s="307"/>
      <c r="GJ34" s="307"/>
      <c r="GK34" s="307"/>
      <c r="GL34" s="307"/>
      <c r="GM34" s="307"/>
      <c r="GN34" s="307"/>
      <c r="GO34" s="307"/>
      <c r="GP34" s="307"/>
      <c r="GQ34" s="307"/>
      <c r="GR34" s="307"/>
      <c r="GS34" s="307"/>
      <c r="GT34" s="307"/>
      <c r="GU34" s="307"/>
      <c r="GV34" s="307"/>
      <c r="GW34" s="307"/>
      <c r="GX34" s="307"/>
      <c r="GY34" s="307"/>
      <c r="GZ34" s="307"/>
      <c r="HA34" s="307"/>
      <c r="HB34" s="307"/>
      <c r="HC34" s="307"/>
      <c r="HD34" s="307"/>
      <c r="HE34" s="307"/>
      <c r="HF34" s="307"/>
      <c r="HG34" s="307"/>
      <c r="HH34" s="307"/>
      <c r="HI34" s="307"/>
      <c r="HJ34" s="307"/>
      <c r="HK34" s="307"/>
      <c r="HL34" s="307"/>
      <c r="HM34" s="307"/>
      <c r="HN34" s="307"/>
      <c r="HO34" s="307"/>
      <c r="HP34" s="307"/>
      <c r="HQ34" s="307"/>
      <c r="HR34" s="307"/>
      <c r="HS34" s="307"/>
      <c r="HT34" s="307"/>
      <c r="HU34" s="307"/>
      <c r="HV34" s="307"/>
      <c r="HW34" s="307"/>
      <c r="HX34" s="307"/>
      <c r="HY34" s="307"/>
      <c r="HZ34" s="307"/>
      <c r="IA34" s="307"/>
      <c r="IB34" s="307"/>
      <c r="IC34" s="307"/>
      <c r="ID34" s="307"/>
      <c r="IE34" s="307"/>
      <c r="IF34" s="307"/>
      <c r="IG34" s="307"/>
      <c r="IH34" s="307"/>
      <c r="II34" s="307"/>
      <c r="IJ34" s="307"/>
      <c r="IK34" s="307"/>
      <c r="IL34" s="307"/>
      <c r="IM34" s="307"/>
      <c r="IN34" s="307"/>
      <c r="IO34" s="307"/>
      <c r="IP34" s="307"/>
      <c r="IQ34" s="307"/>
      <c r="IR34" s="307"/>
      <c r="IS34" s="307"/>
      <c r="IT34" s="307"/>
      <c r="IU34" s="307"/>
    </row>
    <row r="35" spans="1:255">
      <c r="A35" s="324"/>
      <c r="B35" s="307" t="s">
        <v>225</v>
      </c>
      <c r="C35" s="310"/>
      <c r="D35" s="312">
        <f t="shared" si="8"/>
        <v>-1.7000000000000001E-2</v>
      </c>
      <c r="E35" s="321">
        <v>-1.4790000000000001</v>
      </c>
      <c r="F35" s="313">
        <f t="shared" si="7"/>
        <v>-0.9885057471264368</v>
      </c>
      <c r="G35" s="312"/>
      <c r="H35" s="312"/>
      <c r="I35" s="313"/>
      <c r="J35" s="312"/>
      <c r="K35" s="312"/>
      <c r="L35" s="313"/>
      <c r="M35" s="307"/>
      <c r="N35" s="307"/>
      <c r="O35" s="307"/>
      <c r="P35" s="307"/>
      <c r="Q35" s="307"/>
      <c r="R35" s="308"/>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7"/>
      <c r="GA35" s="307"/>
      <c r="GB35" s="307"/>
      <c r="GC35" s="307"/>
      <c r="GD35" s="307"/>
      <c r="GE35" s="307"/>
      <c r="GF35" s="307"/>
      <c r="GG35" s="307"/>
      <c r="GH35" s="307"/>
      <c r="GI35" s="307"/>
      <c r="GJ35" s="307"/>
      <c r="GK35" s="307"/>
      <c r="GL35" s="307"/>
      <c r="GM35" s="307"/>
      <c r="GN35" s="307"/>
      <c r="GO35" s="307"/>
      <c r="GP35" s="307"/>
      <c r="GQ35" s="307"/>
      <c r="GR35" s="307"/>
      <c r="GS35" s="307"/>
      <c r="GT35" s="307"/>
      <c r="GU35" s="307"/>
      <c r="GV35" s="307"/>
      <c r="GW35" s="307"/>
      <c r="GX35" s="307"/>
      <c r="GY35" s="307"/>
      <c r="GZ35" s="307"/>
      <c r="HA35" s="307"/>
      <c r="HB35" s="307"/>
      <c r="HC35" s="307"/>
      <c r="HD35" s="307"/>
      <c r="HE35" s="307"/>
      <c r="HF35" s="307"/>
      <c r="HG35" s="307"/>
      <c r="HH35" s="307"/>
      <c r="HI35" s="307"/>
      <c r="HJ35" s="307"/>
      <c r="HK35" s="307"/>
      <c r="HL35" s="307"/>
      <c r="HM35" s="307"/>
      <c r="HN35" s="307"/>
      <c r="HO35" s="307"/>
      <c r="HP35" s="307"/>
      <c r="HQ35" s="307"/>
      <c r="HR35" s="307"/>
      <c r="HS35" s="307"/>
      <c r="HT35" s="307"/>
      <c r="HU35" s="307"/>
      <c r="HV35" s="307"/>
      <c r="HW35" s="307"/>
      <c r="HX35" s="307"/>
      <c r="HY35" s="307"/>
      <c r="HZ35" s="307"/>
      <c r="IA35" s="307"/>
      <c r="IB35" s="307"/>
      <c r="IC35" s="307"/>
      <c r="ID35" s="307"/>
      <c r="IE35" s="307"/>
      <c r="IF35" s="307"/>
      <c r="IG35" s="307"/>
      <c r="IH35" s="307"/>
      <c r="II35" s="307"/>
      <c r="IJ35" s="307"/>
      <c r="IK35" s="307"/>
      <c r="IL35" s="307"/>
      <c r="IM35" s="307"/>
      <c r="IN35" s="307"/>
      <c r="IO35" s="307"/>
      <c r="IP35" s="307"/>
      <c r="IQ35" s="307"/>
      <c r="IR35" s="307"/>
      <c r="IS35" s="307"/>
      <c r="IT35" s="307"/>
      <c r="IU35" s="307"/>
    </row>
    <row r="36" spans="1:255">
      <c r="A36" s="324"/>
      <c r="B36" s="307"/>
      <c r="C36" s="310"/>
      <c r="D36" s="320"/>
      <c r="E36" s="312"/>
      <c r="F36" s="320"/>
      <c r="G36" s="312"/>
      <c r="H36" s="321"/>
      <c r="I36" s="313"/>
      <c r="J36" s="312"/>
      <c r="K36" s="321"/>
      <c r="L36" s="313"/>
      <c r="M36" s="307"/>
      <c r="N36" s="307"/>
      <c r="O36" s="307"/>
      <c r="P36" s="307"/>
      <c r="Q36" s="307"/>
      <c r="R36" s="308"/>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307"/>
      <c r="CK36" s="307"/>
      <c r="CL36" s="307"/>
      <c r="CM36" s="307"/>
      <c r="CN36" s="307"/>
      <c r="CO36" s="307"/>
      <c r="CP36" s="307"/>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307"/>
      <c r="EL36" s="307"/>
      <c r="EM36" s="307"/>
      <c r="EN36" s="307"/>
      <c r="EO36" s="307"/>
      <c r="EP36" s="307"/>
      <c r="EQ36" s="307"/>
      <c r="ER36" s="307"/>
      <c r="ES36" s="307"/>
      <c r="ET36" s="307"/>
      <c r="EU36" s="307"/>
      <c r="EV36" s="307"/>
      <c r="EW36" s="307"/>
      <c r="EX36" s="307"/>
      <c r="EY36" s="307"/>
      <c r="EZ36" s="307"/>
      <c r="FA36" s="307"/>
      <c r="FB36" s="307"/>
      <c r="FC36" s="307"/>
      <c r="FD36" s="307"/>
      <c r="FE36" s="307"/>
      <c r="FF36" s="307"/>
      <c r="FG36" s="307"/>
      <c r="FH36" s="307"/>
      <c r="FI36" s="307"/>
      <c r="FJ36" s="307"/>
      <c r="FK36" s="307"/>
      <c r="FL36" s="307"/>
      <c r="FM36" s="307"/>
      <c r="FN36" s="307"/>
      <c r="FO36" s="307"/>
      <c r="FP36" s="307"/>
      <c r="FQ36" s="307"/>
      <c r="FR36" s="307"/>
      <c r="FS36" s="307"/>
      <c r="FT36" s="307"/>
      <c r="FU36" s="307"/>
      <c r="FV36" s="307"/>
      <c r="FW36" s="307"/>
      <c r="FX36" s="307"/>
      <c r="FY36" s="307"/>
      <c r="FZ36" s="307"/>
      <c r="GA36" s="307"/>
      <c r="GB36" s="307"/>
      <c r="GC36" s="307"/>
      <c r="GD36" s="307"/>
      <c r="GE36" s="307"/>
      <c r="GF36" s="307"/>
      <c r="GG36" s="307"/>
      <c r="GH36" s="307"/>
      <c r="GI36" s="307"/>
      <c r="GJ36" s="307"/>
      <c r="GK36" s="307"/>
      <c r="GL36" s="307"/>
      <c r="GM36" s="307"/>
      <c r="GN36" s="307"/>
      <c r="GO36" s="307"/>
      <c r="GP36" s="307"/>
      <c r="GQ36" s="307"/>
      <c r="GR36" s="307"/>
      <c r="GS36" s="307"/>
      <c r="GT36" s="307"/>
      <c r="GU36" s="307"/>
      <c r="GV36" s="307"/>
      <c r="GW36" s="307"/>
      <c r="GX36" s="307"/>
      <c r="GY36" s="307"/>
      <c r="GZ36" s="307"/>
      <c r="HA36" s="307"/>
      <c r="HB36" s="307"/>
      <c r="HC36" s="307"/>
      <c r="HD36" s="307"/>
      <c r="HE36" s="307"/>
      <c r="HF36" s="307"/>
      <c r="HG36" s="307"/>
      <c r="HH36" s="307"/>
      <c r="HI36" s="307"/>
      <c r="HJ36" s="307"/>
      <c r="HK36" s="307"/>
      <c r="HL36" s="307"/>
      <c r="HM36" s="307"/>
      <c r="HN36" s="307"/>
      <c r="HO36" s="307"/>
      <c r="HP36" s="307"/>
      <c r="HQ36" s="307"/>
      <c r="HR36" s="307"/>
      <c r="HS36" s="307"/>
      <c r="HT36" s="307"/>
      <c r="HU36" s="307"/>
      <c r="HV36" s="307"/>
      <c r="HW36" s="307"/>
      <c r="HX36" s="307"/>
      <c r="HY36" s="307"/>
      <c r="HZ36" s="307"/>
      <c r="IA36" s="307"/>
      <c r="IB36" s="307"/>
      <c r="IC36" s="307"/>
      <c r="ID36" s="307"/>
      <c r="IE36" s="307"/>
      <c r="IF36" s="307"/>
      <c r="IG36" s="307"/>
      <c r="IH36" s="307"/>
      <c r="II36" s="307"/>
      <c r="IJ36" s="307"/>
      <c r="IK36" s="307"/>
      <c r="IL36" s="307"/>
      <c r="IM36" s="307"/>
      <c r="IN36" s="307"/>
      <c r="IO36" s="307"/>
      <c r="IP36" s="307"/>
      <c r="IQ36" s="307"/>
      <c r="IR36" s="307"/>
      <c r="IS36" s="307"/>
      <c r="IT36" s="307"/>
      <c r="IU36" s="307"/>
    </row>
    <row r="37" spans="1:255" ht="15.75">
      <c r="A37" s="319" t="s">
        <v>227</v>
      </c>
      <c r="B37" s="307"/>
      <c r="C37" s="310"/>
      <c r="D37" s="320"/>
      <c r="E37" s="312"/>
      <c r="F37" s="320"/>
      <c r="G37" s="312"/>
      <c r="H37" s="321"/>
      <c r="I37" s="313"/>
      <c r="J37" s="312"/>
      <c r="K37" s="321"/>
      <c r="L37" s="313"/>
      <c r="M37" s="307"/>
      <c r="N37" s="307"/>
      <c r="O37" s="307"/>
      <c r="P37" s="307"/>
      <c r="Q37" s="307"/>
      <c r="R37" s="308"/>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c r="CQ37" s="307"/>
      <c r="CR37" s="307"/>
      <c r="CS37" s="307"/>
      <c r="CT37" s="307"/>
      <c r="CU37" s="307"/>
      <c r="CV37" s="307"/>
      <c r="CW37" s="307"/>
      <c r="CX37" s="307"/>
      <c r="CY37" s="307"/>
      <c r="CZ37" s="307"/>
      <c r="DA37" s="307"/>
      <c r="DB37" s="307"/>
      <c r="DC37" s="307"/>
      <c r="DD37" s="307"/>
      <c r="DE37" s="307"/>
      <c r="DF37" s="307"/>
      <c r="DG37" s="307"/>
      <c r="DH37" s="307"/>
      <c r="DI37" s="307"/>
      <c r="DJ37" s="307"/>
      <c r="DK37" s="307"/>
      <c r="DL37" s="307"/>
      <c r="DM37" s="307"/>
      <c r="DN37" s="307"/>
      <c r="DO37" s="307"/>
      <c r="DP37" s="307"/>
      <c r="DQ37" s="307"/>
      <c r="DR37" s="307"/>
      <c r="DS37" s="307"/>
      <c r="DT37" s="307"/>
      <c r="DU37" s="307"/>
      <c r="DV37" s="307"/>
      <c r="DW37" s="307"/>
      <c r="DX37" s="307"/>
      <c r="DY37" s="307"/>
      <c r="DZ37" s="307"/>
      <c r="EA37" s="307"/>
      <c r="EB37" s="307"/>
      <c r="EC37" s="307"/>
      <c r="ED37" s="307"/>
      <c r="EE37" s="307"/>
      <c r="EF37" s="307"/>
      <c r="EG37" s="307"/>
      <c r="EH37" s="307"/>
      <c r="EI37" s="307"/>
      <c r="EJ37" s="307"/>
      <c r="EK37" s="307"/>
      <c r="EL37" s="307"/>
      <c r="EM37" s="307"/>
      <c r="EN37" s="307"/>
      <c r="EO37" s="307"/>
      <c r="EP37" s="307"/>
      <c r="EQ37" s="307"/>
      <c r="ER37" s="307"/>
      <c r="ES37" s="307"/>
      <c r="ET37" s="307"/>
      <c r="EU37" s="307"/>
      <c r="EV37" s="307"/>
      <c r="EW37" s="307"/>
      <c r="EX37" s="307"/>
      <c r="EY37" s="307"/>
      <c r="EZ37" s="307"/>
      <c r="FA37" s="307"/>
      <c r="FB37" s="307"/>
      <c r="FC37" s="307"/>
      <c r="FD37" s="307"/>
      <c r="FE37" s="307"/>
      <c r="FF37" s="307"/>
      <c r="FG37" s="307"/>
      <c r="FH37" s="307"/>
      <c r="FI37" s="307"/>
      <c r="FJ37" s="307"/>
      <c r="FK37" s="307"/>
      <c r="FL37" s="307"/>
      <c r="FM37" s="307"/>
      <c r="FN37" s="307"/>
      <c r="FO37" s="307"/>
      <c r="FP37" s="307"/>
      <c r="FQ37" s="307"/>
      <c r="FR37" s="307"/>
      <c r="FS37" s="307"/>
      <c r="FT37" s="307"/>
      <c r="FU37" s="307"/>
      <c r="FV37" s="307"/>
      <c r="FW37" s="307"/>
      <c r="FX37" s="307"/>
      <c r="FY37" s="307"/>
      <c r="FZ37" s="307"/>
      <c r="GA37" s="307"/>
      <c r="GB37" s="307"/>
      <c r="GC37" s="307"/>
      <c r="GD37" s="307"/>
      <c r="GE37" s="307"/>
      <c r="GF37" s="307"/>
      <c r="GG37" s="307"/>
      <c r="GH37" s="307"/>
      <c r="GI37" s="307"/>
      <c r="GJ37" s="307"/>
      <c r="GK37" s="307"/>
      <c r="GL37" s="307"/>
      <c r="GM37" s="307"/>
      <c r="GN37" s="307"/>
      <c r="GO37" s="307"/>
      <c r="GP37" s="307"/>
      <c r="GQ37" s="307"/>
      <c r="GR37" s="307"/>
      <c r="GS37" s="307"/>
      <c r="GT37" s="307"/>
      <c r="GU37" s="307"/>
      <c r="GV37" s="307"/>
      <c r="GW37" s="307"/>
      <c r="GX37" s="307"/>
      <c r="GY37" s="307"/>
      <c r="GZ37" s="307"/>
      <c r="HA37" s="307"/>
      <c r="HB37" s="307"/>
      <c r="HC37" s="307"/>
      <c r="HD37" s="307"/>
      <c r="HE37" s="307"/>
      <c r="HF37" s="307"/>
      <c r="HG37" s="307"/>
      <c r="HH37" s="307"/>
      <c r="HI37" s="307"/>
      <c r="HJ37" s="307"/>
      <c r="HK37" s="307"/>
      <c r="HL37" s="307"/>
      <c r="HM37" s="307"/>
      <c r="HN37" s="307"/>
      <c r="HO37" s="307"/>
      <c r="HP37" s="307"/>
      <c r="HQ37" s="307"/>
      <c r="HR37" s="307"/>
      <c r="HS37" s="307"/>
      <c r="HT37" s="307"/>
      <c r="HU37" s="307"/>
      <c r="HV37" s="307"/>
      <c r="HW37" s="307"/>
      <c r="HX37" s="307"/>
      <c r="HY37" s="307"/>
      <c r="HZ37" s="307"/>
      <c r="IA37" s="307"/>
      <c r="IB37" s="307"/>
      <c r="IC37" s="307"/>
      <c r="ID37" s="307"/>
      <c r="IE37" s="307"/>
      <c r="IF37" s="307"/>
      <c r="IG37" s="307"/>
      <c r="IH37" s="307"/>
      <c r="II37" s="307"/>
      <c r="IJ37" s="307"/>
      <c r="IK37" s="307"/>
      <c r="IL37" s="307"/>
      <c r="IM37" s="307"/>
      <c r="IN37" s="307"/>
      <c r="IO37" s="307"/>
      <c r="IP37" s="307"/>
      <c r="IQ37" s="307"/>
      <c r="IR37" s="307"/>
      <c r="IS37" s="307"/>
      <c r="IT37" s="307"/>
      <c r="IU37" s="307"/>
    </row>
    <row r="38" spans="1:255">
      <c r="A38" s="324"/>
      <c r="B38" s="307" t="s">
        <v>228</v>
      </c>
      <c r="C38" s="310"/>
      <c r="D38" s="320"/>
      <c r="E38" s="312"/>
      <c r="F38" s="320"/>
      <c r="G38" s="312">
        <f t="shared" ref="G38:G39" si="9">ROUND(+H38*(1+$I$6),2)</f>
        <v>0.01</v>
      </c>
      <c r="H38" s="321">
        <v>-0.03</v>
      </c>
      <c r="I38" s="313">
        <f>-1+G38/H38</f>
        <v>-1.3333333333333335</v>
      </c>
      <c r="J38" s="312">
        <f>ROUND(+K38*(1+$L$6),2)</f>
        <v>0.01</v>
      </c>
      <c r="K38" s="312">
        <v>-0.03</v>
      </c>
      <c r="L38" s="313">
        <f>-1+J38/K38</f>
        <v>-1.3333333333333335</v>
      </c>
      <c r="M38" s="307"/>
      <c r="N38" s="307"/>
      <c r="O38" s="307"/>
      <c r="P38" s="307"/>
      <c r="Q38" s="307"/>
      <c r="R38" s="308"/>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c r="CQ38" s="307"/>
      <c r="CR38" s="307"/>
      <c r="CS38" s="307"/>
      <c r="CT38" s="307"/>
      <c r="CU38" s="307"/>
      <c r="CV38" s="307"/>
      <c r="CW38" s="307"/>
      <c r="CX38" s="307"/>
      <c r="CY38" s="307"/>
      <c r="CZ38" s="307"/>
      <c r="DA38" s="307"/>
      <c r="DB38" s="307"/>
      <c r="DC38" s="307"/>
      <c r="DD38" s="307"/>
      <c r="DE38" s="307"/>
      <c r="DF38" s="307"/>
      <c r="DG38" s="307"/>
      <c r="DH38" s="307"/>
      <c r="DI38" s="307"/>
      <c r="DJ38" s="307"/>
      <c r="DK38" s="307"/>
      <c r="DL38" s="307"/>
      <c r="DM38" s="307"/>
      <c r="DN38" s="307"/>
      <c r="DO38" s="307"/>
      <c r="DP38" s="307"/>
      <c r="DQ38" s="307"/>
      <c r="DR38" s="307"/>
      <c r="DS38" s="307"/>
      <c r="DT38" s="307"/>
      <c r="DU38" s="307"/>
      <c r="DV38" s="307"/>
      <c r="DW38" s="307"/>
      <c r="DX38" s="307"/>
      <c r="DY38" s="307"/>
      <c r="DZ38" s="307"/>
      <c r="EA38" s="307"/>
      <c r="EB38" s="307"/>
      <c r="EC38" s="307"/>
      <c r="ED38" s="307"/>
      <c r="EE38" s="307"/>
      <c r="EF38" s="307"/>
      <c r="EG38" s="307"/>
      <c r="EH38" s="307"/>
      <c r="EI38" s="307"/>
      <c r="EJ38" s="307"/>
      <c r="EK38" s="307"/>
      <c r="EL38" s="307"/>
      <c r="EM38" s="307"/>
      <c r="EN38" s="307"/>
      <c r="EO38" s="307"/>
      <c r="EP38" s="307"/>
      <c r="EQ38" s="307"/>
      <c r="ER38" s="307"/>
      <c r="ES38" s="307"/>
      <c r="ET38" s="307"/>
      <c r="EU38" s="307"/>
      <c r="EV38" s="307"/>
      <c r="EW38" s="307"/>
      <c r="EX38" s="307"/>
      <c r="EY38" s="307"/>
      <c r="EZ38" s="307"/>
      <c r="FA38" s="307"/>
      <c r="FB38" s="307"/>
      <c r="FC38" s="307"/>
      <c r="FD38" s="307"/>
      <c r="FE38" s="307"/>
      <c r="FF38" s="307"/>
      <c r="FG38" s="307"/>
      <c r="FH38" s="307"/>
      <c r="FI38" s="307"/>
      <c r="FJ38" s="307"/>
      <c r="FK38" s="307"/>
      <c r="FL38" s="307"/>
      <c r="FM38" s="307"/>
      <c r="FN38" s="307"/>
      <c r="FO38" s="307"/>
      <c r="FP38" s="307"/>
      <c r="FQ38" s="307"/>
      <c r="FR38" s="307"/>
      <c r="FS38" s="307"/>
      <c r="FT38" s="307"/>
      <c r="FU38" s="307"/>
      <c r="FV38" s="307"/>
      <c r="FW38" s="307"/>
      <c r="FX38" s="307"/>
      <c r="FY38" s="307"/>
      <c r="FZ38" s="307"/>
      <c r="GA38" s="307"/>
      <c r="GB38" s="307"/>
      <c r="GC38" s="307"/>
      <c r="GD38" s="307"/>
      <c r="GE38" s="307"/>
      <c r="GF38" s="307"/>
      <c r="GG38" s="307"/>
      <c r="GH38" s="307"/>
      <c r="GI38" s="307"/>
      <c r="GJ38" s="307"/>
      <c r="GK38" s="307"/>
      <c r="GL38" s="307"/>
      <c r="GM38" s="307"/>
      <c r="GN38" s="307"/>
      <c r="GO38" s="307"/>
      <c r="GP38" s="307"/>
      <c r="GQ38" s="307"/>
      <c r="GR38" s="307"/>
      <c r="GS38" s="307"/>
      <c r="GT38" s="307"/>
      <c r="GU38" s="307"/>
      <c r="GV38" s="307"/>
      <c r="GW38" s="307"/>
      <c r="GX38" s="307"/>
      <c r="GY38" s="307"/>
      <c r="GZ38" s="307"/>
      <c r="HA38" s="307"/>
      <c r="HB38" s="307"/>
      <c r="HC38" s="307"/>
      <c r="HD38" s="307"/>
      <c r="HE38" s="307"/>
      <c r="HF38" s="307"/>
      <c r="HG38" s="307"/>
      <c r="HH38" s="307"/>
      <c r="HI38" s="307"/>
      <c r="HJ38" s="307"/>
      <c r="HK38" s="307"/>
      <c r="HL38" s="307"/>
      <c r="HM38" s="307"/>
      <c r="HN38" s="307"/>
      <c r="HO38" s="307"/>
      <c r="HP38" s="307"/>
      <c r="HQ38" s="307"/>
      <c r="HR38" s="307"/>
      <c r="HS38" s="307"/>
      <c r="HT38" s="307"/>
      <c r="HU38" s="307"/>
      <c r="HV38" s="307"/>
      <c r="HW38" s="307"/>
      <c r="HX38" s="307"/>
      <c r="HY38" s="307"/>
      <c r="HZ38" s="307"/>
      <c r="IA38" s="307"/>
      <c r="IB38" s="307"/>
      <c r="IC38" s="307"/>
      <c r="ID38" s="307"/>
      <c r="IE38" s="307"/>
      <c r="IF38" s="307"/>
      <c r="IG38" s="307"/>
      <c r="IH38" s="307"/>
      <c r="II38" s="307"/>
      <c r="IJ38" s="307"/>
      <c r="IK38" s="307"/>
      <c r="IL38" s="307"/>
      <c r="IM38" s="307"/>
      <c r="IN38" s="307"/>
      <c r="IO38" s="307"/>
      <c r="IP38" s="307"/>
      <c r="IQ38" s="307"/>
      <c r="IR38" s="307"/>
      <c r="IS38" s="307"/>
      <c r="IT38" s="307"/>
      <c r="IU38" s="307"/>
    </row>
    <row r="39" spans="1:255">
      <c r="A39" s="324"/>
      <c r="B39" s="307" t="s">
        <v>229</v>
      </c>
      <c r="C39" s="310"/>
      <c r="D39" s="320"/>
      <c r="E39" s="312"/>
      <c r="F39" s="320"/>
      <c r="G39" s="312">
        <f t="shared" si="9"/>
        <v>0.01</v>
      </c>
      <c r="H39" s="321">
        <v>-0.03</v>
      </c>
      <c r="I39" s="313">
        <f>-1+G39/H39</f>
        <v>-1.3333333333333335</v>
      </c>
      <c r="J39" s="312">
        <f>ROUND(+K39*(1+$L$6),2)</f>
        <v>0.01</v>
      </c>
      <c r="K39" s="312">
        <v>-0.03</v>
      </c>
      <c r="L39" s="313">
        <f>-1+J39/K39</f>
        <v>-1.3333333333333335</v>
      </c>
      <c r="M39" s="307"/>
      <c r="N39" s="307"/>
      <c r="O39" s="307"/>
      <c r="P39" s="307"/>
      <c r="Q39" s="307"/>
      <c r="R39" s="308"/>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7"/>
      <c r="DQ39" s="307"/>
      <c r="DR39" s="307"/>
      <c r="DS39" s="307"/>
      <c r="DT39" s="307"/>
      <c r="DU39" s="307"/>
      <c r="DV39" s="307"/>
      <c r="DW39" s="307"/>
      <c r="DX39" s="307"/>
      <c r="DY39" s="307"/>
      <c r="DZ39" s="307"/>
      <c r="EA39" s="307"/>
      <c r="EB39" s="307"/>
      <c r="EC39" s="307"/>
      <c r="ED39" s="307"/>
      <c r="EE39" s="307"/>
      <c r="EF39" s="307"/>
      <c r="EG39" s="307"/>
      <c r="EH39" s="307"/>
      <c r="EI39" s="307"/>
      <c r="EJ39" s="307"/>
      <c r="EK39" s="307"/>
      <c r="EL39" s="307"/>
      <c r="EM39" s="307"/>
      <c r="EN39" s="307"/>
      <c r="EO39" s="307"/>
      <c r="EP39" s="307"/>
      <c r="EQ39" s="307"/>
      <c r="ER39" s="307"/>
      <c r="ES39" s="307"/>
      <c r="ET39" s="307"/>
      <c r="EU39" s="307"/>
      <c r="EV39" s="307"/>
      <c r="EW39" s="307"/>
      <c r="EX39" s="307"/>
      <c r="EY39" s="307"/>
      <c r="EZ39" s="307"/>
      <c r="FA39" s="307"/>
      <c r="FB39" s="307"/>
      <c r="FC39" s="307"/>
      <c r="FD39" s="307"/>
      <c r="FE39" s="307"/>
      <c r="FF39" s="307"/>
      <c r="FG39" s="307"/>
      <c r="FH39" s="307"/>
      <c r="FI39" s="307"/>
      <c r="FJ39" s="307"/>
      <c r="FK39" s="307"/>
      <c r="FL39" s="307"/>
      <c r="FM39" s="307"/>
      <c r="FN39" s="307"/>
      <c r="FO39" s="307"/>
      <c r="FP39" s="307"/>
      <c r="FQ39" s="307"/>
      <c r="FR39" s="307"/>
      <c r="FS39" s="307"/>
      <c r="FT39" s="307"/>
      <c r="FU39" s="307"/>
      <c r="FV39" s="307"/>
      <c r="FW39" s="307"/>
      <c r="FX39" s="307"/>
      <c r="FY39" s="307"/>
      <c r="FZ39" s="307"/>
      <c r="GA39" s="307"/>
      <c r="GB39" s="307"/>
      <c r="GC39" s="307"/>
      <c r="GD39" s="307"/>
      <c r="GE39" s="307"/>
      <c r="GF39" s="307"/>
      <c r="GG39" s="307"/>
      <c r="GH39" s="307"/>
      <c r="GI39" s="307"/>
      <c r="GJ39" s="307"/>
      <c r="GK39" s="307"/>
      <c r="GL39" s="307"/>
      <c r="GM39" s="307"/>
      <c r="GN39" s="307"/>
      <c r="GO39" s="307"/>
      <c r="GP39" s="307"/>
      <c r="GQ39" s="307"/>
      <c r="GR39" s="307"/>
      <c r="GS39" s="307"/>
      <c r="GT39" s="307"/>
      <c r="GU39" s="307"/>
      <c r="GV39" s="307"/>
      <c r="GW39" s="307"/>
      <c r="GX39" s="307"/>
      <c r="GY39" s="307"/>
      <c r="GZ39" s="307"/>
      <c r="HA39" s="307"/>
      <c r="HB39" s="307"/>
      <c r="HC39" s="307"/>
      <c r="HD39" s="307"/>
      <c r="HE39" s="307"/>
      <c r="HF39" s="307"/>
      <c r="HG39" s="307"/>
      <c r="HH39" s="307"/>
      <c r="HI39" s="307"/>
      <c r="HJ39" s="307"/>
      <c r="HK39" s="307"/>
      <c r="HL39" s="307"/>
      <c r="HM39" s="307"/>
      <c r="HN39" s="307"/>
      <c r="HO39" s="307"/>
      <c r="HP39" s="307"/>
      <c r="HQ39" s="307"/>
      <c r="HR39" s="307"/>
      <c r="HS39" s="307"/>
      <c r="HT39" s="307"/>
      <c r="HU39" s="307"/>
      <c r="HV39" s="307"/>
      <c r="HW39" s="307"/>
      <c r="HX39" s="307"/>
      <c r="HY39" s="307"/>
      <c r="HZ39" s="307"/>
      <c r="IA39" s="307"/>
      <c r="IB39" s="307"/>
      <c r="IC39" s="307"/>
      <c r="ID39" s="307"/>
      <c r="IE39" s="307"/>
      <c r="IF39" s="307"/>
      <c r="IG39" s="307"/>
      <c r="IH39" s="307"/>
      <c r="II39" s="307"/>
      <c r="IJ39" s="307"/>
      <c r="IK39" s="307"/>
      <c r="IL39" s="307"/>
      <c r="IM39" s="307"/>
      <c r="IN39" s="307"/>
      <c r="IO39" s="307"/>
      <c r="IP39" s="307"/>
      <c r="IQ39" s="307"/>
      <c r="IR39" s="307"/>
      <c r="IS39" s="307"/>
      <c r="IT39" s="307"/>
      <c r="IU39" s="307"/>
    </row>
    <row r="40" spans="1:255">
      <c r="A40" s="324"/>
      <c r="B40" s="307"/>
      <c r="C40" s="310"/>
      <c r="D40" s="320"/>
      <c r="E40" s="312"/>
      <c r="F40" s="320"/>
      <c r="G40" s="312"/>
      <c r="H40" s="312"/>
      <c r="I40" s="313"/>
      <c r="J40" s="312"/>
      <c r="K40" s="328"/>
      <c r="L40" s="313"/>
      <c r="M40" s="307"/>
      <c r="N40" s="307"/>
      <c r="O40" s="307"/>
      <c r="P40" s="307"/>
      <c r="Q40" s="307"/>
      <c r="R40" s="308"/>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c r="DH40" s="307"/>
      <c r="DI40" s="307"/>
      <c r="DJ40" s="307"/>
      <c r="DK40" s="307"/>
      <c r="DL40" s="307"/>
      <c r="DM40" s="307"/>
      <c r="DN40" s="307"/>
      <c r="DO40" s="307"/>
      <c r="DP40" s="307"/>
      <c r="DQ40" s="307"/>
      <c r="DR40" s="307"/>
      <c r="DS40" s="307"/>
      <c r="DT40" s="307"/>
      <c r="DU40" s="307"/>
      <c r="DV40" s="307"/>
      <c r="DW40" s="307"/>
      <c r="DX40" s="307"/>
      <c r="DY40" s="307"/>
      <c r="DZ40" s="307"/>
      <c r="EA40" s="307"/>
      <c r="EB40" s="307"/>
      <c r="EC40" s="307"/>
      <c r="ED40" s="307"/>
      <c r="EE40" s="307"/>
      <c r="EF40" s="307"/>
      <c r="EG40" s="307"/>
      <c r="EH40" s="307"/>
      <c r="EI40" s="307"/>
      <c r="EJ40" s="307"/>
      <c r="EK40" s="307"/>
      <c r="EL40" s="307"/>
      <c r="EM40" s="307"/>
      <c r="EN40" s="307"/>
      <c r="EO40" s="307"/>
      <c r="EP40" s="307"/>
      <c r="EQ40" s="307"/>
      <c r="ER40" s="307"/>
      <c r="ES40" s="307"/>
      <c r="ET40" s="307"/>
      <c r="EU40" s="307"/>
      <c r="EV40" s="307"/>
      <c r="EW40" s="307"/>
      <c r="EX40" s="307"/>
      <c r="EY40" s="307"/>
      <c r="EZ40" s="307"/>
      <c r="FA40" s="307"/>
      <c r="FB40" s="307"/>
      <c r="FC40" s="307"/>
      <c r="FD40" s="307"/>
      <c r="FE40" s="307"/>
      <c r="FF40" s="307"/>
      <c r="FG40" s="307"/>
      <c r="FH40" s="307"/>
      <c r="FI40" s="307"/>
      <c r="FJ40" s="307"/>
      <c r="FK40" s="307"/>
      <c r="FL40" s="307"/>
      <c r="FM40" s="307"/>
      <c r="FN40" s="307"/>
      <c r="FO40" s="307"/>
      <c r="FP40" s="307"/>
      <c r="FQ40" s="307"/>
      <c r="FR40" s="307"/>
      <c r="FS40" s="307"/>
      <c r="FT40" s="307"/>
      <c r="FU40" s="307"/>
      <c r="FV40" s="307"/>
      <c r="FW40" s="307"/>
      <c r="FX40" s="307"/>
      <c r="FY40" s="307"/>
      <c r="FZ40" s="307"/>
      <c r="GA40" s="307"/>
      <c r="GB40" s="307"/>
      <c r="GC40" s="307"/>
      <c r="GD40" s="307"/>
      <c r="GE40" s="307"/>
      <c r="GF40" s="307"/>
      <c r="GG40" s="307"/>
      <c r="GH40" s="307"/>
      <c r="GI40" s="307"/>
      <c r="GJ40" s="307"/>
      <c r="GK40" s="307"/>
      <c r="GL40" s="307"/>
      <c r="GM40" s="307"/>
      <c r="GN40" s="307"/>
      <c r="GO40" s="307"/>
      <c r="GP40" s="307"/>
      <c r="GQ40" s="307"/>
      <c r="GR40" s="307"/>
      <c r="GS40" s="307"/>
      <c r="GT40" s="307"/>
      <c r="GU40" s="307"/>
      <c r="GV40" s="307"/>
      <c r="GW40" s="307"/>
      <c r="GX40" s="307"/>
      <c r="GY40" s="307"/>
      <c r="GZ40" s="307"/>
      <c r="HA40" s="307"/>
      <c r="HB40" s="307"/>
      <c r="HC40" s="307"/>
      <c r="HD40" s="307"/>
      <c r="HE40" s="307"/>
      <c r="HF40" s="307"/>
      <c r="HG40" s="307"/>
      <c r="HH40" s="307"/>
      <c r="HI40" s="307"/>
      <c r="HJ40" s="307"/>
      <c r="HK40" s="307"/>
      <c r="HL40" s="307"/>
      <c r="HM40" s="307"/>
      <c r="HN40" s="307"/>
      <c r="HO40" s="307"/>
      <c r="HP40" s="307"/>
      <c r="HQ40" s="307"/>
      <c r="HR40" s="307"/>
      <c r="HS40" s="307"/>
      <c r="HT40" s="307"/>
      <c r="HU40" s="307"/>
      <c r="HV40" s="307"/>
      <c r="HW40" s="307"/>
      <c r="HX40" s="307"/>
      <c r="HY40" s="307"/>
      <c r="HZ40" s="307"/>
      <c r="IA40" s="307"/>
      <c r="IB40" s="307"/>
      <c r="IC40" s="307"/>
      <c r="ID40" s="307"/>
      <c r="IE40" s="307"/>
      <c r="IF40" s="307"/>
      <c r="IG40" s="307"/>
      <c r="IH40" s="307"/>
      <c r="II40" s="307"/>
      <c r="IJ40" s="307"/>
      <c r="IK40" s="307"/>
      <c r="IL40" s="307"/>
      <c r="IM40" s="307"/>
      <c r="IN40" s="307"/>
      <c r="IO40" s="307"/>
      <c r="IP40" s="307"/>
      <c r="IQ40" s="307"/>
      <c r="IR40" s="307"/>
      <c r="IS40" s="307"/>
      <c r="IT40" s="307"/>
      <c r="IU40" s="307"/>
    </row>
    <row r="41" spans="1:255">
      <c r="A41" s="324"/>
      <c r="B41" s="307" t="s">
        <v>217</v>
      </c>
      <c r="C41" s="310"/>
      <c r="D41" s="312">
        <f t="shared" ref="D41" si="10">+ROUND(E41*(1+$F$6),3)</f>
        <v>3.1E-2</v>
      </c>
      <c r="E41" s="321">
        <v>-8.7999999999999995E-2</v>
      </c>
      <c r="F41" s="313">
        <f t="shared" ref="F41:F49" si="11">-1+D41/E41</f>
        <v>-1.3522727272727273</v>
      </c>
      <c r="G41" s="312"/>
      <c r="H41" s="312"/>
      <c r="I41" s="313"/>
      <c r="J41" s="312"/>
      <c r="K41" s="328"/>
      <c r="L41" s="313"/>
      <c r="M41" s="307"/>
      <c r="N41" s="307"/>
      <c r="O41" s="307"/>
      <c r="P41" s="307"/>
      <c r="Q41" s="307"/>
      <c r="R41" s="308"/>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c r="DH41" s="307"/>
      <c r="DI41" s="307"/>
      <c r="DJ41" s="307"/>
      <c r="DK41" s="307"/>
      <c r="DL41" s="307"/>
      <c r="DM41" s="307"/>
      <c r="DN41" s="307"/>
      <c r="DO41" s="307"/>
      <c r="DP41" s="307"/>
      <c r="DQ41" s="307"/>
      <c r="DR41" s="307"/>
      <c r="DS41" s="307"/>
      <c r="DT41" s="307"/>
      <c r="DU41" s="307"/>
      <c r="DV41" s="307"/>
      <c r="DW41" s="307"/>
      <c r="DX41" s="307"/>
      <c r="DY41" s="307"/>
      <c r="DZ41" s="307"/>
      <c r="EA41" s="307"/>
      <c r="EB41" s="307"/>
      <c r="EC41" s="307"/>
      <c r="ED41" s="307"/>
      <c r="EE41" s="307"/>
      <c r="EF41" s="307"/>
      <c r="EG41" s="307"/>
      <c r="EH41" s="307"/>
      <c r="EI41" s="307"/>
      <c r="EJ41" s="307"/>
      <c r="EK41" s="307"/>
      <c r="EL41" s="307"/>
      <c r="EM41" s="307"/>
      <c r="EN41" s="307"/>
      <c r="EO41" s="307"/>
      <c r="EP41" s="307"/>
      <c r="EQ41" s="307"/>
      <c r="ER41" s="307"/>
      <c r="ES41" s="307"/>
      <c r="ET41" s="307"/>
      <c r="EU41" s="307"/>
      <c r="EV41" s="307"/>
      <c r="EW41" s="307"/>
      <c r="EX41" s="307"/>
      <c r="EY41" s="307"/>
      <c r="EZ41" s="307"/>
      <c r="FA41" s="307"/>
      <c r="FB41" s="307"/>
      <c r="FC41" s="307"/>
      <c r="FD41" s="307"/>
      <c r="FE41" s="307"/>
      <c r="FF41" s="307"/>
      <c r="FG41" s="307"/>
      <c r="FH41" s="307"/>
      <c r="FI41" s="307"/>
      <c r="FJ41" s="307"/>
      <c r="FK41" s="307"/>
      <c r="FL41" s="307"/>
      <c r="FM41" s="307"/>
      <c r="FN41" s="307"/>
      <c r="FO41" s="307"/>
      <c r="FP41" s="307"/>
      <c r="FQ41" s="307"/>
      <c r="FR41" s="307"/>
      <c r="FS41" s="307"/>
      <c r="FT41" s="307"/>
      <c r="FU41" s="307"/>
      <c r="FV41" s="307"/>
      <c r="FW41" s="307"/>
      <c r="FX41" s="307"/>
      <c r="FY41" s="307"/>
      <c r="FZ41" s="307"/>
      <c r="GA41" s="307"/>
      <c r="GB41" s="307"/>
      <c r="GC41" s="307"/>
      <c r="GD41" s="307"/>
      <c r="GE41" s="307"/>
      <c r="GF41" s="307"/>
      <c r="GG41" s="307"/>
      <c r="GH41" s="307"/>
      <c r="GI41" s="307"/>
      <c r="GJ41" s="307"/>
      <c r="GK41" s="307"/>
      <c r="GL41" s="307"/>
      <c r="GM41" s="307"/>
      <c r="GN41" s="307"/>
      <c r="GO41" s="307"/>
      <c r="GP41" s="307"/>
      <c r="GQ41" s="307"/>
      <c r="GR41" s="307"/>
      <c r="GS41" s="307"/>
      <c r="GT41" s="307"/>
      <c r="GU41" s="307"/>
      <c r="GV41" s="307"/>
      <c r="GW41" s="307"/>
      <c r="GX41" s="307"/>
      <c r="GY41" s="307"/>
      <c r="GZ41" s="307"/>
      <c r="HA41" s="307"/>
      <c r="HB41" s="307"/>
      <c r="HC41" s="307"/>
      <c r="HD41" s="307"/>
      <c r="HE41" s="307"/>
      <c r="HF41" s="307"/>
      <c r="HG41" s="307"/>
      <c r="HH41" s="307"/>
      <c r="HI41" s="307"/>
      <c r="HJ41" s="307"/>
      <c r="HK41" s="307"/>
      <c r="HL41" s="307"/>
      <c r="HM41" s="307"/>
      <c r="HN41" s="307"/>
      <c r="HO41" s="307"/>
      <c r="HP41" s="307"/>
      <c r="HQ41" s="307"/>
      <c r="HR41" s="307"/>
      <c r="HS41" s="307"/>
      <c r="HT41" s="307"/>
      <c r="HU41" s="307"/>
      <c r="HV41" s="307"/>
      <c r="HW41" s="307"/>
      <c r="HX41" s="307"/>
      <c r="HY41" s="307"/>
      <c r="HZ41" s="307"/>
      <c r="IA41" s="307"/>
      <c r="IB41" s="307"/>
      <c r="IC41" s="307"/>
      <c r="ID41" s="307"/>
      <c r="IE41" s="307"/>
      <c r="IF41" s="307"/>
      <c r="IG41" s="307"/>
      <c r="IH41" s="307"/>
      <c r="II41" s="307"/>
      <c r="IJ41" s="307"/>
      <c r="IK41" s="307"/>
      <c r="IL41" s="307"/>
      <c r="IM41" s="307"/>
      <c r="IN41" s="307"/>
      <c r="IO41" s="307"/>
      <c r="IP41" s="307"/>
      <c r="IQ41" s="307"/>
      <c r="IR41" s="307"/>
      <c r="IS41" s="307"/>
      <c r="IT41" s="307"/>
      <c r="IU41" s="307"/>
    </row>
    <row r="42" spans="1:255">
      <c r="A42" s="324"/>
      <c r="B42" s="307" t="s">
        <v>218</v>
      </c>
      <c r="C42" s="310"/>
      <c r="D42" s="327">
        <f t="shared" ref="D42:D49" si="12">ROUND(+E42+E42*F$6,3)</f>
        <v>4.8000000000000001E-2</v>
      </c>
      <c r="E42" s="321">
        <v>-0.13700000000000001</v>
      </c>
      <c r="F42" s="313">
        <f t="shared" si="11"/>
        <v>-1.3503649635036497</v>
      </c>
      <c r="G42" s="312"/>
      <c r="H42" s="312"/>
      <c r="I42" s="313"/>
      <c r="J42" s="312"/>
      <c r="K42" s="328"/>
      <c r="L42" s="313"/>
      <c r="M42" s="307"/>
      <c r="N42" s="307"/>
      <c r="O42" s="307"/>
      <c r="P42" s="307"/>
      <c r="Q42" s="307"/>
      <c r="R42" s="308"/>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c r="CB42" s="307"/>
      <c r="CC42" s="307"/>
      <c r="CD42" s="307"/>
      <c r="CE42" s="307"/>
      <c r="CF42" s="307"/>
      <c r="CG42" s="307"/>
      <c r="CH42" s="307"/>
      <c r="CI42" s="307"/>
      <c r="CJ42" s="307"/>
      <c r="CK42" s="307"/>
      <c r="CL42" s="307"/>
      <c r="CM42" s="307"/>
      <c r="CN42" s="307"/>
      <c r="CO42" s="307"/>
      <c r="CP42" s="307"/>
      <c r="CQ42" s="307"/>
      <c r="CR42" s="307"/>
      <c r="CS42" s="307"/>
      <c r="CT42" s="307"/>
      <c r="CU42" s="307"/>
      <c r="CV42" s="307"/>
      <c r="CW42" s="307"/>
      <c r="CX42" s="307"/>
      <c r="CY42" s="307"/>
      <c r="CZ42" s="307"/>
      <c r="DA42" s="307"/>
      <c r="DB42" s="307"/>
      <c r="DC42" s="307"/>
      <c r="DD42" s="307"/>
      <c r="DE42" s="307"/>
      <c r="DF42" s="307"/>
      <c r="DG42" s="307"/>
      <c r="DH42" s="307"/>
      <c r="DI42" s="307"/>
      <c r="DJ42" s="307"/>
      <c r="DK42" s="307"/>
      <c r="DL42" s="307"/>
      <c r="DM42" s="307"/>
      <c r="DN42" s="307"/>
      <c r="DO42" s="307"/>
      <c r="DP42" s="307"/>
      <c r="DQ42" s="307"/>
      <c r="DR42" s="307"/>
      <c r="DS42" s="307"/>
      <c r="DT42" s="307"/>
      <c r="DU42" s="307"/>
      <c r="DV42" s="307"/>
      <c r="DW42" s="307"/>
      <c r="DX42" s="307"/>
      <c r="DY42" s="307"/>
      <c r="DZ42" s="307"/>
      <c r="EA42" s="307"/>
      <c r="EB42" s="307"/>
      <c r="EC42" s="307"/>
      <c r="ED42" s="307"/>
      <c r="EE42" s="307"/>
      <c r="EF42" s="307"/>
      <c r="EG42" s="307"/>
      <c r="EH42" s="307"/>
      <c r="EI42" s="307"/>
      <c r="EJ42" s="307"/>
      <c r="EK42" s="307"/>
      <c r="EL42" s="307"/>
      <c r="EM42" s="307"/>
      <c r="EN42" s="307"/>
      <c r="EO42" s="307"/>
      <c r="EP42" s="307"/>
      <c r="EQ42" s="307"/>
      <c r="ER42" s="307"/>
      <c r="ES42" s="307"/>
      <c r="ET42" s="307"/>
      <c r="EU42" s="307"/>
      <c r="EV42" s="307"/>
      <c r="EW42" s="307"/>
      <c r="EX42" s="307"/>
      <c r="EY42" s="307"/>
      <c r="EZ42" s="307"/>
      <c r="FA42" s="307"/>
      <c r="FB42" s="307"/>
      <c r="FC42" s="307"/>
      <c r="FD42" s="307"/>
      <c r="FE42" s="307"/>
      <c r="FF42" s="307"/>
      <c r="FG42" s="307"/>
      <c r="FH42" s="307"/>
      <c r="FI42" s="307"/>
      <c r="FJ42" s="307"/>
      <c r="FK42" s="307"/>
      <c r="FL42" s="307"/>
      <c r="FM42" s="307"/>
      <c r="FN42" s="307"/>
      <c r="FO42" s="307"/>
      <c r="FP42" s="307"/>
      <c r="FQ42" s="307"/>
      <c r="FR42" s="307"/>
      <c r="FS42" s="307"/>
      <c r="FT42" s="307"/>
      <c r="FU42" s="307"/>
      <c r="FV42" s="307"/>
      <c r="FW42" s="307"/>
      <c r="FX42" s="307"/>
      <c r="FY42" s="307"/>
      <c r="FZ42" s="307"/>
      <c r="GA42" s="307"/>
      <c r="GB42" s="307"/>
      <c r="GC42" s="307"/>
      <c r="GD42" s="307"/>
      <c r="GE42" s="307"/>
      <c r="GF42" s="307"/>
      <c r="GG42" s="307"/>
      <c r="GH42" s="307"/>
      <c r="GI42" s="307"/>
      <c r="GJ42" s="307"/>
      <c r="GK42" s="307"/>
      <c r="GL42" s="307"/>
      <c r="GM42" s="307"/>
      <c r="GN42" s="307"/>
      <c r="GO42" s="307"/>
      <c r="GP42" s="307"/>
      <c r="GQ42" s="307"/>
      <c r="GR42" s="307"/>
      <c r="GS42" s="307"/>
      <c r="GT42" s="307"/>
      <c r="GU42" s="307"/>
      <c r="GV42" s="307"/>
      <c r="GW42" s="307"/>
      <c r="GX42" s="307"/>
      <c r="GY42" s="307"/>
      <c r="GZ42" s="307"/>
      <c r="HA42" s="307"/>
      <c r="HB42" s="307"/>
      <c r="HC42" s="307"/>
      <c r="HD42" s="307"/>
      <c r="HE42" s="307"/>
      <c r="HF42" s="307"/>
      <c r="HG42" s="307"/>
      <c r="HH42" s="307"/>
      <c r="HI42" s="307"/>
      <c r="HJ42" s="307"/>
      <c r="HK42" s="307"/>
      <c r="HL42" s="307"/>
      <c r="HM42" s="307"/>
      <c r="HN42" s="307"/>
      <c r="HO42" s="307"/>
      <c r="HP42" s="307"/>
      <c r="HQ42" s="307"/>
      <c r="HR42" s="307"/>
      <c r="HS42" s="307"/>
      <c r="HT42" s="307"/>
      <c r="HU42" s="307"/>
      <c r="HV42" s="307"/>
      <c r="HW42" s="307"/>
      <c r="HX42" s="307"/>
      <c r="HY42" s="307"/>
      <c r="HZ42" s="307"/>
      <c r="IA42" s="307"/>
      <c r="IB42" s="307"/>
      <c r="IC42" s="307"/>
      <c r="ID42" s="307"/>
      <c r="IE42" s="307"/>
      <c r="IF42" s="307"/>
      <c r="IG42" s="307"/>
      <c r="IH42" s="307"/>
      <c r="II42" s="307"/>
      <c r="IJ42" s="307"/>
      <c r="IK42" s="307"/>
      <c r="IL42" s="307"/>
      <c r="IM42" s="307"/>
      <c r="IN42" s="307"/>
      <c r="IO42" s="307"/>
      <c r="IP42" s="307"/>
      <c r="IQ42" s="307"/>
      <c r="IR42" s="307"/>
      <c r="IS42" s="307"/>
      <c r="IT42" s="307"/>
      <c r="IU42" s="307"/>
    </row>
    <row r="43" spans="1:255">
      <c r="A43" s="324"/>
      <c r="B43" s="307" t="s">
        <v>219</v>
      </c>
      <c r="C43" s="310"/>
      <c r="D43" s="327">
        <f t="shared" si="12"/>
        <v>9.5000000000000001E-2</v>
      </c>
      <c r="E43" s="321">
        <v>-0.27</v>
      </c>
      <c r="F43" s="313">
        <f t="shared" si="11"/>
        <v>-1.3518518518518519</v>
      </c>
      <c r="G43" s="312"/>
      <c r="H43" s="312"/>
      <c r="I43" s="313"/>
      <c r="J43" s="312"/>
      <c r="K43" s="312"/>
      <c r="L43" s="313"/>
      <c r="M43" s="307"/>
      <c r="N43" s="307"/>
      <c r="O43" s="307"/>
      <c r="P43" s="307"/>
      <c r="Q43" s="307"/>
      <c r="R43" s="308"/>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c r="CB43" s="307"/>
      <c r="CC43" s="307"/>
      <c r="CD43" s="307"/>
      <c r="CE43" s="307"/>
      <c r="CF43" s="307"/>
      <c r="CG43" s="307"/>
      <c r="CH43" s="307"/>
      <c r="CI43" s="307"/>
      <c r="CJ43" s="307"/>
      <c r="CK43" s="307"/>
      <c r="CL43" s="307"/>
      <c r="CM43" s="307"/>
      <c r="CN43" s="307"/>
      <c r="CO43" s="307"/>
      <c r="CP43" s="307"/>
      <c r="CQ43" s="307"/>
      <c r="CR43" s="307"/>
      <c r="CS43" s="307"/>
      <c r="CT43" s="307"/>
      <c r="CU43" s="307"/>
      <c r="CV43" s="307"/>
      <c r="CW43" s="307"/>
      <c r="CX43" s="307"/>
      <c r="CY43" s="307"/>
      <c r="CZ43" s="307"/>
      <c r="DA43" s="307"/>
      <c r="DB43" s="307"/>
      <c r="DC43" s="307"/>
      <c r="DD43" s="307"/>
      <c r="DE43" s="307"/>
      <c r="DF43" s="307"/>
      <c r="DG43" s="307"/>
      <c r="DH43" s="307"/>
      <c r="DI43" s="307"/>
      <c r="DJ43" s="307"/>
      <c r="DK43" s="307"/>
      <c r="DL43" s="307"/>
      <c r="DM43" s="307"/>
      <c r="DN43" s="307"/>
      <c r="DO43" s="307"/>
      <c r="DP43" s="307"/>
      <c r="DQ43" s="307"/>
      <c r="DR43" s="307"/>
      <c r="DS43" s="307"/>
      <c r="DT43" s="307"/>
      <c r="DU43" s="307"/>
      <c r="DV43" s="307"/>
      <c r="DW43" s="307"/>
      <c r="DX43" s="307"/>
      <c r="DY43" s="307"/>
      <c r="DZ43" s="307"/>
      <c r="EA43" s="307"/>
      <c r="EB43" s="307"/>
      <c r="EC43" s="307"/>
      <c r="ED43" s="307"/>
      <c r="EE43" s="307"/>
      <c r="EF43" s="307"/>
      <c r="EG43" s="307"/>
      <c r="EH43" s="307"/>
      <c r="EI43" s="307"/>
      <c r="EJ43" s="307"/>
      <c r="EK43" s="307"/>
      <c r="EL43" s="307"/>
      <c r="EM43" s="307"/>
      <c r="EN43" s="307"/>
      <c r="EO43" s="307"/>
      <c r="EP43" s="307"/>
      <c r="EQ43" s="307"/>
      <c r="ER43" s="307"/>
      <c r="ES43" s="307"/>
      <c r="ET43" s="307"/>
      <c r="EU43" s="307"/>
      <c r="EV43" s="307"/>
      <c r="EW43" s="307"/>
      <c r="EX43" s="307"/>
      <c r="EY43" s="307"/>
      <c r="EZ43" s="307"/>
      <c r="FA43" s="307"/>
      <c r="FB43" s="307"/>
      <c r="FC43" s="307"/>
      <c r="FD43" s="307"/>
      <c r="FE43" s="307"/>
      <c r="FF43" s="307"/>
      <c r="FG43" s="307"/>
      <c r="FH43" s="307"/>
      <c r="FI43" s="307"/>
      <c r="FJ43" s="307"/>
      <c r="FK43" s="307"/>
      <c r="FL43" s="307"/>
      <c r="FM43" s="307"/>
      <c r="FN43" s="307"/>
      <c r="FO43" s="307"/>
      <c r="FP43" s="307"/>
      <c r="FQ43" s="307"/>
      <c r="FR43" s="307"/>
      <c r="FS43" s="307"/>
      <c r="FT43" s="307"/>
      <c r="FU43" s="307"/>
      <c r="FV43" s="307"/>
      <c r="FW43" s="307"/>
      <c r="FX43" s="307"/>
      <c r="FY43" s="307"/>
      <c r="FZ43" s="307"/>
      <c r="GA43" s="307"/>
      <c r="GB43" s="307"/>
      <c r="GC43" s="307"/>
      <c r="GD43" s="307"/>
      <c r="GE43" s="307"/>
      <c r="GF43" s="307"/>
      <c r="GG43" s="307"/>
      <c r="GH43" s="307"/>
      <c r="GI43" s="307"/>
      <c r="GJ43" s="307"/>
      <c r="GK43" s="307"/>
      <c r="GL43" s="307"/>
      <c r="GM43" s="307"/>
      <c r="GN43" s="307"/>
      <c r="GO43" s="307"/>
      <c r="GP43" s="307"/>
      <c r="GQ43" s="307"/>
      <c r="GR43" s="307"/>
      <c r="GS43" s="307"/>
      <c r="GT43" s="307"/>
      <c r="GU43" s="307"/>
      <c r="GV43" s="307"/>
      <c r="GW43" s="307"/>
      <c r="GX43" s="307"/>
      <c r="GY43" s="307"/>
      <c r="GZ43" s="307"/>
      <c r="HA43" s="307"/>
      <c r="HB43" s="307"/>
      <c r="HC43" s="307"/>
      <c r="HD43" s="307"/>
      <c r="HE43" s="307"/>
      <c r="HF43" s="307"/>
      <c r="HG43" s="307"/>
      <c r="HH43" s="307"/>
      <c r="HI43" s="307"/>
      <c r="HJ43" s="307"/>
      <c r="HK43" s="307"/>
      <c r="HL43" s="307"/>
      <c r="HM43" s="307"/>
      <c r="HN43" s="307"/>
      <c r="HO43" s="307"/>
      <c r="HP43" s="307"/>
      <c r="HQ43" s="307"/>
      <c r="HR43" s="307"/>
      <c r="HS43" s="307"/>
      <c r="HT43" s="307"/>
      <c r="HU43" s="307"/>
      <c r="HV43" s="307"/>
      <c r="HW43" s="307"/>
      <c r="HX43" s="307"/>
      <c r="HY43" s="307"/>
      <c r="HZ43" s="307"/>
      <c r="IA43" s="307"/>
      <c r="IB43" s="307"/>
      <c r="IC43" s="307"/>
      <c r="ID43" s="307"/>
      <c r="IE43" s="307"/>
      <c r="IF43" s="307"/>
      <c r="IG43" s="307"/>
      <c r="IH43" s="307"/>
      <c r="II43" s="307"/>
      <c r="IJ43" s="307"/>
      <c r="IK43" s="307"/>
      <c r="IL43" s="307"/>
      <c r="IM43" s="307"/>
      <c r="IN43" s="307"/>
      <c r="IO43" s="307"/>
      <c r="IP43" s="307"/>
      <c r="IQ43" s="307"/>
      <c r="IR43" s="307"/>
      <c r="IS43" s="307"/>
      <c r="IT43" s="307"/>
      <c r="IU43" s="307"/>
    </row>
    <row r="44" spans="1:255">
      <c r="A44" s="324"/>
      <c r="B44" s="307" t="s">
        <v>220</v>
      </c>
      <c r="C44" s="310"/>
      <c r="D44" s="327">
        <f t="shared" si="12"/>
        <v>0.112</v>
      </c>
      <c r="E44" s="321">
        <v>-0.31900000000000001</v>
      </c>
      <c r="F44" s="313">
        <f t="shared" si="11"/>
        <v>-1.3510971786833856</v>
      </c>
      <c r="G44" s="312"/>
      <c r="H44" s="312"/>
      <c r="I44" s="313"/>
      <c r="J44" s="312"/>
      <c r="K44" s="312"/>
      <c r="L44" s="313"/>
      <c r="M44" s="307"/>
      <c r="N44" s="307"/>
      <c r="O44" s="307"/>
      <c r="P44" s="307"/>
      <c r="Q44" s="307"/>
      <c r="R44" s="308"/>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7"/>
      <c r="EN44" s="307"/>
      <c r="EO44" s="307"/>
      <c r="EP44" s="307"/>
      <c r="EQ44" s="307"/>
      <c r="ER44" s="307"/>
      <c r="ES44" s="307"/>
      <c r="ET44" s="307"/>
      <c r="EU44" s="307"/>
      <c r="EV44" s="307"/>
      <c r="EW44" s="307"/>
      <c r="EX44" s="307"/>
      <c r="EY44" s="307"/>
      <c r="EZ44" s="307"/>
      <c r="FA44" s="307"/>
      <c r="FB44" s="307"/>
      <c r="FC44" s="307"/>
      <c r="FD44" s="307"/>
      <c r="FE44" s="307"/>
      <c r="FF44" s="307"/>
      <c r="FG44" s="307"/>
      <c r="FH44" s="307"/>
      <c r="FI44" s="307"/>
      <c r="FJ44" s="307"/>
      <c r="FK44" s="307"/>
      <c r="FL44" s="307"/>
      <c r="FM44" s="307"/>
      <c r="FN44" s="307"/>
      <c r="FO44" s="307"/>
      <c r="FP44" s="307"/>
      <c r="FQ44" s="307"/>
      <c r="FR44" s="307"/>
      <c r="FS44" s="307"/>
      <c r="FT44" s="307"/>
      <c r="FU44" s="307"/>
      <c r="FV44" s="307"/>
      <c r="FW44" s="307"/>
      <c r="FX44" s="307"/>
      <c r="FY44" s="307"/>
      <c r="FZ44" s="307"/>
      <c r="GA44" s="307"/>
      <c r="GB44" s="307"/>
      <c r="GC44" s="307"/>
      <c r="GD44" s="307"/>
      <c r="GE44" s="307"/>
      <c r="GF44" s="307"/>
      <c r="GG44" s="307"/>
      <c r="GH44" s="307"/>
      <c r="GI44" s="307"/>
      <c r="GJ44" s="307"/>
      <c r="GK44" s="307"/>
      <c r="GL44" s="307"/>
      <c r="GM44" s="307"/>
      <c r="GN44" s="307"/>
      <c r="GO44" s="307"/>
      <c r="GP44" s="307"/>
      <c r="GQ44" s="307"/>
      <c r="GR44" s="307"/>
      <c r="GS44" s="307"/>
      <c r="GT44" s="307"/>
      <c r="GU44" s="307"/>
      <c r="GV44" s="307"/>
      <c r="GW44" s="307"/>
      <c r="GX44" s="307"/>
      <c r="GY44" s="307"/>
      <c r="GZ44" s="307"/>
      <c r="HA44" s="307"/>
      <c r="HB44" s="307"/>
      <c r="HC44" s="307"/>
      <c r="HD44" s="307"/>
      <c r="HE44" s="307"/>
      <c r="HF44" s="307"/>
      <c r="HG44" s="307"/>
      <c r="HH44" s="307"/>
      <c r="HI44" s="307"/>
      <c r="HJ44" s="307"/>
      <c r="HK44" s="307"/>
      <c r="HL44" s="307"/>
      <c r="HM44" s="307"/>
      <c r="HN44" s="307"/>
      <c r="HO44" s="307"/>
      <c r="HP44" s="307"/>
      <c r="HQ44" s="307"/>
      <c r="HR44" s="307"/>
      <c r="HS44" s="307"/>
      <c r="HT44" s="307"/>
      <c r="HU44" s="307"/>
      <c r="HV44" s="307"/>
      <c r="HW44" s="307"/>
      <c r="HX44" s="307"/>
      <c r="HY44" s="307"/>
      <c r="HZ44" s="307"/>
      <c r="IA44" s="307"/>
      <c r="IB44" s="307"/>
      <c r="IC44" s="307"/>
      <c r="ID44" s="307"/>
      <c r="IE44" s="307"/>
      <c r="IF44" s="307"/>
      <c r="IG44" s="307"/>
      <c r="IH44" s="307"/>
      <c r="II44" s="307"/>
      <c r="IJ44" s="307"/>
      <c r="IK44" s="307"/>
      <c r="IL44" s="307"/>
      <c r="IM44" s="307"/>
      <c r="IN44" s="307"/>
      <c r="IO44" s="307"/>
      <c r="IP44" s="307"/>
      <c r="IQ44" s="307"/>
      <c r="IR44" s="307"/>
      <c r="IS44" s="307"/>
      <c r="IT44" s="307"/>
      <c r="IU44" s="307"/>
    </row>
    <row r="45" spans="1:255">
      <c r="A45" s="324"/>
      <c r="B45" s="307" t="s">
        <v>221</v>
      </c>
      <c r="C45" s="310"/>
      <c r="D45" s="327">
        <f t="shared" si="12"/>
        <v>0.14299999999999999</v>
      </c>
      <c r="E45" s="321">
        <v>-0.40699999999999997</v>
      </c>
      <c r="F45" s="313">
        <f t="shared" si="11"/>
        <v>-1.3513513513513513</v>
      </c>
      <c r="G45" s="312"/>
      <c r="H45" s="328"/>
      <c r="I45" s="313"/>
      <c r="J45" s="312"/>
      <c r="K45" s="312"/>
      <c r="L45" s="313"/>
      <c r="M45" s="307"/>
      <c r="N45" s="307"/>
      <c r="O45" s="307"/>
      <c r="P45" s="307"/>
      <c r="Q45" s="307"/>
      <c r="R45" s="308"/>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c r="EN45" s="307"/>
      <c r="EO45" s="307"/>
      <c r="EP45" s="307"/>
      <c r="EQ45" s="307"/>
      <c r="ER45" s="307"/>
      <c r="ES45" s="307"/>
      <c r="ET45" s="307"/>
      <c r="EU45" s="307"/>
      <c r="EV45" s="307"/>
      <c r="EW45" s="307"/>
      <c r="EX45" s="307"/>
      <c r="EY45" s="307"/>
      <c r="EZ45" s="307"/>
      <c r="FA45" s="307"/>
      <c r="FB45" s="307"/>
      <c r="FC45" s="307"/>
      <c r="FD45" s="307"/>
      <c r="FE45" s="307"/>
      <c r="FF45" s="307"/>
      <c r="FG45" s="307"/>
      <c r="FH45" s="307"/>
      <c r="FI45" s="307"/>
      <c r="FJ45" s="307"/>
      <c r="FK45" s="307"/>
      <c r="FL45" s="307"/>
      <c r="FM45" s="307"/>
      <c r="FN45" s="307"/>
      <c r="FO45" s="307"/>
      <c r="FP45" s="307"/>
      <c r="FQ45" s="307"/>
      <c r="FR45" s="307"/>
      <c r="FS45" s="307"/>
      <c r="FT45" s="307"/>
      <c r="FU45" s="307"/>
      <c r="FV45" s="307"/>
      <c r="FW45" s="307"/>
      <c r="FX45" s="307"/>
      <c r="FY45" s="307"/>
      <c r="FZ45" s="307"/>
      <c r="GA45" s="307"/>
      <c r="GB45" s="307"/>
      <c r="GC45" s="307"/>
      <c r="GD45" s="307"/>
      <c r="GE45" s="307"/>
      <c r="GF45" s="307"/>
      <c r="GG45" s="307"/>
      <c r="GH45" s="307"/>
      <c r="GI45" s="307"/>
      <c r="GJ45" s="307"/>
      <c r="GK45" s="307"/>
      <c r="GL45" s="307"/>
      <c r="GM45" s="307"/>
      <c r="GN45" s="307"/>
      <c r="GO45" s="307"/>
      <c r="GP45" s="307"/>
      <c r="GQ45" s="307"/>
      <c r="GR45" s="307"/>
      <c r="GS45" s="307"/>
      <c r="GT45" s="307"/>
      <c r="GU45" s="307"/>
      <c r="GV45" s="307"/>
      <c r="GW45" s="307"/>
      <c r="GX45" s="307"/>
      <c r="GY45" s="307"/>
      <c r="GZ45" s="307"/>
      <c r="HA45" s="307"/>
      <c r="HB45" s="307"/>
      <c r="HC45" s="307"/>
      <c r="HD45" s="307"/>
      <c r="HE45" s="307"/>
      <c r="HF45" s="307"/>
      <c r="HG45" s="307"/>
      <c r="HH45" s="307"/>
      <c r="HI45" s="307"/>
      <c r="HJ45" s="307"/>
      <c r="HK45" s="307"/>
      <c r="HL45" s="307"/>
      <c r="HM45" s="307"/>
      <c r="HN45" s="307"/>
      <c r="HO45" s="307"/>
      <c r="HP45" s="307"/>
      <c r="HQ45" s="307"/>
      <c r="HR45" s="307"/>
      <c r="HS45" s="307"/>
      <c r="HT45" s="307"/>
      <c r="HU45" s="307"/>
      <c r="HV45" s="307"/>
      <c r="HW45" s="307"/>
      <c r="HX45" s="307"/>
      <c r="HY45" s="307"/>
      <c r="HZ45" s="307"/>
      <c r="IA45" s="307"/>
      <c r="IB45" s="307"/>
      <c r="IC45" s="307"/>
      <c r="ID45" s="307"/>
      <c r="IE45" s="307"/>
      <c r="IF45" s="307"/>
      <c r="IG45" s="307"/>
      <c r="IH45" s="307"/>
      <c r="II45" s="307"/>
      <c r="IJ45" s="307"/>
      <c r="IK45" s="307"/>
      <c r="IL45" s="307"/>
      <c r="IM45" s="307"/>
      <c r="IN45" s="307"/>
      <c r="IO45" s="307"/>
      <c r="IP45" s="307"/>
      <c r="IQ45" s="307"/>
      <c r="IR45" s="307"/>
      <c r="IS45" s="307"/>
      <c r="IT45" s="307"/>
      <c r="IU45" s="307"/>
    </row>
    <row r="46" spans="1:255">
      <c r="A46" s="324"/>
      <c r="B46" s="307" t="s">
        <v>222</v>
      </c>
      <c r="C46" s="310"/>
      <c r="D46" s="327">
        <f t="shared" si="12"/>
        <v>0.20599999999999999</v>
      </c>
      <c r="E46" s="321">
        <v>-0.58899999999999997</v>
      </c>
      <c r="F46" s="313">
        <f t="shared" si="11"/>
        <v>-1.3497453310696095</v>
      </c>
      <c r="G46" s="312"/>
      <c r="H46" s="328"/>
      <c r="I46" s="313"/>
      <c r="J46" s="312"/>
      <c r="K46" s="312"/>
      <c r="L46" s="313"/>
      <c r="M46" s="307"/>
      <c r="N46" s="307"/>
      <c r="O46" s="307"/>
      <c r="P46" s="307"/>
      <c r="Q46" s="307"/>
      <c r="R46" s="308"/>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307"/>
      <c r="DA46" s="307"/>
      <c r="DB46" s="307"/>
      <c r="DC46" s="307"/>
      <c r="DD46" s="307"/>
      <c r="DE46" s="307"/>
      <c r="DF46" s="307"/>
      <c r="DG46" s="307"/>
      <c r="DH46" s="307"/>
      <c r="DI46" s="307"/>
      <c r="DJ46" s="307"/>
      <c r="DK46" s="307"/>
      <c r="DL46" s="307"/>
      <c r="DM46" s="307"/>
      <c r="DN46" s="307"/>
      <c r="DO46" s="307"/>
      <c r="DP46" s="307"/>
      <c r="DQ46" s="307"/>
      <c r="DR46" s="307"/>
      <c r="DS46" s="307"/>
      <c r="DT46" s="307"/>
      <c r="DU46" s="307"/>
      <c r="DV46" s="307"/>
      <c r="DW46" s="307"/>
      <c r="DX46" s="307"/>
      <c r="DY46" s="307"/>
      <c r="DZ46" s="307"/>
      <c r="EA46" s="307"/>
      <c r="EB46" s="307"/>
      <c r="EC46" s="307"/>
      <c r="ED46" s="307"/>
      <c r="EE46" s="307"/>
      <c r="EF46" s="307"/>
      <c r="EG46" s="307"/>
      <c r="EH46" s="307"/>
      <c r="EI46" s="307"/>
      <c r="EJ46" s="307"/>
      <c r="EK46" s="307"/>
      <c r="EL46" s="307"/>
      <c r="EM46" s="307"/>
      <c r="EN46" s="307"/>
      <c r="EO46" s="307"/>
      <c r="EP46" s="307"/>
      <c r="EQ46" s="307"/>
      <c r="ER46" s="307"/>
      <c r="ES46" s="307"/>
      <c r="ET46" s="307"/>
      <c r="EU46" s="307"/>
      <c r="EV46" s="307"/>
      <c r="EW46" s="307"/>
      <c r="EX46" s="307"/>
      <c r="EY46" s="307"/>
      <c r="EZ46" s="307"/>
      <c r="FA46" s="307"/>
      <c r="FB46" s="307"/>
      <c r="FC46" s="307"/>
      <c r="FD46" s="307"/>
      <c r="FE46" s="307"/>
      <c r="FF46" s="307"/>
      <c r="FG46" s="307"/>
      <c r="FH46" s="307"/>
      <c r="FI46" s="307"/>
      <c r="FJ46" s="307"/>
      <c r="FK46" s="307"/>
      <c r="FL46" s="307"/>
      <c r="FM46" s="307"/>
      <c r="FN46" s="307"/>
      <c r="FO46" s="307"/>
      <c r="FP46" s="307"/>
      <c r="FQ46" s="307"/>
      <c r="FR46" s="307"/>
      <c r="FS46" s="307"/>
      <c r="FT46" s="307"/>
      <c r="FU46" s="307"/>
      <c r="FV46" s="307"/>
      <c r="FW46" s="307"/>
      <c r="FX46" s="307"/>
      <c r="FY46" s="307"/>
      <c r="FZ46" s="307"/>
      <c r="GA46" s="307"/>
      <c r="GB46" s="307"/>
      <c r="GC46" s="307"/>
      <c r="GD46" s="307"/>
      <c r="GE46" s="307"/>
      <c r="GF46" s="307"/>
      <c r="GG46" s="307"/>
      <c r="GH46" s="307"/>
      <c r="GI46" s="307"/>
      <c r="GJ46" s="307"/>
      <c r="GK46" s="307"/>
      <c r="GL46" s="307"/>
      <c r="GM46" s="307"/>
      <c r="GN46" s="307"/>
      <c r="GO46" s="307"/>
      <c r="GP46" s="307"/>
      <c r="GQ46" s="307"/>
      <c r="GR46" s="307"/>
      <c r="GS46" s="307"/>
      <c r="GT46" s="307"/>
      <c r="GU46" s="307"/>
      <c r="GV46" s="307"/>
      <c r="GW46" s="307"/>
      <c r="GX46" s="307"/>
      <c r="GY46" s="307"/>
      <c r="GZ46" s="307"/>
      <c r="HA46" s="307"/>
      <c r="HB46" s="307"/>
      <c r="HC46" s="307"/>
      <c r="HD46" s="307"/>
      <c r="HE46" s="307"/>
      <c r="HF46" s="307"/>
      <c r="HG46" s="307"/>
      <c r="HH46" s="307"/>
      <c r="HI46" s="307"/>
      <c r="HJ46" s="307"/>
      <c r="HK46" s="307"/>
      <c r="HL46" s="307"/>
      <c r="HM46" s="307"/>
      <c r="HN46" s="307"/>
      <c r="HO46" s="307"/>
      <c r="HP46" s="307"/>
      <c r="HQ46" s="307"/>
      <c r="HR46" s="307"/>
      <c r="HS46" s="307"/>
      <c r="HT46" s="307"/>
      <c r="HU46" s="307"/>
      <c r="HV46" s="307"/>
      <c r="HW46" s="307"/>
      <c r="HX46" s="307"/>
      <c r="HY46" s="307"/>
      <c r="HZ46" s="307"/>
      <c r="IA46" s="307"/>
      <c r="IB46" s="307"/>
      <c r="IC46" s="307"/>
      <c r="ID46" s="307"/>
      <c r="IE46" s="307"/>
      <c r="IF46" s="307"/>
      <c r="IG46" s="307"/>
      <c r="IH46" s="307"/>
      <c r="II46" s="307"/>
      <c r="IJ46" s="307"/>
      <c r="IK46" s="307"/>
      <c r="IL46" s="307"/>
      <c r="IM46" s="307"/>
      <c r="IN46" s="307"/>
      <c r="IO46" s="307"/>
      <c r="IP46" s="307"/>
      <c r="IQ46" s="307"/>
      <c r="IR46" s="307"/>
      <c r="IS46" s="307"/>
      <c r="IT46" s="307"/>
      <c r="IU46" s="307"/>
    </row>
    <row r="47" spans="1:255">
      <c r="A47" s="324"/>
      <c r="B47" s="307" t="s">
        <v>223</v>
      </c>
      <c r="C47" s="310"/>
      <c r="D47" s="327">
        <f t="shared" si="12"/>
        <v>0.23699999999999999</v>
      </c>
      <c r="E47" s="321">
        <v>-0.67700000000000005</v>
      </c>
      <c r="F47" s="313">
        <f t="shared" si="11"/>
        <v>-1.3500738552437221</v>
      </c>
      <c r="G47" s="312"/>
      <c r="H47" s="312"/>
      <c r="I47" s="313"/>
      <c r="J47" s="312"/>
      <c r="K47" s="312"/>
      <c r="L47" s="313"/>
      <c r="M47" s="307"/>
      <c r="N47" s="307"/>
      <c r="O47" s="307"/>
      <c r="P47" s="307"/>
      <c r="Q47" s="307"/>
      <c r="R47" s="308"/>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307"/>
      <c r="CC47" s="307"/>
      <c r="CD47" s="307"/>
      <c r="CE47" s="307"/>
      <c r="CF47" s="307"/>
      <c r="CG47" s="307"/>
      <c r="CH47" s="307"/>
      <c r="CI47" s="307"/>
      <c r="CJ47" s="307"/>
      <c r="CK47" s="307"/>
      <c r="CL47" s="307"/>
      <c r="CM47" s="307"/>
      <c r="CN47" s="307"/>
      <c r="CO47" s="307"/>
      <c r="CP47" s="307"/>
      <c r="CQ47" s="307"/>
      <c r="CR47" s="307"/>
      <c r="CS47" s="307"/>
      <c r="CT47" s="307"/>
      <c r="CU47" s="307"/>
      <c r="CV47" s="307"/>
      <c r="CW47" s="307"/>
      <c r="CX47" s="307"/>
      <c r="CY47" s="307"/>
      <c r="CZ47" s="307"/>
      <c r="DA47" s="307"/>
      <c r="DB47" s="307"/>
      <c r="DC47" s="307"/>
      <c r="DD47" s="307"/>
      <c r="DE47" s="307"/>
      <c r="DF47" s="307"/>
      <c r="DG47" s="307"/>
      <c r="DH47" s="307"/>
      <c r="DI47" s="307"/>
      <c r="DJ47" s="307"/>
      <c r="DK47" s="307"/>
      <c r="DL47" s="307"/>
      <c r="DM47" s="307"/>
      <c r="DN47" s="307"/>
      <c r="DO47" s="307"/>
      <c r="DP47" s="307"/>
      <c r="DQ47" s="307"/>
      <c r="DR47" s="307"/>
      <c r="DS47" s="307"/>
      <c r="DT47" s="307"/>
      <c r="DU47" s="307"/>
      <c r="DV47" s="307"/>
      <c r="DW47" s="307"/>
      <c r="DX47" s="307"/>
      <c r="DY47" s="307"/>
      <c r="DZ47" s="307"/>
      <c r="EA47" s="307"/>
      <c r="EB47" s="307"/>
      <c r="EC47" s="307"/>
      <c r="ED47" s="307"/>
      <c r="EE47" s="307"/>
      <c r="EF47" s="307"/>
      <c r="EG47" s="307"/>
      <c r="EH47" s="307"/>
      <c r="EI47" s="307"/>
      <c r="EJ47" s="307"/>
      <c r="EK47" s="307"/>
      <c r="EL47" s="307"/>
      <c r="EM47" s="307"/>
      <c r="EN47" s="307"/>
      <c r="EO47" s="307"/>
      <c r="EP47" s="307"/>
      <c r="EQ47" s="307"/>
      <c r="ER47" s="307"/>
      <c r="ES47" s="307"/>
      <c r="ET47" s="307"/>
      <c r="EU47" s="307"/>
      <c r="EV47" s="307"/>
      <c r="EW47" s="307"/>
      <c r="EX47" s="307"/>
      <c r="EY47" s="307"/>
      <c r="EZ47" s="307"/>
      <c r="FA47" s="307"/>
      <c r="FB47" s="307"/>
      <c r="FC47" s="307"/>
      <c r="FD47" s="307"/>
      <c r="FE47" s="307"/>
      <c r="FF47" s="307"/>
      <c r="FG47" s="307"/>
      <c r="FH47" s="307"/>
      <c r="FI47" s="307"/>
      <c r="FJ47" s="307"/>
      <c r="FK47" s="307"/>
      <c r="FL47" s="307"/>
      <c r="FM47" s="307"/>
      <c r="FN47" s="307"/>
      <c r="FO47" s="307"/>
      <c r="FP47" s="307"/>
      <c r="FQ47" s="307"/>
      <c r="FR47" s="307"/>
      <c r="FS47" s="307"/>
      <c r="FT47" s="307"/>
      <c r="FU47" s="307"/>
      <c r="FV47" s="307"/>
      <c r="FW47" s="307"/>
      <c r="FX47" s="307"/>
      <c r="FY47" s="307"/>
      <c r="FZ47" s="307"/>
      <c r="GA47" s="307"/>
      <c r="GB47" s="307"/>
      <c r="GC47" s="307"/>
      <c r="GD47" s="307"/>
      <c r="GE47" s="307"/>
      <c r="GF47" s="307"/>
      <c r="GG47" s="307"/>
      <c r="GH47" s="307"/>
      <c r="GI47" s="307"/>
      <c r="GJ47" s="307"/>
      <c r="GK47" s="307"/>
      <c r="GL47" s="307"/>
      <c r="GM47" s="307"/>
      <c r="GN47" s="307"/>
      <c r="GO47" s="307"/>
      <c r="GP47" s="307"/>
      <c r="GQ47" s="307"/>
      <c r="GR47" s="307"/>
      <c r="GS47" s="307"/>
      <c r="GT47" s="307"/>
      <c r="GU47" s="307"/>
      <c r="GV47" s="307"/>
      <c r="GW47" s="307"/>
      <c r="GX47" s="307"/>
      <c r="GY47" s="307"/>
      <c r="GZ47" s="307"/>
      <c r="HA47" s="307"/>
      <c r="HB47" s="307"/>
      <c r="HC47" s="307"/>
      <c r="HD47" s="307"/>
      <c r="HE47" s="307"/>
      <c r="HF47" s="307"/>
      <c r="HG47" s="307"/>
      <c r="HH47" s="307"/>
      <c r="HI47" s="307"/>
      <c r="HJ47" s="307"/>
      <c r="HK47" s="307"/>
      <c r="HL47" s="307"/>
      <c r="HM47" s="307"/>
      <c r="HN47" s="307"/>
      <c r="HO47" s="307"/>
      <c r="HP47" s="307"/>
      <c r="HQ47" s="307"/>
      <c r="HR47" s="307"/>
      <c r="HS47" s="307"/>
      <c r="HT47" s="307"/>
      <c r="HU47" s="307"/>
      <c r="HV47" s="307"/>
      <c r="HW47" s="307"/>
      <c r="HX47" s="307"/>
      <c r="HY47" s="307"/>
      <c r="HZ47" s="307"/>
      <c r="IA47" s="307"/>
      <c r="IB47" s="307"/>
      <c r="IC47" s="307"/>
      <c r="ID47" s="307"/>
      <c r="IE47" s="307"/>
      <c r="IF47" s="307"/>
      <c r="IG47" s="307"/>
      <c r="IH47" s="307"/>
      <c r="II47" s="307"/>
      <c r="IJ47" s="307"/>
      <c r="IK47" s="307"/>
      <c r="IL47" s="307"/>
      <c r="IM47" s="307"/>
      <c r="IN47" s="307"/>
      <c r="IO47" s="307"/>
      <c r="IP47" s="307"/>
      <c r="IQ47" s="307"/>
      <c r="IR47" s="307"/>
      <c r="IS47" s="307"/>
      <c r="IT47" s="307"/>
      <c r="IU47" s="307"/>
    </row>
    <row r="48" spans="1:255">
      <c r="A48" s="324"/>
      <c r="B48" s="307" t="s">
        <v>224</v>
      </c>
      <c r="C48" s="310"/>
      <c r="D48" s="327">
        <f t="shared" si="12"/>
        <v>0.27</v>
      </c>
      <c r="E48" s="321">
        <v>-0.77</v>
      </c>
      <c r="F48" s="313">
        <f t="shared" si="11"/>
        <v>-1.3506493506493507</v>
      </c>
      <c r="G48" s="312"/>
      <c r="H48" s="312"/>
      <c r="I48" s="313"/>
      <c r="J48" s="312"/>
      <c r="K48" s="312"/>
      <c r="L48" s="313"/>
      <c r="M48" s="307"/>
      <c r="N48" s="307"/>
      <c r="O48" s="307"/>
      <c r="P48" s="307"/>
      <c r="Q48" s="307"/>
      <c r="R48" s="308"/>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c r="CB48" s="307"/>
      <c r="CC48" s="307"/>
      <c r="CD48" s="307"/>
      <c r="CE48" s="307"/>
      <c r="CF48" s="307"/>
      <c r="CG48" s="307"/>
      <c r="CH48" s="307"/>
      <c r="CI48" s="307"/>
      <c r="CJ48" s="307"/>
      <c r="CK48" s="307"/>
      <c r="CL48" s="307"/>
      <c r="CM48" s="307"/>
      <c r="CN48" s="307"/>
      <c r="CO48" s="307"/>
      <c r="CP48" s="307"/>
      <c r="CQ48" s="307"/>
      <c r="CR48" s="307"/>
      <c r="CS48" s="307"/>
      <c r="CT48" s="307"/>
      <c r="CU48" s="307"/>
      <c r="CV48" s="307"/>
      <c r="CW48" s="307"/>
      <c r="CX48" s="307"/>
      <c r="CY48" s="307"/>
      <c r="CZ48" s="307"/>
      <c r="DA48" s="307"/>
      <c r="DB48" s="307"/>
      <c r="DC48" s="307"/>
      <c r="DD48" s="307"/>
      <c r="DE48" s="307"/>
      <c r="DF48" s="307"/>
      <c r="DG48" s="307"/>
      <c r="DH48" s="307"/>
      <c r="DI48" s="307"/>
      <c r="DJ48" s="307"/>
      <c r="DK48" s="307"/>
      <c r="DL48" s="307"/>
      <c r="DM48" s="307"/>
      <c r="DN48" s="307"/>
      <c r="DO48" s="307"/>
      <c r="DP48" s="307"/>
      <c r="DQ48" s="307"/>
      <c r="DR48" s="307"/>
      <c r="DS48" s="307"/>
      <c r="DT48" s="307"/>
      <c r="DU48" s="307"/>
      <c r="DV48" s="307"/>
      <c r="DW48" s="307"/>
      <c r="DX48" s="307"/>
      <c r="DY48" s="307"/>
      <c r="DZ48" s="307"/>
      <c r="EA48" s="307"/>
      <c r="EB48" s="307"/>
      <c r="EC48" s="307"/>
      <c r="ED48" s="307"/>
      <c r="EE48" s="307"/>
      <c r="EF48" s="307"/>
      <c r="EG48" s="307"/>
      <c r="EH48" s="307"/>
      <c r="EI48" s="307"/>
      <c r="EJ48" s="307"/>
      <c r="EK48" s="307"/>
      <c r="EL48" s="307"/>
      <c r="EM48" s="307"/>
      <c r="EN48" s="307"/>
      <c r="EO48" s="307"/>
      <c r="EP48" s="307"/>
      <c r="EQ48" s="307"/>
      <c r="ER48" s="307"/>
      <c r="ES48" s="307"/>
      <c r="ET48" s="307"/>
      <c r="EU48" s="307"/>
      <c r="EV48" s="307"/>
      <c r="EW48" s="307"/>
      <c r="EX48" s="307"/>
      <c r="EY48" s="307"/>
      <c r="EZ48" s="307"/>
      <c r="FA48" s="307"/>
      <c r="FB48" s="307"/>
      <c r="FC48" s="307"/>
      <c r="FD48" s="307"/>
      <c r="FE48" s="307"/>
      <c r="FF48" s="307"/>
      <c r="FG48" s="307"/>
      <c r="FH48" s="307"/>
      <c r="FI48" s="307"/>
      <c r="FJ48" s="307"/>
      <c r="FK48" s="307"/>
      <c r="FL48" s="307"/>
      <c r="FM48" s="307"/>
      <c r="FN48" s="307"/>
      <c r="FO48" s="307"/>
      <c r="FP48" s="307"/>
      <c r="FQ48" s="307"/>
      <c r="FR48" s="307"/>
      <c r="FS48" s="307"/>
      <c r="FT48" s="307"/>
      <c r="FU48" s="307"/>
      <c r="FV48" s="307"/>
      <c r="FW48" s="307"/>
      <c r="FX48" s="307"/>
      <c r="FY48" s="307"/>
      <c r="FZ48" s="307"/>
      <c r="GA48" s="307"/>
      <c r="GB48" s="307"/>
      <c r="GC48" s="307"/>
      <c r="GD48" s="307"/>
      <c r="GE48" s="307"/>
      <c r="GF48" s="307"/>
      <c r="GG48" s="307"/>
      <c r="GH48" s="307"/>
      <c r="GI48" s="307"/>
      <c r="GJ48" s="307"/>
      <c r="GK48" s="307"/>
      <c r="GL48" s="307"/>
      <c r="GM48" s="307"/>
      <c r="GN48" s="307"/>
      <c r="GO48" s="307"/>
      <c r="GP48" s="307"/>
      <c r="GQ48" s="307"/>
      <c r="GR48" s="307"/>
      <c r="GS48" s="307"/>
      <c r="GT48" s="307"/>
      <c r="GU48" s="307"/>
      <c r="GV48" s="307"/>
      <c r="GW48" s="307"/>
      <c r="GX48" s="307"/>
      <c r="GY48" s="307"/>
      <c r="GZ48" s="307"/>
      <c r="HA48" s="307"/>
      <c r="HB48" s="307"/>
      <c r="HC48" s="307"/>
      <c r="HD48" s="307"/>
      <c r="HE48" s="307"/>
      <c r="HF48" s="307"/>
      <c r="HG48" s="307"/>
      <c r="HH48" s="307"/>
      <c r="HI48" s="307"/>
      <c r="HJ48" s="307"/>
      <c r="HK48" s="307"/>
      <c r="HL48" s="307"/>
      <c r="HM48" s="307"/>
      <c r="HN48" s="307"/>
      <c r="HO48" s="307"/>
      <c r="HP48" s="307"/>
      <c r="HQ48" s="307"/>
      <c r="HR48" s="307"/>
      <c r="HS48" s="307"/>
      <c r="HT48" s="307"/>
      <c r="HU48" s="307"/>
      <c r="HV48" s="307"/>
      <c r="HW48" s="307"/>
      <c r="HX48" s="307"/>
      <c r="HY48" s="307"/>
      <c r="HZ48" s="307"/>
      <c r="IA48" s="307"/>
      <c r="IB48" s="307"/>
      <c r="IC48" s="307"/>
      <c r="ID48" s="307"/>
      <c r="IE48" s="307"/>
      <c r="IF48" s="307"/>
      <c r="IG48" s="307"/>
      <c r="IH48" s="307"/>
      <c r="II48" s="307"/>
      <c r="IJ48" s="307"/>
      <c r="IK48" s="307"/>
      <c r="IL48" s="307"/>
      <c r="IM48" s="307"/>
      <c r="IN48" s="307"/>
      <c r="IO48" s="307"/>
      <c r="IP48" s="307"/>
      <c r="IQ48" s="307"/>
      <c r="IR48" s="307"/>
      <c r="IS48" s="307"/>
      <c r="IT48" s="307"/>
      <c r="IU48" s="307"/>
    </row>
    <row r="49" spans="1:255">
      <c r="A49" s="324"/>
      <c r="B49" s="307" t="s">
        <v>225</v>
      </c>
      <c r="C49" s="310"/>
      <c r="D49" s="327">
        <f t="shared" si="12"/>
        <v>0.30099999999999999</v>
      </c>
      <c r="E49" s="321">
        <v>-0.85799999999999998</v>
      </c>
      <c r="F49" s="313">
        <f t="shared" si="11"/>
        <v>-1.3508158508158508</v>
      </c>
      <c r="G49" s="312"/>
      <c r="H49" s="312"/>
      <c r="I49" s="313"/>
      <c r="J49" s="312"/>
      <c r="K49" s="312"/>
      <c r="L49" s="313"/>
      <c r="M49" s="307"/>
      <c r="N49" s="307"/>
      <c r="O49" s="307"/>
      <c r="P49" s="307"/>
      <c r="Q49" s="307"/>
      <c r="R49" s="308"/>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7"/>
      <c r="EN49" s="307"/>
      <c r="EO49" s="307"/>
      <c r="EP49" s="307"/>
      <c r="EQ49" s="307"/>
      <c r="ER49" s="307"/>
      <c r="ES49" s="307"/>
      <c r="ET49" s="307"/>
      <c r="EU49" s="307"/>
      <c r="EV49" s="307"/>
      <c r="EW49" s="307"/>
      <c r="EX49" s="307"/>
      <c r="EY49" s="307"/>
      <c r="EZ49" s="307"/>
      <c r="FA49" s="307"/>
      <c r="FB49" s="307"/>
      <c r="FC49" s="307"/>
      <c r="FD49" s="307"/>
      <c r="FE49" s="307"/>
      <c r="FF49" s="307"/>
      <c r="FG49" s="307"/>
      <c r="FH49" s="307"/>
      <c r="FI49" s="307"/>
      <c r="FJ49" s="307"/>
      <c r="FK49" s="307"/>
      <c r="FL49" s="307"/>
      <c r="FM49" s="307"/>
      <c r="FN49" s="307"/>
      <c r="FO49" s="307"/>
      <c r="FP49" s="307"/>
      <c r="FQ49" s="307"/>
      <c r="FR49" s="307"/>
      <c r="FS49" s="307"/>
      <c r="FT49" s="307"/>
      <c r="FU49" s="307"/>
      <c r="FV49" s="307"/>
      <c r="FW49" s="307"/>
      <c r="FX49" s="307"/>
      <c r="FY49" s="307"/>
      <c r="FZ49" s="307"/>
      <c r="GA49" s="307"/>
      <c r="GB49" s="307"/>
      <c r="GC49" s="307"/>
      <c r="GD49" s="307"/>
      <c r="GE49" s="307"/>
      <c r="GF49" s="307"/>
      <c r="GG49" s="307"/>
      <c r="GH49" s="307"/>
      <c r="GI49" s="307"/>
      <c r="GJ49" s="307"/>
      <c r="GK49" s="307"/>
      <c r="GL49" s="307"/>
      <c r="GM49" s="307"/>
      <c r="GN49" s="307"/>
      <c r="GO49" s="307"/>
      <c r="GP49" s="307"/>
      <c r="GQ49" s="307"/>
      <c r="GR49" s="307"/>
      <c r="GS49" s="307"/>
      <c r="GT49" s="307"/>
      <c r="GU49" s="307"/>
      <c r="GV49" s="307"/>
      <c r="GW49" s="307"/>
      <c r="GX49" s="307"/>
      <c r="GY49" s="307"/>
      <c r="GZ49" s="307"/>
      <c r="HA49" s="307"/>
      <c r="HB49" s="307"/>
      <c r="HC49" s="307"/>
      <c r="HD49" s="307"/>
      <c r="HE49" s="307"/>
      <c r="HF49" s="307"/>
      <c r="HG49" s="307"/>
      <c r="HH49" s="307"/>
      <c r="HI49" s="307"/>
      <c r="HJ49" s="307"/>
      <c r="HK49" s="307"/>
      <c r="HL49" s="307"/>
      <c r="HM49" s="307"/>
      <c r="HN49" s="307"/>
      <c r="HO49" s="307"/>
      <c r="HP49" s="307"/>
      <c r="HQ49" s="307"/>
      <c r="HR49" s="307"/>
      <c r="HS49" s="307"/>
      <c r="HT49" s="307"/>
      <c r="HU49" s="307"/>
      <c r="HV49" s="307"/>
      <c r="HW49" s="307"/>
      <c r="HX49" s="307"/>
      <c r="HY49" s="307"/>
      <c r="HZ49" s="307"/>
      <c r="IA49" s="307"/>
      <c r="IB49" s="307"/>
      <c r="IC49" s="307"/>
      <c r="ID49" s="307"/>
      <c r="IE49" s="307"/>
      <c r="IF49" s="307"/>
      <c r="IG49" s="307"/>
      <c r="IH49" s="307"/>
      <c r="II49" s="307"/>
      <c r="IJ49" s="307"/>
      <c r="IK49" s="307"/>
      <c r="IL49" s="307"/>
      <c r="IM49" s="307"/>
      <c r="IN49" s="307"/>
      <c r="IO49" s="307"/>
      <c r="IP49" s="307"/>
      <c r="IQ49" s="307"/>
      <c r="IR49" s="307"/>
      <c r="IS49" s="307"/>
      <c r="IT49" s="307"/>
      <c r="IU49" s="307"/>
    </row>
    <row r="50" spans="1:255">
      <c r="A50" s="324"/>
      <c r="B50" s="307"/>
      <c r="C50" s="310"/>
      <c r="D50" s="312"/>
      <c r="E50" s="321"/>
      <c r="F50" s="313"/>
      <c r="G50" s="312"/>
      <c r="H50" s="312"/>
      <c r="I50" s="313"/>
      <c r="J50" s="312"/>
      <c r="K50" s="312"/>
      <c r="L50" s="313"/>
      <c r="M50" s="307"/>
      <c r="N50" s="307"/>
      <c r="O50" s="307"/>
      <c r="P50" s="307"/>
      <c r="Q50" s="307"/>
      <c r="R50" s="308"/>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7"/>
      <c r="EN50" s="307"/>
      <c r="EO50" s="307"/>
      <c r="EP50" s="307"/>
      <c r="EQ50" s="307"/>
      <c r="ER50" s="307"/>
      <c r="ES50" s="307"/>
      <c r="ET50" s="307"/>
      <c r="EU50" s="307"/>
      <c r="EV50" s="307"/>
      <c r="EW50" s="307"/>
      <c r="EX50" s="307"/>
      <c r="EY50" s="307"/>
      <c r="EZ50" s="307"/>
      <c r="FA50" s="307"/>
      <c r="FB50" s="307"/>
      <c r="FC50" s="307"/>
      <c r="FD50" s="307"/>
      <c r="FE50" s="307"/>
      <c r="FF50" s="307"/>
      <c r="FG50" s="307"/>
      <c r="FH50" s="307"/>
      <c r="FI50" s="307"/>
      <c r="FJ50" s="307"/>
      <c r="FK50" s="307"/>
      <c r="FL50" s="307"/>
      <c r="FM50" s="307"/>
      <c r="FN50" s="307"/>
      <c r="FO50" s="307"/>
      <c r="FP50" s="307"/>
      <c r="FQ50" s="307"/>
      <c r="FR50" s="307"/>
      <c r="FS50" s="307"/>
      <c r="FT50" s="307"/>
      <c r="FU50" s="307"/>
      <c r="FV50" s="307"/>
      <c r="FW50" s="307"/>
      <c r="FX50" s="307"/>
      <c r="FY50" s="307"/>
      <c r="FZ50" s="307"/>
      <c r="GA50" s="307"/>
      <c r="GB50" s="307"/>
      <c r="GC50" s="307"/>
      <c r="GD50" s="307"/>
      <c r="GE50" s="307"/>
      <c r="GF50" s="307"/>
      <c r="GG50" s="307"/>
      <c r="GH50" s="307"/>
      <c r="GI50" s="307"/>
      <c r="GJ50" s="307"/>
      <c r="GK50" s="307"/>
      <c r="GL50" s="307"/>
      <c r="GM50" s="307"/>
      <c r="GN50" s="307"/>
      <c r="GO50" s="307"/>
      <c r="GP50" s="307"/>
      <c r="GQ50" s="307"/>
      <c r="GR50" s="307"/>
      <c r="GS50" s="307"/>
      <c r="GT50" s="307"/>
      <c r="GU50" s="307"/>
      <c r="GV50" s="307"/>
      <c r="GW50" s="307"/>
      <c r="GX50" s="307"/>
      <c r="GY50" s="307"/>
      <c r="GZ50" s="307"/>
      <c r="HA50" s="307"/>
      <c r="HB50" s="307"/>
      <c r="HC50" s="307"/>
      <c r="HD50" s="307"/>
      <c r="HE50" s="307"/>
      <c r="HF50" s="307"/>
      <c r="HG50" s="307"/>
      <c r="HH50" s="307"/>
      <c r="HI50" s="307"/>
      <c r="HJ50" s="307"/>
      <c r="HK50" s="307"/>
      <c r="HL50" s="307"/>
      <c r="HM50" s="307"/>
      <c r="HN50" s="307"/>
      <c r="HO50" s="307"/>
      <c r="HP50" s="307"/>
      <c r="HQ50" s="307"/>
      <c r="HR50" s="307"/>
      <c r="HS50" s="307"/>
      <c r="HT50" s="307"/>
      <c r="HU50" s="307"/>
      <c r="HV50" s="307"/>
      <c r="HW50" s="307"/>
      <c r="HX50" s="307"/>
      <c r="HY50" s="307"/>
      <c r="HZ50" s="307"/>
      <c r="IA50" s="307"/>
      <c r="IB50" s="307"/>
      <c r="IC50" s="307"/>
      <c r="ID50" s="307"/>
      <c r="IE50" s="307"/>
      <c r="IF50" s="307"/>
      <c r="IG50" s="307"/>
      <c r="IH50" s="307"/>
      <c r="II50" s="307"/>
      <c r="IJ50" s="307"/>
      <c r="IK50" s="307"/>
      <c r="IL50" s="307"/>
      <c r="IM50" s="307"/>
      <c r="IN50" s="307"/>
      <c r="IO50" s="307"/>
      <c r="IP50" s="307"/>
      <c r="IQ50" s="307"/>
      <c r="IR50" s="307"/>
      <c r="IS50" s="307"/>
      <c r="IT50" s="307"/>
      <c r="IU50" s="307"/>
    </row>
    <row r="51" spans="1:255">
      <c r="A51" s="324"/>
      <c r="B51" s="307"/>
      <c r="C51" s="310"/>
      <c r="D51" s="312"/>
      <c r="E51" s="321"/>
      <c r="F51" s="313"/>
      <c r="G51" s="312"/>
      <c r="H51" s="312"/>
      <c r="I51" s="313"/>
      <c r="J51" s="312"/>
      <c r="K51" s="312"/>
      <c r="L51" s="313"/>
      <c r="M51" s="307"/>
      <c r="N51" s="307"/>
      <c r="O51" s="307"/>
      <c r="P51" s="307"/>
      <c r="Q51" s="307"/>
      <c r="R51" s="308"/>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c r="CB51" s="307"/>
      <c r="CC51" s="307"/>
      <c r="CD51" s="307"/>
      <c r="CE51" s="307"/>
      <c r="CF51" s="307"/>
      <c r="CG51" s="307"/>
      <c r="CH51" s="307"/>
      <c r="CI51" s="307"/>
      <c r="CJ51" s="307"/>
      <c r="CK51" s="307"/>
      <c r="CL51" s="307"/>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7"/>
      <c r="EN51" s="307"/>
      <c r="EO51" s="307"/>
      <c r="EP51" s="307"/>
      <c r="EQ51" s="307"/>
      <c r="ER51" s="307"/>
      <c r="ES51" s="307"/>
      <c r="ET51" s="307"/>
      <c r="EU51" s="307"/>
      <c r="EV51" s="307"/>
      <c r="EW51" s="307"/>
      <c r="EX51" s="307"/>
      <c r="EY51" s="307"/>
      <c r="EZ51" s="307"/>
      <c r="FA51" s="307"/>
      <c r="FB51" s="307"/>
      <c r="FC51" s="307"/>
      <c r="FD51" s="307"/>
      <c r="FE51" s="307"/>
      <c r="FF51" s="307"/>
      <c r="FG51" s="307"/>
      <c r="FH51" s="307"/>
      <c r="FI51" s="307"/>
      <c r="FJ51" s="307"/>
      <c r="FK51" s="307"/>
      <c r="FL51" s="307"/>
      <c r="FM51" s="307"/>
      <c r="FN51" s="307"/>
      <c r="FO51" s="307"/>
      <c r="FP51" s="307"/>
      <c r="FQ51" s="307"/>
      <c r="FR51" s="307"/>
      <c r="FS51" s="307"/>
      <c r="FT51" s="307"/>
      <c r="FU51" s="307"/>
      <c r="FV51" s="307"/>
      <c r="FW51" s="307"/>
      <c r="FX51" s="307"/>
      <c r="FY51" s="307"/>
      <c r="FZ51" s="307"/>
      <c r="GA51" s="307"/>
      <c r="GB51" s="307"/>
      <c r="GC51" s="307"/>
      <c r="GD51" s="307"/>
      <c r="GE51" s="307"/>
      <c r="GF51" s="307"/>
      <c r="GG51" s="307"/>
      <c r="GH51" s="307"/>
      <c r="GI51" s="307"/>
      <c r="GJ51" s="307"/>
      <c r="GK51" s="307"/>
      <c r="GL51" s="307"/>
      <c r="GM51" s="307"/>
      <c r="GN51" s="307"/>
      <c r="GO51" s="307"/>
      <c r="GP51" s="307"/>
      <c r="GQ51" s="307"/>
      <c r="GR51" s="307"/>
      <c r="GS51" s="307"/>
      <c r="GT51" s="307"/>
      <c r="GU51" s="307"/>
      <c r="GV51" s="307"/>
      <c r="GW51" s="307"/>
      <c r="GX51" s="307"/>
      <c r="GY51" s="307"/>
      <c r="GZ51" s="307"/>
      <c r="HA51" s="307"/>
      <c r="HB51" s="307"/>
      <c r="HC51" s="307"/>
      <c r="HD51" s="307"/>
      <c r="HE51" s="307"/>
      <c r="HF51" s="307"/>
      <c r="HG51" s="307"/>
      <c r="HH51" s="307"/>
      <c r="HI51" s="307"/>
      <c r="HJ51" s="307"/>
      <c r="HK51" s="307"/>
      <c r="HL51" s="307"/>
      <c r="HM51" s="307"/>
      <c r="HN51" s="307"/>
      <c r="HO51" s="307"/>
      <c r="HP51" s="307"/>
      <c r="HQ51" s="307"/>
      <c r="HR51" s="307"/>
      <c r="HS51" s="307"/>
      <c r="HT51" s="307"/>
      <c r="HU51" s="307"/>
      <c r="HV51" s="307"/>
      <c r="HW51" s="307"/>
      <c r="HX51" s="307"/>
      <c r="HY51" s="307"/>
      <c r="HZ51" s="307"/>
      <c r="IA51" s="307"/>
      <c r="IB51" s="307"/>
      <c r="IC51" s="307"/>
      <c r="ID51" s="307"/>
      <c r="IE51" s="307"/>
      <c r="IF51" s="307"/>
      <c r="IG51" s="307"/>
      <c r="IH51" s="307"/>
      <c r="II51" s="307"/>
      <c r="IJ51" s="307"/>
      <c r="IK51" s="307"/>
      <c r="IL51" s="307"/>
      <c r="IM51" s="307"/>
      <c r="IN51" s="307"/>
      <c r="IO51" s="307"/>
      <c r="IP51" s="307"/>
      <c r="IQ51" s="307"/>
      <c r="IR51" s="307"/>
      <c r="IS51" s="307"/>
      <c r="IT51" s="307"/>
      <c r="IU51" s="307"/>
    </row>
    <row r="52" spans="1:255" ht="15.75">
      <c r="A52" s="319" t="s">
        <v>230</v>
      </c>
      <c r="B52" s="307"/>
      <c r="C52" s="310"/>
      <c r="D52" s="312"/>
      <c r="E52" s="321"/>
      <c r="F52" s="313"/>
      <c r="G52" s="312"/>
      <c r="H52" s="312"/>
      <c r="I52" s="313"/>
      <c r="J52" s="312"/>
      <c r="K52" s="312"/>
      <c r="L52" s="313"/>
      <c r="M52" s="307"/>
      <c r="N52" s="307"/>
      <c r="O52" s="307"/>
      <c r="P52" s="307"/>
      <c r="Q52" s="307"/>
      <c r="R52" s="308"/>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c r="CB52" s="307"/>
      <c r="CC52" s="307"/>
      <c r="CD52" s="307"/>
      <c r="CE52" s="307"/>
      <c r="CF52" s="307"/>
      <c r="CG52" s="307"/>
      <c r="CH52" s="307"/>
      <c r="CI52" s="307"/>
      <c r="CJ52" s="307"/>
      <c r="CK52" s="307"/>
      <c r="CL52" s="307"/>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7"/>
      <c r="DI52" s="307"/>
      <c r="DJ52" s="307"/>
      <c r="DK52" s="307"/>
      <c r="DL52" s="307"/>
      <c r="DM52" s="307"/>
      <c r="DN52" s="307"/>
      <c r="DO52" s="307"/>
      <c r="DP52" s="307"/>
      <c r="DQ52" s="307"/>
      <c r="DR52" s="307"/>
      <c r="DS52" s="307"/>
      <c r="DT52" s="307"/>
      <c r="DU52" s="307"/>
      <c r="DV52" s="307"/>
      <c r="DW52" s="307"/>
      <c r="DX52" s="307"/>
      <c r="DY52" s="307"/>
      <c r="DZ52" s="307"/>
      <c r="EA52" s="307"/>
      <c r="EB52" s="307"/>
      <c r="EC52" s="307"/>
      <c r="ED52" s="307"/>
      <c r="EE52" s="307"/>
      <c r="EF52" s="307"/>
      <c r="EG52" s="307"/>
      <c r="EH52" s="307"/>
      <c r="EI52" s="307"/>
      <c r="EJ52" s="307"/>
      <c r="EK52" s="307"/>
      <c r="EL52" s="307"/>
      <c r="EM52" s="307"/>
      <c r="EN52" s="307"/>
      <c r="EO52" s="307"/>
      <c r="EP52" s="307"/>
      <c r="EQ52" s="307"/>
      <c r="ER52" s="307"/>
      <c r="ES52" s="307"/>
      <c r="ET52" s="307"/>
      <c r="EU52" s="307"/>
      <c r="EV52" s="307"/>
      <c r="EW52" s="307"/>
      <c r="EX52" s="307"/>
      <c r="EY52" s="307"/>
      <c r="EZ52" s="307"/>
      <c r="FA52" s="307"/>
      <c r="FB52" s="307"/>
      <c r="FC52" s="307"/>
      <c r="FD52" s="307"/>
      <c r="FE52" s="307"/>
      <c r="FF52" s="307"/>
      <c r="FG52" s="307"/>
      <c r="FH52" s="307"/>
      <c r="FI52" s="307"/>
      <c r="FJ52" s="307"/>
      <c r="FK52" s="307"/>
      <c r="FL52" s="307"/>
      <c r="FM52" s="307"/>
      <c r="FN52" s="307"/>
      <c r="FO52" s="307"/>
      <c r="FP52" s="307"/>
      <c r="FQ52" s="307"/>
      <c r="FR52" s="307"/>
      <c r="FS52" s="307"/>
      <c r="FT52" s="307"/>
      <c r="FU52" s="307"/>
      <c r="FV52" s="307"/>
      <c r="FW52" s="307"/>
      <c r="FX52" s="307"/>
      <c r="FY52" s="307"/>
      <c r="FZ52" s="307"/>
      <c r="GA52" s="307"/>
      <c r="GB52" s="307"/>
      <c r="GC52" s="307"/>
      <c r="GD52" s="307"/>
      <c r="GE52" s="307"/>
      <c r="GF52" s="307"/>
      <c r="GG52" s="307"/>
      <c r="GH52" s="307"/>
      <c r="GI52" s="307"/>
      <c r="GJ52" s="307"/>
      <c r="GK52" s="307"/>
      <c r="GL52" s="307"/>
      <c r="GM52" s="307"/>
      <c r="GN52" s="307"/>
      <c r="GO52" s="307"/>
      <c r="GP52" s="307"/>
      <c r="GQ52" s="307"/>
      <c r="GR52" s="307"/>
      <c r="GS52" s="307"/>
      <c r="GT52" s="307"/>
      <c r="GU52" s="307"/>
      <c r="GV52" s="307"/>
      <c r="GW52" s="307"/>
      <c r="GX52" s="307"/>
      <c r="GY52" s="307"/>
      <c r="GZ52" s="307"/>
      <c r="HA52" s="307"/>
      <c r="HB52" s="307"/>
      <c r="HC52" s="307"/>
      <c r="HD52" s="307"/>
      <c r="HE52" s="307"/>
      <c r="HF52" s="307"/>
      <c r="HG52" s="307"/>
      <c r="HH52" s="307"/>
      <c r="HI52" s="307"/>
      <c r="HJ52" s="307"/>
      <c r="HK52" s="307"/>
      <c r="HL52" s="307"/>
      <c r="HM52" s="307"/>
      <c r="HN52" s="307"/>
      <c r="HO52" s="307"/>
      <c r="HP52" s="307"/>
      <c r="HQ52" s="307"/>
      <c r="HR52" s="307"/>
      <c r="HS52" s="307"/>
      <c r="HT52" s="307"/>
      <c r="HU52" s="307"/>
      <c r="HV52" s="307"/>
      <c r="HW52" s="307"/>
      <c r="HX52" s="307"/>
      <c r="HY52" s="307"/>
      <c r="HZ52" s="307"/>
      <c r="IA52" s="307"/>
      <c r="IB52" s="307"/>
      <c r="IC52" s="307"/>
      <c r="ID52" s="307"/>
      <c r="IE52" s="307"/>
      <c r="IF52" s="307"/>
      <c r="IG52" s="307"/>
      <c r="IH52" s="307"/>
      <c r="II52" s="307"/>
      <c r="IJ52" s="307"/>
      <c r="IK52" s="307"/>
      <c r="IL52" s="307"/>
      <c r="IM52" s="307"/>
      <c r="IN52" s="307"/>
      <c r="IO52" s="307"/>
      <c r="IP52" s="307"/>
      <c r="IQ52" s="307"/>
      <c r="IR52" s="307"/>
      <c r="IS52" s="307"/>
      <c r="IT52" s="307"/>
      <c r="IU52" s="307"/>
    </row>
    <row r="53" spans="1:255">
      <c r="A53" s="324"/>
      <c r="B53" s="307" t="s">
        <v>217</v>
      </c>
      <c r="C53" s="310"/>
      <c r="D53" s="312">
        <f>+ROUND(E53*(1+$F$7),3)</f>
        <v>-1E-3</v>
      </c>
      <c r="E53" s="321">
        <v>-9.0999999999999998E-2</v>
      </c>
      <c r="F53" s="313">
        <f t="shared" ref="F53:F61" si="13">-1+D53/E53</f>
        <v>-0.98901098901098905</v>
      </c>
      <c r="G53" s="312"/>
      <c r="H53" s="312"/>
      <c r="I53" s="313"/>
      <c r="J53" s="312"/>
      <c r="K53" s="312"/>
      <c r="L53" s="313"/>
      <c r="M53" s="307"/>
      <c r="N53" s="307"/>
      <c r="O53" s="307"/>
      <c r="P53" s="307"/>
      <c r="Q53" s="307"/>
      <c r="R53" s="308"/>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c r="CB53" s="307"/>
      <c r="CC53" s="307"/>
      <c r="CD53" s="307"/>
      <c r="CE53" s="307"/>
      <c r="CF53" s="307"/>
      <c r="CG53" s="307"/>
      <c r="CH53" s="307"/>
      <c r="CI53" s="307"/>
      <c r="CJ53" s="307"/>
      <c r="CK53" s="307"/>
      <c r="CL53" s="307"/>
      <c r="CM53" s="307"/>
      <c r="CN53" s="307"/>
      <c r="CO53" s="307"/>
      <c r="CP53" s="307"/>
      <c r="CQ53" s="307"/>
      <c r="CR53" s="307"/>
      <c r="CS53" s="307"/>
      <c r="CT53" s="307"/>
      <c r="CU53" s="307"/>
      <c r="CV53" s="307"/>
      <c r="CW53" s="307"/>
      <c r="CX53" s="307"/>
      <c r="CY53" s="307"/>
      <c r="CZ53" s="307"/>
      <c r="DA53" s="307"/>
      <c r="DB53" s="307"/>
      <c r="DC53" s="307"/>
      <c r="DD53" s="307"/>
      <c r="DE53" s="307"/>
      <c r="DF53" s="307"/>
      <c r="DG53" s="307"/>
      <c r="DH53" s="307"/>
      <c r="DI53" s="307"/>
      <c r="DJ53" s="307"/>
      <c r="DK53" s="307"/>
      <c r="DL53" s="307"/>
      <c r="DM53" s="307"/>
      <c r="DN53" s="307"/>
      <c r="DO53" s="307"/>
      <c r="DP53" s="307"/>
      <c r="DQ53" s="307"/>
      <c r="DR53" s="307"/>
      <c r="DS53" s="307"/>
      <c r="DT53" s="307"/>
      <c r="DU53" s="307"/>
      <c r="DV53" s="307"/>
      <c r="DW53" s="307"/>
      <c r="DX53" s="307"/>
      <c r="DY53" s="307"/>
      <c r="DZ53" s="307"/>
      <c r="EA53" s="307"/>
      <c r="EB53" s="307"/>
      <c r="EC53" s="307"/>
      <c r="ED53" s="307"/>
      <c r="EE53" s="307"/>
      <c r="EF53" s="307"/>
      <c r="EG53" s="307"/>
      <c r="EH53" s="307"/>
      <c r="EI53" s="307"/>
      <c r="EJ53" s="307"/>
      <c r="EK53" s="307"/>
      <c r="EL53" s="307"/>
      <c r="EM53" s="307"/>
      <c r="EN53" s="307"/>
      <c r="EO53" s="307"/>
      <c r="EP53" s="307"/>
      <c r="EQ53" s="307"/>
      <c r="ER53" s="307"/>
      <c r="ES53" s="307"/>
      <c r="ET53" s="307"/>
      <c r="EU53" s="307"/>
      <c r="EV53" s="307"/>
      <c r="EW53" s="307"/>
      <c r="EX53" s="307"/>
      <c r="EY53" s="307"/>
      <c r="EZ53" s="307"/>
      <c r="FA53" s="307"/>
      <c r="FB53" s="307"/>
      <c r="FC53" s="307"/>
      <c r="FD53" s="307"/>
      <c r="FE53" s="307"/>
      <c r="FF53" s="307"/>
      <c r="FG53" s="307"/>
      <c r="FH53" s="307"/>
      <c r="FI53" s="307"/>
      <c r="FJ53" s="307"/>
      <c r="FK53" s="307"/>
      <c r="FL53" s="307"/>
      <c r="FM53" s="307"/>
      <c r="FN53" s="307"/>
      <c r="FO53" s="307"/>
      <c r="FP53" s="307"/>
      <c r="FQ53" s="307"/>
      <c r="FR53" s="307"/>
      <c r="FS53" s="307"/>
      <c r="FT53" s="307"/>
      <c r="FU53" s="307"/>
      <c r="FV53" s="307"/>
      <c r="FW53" s="307"/>
      <c r="FX53" s="307"/>
      <c r="FY53" s="307"/>
      <c r="FZ53" s="307"/>
      <c r="GA53" s="307"/>
      <c r="GB53" s="307"/>
      <c r="GC53" s="307"/>
      <c r="GD53" s="307"/>
      <c r="GE53" s="307"/>
      <c r="GF53" s="307"/>
      <c r="GG53" s="307"/>
      <c r="GH53" s="307"/>
      <c r="GI53" s="307"/>
      <c r="GJ53" s="307"/>
      <c r="GK53" s="307"/>
      <c r="GL53" s="307"/>
      <c r="GM53" s="307"/>
      <c r="GN53" s="307"/>
      <c r="GO53" s="307"/>
      <c r="GP53" s="307"/>
      <c r="GQ53" s="307"/>
      <c r="GR53" s="307"/>
      <c r="GS53" s="307"/>
      <c r="GT53" s="307"/>
      <c r="GU53" s="307"/>
      <c r="GV53" s="307"/>
      <c r="GW53" s="307"/>
      <c r="GX53" s="307"/>
      <c r="GY53" s="307"/>
      <c r="GZ53" s="307"/>
      <c r="HA53" s="307"/>
      <c r="HB53" s="307"/>
      <c r="HC53" s="307"/>
      <c r="HD53" s="307"/>
      <c r="HE53" s="307"/>
      <c r="HF53" s="307"/>
      <c r="HG53" s="307"/>
      <c r="HH53" s="307"/>
      <c r="HI53" s="307"/>
      <c r="HJ53" s="307"/>
      <c r="HK53" s="307"/>
      <c r="HL53" s="307"/>
      <c r="HM53" s="307"/>
      <c r="HN53" s="307"/>
      <c r="HO53" s="307"/>
      <c r="HP53" s="307"/>
      <c r="HQ53" s="307"/>
      <c r="HR53" s="307"/>
      <c r="HS53" s="307"/>
      <c r="HT53" s="307"/>
      <c r="HU53" s="307"/>
      <c r="HV53" s="307"/>
      <c r="HW53" s="307"/>
      <c r="HX53" s="307"/>
      <c r="HY53" s="307"/>
      <c r="HZ53" s="307"/>
      <c r="IA53" s="307"/>
      <c r="IB53" s="307"/>
      <c r="IC53" s="307"/>
      <c r="ID53" s="307"/>
      <c r="IE53" s="307"/>
      <c r="IF53" s="307"/>
      <c r="IG53" s="307"/>
      <c r="IH53" s="307"/>
      <c r="II53" s="307"/>
      <c r="IJ53" s="307"/>
      <c r="IK53" s="307"/>
      <c r="IL53" s="307"/>
      <c r="IM53" s="307"/>
      <c r="IN53" s="307"/>
      <c r="IO53" s="307"/>
      <c r="IP53" s="307"/>
      <c r="IQ53" s="307"/>
      <c r="IR53" s="307"/>
      <c r="IS53" s="307"/>
      <c r="IT53" s="307"/>
      <c r="IU53" s="307"/>
    </row>
    <row r="54" spans="1:255">
      <c r="A54" s="324"/>
      <c r="B54" s="307" t="s">
        <v>218</v>
      </c>
      <c r="C54" s="310"/>
      <c r="D54" s="312">
        <f t="shared" ref="D54:D61" si="14">+ROUND(E54*(1+$F$7),3)</f>
        <v>-2E-3</v>
      </c>
      <c r="E54" s="321">
        <v>-0.13800000000000001</v>
      </c>
      <c r="F54" s="313">
        <f t="shared" si="13"/>
        <v>-0.98550724637681164</v>
      </c>
      <c r="G54" s="312"/>
      <c r="H54" s="312"/>
      <c r="I54" s="313"/>
      <c r="J54" s="312"/>
      <c r="K54" s="312"/>
      <c r="L54" s="313"/>
      <c r="M54" s="307"/>
      <c r="N54" s="307"/>
      <c r="O54" s="307"/>
      <c r="P54" s="307"/>
      <c r="Q54" s="307"/>
      <c r="R54" s="308"/>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307"/>
      <c r="DW54" s="307"/>
      <c r="DX54" s="307"/>
      <c r="DY54" s="307"/>
      <c r="DZ54" s="307"/>
      <c r="EA54" s="307"/>
      <c r="EB54" s="307"/>
      <c r="EC54" s="307"/>
      <c r="ED54" s="307"/>
      <c r="EE54" s="307"/>
      <c r="EF54" s="307"/>
      <c r="EG54" s="307"/>
      <c r="EH54" s="307"/>
      <c r="EI54" s="307"/>
      <c r="EJ54" s="307"/>
      <c r="EK54" s="307"/>
      <c r="EL54" s="307"/>
      <c r="EM54" s="307"/>
      <c r="EN54" s="307"/>
      <c r="EO54" s="307"/>
      <c r="EP54" s="307"/>
      <c r="EQ54" s="307"/>
      <c r="ER54" s="307"/>
      <c r="ES54" s="307"/>
      <c r="ET54" s="307"/>
      <c r="EU54" s="307"/>
      <c r="EV54" s="307"/>
      <c r="EW54" s="307"/>
      <c r="EX54" s="307"/>
      <c r="EY54" s="307"/>
      <c r="EZ54" s="307"/>
      <c r="FA54" s="307"/>
      <c r="FB54" s="307"/>
      <c r="FC54" s="307"/>
      <c r="FD54" s="307"/>
      <c r="FE54" s="307"/>
      <c r="FF54" s="307"/>
      <c r="FG54" s="307"/>
      <c r="FH54" s="307"/>
      <c r="FI54" s="307"/>
      <c r="FJ54" s="307"/>
      <c r="FK54" s="307"/>
      <c r="FL54" s="307"/>
      <c r="FM54" s="307"/>
      <c r="FN54" s="307"/>
      <c r="FO54" s="307"/>
      <c r="FP54" s="307"/>
      <c r="FQ54" s="307"/>
      <c r="FR54" s="307"/>
      <c r="FS54" s="307"/>
      <c r="FT54" s="307"/>
      <c r="FU54" s="307"/>
      <c r="FV54" s="307"/>
      <c r="FW54" s="307"/>
      <c r="FX54" s="307"/>
      <c r="FY54" s="307"/>
      <c r="FZ54" s="307"/>
      <c r="GA54" s="307"/>
      <c r="GB54" s="307"/>
      <c r="GC54" s="307"/>
      <c r="GD54" s="307"/>
      <c r="GE54" s="307"/>
      <c r="GF54" s="307"/>
      <c r="GG54" s="307"/>
      <c r="GH54" s="307"/>
      <c r="GI54" s="307"/>
      <c r="GJ54" s="307"/>
      <c r="GK54" s="307"/>
      <c r="GL54" s="307"/>
      <c r="GM54" s="307"/>
      <c r="GN54" s="307"/>
      <c r="GO54" s="307"/>
      <c r="GP54" s="307"/>
      <c r="GQ54" s="307"/>
      <c r="GR54" s="307"/>
      <c r="GS54" s="307"/>
      <c r="GT54" s="307"/>
      <c r="GU54" s="307"/>
      <c r="GV54" s="307"/>
      <c r="GW54" s="307"/>
      <c r="GX54" s="307"/>
      <c r="GY54" s="307"/>
      <c r="GZ54" s="307"/>
      <c r="HA54" s="307"/>
      <c r="HB54" s="307"/>
      <c r="HC54" s="307"/>
      <c r="HD54" s="307"/>
      <c r="HE54" s="307"/>
      <c r="HF54" s="307"/>
      <c r="HG54" s="307"/>
      <c r="HH54" s="307"/>
      <c r="HI54" s="307"/>
      <c r="HJ54" s="307"/>
      <c r="HK54" s="307"/>
      <c r="HL54" s="307"/>
      <c r="HM54" s="307"/>
      <c r="HN54" s="307"/>
      <c r="HO54" s="307"/>
      <c r="HP54" s="307"/>
      <c r="HQ54" s="307"/>
      <c r="HR54" s="307"/>
      <c r="HS54" s="307"/>
      <c r="HT54" s="307"/>
      <c r="HU54" s="307"/>
      <c r="HV54" s="307"/>
      <c r="HW54" s="307"/>
      <c r="HX54" s="307"/>
      <c r="HY54" s="307"/>
      <c r="HZ54" s="307"/>
      <c r="IA54" s="307"/>
      <c r="IB54" s="307"/>
      <c r="IC54" s="307"/>
      <c r="ID54" s="307"/>
      <c r="IE54" s="307"/>
      <c r="IF54" s="307"/>
      <c r="IG54" s="307"/>
      <c r="IH54" s="307"/>
      <c r="II54" s="307"/>
      <c r="IJ54" s="307"/>
      <c r="IK54" s="307"/>
      <c r="IL54" s="307"/>
      <c r="IM54" s="307"/>
      <c r="IN54" s="307"/>
      <c r="IO54" s="307"/>
      <c r="IP54" s="307"/>
      <c r="IQ54" s="307"/>
      <c r="IR54" s="307"/>
      <c r="IS54" s="307"/>
      <c r="IT54" s="307"/>
      <c r="IU54" s="307"/>
    </row>
    <row r="55" spans="1:255">
      <c r="A55" s="324"/>
      <c r="B55" s="307" t="s">
        <v>219</v>
      </c>
      <c r="C55" s="310"/>
      <c r="D55" s="312">
        <f t="shared" si="14"/>
        <v>-3.0000000000000001E-3</v>
      </c>
      <c r="E55" s="321">
        <v>-0.27500000000000002</v>
      </c>
      <c r="F55" s="313">
        <f t="shared" si="13"/>
        <v>-0.98909090909090913</v>
      </c>
      <c r="G55" s="312"/>
      <c r="H55" s="312"/>
      <c r="I55" s="313"/>
      <c r="J55" s="312"/>
      <c r="K55" s="312"/>
      <c r="L55" s="313"/>
      <c r="M55" s="307"/>
      <c r="N55" s="307"/>
      <c r="O55" s="307"/>
      <c r="P55" s="307"/>
      <c r="Q55" s="307"/>
      <c r="R55" s="308"/>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c r="CB55" s="307"/>
      <c r="CC55" s="307"/>
      <c r="CD55" s="307"/>
      <c r="CE55" s="307"/>
      <c r="CF55" s="307"/>
      <c r="CG55" s="307"/>
      <c r="CH55" s="307"/>
      <c r="CI55" s="307"/>
      <c r="CJ55" s="307"/>
      <c r="CK55" s="307"/>
      <c r="CL55" s="307"/>
      <c r="CM55" s="307"/>
      <c r="CN55" s="307"/>
      <c r="CO55" s="307"/>
      <c r="CP55" s="307"/>
      <c r="CQ55" s="307"/>
      <c r="CR55" s="307"/>
      <c r="CS55" s="307"/>
      <c r="CT55" s="307"/>
      <c r="CU55" s="307"/>
      <c r="CV55" s="307"/>
      <c r="CW55" s="307"/>
      <c r="CX55" s="307"/>
      <c r="CY55" s="307"/>
      <c r="CZ55" s="307"/>
      <c r="DA55" s="307"/>
      <c r="DB55" s="307"/>
      <c r="DC55" s="307"/>
      <c r="DD55" s="307"/>
      <c r="DE55" s="307"/>
      <c r="DF55" s="307"/>
      <c r="DG55" s="307"/>
      <c r="DH55" s="307"/>
      <c r="DI55" s="307"/>
      <c r="DJ55" s="307"/>
      <c r="DK55" s="307"/>
      <c r="DL55" s="307"/>
      <c r="DM55" s="307"/>
      <c r="DN55" s="307"/>
      <c r="DO55" s="307"/>
      <c r="DP55" s="307"/>
      <c r="DQ55" s="307"/>
      <c r="DR55" s="307"/>
      <c r="DS55" s="307"/>
      <c r="DT55" s="307"/>
      <c r="DU55" s="307"/>
      <c r="DV55" s="307"/>
      <c r="DW55" s="307"/>
      <c r="DX55" s="307"/>
      <c r="DY55" s="307"/>
      <c r="DZ55" s="307"/>
      <c r="EA55" s="307"/>
      <c r="EB55" s="307"/>
      <c r="EC55" s="307"/>
      <c r="ED55" s="307"/>
      <c r="EE55" s="307"/>
      <c r="EF55" s="307"/>
      <c r="EG55" s="307"/>
      <c r="EH55" s="307"/>
      <c r="EI55" s="307"/>
      <c r="EJ55" s="307"/>
      <c r="EK55" s="307"/>
      <c r="EL55" s="307"/>
      <c r="EM55" s="307"/>
      <c r="EN55" s="307"/>
      <c r="EO55" s="307"/>
      <c r="EP55" s="307"/>
      <c r="EQ55" s="307"/>
      <c r="ER55" s="307"/>
      <c r="ES55" s="307"/>
      <c r="ET55" s="307"/>
      <c r="EU55" s="307"/>
      <c r="EV55" s="307"/>
      <c r="EW55" s="307"/>
      <c r="EX55" s="307"/>
      <c r="EY55" s="307"/>
      <c r="EZ55" s="307"/>
      <c r="FA55" s="307"/>
      <c r="FB55" s="307"/>
      <c r="FC55" s="307"/>
      <c r="FD55" s="307"/>
      <c r="FE55" s="307"/>
      <c r="FF55" s="307"/>
      <c r="FG55" s="307"/>
      <c r="FH55" s="307"/>
      <c r="FI55" s="307"/>
      <c r="FJ55" s="307"/>
      <c r="FK55" s="307"/>
      <c r="FL55" s="307"/>
      <c r="FM55" s="307"/>
      <c r="FN55" s="307"/>
      <c r="FO55" s="307"/>
      <c r="FP55" s="307"/>
      <c r="FQ55" s="307"/>
      <c r="FR55" s="307"/>
      <c r="FS55" s="307"/>
      <c r="FT55" s="307"/>
      <c r="FU55" s="307"/>
      <c r="FV55" s="307"/>
      <c r="FW55" s="307"/>
      <c r="FX55" s="307"/>
      <c r="FY55" s="307"/>
      <c r="FZ55" s="307"/>
      <c r="GA55" s="307"/>
      <c r="GB55" s="307"/>
      <c r="GC55" s="307"/>
      <c r="GD55" s="307"/>
      <c r="GE55" s="307"/>
      <c r="GF55" s="307"/>
      <c r="GG55" s="307"/>
      <c r="GH55" s="307"/>
      <c r="GI55" s="307"/>
      <c r="GJ55" s="307"/>
      <c r="GK55" s="307"/>
      <c r="GL55" s="307"/>
      <c r="GM55" s="307"/>
      <c r="GN55" s="307"/>
      <c r="GO55" s="307"/>
      <c r="GP55" s="307"/>
      <c r="GQ55" s="307"/>
      <c r="GR55" s="307"/>
      <c r="GS55" s="307"/>
      <c r="GT55" s="307"/>
      <c r="GU55" s="307"/>
      <c r="GV55" s="307"/>
      <c r="GW55" s="307"/>
      <c r="GX55" s="307"/>
      <c r="GY55" s="307"/>
      <c r="GZ55" s="307"/>
      <c r="HA55" s="307"/>
      <c r="HB55" s="307"/>
      <c r="HC55" s="307"/>
      <c r="HD55" s="307"/>
      <c r="HE55" s="307"/>
      <c r="HF55" s="307"/>
      <c r="HG55" s="307"/>
      <c r="HH55" s="307"/>
      <c r="HI55" s="307"/>
      <c r="HJ55" s="307"/>
      <c r="HK55" s="307"/>
      <c r="HL55" s="307"/>
      <c r="HM55" s="307"/>
      <c r="HN55" s="307"/>
      <c r="HO55" s="307"/>
      <c r="HP55" s="307"/>
      <c r="HQ55" s="307"/>
      <c r="HR55" s="307"/>
      <c r="HS55" s="307"/>
      <c r="HT55" s="307"/>
      <c r="HU55" s="307"/>
      <c r="HV55" s="307"/>
      <c r="HW55" s="307"/>
      <c r="HX55" s="307"/>
      <c r="HY55" s="307"/>
      <c r="HZ55" s="307"/>
      <c r="IA55" s="307"/>
      <c r="IB55" s="307"/>
      <c r="IC55" s="307"/>
      <c r="ID55" s="307"/>
      <c r="IE55" s="307"/>
      <c r="IF55" s="307"/>
      <c r="IG55" s="307"/>
      <c r="IH55" s="307"/>
      <c r="II55" s="307"/>
      <c r="IJ55" s="307"/>
      <c r="IK55" s="307"/>
      <c r="IL55" s="307"/>
      <c r="IM55" s="307"/>
      <c r="IN55" s="307"/>
      <c r="IO55" s="307"/>
      <c r="IP55" s="307"/>
      <c r="IQ55" s="307"/>
      <c r="IR55" s="307"/>
      <c r="IS55" s="307"/>
      <c r="IT55" s="307"/>
      <c r="IU55" s="307"/>
    </row>
    <row r="56" spans="1:255">
      <c r="A56" s="324"/>
      <c r="B56" s="307" t="s">
        <v>220</v>
      </c>
      <c r="C56" s="310"/>
      <c r="D56" s="312">
        <f t="shared" si="14"/>
        <v>-4.0000000000000001E-3</v>
      </c>
      <c r="E56" s="321">
        <v>-0.32300000000000001</v>
      </c>
      <c r="F56" s="313">
        <f t="shared" si="13"/>
        <v>-0.9876160990712074</v>
      </c>
      <c r="G56" s="312"/>
      <c r="H56" s="312"/>
      <c r="I56" s="313"/>
      <c r="J56" s="312"/>
      <c r="K56" s="312"/>
      <c r="L56" s="313"/>
      <c r="M56" s="307"/>
      <c r="N56" s="307"/>
      <c r="O56" s="307"/>
      <c r="P56" s="307"/>
      <c r="Q56" s="307"/>
      <c r="R56" s="308"/>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c r="CS56" s="307"/>
      <c r="CT56" s="307"/>
      <c r="CU56" s="307"/>
      <c r="CV56" s="307"/>
      <c r="CW56" s="307"/>
      <c r="CX56" s="307"/>
      <c r="CY56" s="307"/>
      <c r="CZ56" s="307"/>
      <c r="DA56" s="307"/>
      <c r="DB56" s="307"/>
      <c r="DC56" s="307"/>
      <c r="DD56" s="307"/>
      <c r="DE56" s="307"/>
      <c r="DF56" s="307"/>
      <c r="DG56" s="307"/>
      <c r="DH56" s="307"/>
      <c r="DI56" s="307"/>
      <c r="DJ56" s="307"/>
      <c r="DK56" s="307"/>
      <c r="DL56" s="307"/>
      <c r="DM56" s="307"/>
      <c r="DN56" s="307"/>
      <c r="DO56" s="307"/>
      <c r="DP56" s="307"/>
      <c r="DQ56" s="307"/>
      <c r="DR56" s="307"/>
      <c r="DS56" s="307"/>
      <c r="DT56" s="307"/>
      <c r="DU56" s="307"/>
      <c r="DV56" s="307"/>
      <c r="DW56" s="307"/>
      <c r="DX56" s="307"/>
      <c r="DY56" s="307"/>
      <c r="DZ56" s="307"/>
      <c r="EA56" s="307"/>
      <c r="EB56" s="307"/>
      <c r="EC56" s="307"/>
      <c r="ED56" s="307"/>
      <c r="EE56" s="307"/>
      <c r="EF56" s="307"/>
      <c r="EG56" s="307"/>
      <c r="EH56" s="307"/>
      <c r="EI56" s="307"/>
      <c r="EJ56" s="307"/>
      <c r="EK56" s="307"/>
      <c r="EL56" s="307"/>
      <c r="EM56" s="307"/>
      <c r="EN56" s="307"/>
      <c r="EO56" s="307"/>
      <c r="EP56" s="307"/>
      <c r="EQ56" s="307"/>
      <c r="ER56" s="307"/>
      <c r="ES56" s="307"/>
      <c r="ET56" s="307"/>
      <c r="EU56" s="307"/>
      <c r="EV56" s="307"/>
      <c r="EW56" s="307"/>
      <c r="EX56" s="307"/>
      <c r="EY56" s="307"/>
      <c r="EZ56" s="307"/>
      <c r="FA56" s="307"/>
      <c r="FB56" s="307"/>
      <c r="FC56" s="307"/>
      <c r="FD56" s="307"/>
      <c r="FE56" s="307"/>
      <c r="FF56" s="307"/>
      <c r="FG56" s="307"/>
      <c r="FH56" s="307"/>
      <c r="FI56" s="307"/>
      <c r="FJ56" s="307"/>
      <c r="FK56" s="307"/>
      <c r="FL56" s="307"/>
      <c r="FM56" s="307"/>
      <c r="FN56" s="307"/>
      <c r="FO56" s="307"/>
      <c r="FP56" s="307"/>
      <c r="FQ56" s="307"/>
      <c r="FR56" s="307"/>
      <c r="FS56" s="307"/>
      <c r="FT56" s="307"/>
      <c r="FU56" s="307"/>
      <c r="FV56" s="307"/>
      <c r="FW56" s="307"/>
      <c r="FX56" s="307"/>
      <c r="FY56" s="307"/>
      <c r="FZ56" s="307"/>
      <c r="GA56" s="307"/>
      <c r="GB56" s="307"/>
      <c r="GC56" s="307"/>
      <c r="GD56" s="307"/>
      <c r="GE56" s="307"/>
      <c r="GF56" s="307"/>
      <c r="GG56" s="307"/>
      <c r="GH56" s="307"/>
      <c r="GI56" s="307"/>
      <c r="GJ56" s="307"/>
      <c r="GK56" s="307"/>
      <c r="GL56" s="307"/>
      <c r="GM56" s="307"/>
      <c r="GN56" s="307"/>
      <c r="GO56" s="307"/>
      <c r="GP56" s="307"/>
      <c r="GQ56" s="307"/>
      <c r="GR56" s="307"/>
      <c r="GS56" s="307"/>
      <c r="GT56" s="307"/>
      <c r="GU56" s="307"/>
      <c r="GV56" s="307"/>
      <c r="GW56" s="307"/>
      <c r="GX56" s="307"/>
      <c r="GY56" s="307"/>
      <c r="GZ56" s="307"/>
      <c r="HA56" s="307"/>
      <c r="HB56" s="307"/>
      <c r="HC56" s="307"/>
      <c r="HD56" s="307"/>
      <c r="HE56" s="307"/>
      <c r="HF56" s="307"/>
      <c r="HG56" s="307"/>
      <c r="HH56" s="307"/>
      <c r="HI56" s="307"/>
      <c r="HJ56" s="307"/>
      <c r="HK56" s="307"/>
      <c r="HL56" s="307"/>
      <c r="HM56" s="307"/>
      <c r="HN56" s="307"/>
      <c r="HO56" s="307"/>
      <c r="HP56" s="307"/>
      <c r="HQ56" s="307"/>
      <c r="HR56" s="307"/>
      <c r="HS56" s="307"/>
      <c r="HT56" s="307"/>
      <c r="HU56" s="307"/>
      <c r="HV56" s="307"/>
      <c r="HW56" s="307"/>
      <c r="HX56" s="307"/>
      <c r="HY56" s="307"/>
      <c r="HZ56" s="307"/>
      <c r="IA56" s="307"/>
      <c r="IB56" s="307"/>
      <c r="IC56" s="307"/>
      <c r="ID56" s="307"/>
      <c r="IE56" s="307"/>
      <c r="IF56" s="307"/>
      <c r="IG56" s="307"/>
      <c r="IH56" s="307"/>
      <c r="II56" s="307"/>
      <c r="IJ56" s="307"/>
      <c r="IK56" s="307"/>
      <c r="IL56" s="307"/>
      <c r="IM56" s="307"/>
      <c r="IN56" s="307"/>
      <c r="IO56" s="307"/>
      <c r="IP56" s="307"/>
      <c r="IQ56" s="307"/>
      <c r="IR56" s="307"/>
      <c r="IS56" s="307"/>
      <c r="IT56" s="307"/>
      <c r="IU56" s="307"/>
    </row>
    <row r="57" spans="1:255">
      <c r="A57" s="324"/>
      <c r="B57" s="307" t="s">
        <v>221</v>
      </c>
      <c r="C57" s="310"/>
      <c r="D57" s="312">
        <f t="shared" si="14"/>
        <v>-5.0000000000000001E-3</v>
      </c>
      <c r="E57" s="321">
        <v>-0.41699999999999998</v>
      </c>
      <c r="F57" s="313">
        <f t="shared" si="13"/>
        <v>-0.98800959232613905</v>
      </c>
      <c r="G57" s="312"/>
      <c r="H57" s="312"/>
      <c r="I57" s="313"/>
      <c r="J57" s="312"/>
      <c r="K57" s="312"/>
      <c r="L57" s="313"/>
      <c r="M57" s="307"/>
      <c r="N57" s="307"/>
      <c r="O57" s="307"/>
      <c r="P57" s="307"/>
      <c r="Q57" s="307"/>
      <c r="R57" s="308"/>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c r="CB57" s="307"/>
      <c r="CC57" s="307"/>
      <c r="CD57" s="307"/>
      <c r="CE57" s="307"/>
      <c r="CF57" s="307"/>
      <c r="CG57" s="307"/>
      <c r="CH57" s="307"/>
      <c r="CI57" s="307"/>
      <c r="CJ57" s="307"/>
      <c r="CK57" s="307"/>
      <c r="CL57" s="307"/>
      <c r="CM57" s="307"/>
      <c r="CN57" s="307"/>
      <c r="CO57" s="307"/>
      <c r="CP57" s="307"/>
      <c r="CQ57" s="307"/>
      <c r="CR57" s="307"/>
      <c r="CS57" s="307"/>
      <c r="CT57" s="307"/>
      <c r="CU57" s="307"/>
      <c r="CV57" s="307"/>
      <c r="CW57" s="307"/>
      <c r="CX57" s="307"/>
      <c r="CY57" s="307"/>
      <c r="CZ57" s="307"/>
      <c r="DA57" s="307"/>
      <c r="DB57" s="307"/>
      <c r="DC57" s="307"/>
      <c r="DD57" s="307"/>
      <c r="DE57" s="307"/>
      <c r="DF57" s="307"/>
      <c r="DG57" s="307"/>
      <c r="DH57" s="307"/>
      <c r="DI57" s="307"/>
      <c r="DJ57" s="307"/>
      <c r="DK57" s="307"/>
      <c r="DL57" s="307"/>
      <c r="DM57" s="307"/>
      <c r="DN57" s="307"/>
      <c r="DO57" s="307"/>
      <c r="DP57" s="307"/>
      <c r="DQ57" s="307"/>
      <c r="DR57" s="307"/>
      <c r="DS57" s="307"/>
      <c r="DT57" s="307"/>
      <c r="DU57" s="307"/>
      <c r="DV57" s="307"/>
      <c r="DW57" s="307"/>
      <c r="DX57" s="307"/>
      <c r="DY57" s="307"/>
      <c r="DZ57" s="307"/>
      <c r="EA57" s="307"/>
      <c r="EB57" s="307"/>
      <c r="EC57" s="307"/>
      <c r="ED57" s="307"/>
      <c r="EE57" s="307"/>
      <c r="EF57" s="307"/>
      <c r="EG57" s="307"/>
      <c r="EH57" s="307"/>
      <c r="EI57" s="307"/>
      <c r="EJ57" s="307"/>
      <c r="EK57" s="307"/>
      <c r="EL57" s="307"/>
      <c r="EM57" s="307"/>
      <c r="EN57" s="307"/>
      <c r="EO57" s="307"/>
      <c r="EP57" s="307"/>
      <c r="EQ57" s="307"/>
      <c r="ER57" s="307"/>
      <c r="ES57" s="307"/>
      <c r="ET57" s="307"/>
      <c r="EU57" s="307"/>
      <c r="EV57" s="307"/>
      <c r="EW57" s="307"/>
      <c r="EX57" s="307"/>
      <c r="EY57" s="307"/>
      <c r="EZ57" s="307"/>
      <c r="FA57" s="307"/>
      <c r="FB57" s="307"/>
      <c r="FC57" s="307"/>
      <c r="FD57" s="307"/>
      <c r="FE57" s="307"/>
      <c r="FF57" s="307"/>
      <c r="FG57" s="307"/>
      <c r="FH57" s="307"/>
      <c r="FI57" s="307"/>
      <c r="FJ57" s="307"/>
      <c r="FK57" s="307"/>
      <c r="FL57" s="307"/>
      <c r="FM57" s="307"/>
      <c r="FN57" s="307"/>
      <c r="FO57" s="307"/>
      <c r="FP57" s="307"/>
      <c r="FQ57" s="307"/>
      <c r="FR57" s="307"/>
      <c r="FS57" s="307"/>
      <c r="FT57" s="307"/>
      <c r="FU57" s="307"/>
      <c r="FV57" s="307"/>
      <c r="FW57" s="307"/>
      <c r="FX57" s="307"/>
      <c r="FY57" s="307"/>
      <c r="FZ57" s="307"/>
      <c r="GA57" s="307"/>
      <c r="GB57" s="307"/>
      <c r="GC57" s="307"/>
      <c r="GD57" s="307"/>
      <c r="GE57" s="307"/>
      <c r="GF57" s="307"/>
      <c r="GG57" s="307"/>
      <c r="GH57" s="307"/>
      <c r="GI57" s="307"/>
      <c r="GJ57" s="307"/>
      <c r="GK57" s="307"/>
      <c r="GL57" s="307"/>
      <c r="GM57" s="307"/>
      <c r="GN57" s="307"/>
      <c r="GO57" s="307"/>
      <c r="GP57" s="307"/>
      <c r="GQ57" s="307"/>
      <c r="GR57" s="307"/>
      <c r="GS57" s="307"/>
      <c r="GT57" s="307"/>
      <c r="GU57" s="307"/>
      <c r="GV57" s="307"/>
      <c r="GW57" s="307"/>
      <c r="GX57" s="307"/>
      <c r="GY57" s="307"/>
      <c r="GZ57" s="307"/>
      <c r="HA57" s="307"/>
      <c r="HB57" s="307"/>
      <c r="HC57" s="307"/>
      <c r="HD57" s="307"/>
      <c r="HE57" s="307"/>
      <c r="HF57" s="307"/>
      <c r="HG57" s="307"/>
      <c r="HH57" s="307"/>
      <c r="HI57" s="307"/>
      <c r="HJ57" s="307"/>
      <c r="HK57" s="307"/>
      <c r="HL57" s="307"/>
      <c r="HM57" s="307"/>
      <c r="HN57" s="307"/>
      <c r="HO57" s="307"/>
      <c r="HP57" s="307"/>
      <c r="HQ57" s="307"/>
      <c r="HR57" s="307"/>
      <c r="HS57" s="307"/>
      <c r="HT57" s="307"/>
      <c r="HU57" s="307"/>
      <c r="HV57" s="307"/>
      <c r="HW57" s="307"/>
      <c r="HX57" s="307"/>
      <c r="HY57" s="307"/>
      <c r="HZ57" s="307"/>
      <c r="IA57" s="307"/>
      <c r="IB57" s="307"/>
      <c r="IC57" s="307"/>
      <c r="ID57" s="307"/>
      <c r="IE57" s="307"/>
      <c r="IF57" s="307"/>
      <c r="IG57" s="307"/>
      <c r="IH57" s="307"/>
      <c r="II57" s="307"/>
      <c r="IJ57" s="307"/>
      <c r="IK57" s="307"/>
      <c r="IL57" s="307"/>
      <c r="IM57" s="307"/>
      <c r="IN57" s="307"/>
      <c r="IO57" s="307"/>
      <c r="IP57" s="307"/>
      <c r="IQ57" s="307"/>
      <c r="IR57" s="307"/>
      <c r="IS57" s="307"/>
      <c r="IT57" s="307"/>
      <c r="IU57" s="307"/>
    </row>
    <row r="58" spans="1:255">
      <c r="A58" s="324"/>
      <c r="B58" s="307" t="s">
        <v>222</v>
      </c>
      <c r="C58" s="310"/>
      <c r="D58" s="312">
        <f t="shared" si="14"/>
        <v>-6.0000000000000001E-3</v>
      </c>
      <c r="E58" s="321">
        <v>-0.57999999999999996</v>
      </c>
      <c r="F58" s="313">
        <f t="shared" si="13"/>
        <v>-0.98965517241379308</v>
      </c>
      <c r="G58" s="312"/>
      <c r="H58" s="312"/>
      <c r="I58" s="313"/>
      <c r="J58" s="312"/>
      <c r="K58" s="312"/>
      <c r="L58" s="313"/>
      <c r="M58" s="307"/>
      <c r="N58" s="307"/>
      <c r="O58" s="307"/>
      <c r="P58" s="307"/>
      <c r="Q58" s="307"/>
      <c r="R58" s="308"/>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c r="EN58" s="307"/>
      <c r="EO58" s="307"/>
      <c r="EP58" s="307"/>
      <c r="EQ58" s="307"/>
      <c r="ER58" s="307"/>
      <c r="ES58" s="307"/>
      <c r="ET58" s="307"/>
      <c r="EU58" s="307"/>
      <c r="EV58" s="307"/>
      <c r="EW58" s="307"/>
      <c r="EX58" s="307"/>
      <c r="EY58" s="307"/>
      <c r="EZ58" s="307"/>
      <c r="FA58" s="307"/>
      <c r="FB58" s="307"/>
      <c r="FC58" s="307"/>
      <c r="FD58" s="307"/>
      <c r="FE58" s="307"/>
      <c r="FF58" s="307"/>
      <c r="FG58" s="307"/>
      <c r="FH58" s="307"/>
      <c r="FI58" s="307"/>
      <c r="FJ58" s="307"/>
      <c r="FK58" s="307"/>
      <c r="FL58" s="307"/>
      <c r="FM58" s="307"/>
      <c r="FN58" s="307"/>
      <c r="FO58" s="307"/>
      <c r="FP58" s="307"/>
      <c r="FQ58" s="307"/>
      <c r="FR58" s="307"/>
      <c r="FS58" s="307"/>
      <c r="FT58" s="307"/>
      <c r="FU58" s="307"/>
      <c r="FV58" s="307"/>
      <c r="FW58" s="307"/>
      <c r="FX58" s="307"/>
      <c r="FY58" s="307"/>
      <c r="FZ58" s="307"/>
      <c r="GA58" s="307"/>
      <c r="GB58" s="307"/>
      <c r="GC58" s="307"/>
      <c r="GD58" s="307"/>
      <c r="GE58" s="307"/>
      <c r="GF58" s="307"/>
      <c r="GG58" s="307"/>
      <c r="GH58" s="307"/>
      <c r="GI58" s="307"/>
      <c r="GJ58" s="307"/>
      <c r="GK58" s="307"/>
      <c r="GL58" s="307"/>
      <c r="GM58" s="307"/>
      <c r="GN58" s="307"/>
      <c r="GO58" s="307"/>
      <c r="GP58" s="307"/>
      <c r="GQ58" s="307"/>
      <c r="GR58" s="307"/>
      <c r="GS58" s="307"/>
      <c r="GT58" s="307"/>
      <c r="GU58" s="307"/>
      <c r="GV58" s="307"/>
      <c r="GW58" s="307"/>
      <c r="GX58" s="307"/>
      <c r="GY58" s="307"/>
      <c r="GZ58" s="307"/>
      <c r="HA58" s="307"/>
      <c r="HB58" s="307"/>
      <c r="HC58" s="307"/>
      <c r="HD58" s="307"/>
      <c r="HE58" s="307"/>
      <c r="HF58" s="307"/>
      <c r="HG58" s="307"/>
      <c r="HH58" s="307"/>
      <c r="HI58" s="307"/>
      <c r="HJ58" s="307"/>
      <c r="HK58" s="307"/>
      <c r="HL58" s="307"/>
      <c r="HM58" s="307"/>
      <c r="HN58" s="307"/>
      <c r="HO58" s="307"/>
      <c r="HP58" s="307"/>
      <c r="HQ58" s="307"/>
      <c r="HR58" s="307"/>
      <c r="HS58" s="307"/>
      <c r="HT58" s="307"/>
      <c r="HU58" s="307"/>
      <c r="HV58" s="307"/>
      <c r="HW58" s="307"/>
      <c r="HX58" s="307"/>
      <c r="HY58" s="307"/>
      <c r="HZ58" s="307"/>
      <c r="IA58" s="307"/>
      <c r="IB58" s="307"/>
      <c r="IC58" s="307"/>
      <c r="ID58" s="307"/>
      <c r="IE58" s="307"/>
      <c r="IF58" s="307"/>
      <c r="IG58" s="307"/>
      <c r="IH58" s="307"/>
      <c r="II58" s="307"/>
      <c r="IJ58" s="307"/>
      <c r="IK58" s="307"/>
      <c r="IL58" s="307"/>
      <c r="IM58" s="307"/>
      <c r="IN58" s="307"/>
      <c r="IO58" s="307"/>
      <c r="IP58" s="307"/>
      <c r="IQ58" s="307"/>
      <c r="IR58" s="307"/>
      <c r="IS58" s="307"/>
      <c r="IT58" s="307"/>
      <c r="IU58" s="307"/>
    </row>
    <row r="59" spans="1:255">
      <c r="A59" s="324"/>
      <c r="B59" s="307" t="s">
        <v>223</v>
      </c>
      <c r="C59" s="310"/>
      <c r="D59" s="312">
        <f t="shared" si="14"/>
        <v>-8.0000000000000002E-3</v>
      </c>
      <c r="E59" s="321">
        <v>-0.69199999999999995</v>
      </c>
      <c r="F59" s="313">
        <f t="shared" si="13"/>
        <v>-0.98843930635838151</v>
      </c>
      <c r="G59" s="312"/>
      <c r="H59" s="312"/>
      <c r="I59" s="313"/>
      <c r="J59" s="312"/>
      <c r="K59" s="312"/>
      <c r="L59" s="313"/>
      <c r="M59" s="307"/>
      <c r="N59" s="307"/>
      <c r="O59" s="307"/>
      <c r="P59" s="307"/>
      <c r="Q59" s="307"/>
      <c r="R59" s="308"/>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7"/>
      <c r="DK59" s="307"/>
      <c r="DL59" s="307"/>
      <c r="DM59" s="307"/>
      <c r="DN59" s="307"/>
      <c r="DO59" s="307"/>
      <c r="DP59" s="307"/>
      <c r="DQ59" s="307"/>
      <c r="DR59" s="307"/>
      <c r="DS59" s="307"/>
      <c r="DT59" s="307"/>
      <c r="DU59" s="307"/>
      <c r="DV59" s="307"/>
      <c r="DW59" s="307"/>
      <c r="DX59" s="307"/>
      <c r="DY59" s="307"/>
      <c r="DZ59" s="307"/>
      <c r="EA59" s="307"/>
      <c r="EB59" s="307"/>
      <c r="EC59" s="307"/>
      <c r="ED59" s="307"/>
      <c r="EE59" s="307"/>
      <c r="EF59" s="307"/>
      <c r="EG59" s="307"/>
      <c r="EH59" s="307"/>
      <c r="EI59" s="307"/>
      <c r="EJ59" s="307"/>
      <c r="EK59" s="307"/>
      <c r="EL59" s="307"/>
      <c r="EM59" s="307"/>
      <c r="EN59" s="307"/>
      <c r="EO59" s="307"/>
      <c r="EP59" s="307"/>
      <c r="EQ59" s="307"/>
      <c r="ER59" s="307"/>
      <c r="ES59" s="307"/>
      <c r="ET59" s="307"/>
      <c r="EU59" s="307"/>
      <c r="EV59" s="307"/>
      <c r="EW59" s="307"/>
      <c r="EX59" s="307"/>
      <c r="EY59" s="307"/>
      <c r="EZ59" s="307"/>
      <c r="FA59" s="307"/>
      <c r="FB59" s="307"/>
      <c r="FC59" s="307"/>
      <c r="FD59" s="307"/>
      <c r="FE59" s="307"/>
      <c r="FF59" s="307"/>
      <c r="FG59" s="307"/>
      <c r="FH59" s="307"/>
      <c r="FI59" s="307"/>
      <c r="FJ59" s="307"/>
      <c r="FK59" s="307"/>
      <c r="FL59" s="307"/>
      <c r="FM59" s="307"/>
      <c r="FN59" s="307"/>
      <c r="FO59" s="307"/>
      <c r="FP59" s="307"/>
      <c r="FQ59" s="307"/>
      <c r="FR59" s="307"/>
      <c r="FS59" s="307"/>
      <c r="FT59" s="307"/>
      <c r="FU59" s="307"/>
      <c r="FV59" s="307"/>
      <c r="FW59" s="307"/>
      <c r="FX59" s="307"/>
      <c r="FY59" s="307"/>
      <c r="FZ59" s="307"/>
      <c r="GA59" s="307"/>
      <c r="GB59" s="307"/>
      <c r="GC59" s="307"/>
      <c r="GD59" s="307"/>
      <c r="GE59" s="307"/>
      <c r="GF59" s="307"/>
      <c r="GG59" s="307"/>
      <c r="GH59" s="307"/>
      <c r="GI59" s="307"/>
      <c r="GJ59" s="307"/>
      <c r="GK59" s="307"/>
      <c r="GL59" s="307"/>
      <c r="GM59" s="307"/>
      <c r="GN59" s="307"/>
      <c r="GO59" s="307"/>
      <c r="GP59" s="307"/>
      <c r="GQ59" s="307"/>
      <c r="GR59" s="307"/>
      <c r="GS59" s="307"/>
      <c r="GT59" s="307"/>
      <c r="GU59" s="307"/>
      <c r="GV59" s="307"/>
      <c r="GW59" s="307"/>
      <c r="GX59" s="307"/>
      <c r="GY59" s="307"/>
      <c r="GZ59" s="307"/>
      <c r="HA59" s="307"/>
      <c r="HB59" s="307"/>
      <c r="HC59" s="307"/>
      <c r="HD59" s="307"/>
      <c r="HE59" s="307"/>
      <c r="HF59" s="307"/>
      <c r="HG59" s="307"/>
      <c r="HH59" s="307"/>
      <c r="HI59" s="307"/>
      <c r="HJ59" s="307"/>
      <c r="HK59" s="307"/>
      <c r="HL59" s="307"/>
      <c r="HM59" s="307"/>
      <c r="HN59" s="307"/>
      <c r="HO59" s="307"/>
      <c r="HP59" s="307"/>
      <c r="HQ59" s="307"/>
      <c r="HR59" s="307"/>
      <c r="HS59" s="307"/>
      <c r="HT59" s="307"/>
      <c r="HU59" s="307"/>
      <c r="HV59" s="307"/>
      <c r="HW59" s="307"/>
      <c r="HX59" s="307"/>
      <c r="HY59" s="307"/>
      <c r="HZ59" s="307"/>
      <c r="IA59" s="307"/>
      <c r="IB59" s="307"/>
      <c r="IC59" s="307"/>
      <c r="ID59" s="307"/>
      <c r="IE59" s="307"/>
      <c r="IF59" s="307"/>
      <c r="IG59" s="307"/>
      <c r="IH59" s="307"/>
      <c r="II59" s="307"/>
      <c r="IJ59" s="307"/>
      <c r="IK59" s="307"/>
      <c r="IL59" s="307"/>
      <c r="IM59" s="307"/>
      <c r="IN59" s="307"/>
      <c r="IO59" s="307"/>
      <c r="IP59" s="307"/>
      <c r="IQ59" s="307"/>
      <c r="IR59" s="307"/>
      <c r="IS59" s="307"/>
      <c r="IT59" s="307"/>
      <c r="IU59" s="307"/>
    </row>
    <row r="60" spans="1:255">
      <c r="A60" s="324"/>
      <c r="B60" s="307" t="s">
        <v>224</v>
      </c>
      <c r="C60" s="310"/>
      <c r="D60" s="312">
        <f t="shared" si="14"/>
        <v>-8.9999999999999993E-3</v>
      </c>
      <c r="E60" s="321">
        <v>-0.78600000000000003</v>
      </c>
      <c r="F60" s="313">
        <f t="shared" si="13"/>
        <v>-0.98854961832061072</v>
      </c>
      <c r="G60" s="312"/>
      <c r="H60" s="312"/>
      <c r="I60" s="313"/>
      <c r="J60" s="312"/>
      <c r="K60" s="312"/>
      <c r="L60" s="313"/>
      <c r="M60" s="307"/>
      <c r="N60" s="307"/>
      <c r="O60" s="307"/>
      <c r="P60" s="307"/>
      <c r="Q60" s="307"/>
      <c r="R60" s="308"/>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7"/>
      <c r="EM60" s="307"/>
      <c r="EN60" s="307"/>
      <c r="EO60" s="307"/>
      <c r="EP60" s="307"/>
      <c r="EQ60" s="307"/>
      <c r="ER60" s="307"/>
      <c r="ES60" s="307"/>
      <c r="ET60" s="307"/>
      <c r="EU60" s="307"/>
      <c r="EV60" s="307"/>
      <c r="EW60" s="307"/>
      <c r="EX60" s="307"/>
      <c r="EY60" s="307"/>
      <c r="EZ60" s="307"/>
      <c r="FA60" s="307"/>
      <c r="FB60" s="307"/>
      <c r="FC60" s="307"/>
      <c r="FD60" s="307"/>
      <c r="FE60" s="307"/>
      <c r="FF60" s="307"/>
      <c r="FG60" s="307"/>
      <c r="FH60" s="307"/>
      <c r="FI60" s="307"/>
      <c r="FJ60" s="307"/>
      <c r="FK60" s="307"/>
      <c r="FL60" s="307"/>
      <c r="FM60" s="307"/>
      <c r="FN60" s="307"/>
      <c r="FO60" s="307"/>
      <c r="FP60" s="307"/>
      <c r="FQ60" s="307"/>
      <c r="FR60" s="307"/>
      <c r="FS60" s="307"/>
      <c r="FT60" s="307"/>
      <c r="FU60" s="307"/>
      <c r="FV60" s="307"/>
      <c r="FW60" s="307"/>
      <c r="FX60" s="307"/>
      <c r="FY60" s="307"/>
      <c r="FZ60" s="307"/>
      <c r="GA60" s="307"/>
      <c r="GB60" s="307"/>
      <c r="GC60" s="307"/>
      <c r="GD60" s="307"/>
      <c r="GE60" s="307"/>
      <c r="GF60" s="307"/>
      <c r="GG60" s="307"/>
      <c r="GH60" s="307"/>
      <c r="GI60" s="307"/>
      <c r="GJ60" s="307"/>
      <c r="GK60" s="307"/>
      <c r="GL60" s="307"/>
      <c r="GM60" s="307"/>
      <c r="GN60" s="307"/>
      <c r="GO60" s="307"/>
      <c r="GP60" s="307"/>
      <c r="GQ60" s="307"/>
      <c r="GR60" s="307"/>
      <c r="GS60" s="307"/>
      <c r="GT60" s="307"/>
      <c r="GU60" s="307"/>
      <c r="GV60" s="307"/>
      <c r="GW60" s="307"/>
      <c r="GX60" s="307"/>
      <c r="GY60" s="307"/>
      <c r="GZ60" s="307"/>
      <c r="HA60" s="307"/>
      <c r="HB60" s="307"/>
      <c r="HC60" s="307"/>
      <c r="HD60" s="307"/>
      <c r="HE60" s="307"/>
      <c r="HF60" s="307"/>
      <c r="HG60" s="307"/>
      <c r="HH60" s="307"/>
      <c r="HI60" s="307"/>
      <c r="HJ60" s="307"/>
      <c r="HK60" s="307"/>
      <c r="HL60" s="307"/>
      <c r="HM60" s="307"/>
      <c r="HN60" s="307"/>
      <c r="HO60" s="307"/>
      <c r="HP60" s="307"/>
      <c r="HQ60" s="307"/>
      <c r="HR60" s="307"/>
      <c r="HS60" s="307"/>
      <c r="HT60" s="307"/>
      <c r="HU60" s="307"/>
      <c r="HV60" s="307"/>
      <c r="HW60" s="307"/>
      <c r="HX60" s="307"/>
      <c r="HY60" s="307"/>
      <c r="HZ60" s="307"/>
      <c r="IA60" s="307"/>
      <c r="IB60" s="307"/>
      <c r="IC60" s="307"/>
      <c r="ID60" s="307"/>
      <c r="IE60" s="307"/>
      <c r="IF60" s="307"/>
      <c r="IG60" s="307"/>
      <c r="IH60" s="307"/>
      <c r="II60" s="307"/>
      <c r="IJ60" s="307"/>
      <c r="IK60" s="307"/>
      <c r="IL60" s="307"/>
      <c r="IM60" s="307"/>
      <c r="IN60" s="307"/>
      <c r="IO60" s="307"/>
      <c r="IP60" s="307"/>
      <c r="IQ60" s="307"/>
      <c r="IR60" s="307"/>
      <c r="IS60" s="307"/>
      <c r="IT60" s="307"/>
      <c r="IU60" s="307"/>
    </row>
    <row r="61" spans="1:255">
      <c r="A61" s="324"/>
      <c r="B61" s="307" t="s">
        <v>225</v>
      </c>
      <c r="C61" s="310"/>
      <c r="D61" s="312">
        <f t="shared" si="14"/>
        <v>-0.01</v>
      </c>
      <c r="E61" s="321">
        <v>-0.877</v>
      </c>
      <c r="F61" s="313">
        <f t="shared" si="13"/>
        <v>-0.98859749144811859</v>
      </c>
      <c r="G61" s="312"/>
      <c r="H61" s="312"/>
      <c r="I61" s="313"/>
      <c r="J61" s="312"/>
      <c r="K61" s="312"/>
      <c r="L61" s="313"/>
      <c r="M61" s="307"/>
      <c r="N61" s="307"/>
      <c r="O61" s="307"/>
      <c r="P61" s="307"/>
      <c r="Q61" s="307"/>
      <c r="R61" s="308"/>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7"/>
      <c r="DK61" s="307"/>
      <c r="DL61" s="307"/>
      <c r="DM61" s="307"/>
      <c r="DN61" s="307"/>
      <c r="DO61" s="307"/>
      <c r="DP61" s="307"/>
      <c r="DQ61" s="307"/>
      <c r="DR61" s="307"/>
      <c r="DS61" s="307"/>
      <c r="DT61" s="307"/>
      <c r="DU61" s="307"/>
      <c r="DV61" s="307"/>
      <c r="DW61" s="307"/>
      <c r="DX61" s="307"/>
      <c r="DY61" s="307"/>
      <c r="DZ61" s="307"/>
      <c r="EA61" s="307"/>
      <c r="EB61" s="307"/>
      <c r="EC61" s="307"/>
      <c r="ED61" s="307"/>
      <c r="EE61" s="307"/>
      <c r="EF61" s="307"/>
      <c r="EG61" s="307"/>
      <c r="EH61" s="307"/>
      <c r="EI61" s="307"/>
      <c r="EJ61" s="307"/>
      <c r="EK61" s="307"/>
      <c r="EL61" s="307"/>
      <c r="EM61" s="307"/>
      <c r="EN61" s="307"/>
      <c r="EO61" s="307"/>
      <c r="EP61" s="307"/>
      <c r="EQ61" s="307"/>
      <c r="ER61" s="307"/>
      <c r="ES61" s="307"/>
      <c r="ET61" s="307"/>
      <c r="EU61" s="307"/>
      <c r="EV61" s="307"/>
      <c r="EW61" s="307"/>
      <c r="EX61" s="307"/>
      <c r="EY61" s="307"/>
      <c r="EZ61" s="307"/>
      <c r="FA61" s="307"/>
      <c r="FB61" s="307"/>
      <c r="FC61" s="307"/>
      <c r="FD61" s="307"/>
      <c r="FE61" s="307"/>
      <c r="FF61" s="307"/>
      <c r="FG61" s="307"/>
      <c r="FH61" s="307"/>
      <c r="FI61" s="307"/>
      <c r="FJ61" s="307"/>
      <c r="FK61" s="307"/>
      <c r="FL61" s="307"/>
      <c r="FM61" s="307"/>
      <c r="FN61" s="307"/>
      <c r="FO61" s="307"/>
      <c r="FP61" s="307"/>
      <c r="FQ61" s="307"/>
      <c r="FR61" s="307"/>
      <c r="FS61" s="307"/>
      <c r="FT61" s="307"/>
      <c r="FU61" s="307"/>
      <c r="FV61" s="307"/>
      <c r="FW61" s="307"/>
      <c r="FX61" s="307"/>
      <c r="FY61" s="307"/>
      <c r="FZ61" s="307"/>
      <c r="GA61" s="307"/>
      <c r="GB61" s="307"/>
      <c r="GC61" s="307"/>
      <c r="GD61" s="307"/>
      <c r="GE61" s="307"/>
      <c r="GF61" s="307"/>
      <c r="GG61" s="307"/>
      <c r="GH61" s="307"/>
      <c r="GI61" s="307"/>
      <c r="GJ61" s="307"/>
      <c r="GK61" s="307"/>
      <c r="GL61" s="307"/>
      <c r="GM61" s="307"/>
      <c r="GN61" s="307"/>
      <c r="GO61" s="307"/>
      <c r="GP61" s="307"/>
      <c r="GQ61" s="307"/>
      <c r="GR61" s="307"/>
      <c r="GS61" s="307"/>
      <c r="GT61" s="307"/>
      <c r="GU61" s="307"/>
      <c r="GV61" s="307"/>
      <c r="GW61" s="307"/>
      <c r="GX61" s="307"/>
      <c r="GY61" s="307"/>
      <c r="GZ61" s="307"/>
      <c r="HA61" s="307"/>
      <c r="HB61" s="307"/>
      <c r="HC61" s="307"/>
      <c r="HD61" s="307"/>
      <c r="HE61" s="307"/>
      <c r="HF61" s="307"/>
      <c r="HG61" s="307"/>
      <c r="HH61" s="307"/>
      <c r="HI61" s="307"/>
      <c r="HJ61" s="307"/>
      <c r="HK61" s="307"/>
      <c r="HL61" s="307"/>
      <c r="HM61" s="307"/>
      <c r="HN61" s="307"/>
      <c r="HO61" s="307"/>
      <c r="HP61" s="307"/>
      <c r="HQ61" s="307"/>
      <c r="HR61" s="307"/>
      <c r="HS61" s="307"/>
      <c r="HT61" s="307"/>
      <c r="HU61" s="307"/>
      <c r="HV61" s="307"/>
      <c r="HW61" s="307"/>
      <c r="HX61" s="307"/>
      <c r="HY61" s="307"/>
      <c r="HZ61" s="307"/>
      <c r="IA61" s="307"/>
      <c r="IB61" s="307"/>
      <c r="IC61" s="307"/>
      <c r="ID61" s="307"/>
      <c r="IE61" s="307"/>
      <c r="IF61" s="307"/>
      <c r="IG61" s="307"/>
      <c r="IH61" s="307"/>
      <c r="II61" s="307"/>
      <c r="IJ61" s="307"/>
      <c r="IK61" s="307"/>
      <c r="IL61" s="307"/>
      <c r="IM61" s="307"/>
      <c r="IN61" s="307"/>
      <c r="IO61" s="307"/>
      <c r="IP61" s="307"/>
      <c r="IQ61" s="307"/>
      <c r="IR61" s="307"/>
      <c r="IS61" s="307"/>
      <c r="IT61" s="307"/>
      <c r="IU61" s="307"/>
    </row>
    <row r="62" spans="1:255" ht="15.75" thickBot="1">
      <c r="A62" s="329"/>
      <c r="B62" s="330"/>
      <c r="C62" s="331"/>
      <c r="D62" s="332"/>
      <c r="E62" s="333"/>
      <c r="F62" s="332"/>
      <c r="G62" s="334"/>
      <c r="H62" s="334"/>
      <c r="I62" s="335"/>
      <c r="J62" s="334"/>
      <c r="K62" s="334"/>
      <c r="L62" s="335"/>
      <c r="M62" s="307"/>
      <c r="N62" s="307"/>
      <c r="O62" s="307"/>
      <c r="P62" s="307"/>
      <c r="Q62" s="307"/>
      <c r="R62" s="308"/>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c r="IQ62" s="307"/>
      <c r="IR62" s="307"/>
      <c r="IS62" s="307"/>
      <c r="IT62" s="307"/>
      <c r="IU62" s="307"/>
    </row>
    <row r="63" spans="1:255">
      <c r="A63" s="307"/>
      <c r="B63" s="307"/>
      <c r="C63" s="307"/>
      <c r="D63" s="307"/>
      <c r="E63" s="336"/>
      <c r="F63" s="307"/>
      <c r="G63" s="307"/>
      <c r="H63" s="336"/>
      <c r="I63" s="307"/>
      <c r="J63" s="307"/>
      <c r="K63" s="307"/>
      <c r="L63" s="323"/>
      <c r="M63" s="307"/>
      <c r="N63" s="307"/>
      <c r="O63" s="307"/>
      <c r="P63" s="307"/>
      <c r="Q63" s="307"/>
      <c r="R63" s="308"/>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7"/>
      <c r="EM63" s="307"/>
      <c r="EN63" s="307"/>
      <c r="EO63" s="307"/>
      <c r="EP63" s="307"/>
      <c r="EQ63" s="307"/>
      <c r="ER63" s="307"/>
      <c r="ES63" s="307"/>
      <c r="ET63" s="307"/>
      <c r="EU63" s="307"/>
      <c r="EV63" s="307"/>
      <c r="EW63" s="307"/>
      <c r="EX63" s="307"/>
      <c r="EY63" s="307"/>
      <c r="EZ63" s="307"/>
      <c r="FA63" s="307"/>
      <c r="FB63" s="307"/>
      <c r="FC63" s="307"/>
      <c r="FD63" s="307"/>
      <c r="FE63" s="307"/>
      <c r="FF63" s="307"/>
      <c r="FG63" s="307"/>
      <c r="FH63" s="307"/>
      <c r="FI63" s="307"/>
      <c r="FJ63" s="307"/>
      <c r="FK63" s="307"/>
      <c r="FL63" s="307"/>
      <c r="FM63" s="307"/>
      <c r="FN63" s="307"/>
      <c r="FO63" s="307"/>
      <c r="FP63" s="307"/>
      <c r="FQ63" s="307"/>
      <c r="FR63" s="307"/>
      <c r="FS63" s="307"/>
      <c r="FT63" s="307"/>
      <c r="FU63" s="307"/>
      <c r="FV63" s="307"/>
      <c r="FW63" s="307"/>
      <c r="FX63" s="307"/>
      <c r="FY63" s="307"/>
      <c r="FZ63" s="307"/>
      <c r="GA63" s="307"/>
      <c r="GB63" s="307"/>
      <c r="GC63" s="307"/>
      <c r="GD63" s="307"/>
      <c r="GE63" s="307"/>
      <c r="GF63" s="307"/>
      <c r="GG63" s="307"/>
      <c r="GH63" s="307"/>
      <c r="GI63" s="307"/>
      <c r="GJ63" s="307"/>
      <c r="GK63" s="307"/>
      <c r="GL63" s="307"/>
      <c r="GM63" s="307"/>
      <c r="GN63" s="307"/>
      <c r="GO63" s="307"/>
      <c r="GP63" s="307"/>
      <c r="GQ63" s="307"/>
      <c r="GR63" s="307"/>
      <c r="GS63" s="307"/>
      <c r="GT63" s="307"/>
      <c r="GU63" s="307"/>
      <c r="GV63" s="307"/>
      <c r="GW63" s="307"/>
      <c r="GX63" s="307"/>
      <c r="GY63" s="307"/>
      <c r="GZ63" s="307"/>
      <c r="HA63" s="307"/>
      <c r="HB63" s="307"/>
      <c r="HC63" s="307"/>
      <c r="HD63" s="307"/>
      <c r="HE63" s="307"/>
      <c r="HF63" s="307"/>
      <c r="HG63" s="307"/>
      <c r="HH63" s="307"/>
      <c r="HI63" s="307"/>
      <c r="HJ63" s="307"/>
      <c r="HK63" s="307"/>
      <c r="HL63" s="307"/>
      <c r="HM63" s="307"/>
      <c r="HN63" s="307"/>
      <c r="HO63" s="307"/>
      <c r="HP63" s="307"/>
      <c r="HQ63" s="307"/>
      <c r="HR63" s="307"/>
      <c r="HS63" s="307"/>
      <c r="HT63" s="307"/>
      <c r="HU63" s="307"/>
      <c r="HV63" s="307"/>
      <c r="HW63" s="307"/>
      <c r="HX63" s="307"/>
      <c r="HY63" s="307"/>
      <c r="HZ63" s="307"/>
      <c r="IA63" s="307"/>
      <c r="IB63" s="307"/>
      <c r="IC63" s="307"/>
      <c r="ID63" s="307"/>
      <c r="IE63" s="307"/>
      <c r="IF63" s="307"/>
      <c r="IG63" s="307"/>
      <c r="IH63" s="307"/>
      <c r="II63" s="307"/>
      <c r="IJ63" s="307"/>
      <c r="IK63" s="307"/>
      <c r="IL63" s="307"/>
      <c r="IM63" s="307"/>
      <c r="IN63" s="307"/>
      <c r="IO63" s="307"/>
      <c r="IP63" s="307"/>
      <c r="IQ63" s="307"/>
      <c r="IR63" s="307"/>
      <c r="IS63" s="307"/>
      <c r="IT63" s="307"/>
      <c r="IU63" s="307"/>
    </row>
    <row r="64" spans="1:255" ht="15.75">
      <c r="A64" s="337" t="s">
        <v>231</v>
      </c>
      <c r="B64" s="513" t="s">
        <v>232</v>
      </c>
      <c r="C64" s="514"/>
      <c r="D64" s="514"/>
      <c r="E64" s="514"/>
      <c r="F64" s="514"/>
      <c r="G64" s="514"/>
      <c r="H64" s="514"/>
      <c r="I64" s="514"/>
      <c r="J64" s="514"/>
      <c r="K64" s="514"/>
      <c r="L64" s="514"/>
      <c r="M64" s="307"/>
      <c r="N64" s="307"/>
      <c r="O64" s="307"/>
      <c r="P64" s="307"/>
      <c r="Q64" s="307"/>
      <c r="R64" s="308"/>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7"/>
      <c r="BC64" s="307"/>
      <c r="BD64" s="307"/>
      <c r="BE64" s="307"/>
      <c r="BF64" s="307"/>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7"/>
      <c r="EM64" s="307"/>
      <c r="EN64" s="307"/>
      <c r="EO64" s="307"/>
      <c r="EP64" s="307"/>
      <c r="EQ64" s="307"/>
      <c r="ER64" s="307"/>
      <c r="ES64" s="307"/>
      <c r="ET64" s="307"/>
      <c r="EU64" s="307"/>
      <c r="EV64" s="307"/>
      <c r="EW64" s="307"/>
      <c r="EX64" s="307"/>
      <c r="EY64" s="307"/>
      <c r="EZ64" s="307"/>
      <c r="FA64" s="307"/>
      <c r="FB64" s="307"/>
      <c r="FC64" s="307"/>
      <c r="FD64" s="307"/>
      <c r="FE64" s="307"/>
      <c r="FF64" s="307"/>
      <c r="FG64" s="307"/>
      <c r="FH64" s="307"/>
      <c r="FI64" s="307"/>
      <c r="FJ64" s="307"/>
      <c r="FK64" s="307"/>
      <c r="FL64" s="307"/>
      <c r="FM64" s="307"/>
      <c r="FN64" s="307"/>
      <c r="FO64" s="307"/>
      <c r="FP64" s="307"/>
      <c r="FQ64" s="307"/>
      <c r="FR64" s="307"/>
      <c r="FS64" s="307"/>
      <c r="FT64" s="307"/>
      <c r="FU64" s="307"/>
      <c r="FV64" s="307"/>
      <c r="FW64" s="307"/>
      <c r="FX64" s="307"/>
      <c r="FY64" s="307"/>
      <c r="FZ64" s="307"/>
      <c r="GA64" s="307"/>
      <c r="GB64" s="307"/>
      <c r="GC64" s="307"/>
      <c r="GD64" s="307"/>
      <c r="GE64" s="307"/>
      <c r="GF64" s="307"/>
      <c r="GG64" s="307"/>
      <c r="GH64" s="307"/>
      <c r="GI64" s="307"/>
      <c r="GJ64" s="307"/>
      <c r="GK64" s="307"/>
      <c r="GL64" s="307"/>
      <c r="GM64" s="307"/>
      <c r="GN64" s="307"/>
      <c r="GO64" s="307"/>
      <c r="GP64" s="307"/>
      <c r="GQ64" s="307"/>
      <c r="GR64" s="307"/>
      <c r="GS64" s="307"/>
      <c r="GT64" s="307"/>
      <c r="GU64" s="307"/>
      <c r="GV64" s="307"/>
      <c r="GW64" s="307"/>
      <c r="GX64" s="307"/>
      <c r="GY64" s="307"/>
      <c r="GZ64" s="307"/>
      <c r="HA64" s="307"/>
      <c r="HB64" s="307"/>
      <c r="HC64" s="307"/>
      <c r="HD64" s="307"/>
      <c r="HE64" s="307"/>
      <c r="HF64" s="307"/>
      <c r="HG64" s="307"/>
      <c r="HH64" s="307"/>
      <c r="HI64" s="307"/>
      <c r="HJ64" s="307"/>
      <c r="HK64" s="307"/>
      <c r="HL64" s="307"/>
      <c r="HM64" s="307"/>
      <c r="HN64" s="307"/>
      <c r="HO64" s="307"/>
      <c r="HP64" s="307"/>
      <c r="HQ64" s="307"/>
      <c r="HR64" s="307"/>
      <c r="HS64" s="307"/>
      <c r="HT64" s="307"/>
      <c r="HU64" s="307"/>
      <c r="HV64" s="307"/>
      <c r="HW64" s="307"/>
      <c r="HX64" s="307"/>
      <c r="HY64" s="307"/>
      <c r="HZ64" s="307"/>
      <c r="IA64" s="307"/>
      <c r="IB64" s="307"/>
      <c r="IC64" s="307"/>
      <c r="ID64" s="307"/>
      <c r="IE64" s="307"/>
      <c r="IF64" s="307"/>
      <c r="IG64" s="307"/>
      <c r="IH64" s="307"/>
      <c r="II64" s="307"/>
      <c r="IJ64" s="307"/>
      <c r="IK64" s="307"/>
      <c r="IL64" s="307"/>
      <c r="IM64" s="307"/>
      <c r="IN64" s="307"/>
      <c r="IO64" s="307"/>
      <c r="IP64" s="307"/>
      <c r="IQ64" s="307"/>
      <c r="IR64" s="307"/>
      <c r="IS64" s="307"/>
      <c r="IT64" s="307"/>
      <c r="IU64" s="307"/>
    </row>
    <row r="65" spans="1:255">
      <c r="A65" s="307"/>
      <c r="B65" s="514"/>
      <c r="C65" s="514"/>
      <c r="D65" s="514"/>
      <c r="E65" s="514"/>
      <c r="F65" s="514"/>
      <c r="G65" s="514"/>
      <c r="H65" s="514"/>
      <c r="I65" s="514"/>
      <c r="J65" s="514"/>
      <c r="K65" s="514"/>
      <c r="L65" s="514"/>
      <c r="M65" s="307"/>
      <c r="N65" s="307"/>
      <c r="O65" s="307"/>
      <c r="P65" s="307"/>
      <c r="Q65" s="307"/>
      <c r="R65" s="308"/>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7"/>
      <c r="EM65" s="307"/>
      <c r="EN65" s="307"/>
      <c r="EO65" s="307"/>
      <c r="EP65" s="307"/>
      <c r="EQ65" s="307"/>
      <c r="ER65" s="307"/>
      <c r="ES65" s="307"/>
      <c r="ET65" s="307"/>
      <c r="EU65" s="307"/>
      <c r="EV65" s="307"/>
      <c r="EW65" s="307"/>
      <c r="EX65" s="307"/>
      <c r="EY65" s="307"/>
      <c r="EZ65" s="307"/>
      <c r="FA65" s="307"/>
      <c r="FB65" s="307"/>
      <c r="FC65" s="307"/>
      <c r="FD65" s="307"/>
      <c r="FE65" s="307"/>
      <c r="FF65" s="307"/>
      <c r="FG65" s="307"/>
      <c r="FH65" s="307"/>
      <c r="FI65" s="307"/>
      <c r="FJ65" s="307"/>
      <c r="FK65" s="307"/>
      <c r="FL65" s="307"/>
      <c r="FM65" s="307"/>
      <c r="FN65" s="307"/>
      <c r="FO65" s="307"/>
      <c r="FP65" s="307"/>
      <c r="FQ65" s="307"/>
      <c r="FR65" s="307"/>
      <c r="FS65" s="307"/>
      <c r="FT65" s="307"/>
      <c r="FU65" s="307"/>
      <c r="FV65" s="307"/>
      <c r="FW65" s="307"/>
      <c r="FX65" s="307"/>
      <c r="FY65" s="307"/>
      <c r="FZ65" s="307"/>
      <c r="GA65" s="307"/>
      <c r="GB65" s="307"/>
      <c r="GC65" s="307"/>
      <c r="GD65" s="307"/>
      <c r="GE65" s="307"/>
      <c r="GF65" s="307"/>
      <c r="GG65" s="307"/>
      <c r="GH65" s="307"/>
      <c r="GI65" s="307"/>
      <c r="GJ65" s="307"/>
      <c r="GK65" s="307"/>
      <c r="GL65" s="307"/>
      <c r="GM65" s="307"/>
      <c r="GN65" s="307"/>
      <c r="GO65" s="307"/>
      <c r="GP65" s="307"/>
      <c r="GQ65" s="307"/>
      <c r="GR65" s="307"/>
      <c r="GS65" s="307"/>
      <c r="GT65" s="307"/>
      <c r="GU65" s="307"/>
      <c r="GV65" s="307"/>
      <c r="GW65" s="307"/>
      <c r="GX65" s="307"/>
      <c r="GY65" s="307"/>
      <c r="GZ65" s="307"/>
      <c r="HA65" s="307"/>
      <c r="HB65" s="307"/>
      <c r="HC65" s="307"/>
      <c r="HD65" s="307"/>
      <c r="HE65" s="307"/>
      <c r="HF65" s="307"/>
      <c r="HG65" s="307"/>
      <c r="HH65" s="307"/>
      <c r="HI65" s="307"/>
      <c r="HJ65" s="307"/>
      <c r="HK65" s="307"/>
      <c r="HL65" s="307"/>
      <c r="HM65" s="307"/>
      <c r="HN65" s="307"/>
      <c r="HO65" s="307"/>
      <c r="HP65" s="307"/>
      <c r="HQ65" s="307"/>
      <c r="HR65" s="307"/>
      <c r="HS65" s="307"/>
      <c r="HT65" s="307"/>
      <c r="HU65" s="307"/>
      <c r="HV65" s="307"/>
      <c r="HW65" s="307"/>
      <c r="HX65" s="307"/>
      <c r="HY65" s="307"/>
      <c r="HZ65" s="307"/>
      <c r="IA65" s="307"/>
      <c r="IB65" s="307"/>
      <c r="IC65" s="307"/>
      <c r="ID65" s="307"/>
      <c r="IE65" s="307"/>
      <c r="IF65" s="307"/>
      <c r="IG65" s="307"/>
      <c r="IH65" s="307"/>
      <c r="II65" s="307"/>
      <c r="IJ65" s="307"/>
      <c r="IK65" s="307"/>
      <c r="IL65" s="307"/>
      <c r="IM65" s="307"/>
      <c r="IN65" s="307"/>
      <c r="IO65" s="307"/>
      <c r="IP65" s="307"/>
      <c r="IQ65" s="307"/>
      <c r="IR65" s="307"/>
      <c r="IS65" s="307"/>
      <c r="IT65" s="307"/>
      <c r="IU65" s="307"/>
    </row>
    <row r="66" spans="1:255">
      <c r="A66" s="307"/>
      <c r="B66" s="307"/>
      <c r="C66" s="307"/>
      <c r="D66" s="307"/>
      <c r="E66" s="336"/>
      <c r="F66" s="307"/>
      <c r="G66" s="307"/>
      <c r="H66" s="336"/>
      <c r="I66" s="307"/>
      <c r="J66" s="307"/>
      <c r="K66" s="307"/>
      <c r="L66" s="307"/>
      <c r="M66" s="307"/>
      <c r="N66" s="307"/>
      <c r="O66" s="307"/>
      <c r="P66" s="307"/>
      <c r="Q66" s="307"/>
      <c r="R66" s="308"/>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W66" s="307"/>
      <c r="CX66" s="307"/>
      <c r="CY66" s="307"/>
      <c r="CZ66" s="307"/>
      <c r="DA66" s="307"/>
      <c r="DB66" s="307"/>
      <c r="DC66" s="307"/>
      <c r="DD66" s="307"/>
      <c r="DE66" s="307"/>
      <c r="DF66" s="307"/>
      <c r="DG66" s="307"/>
      <c r="DH66" s="307"/>
      <c r="DI66" s="307"/>
      <c r="DJ66" s="307"/>
      <c r="DK66" s="307"/>
      <c r="DL66" s="307"/>
      <c r="DM66" s="307"/>
      <c r="DN66" s="307"/>
      <c r="DO66" s="307"/>
      <c r="DP66" s="307"/>
      <c r="DQ66" s="307"/>
      <c r="DR66" s="307"/>
      <c r="DS66" s="307"/>
      <c r="DT66" s="307"/>
      <c r="DU66" s="307"/>
      <c r="DV66" s="307"/>
      <c r="DW66" s="307"/>
      <c r="DX66" s="307"/>
      <c r="DY66" s="307"/>
      <c r="DZ66" s="307"/>
      <c r="EA66" s="307"/>
      <c r="EB66" s="307"/>
      <c r="EC66" s="307"/>
      <c r="ED66" s="307"/>
      <c r="EE66" s="307"/>
      <c r="EF66" s="307"/>
      <c r="EG66" s="307"/>
      <c r="EH66" s="307"/>
      <c r="EI66" s="307"/>
      <c r="EJ66" s="307"/>
      <c r="EK66" s="307"/>
      <c r="EL66" s="307"/>
      <c r="EM66" s="307"/>
      <c r="EN66" s="307"/>
      <c r="EO66" s="307"/>
      <c r="EP66" s="307"/>
      <c r="EQ66" s="307"/>
      <c r="ER66" s="307"/>
      <c r="ES66" s="307"/>
      <c r="ET66" s="307"/>
      <c r="EU66" s="307"/>
      <c r="EV66" s="307"/>
      <c r="EW66" s="307"/>
      <c r="EX66" s="307"/>
      <c r="EY66" s="307"/>
      <c r="EZ66" s="307"/>
      <c r="FA66" s="307"/>
      <c r="FB66" s="307"/>
      <c r="FC66" s="307"/>
      <c r="FD66" s="307"/>
      <c r="FE66" s="307"/>
      <c r="FF66" s="307"/>
      <c r="FG66" s="307"/>
      <c r="FH66" s="307"/>
      <c r="FI66" s="307"/>
      <c r="FJ66" s="307"/>
      <c r="FK66" s="307"/>
      <c r="FL66" s="307"/>
      <c r="FM66" s="307"/>
      <c r="FN66" s="307"/>
      <c r="FO66" s="307"/>
      <c r="FP66" s="307"/>
      <c r="FQ66" s="307"/>
      <c r="FR66" s="307"/>
      <c r="FS66" s="307"/>
      <c r="FT66" s="307"/>
      <c r="FU66" s="307"/>
      <c r="FV66" s="307"/>
      <c r="FW66" s="307"/>
      <c r="FX66" s="307"/>
      <c r="FY66" s="307"/>
      <c r="FZ66" s="307"/>
      <c r="GA66" s="307"/>
      <c r="GB66" s="307"/>
      <c r="GC66" s="307"/>
      <c r="GD66" s="307"/>
      <c r="GE66" s="307"/>
      <c r="GF66" s="307"/>
      <c r="GG66" s="307"/>
      <c r="GH66" s="307"/>
      <c r="GI66" s="307"/>
      <c r="GJ66" s="307"/>
      <c r="GK66" s="307"/>
      <c r="GL66" s="307"/>
      <c r="GM66" s="307"/>
      <c r="GN66" s="307"/>
      <c r="GO66" s="307"/>
      <c r="GP66" s="307"/>
      <c r="GQ66" s="307"/>
      <c r="GR66" s="307"/>
      <c r="GS66" s="307"/>
      <c r="GT66" s="307"/>
      <c r="GU66" s="307"/>
      <c r="GV66" s="307"/>
      <c r="GW66" s="307"/>
      <c r="GX66" s="307"/>
      <c r="GY66" s="307"/>
      <c r="GZ66" s="307"/>
      <c r="HA66" s="307"/>
      <c r="HB66" s="307"/>
      <c r="HC66" s="307"/>
      <c r="HD66" s="307"/>
      <c r="HE66" s="307"/>
      <c r="HF66" s="307"/>
      <c r="HG66" s="307"/>
      <c r="HH66" s="307"/>
      <c r="HI66" s="307"/>
      <c r="HJ66" s="307"/>
      <c r="HK66" s="307"/>
      <c r="HL66" s="307"/>
      <c r="HM66" s="307"/>
      <c r="HN66" s="307"/>
      <c r="HO66" s="307"/>
      <c r="HP66" s="307"/>
      <c r="HQ66" s="307"/>
      <c r="HR66" s="307"/>
      <c r="HS66" s="307"/>
      <c r="HT66" s="307"/>
      <c r="HU66" s="307"/>
      <c r="HV66" s="307"/>
      <c r="HW66" s="307"/>
      <c r="HX66" s="307"/>
      <c r="HY66" s="307"/>
      <c r="HZ66" s="307"/>
      <c r="IA66" s="307"/>
      <c r="IB66" s="307"/>
      <c r="IC66" s="307"/>
      <c r="ID66" s="307"/>
      <c r="IE66" s="307"/>
      <c r="IF66" s="307"/>
      <c r="IG66" s="307"/>
      <c r="IH66" s="307"/>
      <c r="II66" s="307"/>
      <c r="IJ66" s="307"/>
      <c r="IK66" s="307"/>
      <c r="IL66" s="307"/>
      <c r="IM66" s="307"/>
      <c r="IN66" s="307"/>
      <c r="IO66" s="307"/>
      <c r="IP66" s="307"/>
      <c r="IQ66" s="307"/>
      <c r="IR66" s="307"/>
      <c r="IS66" s="307"/>
      <c r="IT66" s="307"/>
      <c r="IU66" s="307"/>
    </row>
    <row r="67" spans="1:255">
      <c r="A67" s="307"/>
      <c r="B67" s="307"/>
      <c r="C67" s="307"/>
      <c r="D67" s="307"/>
      <c r="E67" s="336"/>
      <c r="F67" s="307"/>
      <c r="G67" s="307"/>
      <c r="H67" s="336"/>
      <c r="I67" s="307"/>
      <c r="J67" s="307"/>
      <c r="K67" s="307"/>
      <c r="L67" s="307"/>
      <c r="M67" s="307"/>
      <c r="N67" s="307"/>
      <c r="O67" s="307"/>
      <c r="P67" s="307"/>
      <c r="Q67" s="307"/>
      <c r="R67" s="308"/>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c r="CW67" s="307"/>
      <c r="CX67" s="307"/>
      <c r="CY67" s="307"/>
      <c r="CZ67" s="307"/>
      <c r="DA67" s="307"/>
      <c r="DB67" s="307"/>
      <c r="DC67" s="307"/>
      <c r="DD67" s="307"/>
      <c r="DE67" s="307"/>
      <c r="DF67" s="307"/>
      <c r="DG67" s="307"/>
      <c r="DH67" s="307"/>
      <c r="DI67" s="307"/>
      <c r="DJ67" s="307"/>
      <c r="DK67" s="307"/>
      <c r="DL67" s="307"/>
      <c r="DM67" s="307"/>
      <c r="DN67" s="307"/>
      <c r="DO67" s="307"/>
      <c r="DP67" s="307"/>
      <c r="DQ67" s="307"/>
      <c r="DR67" s="307"/>
      <c r="DS67" s="307"/>
      <c r="DT67" s="307"/>
      <c r="DU67" s="307"/>
      <c r="DV67" s="307"/>
      <c r="DW67" s="307"/>
      <c r="DX67" s="307"/>
      <c r="DY67" s="307"/>
      <c r="DZ67" s="307"/>
      <c r="EA67" s="307"/>
      <c r="EB67" s="307"/>
      <c r="EC67" s="307"/>
      <c r="ED67" s="307"/>
      <c r="EE67" s="307"/>
      <c r="EF67" s="307"/>
      <c r="EG67" s="307"/>
      <c r="EH67" s="307"/>
      <c r="EI67" s="307"/>
      <c r="EJ67" s="307"/>
      <c r="EK67" s="307"/>
      <c r="EL67" s="307"/>
      <c r="EM67" s="307"/>
      <c r="EN67" s="307"/>
      <c r="EO67" s="307"/>
      <c r="EP67" s="307"/>
      <c r="EQ67" s="307"/>
      <c r="ER67" s="307"/>
      <c r="ES67" s="307"/>
      <c r="ET67" s="307"/>
      <c r="EU67" s="307"/>
      <c r="EV67" s="307"/>
      <c r="EW67" s="307"/>
      <c r="EX67" s="307"/>
      <c r="EY67" s="307"/>
      <c r="EZ67" s="307"/>
      <c r="FA67" s="307"/>
      <c r="FB67" s="307"/>
      <c r="FC67" s="307"/>
      <c r="FD67" s="307"/>
      <c r="FE67" s="307"/>
      <c r="FF67" s="307"/>
      <c r="FG67" s="307"/>
      <c r="FH67" s="307"/>
      <c r="FI67" s="307"/>
      <c r="FJ67" s="307"/>
      <c r="FK67" s="307"/>
      <c r="FL67" s="307"/>
      <c r="FM67" s="307"/>
      <c r="FN67" s="307"/>
      <c r="FO67" s="307"/>
      <c r="FP67" s="307"/>
      <c r="FQ67" s="307"/>
      <c r="FR67" s="307"/>
      <c r="FS67" s="307"/>
      <c r="FT67" s="307"/>
      <c r="FU67" s="307"/>
      <c r="FV67" s="307"/>
      <c r="FW67" s="307"/>
      <c r="FX67" s="307"/>
      <c r="FY67" s="307"/>
      <c r="FZ67" s="307"/>
      <c r="GA67" s="307"/>
      <c r="GB67" s="307"/>
      <c r="GC67" s="307"/>
      <c r="GD67" s="307"/>
      <c r="GE67" s="307"/>
      <c r="GF67" s="307"/>
      <c r="GG67" s="307"/>
      <c r="GH67" s="307"/>
      <c r="GI67" s="307"/>
      <c r="GJ67" s="307"/>
      <c r="GK67" s="307"/>
      <c r="GL67" s="307"/>
      <c r="GM67" s="307"/>
      <c r="GN67" s="307"/>
      <c r="GO67" s="307"/>
      <c r="GP67" s="307"/>
      <c r="GQ67" s="307"/>
      <c r="GR67" s="307"/>
      <c r="GS67" s="307"/>
      <c r="GT67" s="307"/>
      <c r="GU67" s="307"/>
      <c r="GV67" s="307"/>
      <c r="GW67" s="307"/>
      <c r="GX67" s="307"/>
      <c r="GY67" s="307"/>
      <c r="GZ67" s="307"/>
      <c r="HA67" s="307"/>
      <c r="HB67" s="307"/>
      <c r="HC67" s="307"/>
      <c r="HD67" s="307"/>
      <c r="HE67" s="307"/>
      <c r="HF67" s="307"/>
      <c r="HG67" s="307"/>
      <c r="HH67" s="307"/>
      <c r="HI67" s="307"/>
      <c r="HJ67" s="307"/>
      <c r="HK67" s="307"/>
      <c r="HL67" s="307"/>
      <c r="HM67" s="307"/>
      <c r="HN67" s="307"/>
      <c r="HO67" s="307"/>
      <c r="HP67" s="307"/>
      <c r="HQ67" s="307"/>
      <c r="HR67" s="307"/>
      <c r="HS67" s="307"/>
      <c r="HT67" s="307"/>
      <c r="HU67" s="307"/>
      <c r="HV67" s="307"/>
      <c r="HW67" s="307"/>
      <c r="HX67" s="307"/>
      <c r="HY67" s="307"/>
      <c r="HZ67" s="307"/>
      <c r="IA67" s="307"/>
      <c r="IB67" s="307"/>
      <c r="IC67" s="307"/>
      <c r="ID67" s="307"/>
      <c r="IE67" s="307"/>
      <c r="IF67" s="307"/>
      <c r="IG67" s="307"/>
      <c r="IH67" s="307"/>
      <c r="II67" s="307"/>
      <c r="IJ67" s="307"/>
      <c r="IK67" s="307"/>
      <c r="IL67" s="307"/>
      <c r="IM67" s="307"/>
      <c r="IN67" s="307"/>
      <c r="IO67" s="307"/>
      <c r="IP67" s="307"/>
      <c r="IQ67" s="307"/>
      <c r="IR67" s="307"/>
      <c r="IS67" s="307"/>
      <c r="IT67" s="307"/>
      <c r="IU67" s="307"/>
    </row>
    <row r="68" spans="1:255">
      <c r="A68" s="307"/>
      <c r="B68" s="307"/>
      <c r="C68" s="307"/>
      <c r="D68" s="307"/>
      <c r="E68" s="336"/>
      <c r="F68" s="307"/>
      <c r="G68" s="307"/>
      <c r="H68" s="336"/>
      <c r="I68" s="307"/>
      <c r="J68" s="307"/>
      <c r="K68" s="307"/>
      <c r="L68" s="307"/>
      <c r="M68" s="307"/>
      <c r="N68" s="307"/>
      <c r="O68" s="307"/>
      <c r="P68" s="307"/>
      <c r="Q68" s="307"/>
      <c r="R68" s="308"/>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7"/>
      <c r="BD68" s="307"/>
      <c r="BE68" s="307"/>
      <c r="BF68" s="307"/>
      <c r="BG68" s="307"/>
      <c r="BH68" s="307"/>
      <c r="BI68" s="307"/>
      <c r="BJ68" s="307"/>
      <c r="BK68" s="307"/>
      <c r="BL68" s="307"/>
      <c r="BM68" s="307"/>
      <c r="BN68" s="307"/>
      <c r="BO68" s="307"/>
      <c r="BP68" s="307"/>
      <c r="BQ68" s="307"/>
      <c r="BR68" s="307"/>
      <c r="BS68" s="307"/>
      <c r="BT68" s="307"/>
      <c r="BU68" s="307"/>
      <c r="BV68" s="307"/>
      <c r="BW68" s="307"/>
      <c r="BX68" s="307"/>
      <c r="BY68" s="307"/>
      <c r="BZ68" s="307"/>
      <c r="CA68" s="307"/>
      <c r="CB68" s="307"/>
      <c r="CC68" s="307"/>
      <c r="CD68" s="307"/>
      <c r="CE68" s="307"/>
      <c r="CF68" s="307"/>
      <c r="CG68" s="307"/>
      <c r="CH68" s="307"/>
      <c r="CI68" s="307"/>
      <c r="CJ68" s="307"/>
      <c r="CK68" s="307"/>
      <c r="CL68" s="307"/>
      <c r="CM68" s="307"/>
      <c r="CN68" s="307"/>
      <c r="CO68" s="307"/>
      <c r="CP68" s="307"/>
      <c r="CQ68" s="307"/>
      <c r="CR68" s="307"/>
      <c r="CS68" s="307"/>
      <c r="CT68" s="307"/>
      <c r="CU68" s="307"/>
      <c r="CV68" s="307"/>
      <c r="CW68" s="307"/>
      <c r="CX68" s="307"/>
      <c r="CY68" s="307"/>
      <c r="CZ68" s="307"/>
      <c r="DA68" s="307"/>
      <c r="DB68" s="307"/>
      <c r="DC68" s="307"/>
      <c r="DD68" s="307"/>
      <c r="DE68" s="307"/>
      <c r="DF68" s="307"/>
      <c r="DG68" s="307"/>
      <c r="DH68" s="307"/>
      <c r="DI68" s="307"/>
      <c r="DJ68" s="307"/>
      <c r="DK68" s="307"/>
      <c r="DL68" s="307"/>
      <c r="DM68" s="307"/>
      <c r="DN68" s="307"/>
      <c r="DO68" s="307"/>
      <c r="DP68" s="307"/>
      <c r="DQ68" s="307"/>
      <c r="DR68" s="307"/>
      <c r="DS68" s="307"/>
      <c r="DT68" s="307"/>
      <c r="DU68" s="307"/>
      <c r="DV68" s="307"/>
      <c r="DW68" s="307"/>
      <c r="DX68" s="307"/>
      <c r="DY68" s="307"/>
      <c r="DZ68" s="307"/>
      <c r="EA68" s="307"/>
      <c r="EB68" s="307"/>
      <c r="EC68" s="307"/>
      <c r="ED68" s="307"/>
      <c r="EE68" s="307"/>
      <c r="EF68" s="307"/>
      <c r="EG68" s="307"/>
      <c r="EH68" s="307"/>
      <c r="EI68" s="307"/>
      <c r="EJ68" s="307"/>
      <c r="EK68" s="307"/>
      <c r="EL68" s="307"/>
      <c r="EM68" s="307"/>
      <c r="EN68" s="307"/>
      <c r="EO68" s="307"/>
      <c r="EP68" s="307"/>
      <c r="EQ68" s="307"/>
      <c r="ER68" s="307"/>
      <c r="ES68" s="307"/>
      <c r="ET68" s="307"/>
      <c r="EU68" s="307"/>
      <c r="EV68" s="307"/>
      <c r="EW68" s="307"/>
      <c r="EX68" s="307"/>
      <c r="EY68" s="307"/>
      <c r="EZ68" s="307"/>
      <c r="FA68" s="307"/>
      <c r="FB68" s="307"/>
      <c r="FC68" s="307"/>
      <c r="FD68" s="307"/>
      <c r="FE68" s="307"/>
      <c r="FF68" s="307"/>
      <c r="FG68" s="307"/>
      <c r="FH68" s="307"/>
      <c r="FI68" s="307"/>
      <c r="FJ68" s="307"/>
      <c r="FK68" s="307"/>
      <c r="FL68" s="307"/>
      <c r="FM68" s="307"/>
      <c r="FN68" s="307"/>
      <c r="FO68" s="307"/>
      <c r="FP68" s="307"/>
      <c r="FQ68" s="307"/>
      <c r="FR68" s="307"/>
      <c r="FS68" s="307"/>
      <c r="FT68" s="307"/>
      <c r="FU68" s="307"/>
      <c r="FV68" s="307"/>
      <c r="FW68" s="307"/>
      <c r="FX68" s="307"/>
      <c r="FY68" s="307"/>
      <c r="FZ68" s="307"/>
      <c r="GA68" s="307"/>
      <c r="GB68" s="307"/>
      <c r="GC68" s="307"/>
      <c r="GD68" s="307"/>
      <c r="GE68" s="307"/>
      <c r="GF68" s="307"/>
      <c r="GG68" s="307"/>
      <c r="GH68" s="307"/>
      <c r="GI68" s="307"/>
      <c r="GJ68" s="307"/>
      <c r="GK68" s="307"/>
      <c r="GL68" s="307"/>
      <c r="GM68" s="307"/>
      <c r="GN68" s="307"/>
      <c r="GO68" s="307"/>
      <c r="GP68" s="307"/>
      <c r="GQ68" s="307"/>
      <c r="GR68" s="307"/>
      <c r="GS68" s="307"/>
      <c r="GT68" s="307"/>
      <c r="GU68" s="307"/>
      <c r="GV68" s="307"/>
      <c r="GW68" s="307"/>
      <c r="GX68" s="307"/>
      <c r="GY68" s="307"/>
      <c r="GZ68" s="307"/>
      <c r="HA68" s="307"/>
      <c r="HB68" s="307"/>
      <c r="HC68" s="307"/>
      <c r="HD68" s="307"/>
      <c r="HE68" s="307"/>
      <c r="HF68" s="307"/>
      <c r="HG68" s="307"/>
      <c r="HH68" s="307"/>
      <c r="HI68" s="307"/>
      <c r="HJ68" s="307"/>
      <c r="HK68" s="307"/>
      <c r="HL68" s="307"/>
      <c r="HM68" s="307"/>
      <c r="HN68" s="307"/>
      <c r="HO68" s="307"/>
      <c r="HP68" s="307"/>
      <c r="HQ68" s="307"/>
      <c r="HR68" s="307"/>
      <c r="HS68" s="307"/>
      <c r="HT68" s="307"/>
      <c r="HU68" s="307"/>
      <c r="HV68" s="307"/>
      <c r="HW68" s="307"/>
      <c r="HX68" s="307"/>
      <c r="HY68" s="307"/>
      <c r="HZ68" s="307"/>
      <c r="IA68" s="307"/>
      <c r="IB68" s="307"/>
      <c r="IC68" s="307"/>
      <c r="ID68" s="307"/>
      <c r="IE68" s="307"/>
      <c r="IF68" s="307"/>
      <c r="IG68" s="307"/>
      <c r="IH68" s="307"/>
      <c r="II68" s="307"/>
      <c r="IJ68" s="307"/>
      <c r="IK68" s="307"/>
      <c r="IL68" s="307"/>
      <c r="IM68" s="307"/>
      <c r="IN68" s="307"/>
      <c r="IO68" s="307"/>
      <c r="IP68" s="307"/>
      <c r="IQ68" s="307"/>
      <c r="IR68" s="307"/>
      <c r="IS68" s="307"/>
      <c r="IT68" s="307"/>
      <c r="IU68" s="307"/>
    </row>
    <row r="69" spans="1:255">
      <c r="A69" s="338"/>
      <c r="B69" s="338"/>
      <c r="C69" s="338"/>
      <c r="D69" s="336"/>
      <c r="E69" s="336"/>
      <c r="F69" s="338"/>
      <c r="G69" s="338"/>
      <c r="H69" s="338"/>
      <c r="I69" s="338"/>
      <c r="J69" s="338"/>
      <c r="K69" s="338"/>
      <c r="L69" s="338"/>
      <c r="M69" s="338"/>
      <c r="N69" s="338"/>
      <c r="O69" s="338"/>
      <c r="P69" s="338"/>
      <c r="Q69" s="338"/>
      <c r="R69" s="30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c r="DH69" s="338"/>
      <c r="DI69" s="338"/>
      <c r="DJ69" s="338"/>
      <c r="DK69" s="338"/>
      <c r="DL69" s="338"/>
      <c r="DM69" s="338"/>
      <c r="DN69" s="338"/>
      <c r="DO69" s="338"/>
      <c r="DP69" s="338"/>
      <c r="DQ69" s="338"/>
      <c r="DR69" s="338"/>
      <c r="DS69" s="338"/>
      <c r="DT69" s="338"/>
      <c r="DU69" s="338"/>
      <c r="DV69" s="338"/>
      <c r="DW69" s="338"/>
      <c r="DX69" s="338"/>
      <c r="DY69" s="338"/>
      <c r="DZ69" s="338"/>
      <c r="EA69" s="338"/>
      <c r="EB69" s="338"/>
      <c r="EC69" s="338"/>
      <c r="ED69" s="338"/>
      <c r="EE69" s="338"/>
      <c r="EF69" s="338"/>
      <c r="EG69" s="338"/>
      <c r="EH69" s="338"/>
      <c r="EI69" s="338"/>
      <c r="EJ69" s="338"/>
      <c r="EK69" s="338"/>
      <c r="EL69" s="338"/>
      <c r="EM69" s="338"/>
      <c r="EN69" s="338"/>
      <c r="EO69" s="338"/>
      <c r="EP69" s="338"/>
      <c r="EQ69" s="338"/>
      <c r="ER69" s="338"/>
      <c r="ES69" s="338"/>
      <c r="ET69" s="338"/>
      <c r="EU69" s="338"/>
      <c r="EV69" s="338"/>
      <c r="EW69" s="338"/>
      <c r="EX69" s="338"/>
      <c r="EY69" s="338"/>
      <c r="EZ69" s="338"/>
      <c r="FA69" s="338"/>
      <c r="FB69" s="338"/>
      <c r="FC69" s="338"/>
      <c r="FD69" s="338"/>
      <c r="FE69" s="338"/>
      <c r="FF69" s="338"/>
      <c r="FG69" s="338"/>
      <c r="FH69" s="338"/>
      <c r="FI69" s="338"/>
      <c r="FJ69" s="338"/>
      <c r="FK69" s="338"/>
      <c r="FL69" s="338"/>
      <c r="FM69" s="338"/>
      <c r="FN69" s="338"/>
      <c r="FO69" s="338"/>
      <c r="FP69" s="338"/>
      <c r="FQ69" s="338"/>
      <c r="FR69" s="338"/>
      <c r="FS69" s="338"/>
      <c r="FT69" s="338"/>
      <c r="FU69" s="338"/>
      <c r="FV69" s="338"/>
      <c r="FW69" s="338"/>
      <c r="FX69" s="338"/>
      <c r="FY69" s="338"/>
      <c r="FZ69" s="338"/>
      <c r="GA69" s="338"/>
      <c r="GB69" s="338"/>
      <c r="GC69" s="338"/>
      <c r="GD69" s="338"/>
      <c r="GE69" s="338"/>
      <c r="GF69" s="338"/>
      <c r="GG69" s="338"/>
      <c r="GH69" s="338"/>
      <c r="GI69" s="338"/>
      <c r="GJ69" s="338"/>
      <c r="GK69" s="338"/>
      <c r="GL69" s="338"/>
      <c r="GM69" s="338"/>
      <c r="GN69" s="338"/>
      <c r="GO69" s="338"/>
      <c r="GP69" s="338"/>
      <c r="GQ69" s="338"/>
      <c r="GR69" s="338"/>
      <c r="GS69" s="338"/>
      <c r="GT69" s="338"/>
      <c r="GU69" s="338"/>
      <c r="GV69" s="338"/>
      <c r="GW69" s="338"/>
      <c r="GX69" s="338"/>
      <c r="GY69" s="338"/>
      <c r="GZ69" s="338"/>
      <c r="HA69" s="338"/>
      <c r="HB69" s="338"/>
      <c r="HC69" s="338"/>
      <c r="HD69" s="338"/>
      <c r="HE69" s="338"/>
      <c r="HF69" s="338"/>
      <c r="HG69" s="338"/>
      <c r="HH69" s="338"/>
      <c r="HI69" s="338"/>
      <c r="HJ69" s="338"/>
      <c r="HK69" s="338"/>
      <c r="HL69" s="338"/>
      <c r="HM69" s="338"/>
      <c r="HN69" s="338"/>
      <c r="HO69" s="338"/>
      <c r="HP69" s="338"/>
      <c r="HQ69" s="338"/>
      <c r="HR69" s="338"/>
      <c r="HS69" s="338"/>
      <c r="HT69" s="338"/>
      <c r="HU69" s="338"/>
      <c r="HV69" s="338"/>
      <c r="HW69" s="338"/>
      <c r="HX69" s="338"/>
      <c r="HY69" s="338"/>
      <c r="HZ69" s="338"/>
      <c r="IA69" s="338"/>
      <c r="IB69" s="338"/>
      <c r="IC69" s="338"/>
      <c r="ID69" s="338"/>
      <c r="IE69" s="338"/>
      <c r="IF69" s="338"/>
      <c r="IG69" s="338"/>
      <c r="IH69" s="338"/>
      <c r="II69" s="338"/>
      <c r="IJ69" s="338"/>
      <c r="IK69" s="338"/>
      <c r="IL69" s="338"/>
      <c r="IM69" s="338"/>
      <c r="IN69" s="338"/>
      <c r="IO69" s="338"/>
      <c r="IP69" s="338"/>
      <c r="IQ69" s="338"/>
      <c r="IR69" s="338"/>
      <c r="IS69" s="338"/>
      <c r="IT69" s="338"/>
      <c r="IU69" s="338"/>
    </row>
    <row r="70" spans="1:255">
      <c r="A70" s="307"/>
      <c r="B70" s="307"/>
      <c r="C70" s="307"/>
      <c r="D70" s="307"/>
      <c r="E70" s="336"/>
      <c r="F70" s="307"/>
      <c r="G70" s="307"/>
      <c r="H70" s="336"/>
      <c r="I70" s="307"/>
      <c r="J70" s="307"/>
      <c r="K70" s="307"/>
      <c r="L70" s="307"/>
      <c r="M70" s="307"/>
      <c r="N70" s="307"/>
      <c r="O70" s="307"/>
      <c r="P70" s="307"/>
      <c r="Q70" s="307"/>
      <c r="R70" s="308"/>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307"/>
      <c r="CN70" s="307"/>
      <c r="CO70" s="307"/>
      <c r="CP70" s="307"/>
      <c r="CQ70" s="307"/>
      <c r="CR70" s="307"/>
      <c r="CS70" s="307"/>
      <c r="CT70" s="307"/>
      <c r="CU70" s="307"/>
      <c r="CV70" s="307"/>
      <c r="CW70" s="307"/>
      <c r="CX70" s="307"/>
      <c r="CY70" s="307"/>
      <c r="CZ70" s="307"/>
      <c r="DA70" s="307"/>
      <c r="DB70" s="307"/>
      <c r="DC70" s="307"/>
      <c r="DD70" s="307"/>
      <c r="DE70" s="307"/>
      <c r="DF70" s="307"/>
      <c r="DG70" s="307"/>
      <c r="DH70" s="307"/>
      <c r="DI70" s="307"/>
      <c r="DJ70" s="307"/>
      <c r="DK70" s="307"/>
      <c r="DL70" s="307"/>
      <c r="DM70" s="307"/>
      <c r="DN70" s="307"/>
      <c r="DO70" s="307"/>
      <c r="DP70" s="307"/>
      <c r="DQ70" s="307"/>
      <c r="DR70" s="307"/>
      <c r="DS70" s="307"/>
      <c r="DT70" s="307"/>
      <c r="DU70" s="307"/>
      <c r="DV70" s="307"/>
      <c r="DW70" s="307"/>
      <c r="DX70" s="307"/>
      <c r="DY70" s="307"/>
      <c r="DZ70" s="307"/>
      <c r="EA70" s="307"/>
      <c r="EB70" s="307"/>
      <c r="EC70" s="307"/>
      <c r="ED70" s="307"/>
      <c r="EE70" s="307"/>
      <c r="EF70" s="307"/>
      <c r="EG70" s="307"/>
      <c r="EH70" s="307"/>
      <c r="EI70" s="307"/>
      <c r="EJ70" s="307"/>
      <c r="EK70" s="307"/>
      <c r="EL70" s="307"/>
      <c r="EM70" s="307"/>
      <c r="EN70" s="307"/>
      <c r="EO70" s="307"/>
      <c r="EP70" s="307"/>
      <c r="EQ70" s="307"/>
      <c r="ER70" s="307"/>
      <c r="ES70" s="307"/>
      <c r="ET70" s="307"/>
      <c r="EU70" s="307"/>
      <c r="EV70" s="307"/>
      <c r="EW70" s="307"/>
      <c r="EX70" s="307"/>
      <c r="EY70" s="307"/>
      <c r="EZ70" s="307"/>
      <c r="FA70" s="307"/>
      <c r="FB70" s="307"/>
      <c r="FC70" s="307"/>
      <c r="FD70" s="307"/>
      <c r="FE70" s="307"/>
      <c r="FF70" s="307"/>
      <c r="FG70" s="307"/>
      <c r="FH70" s="307"/>
      <c r="FI70" s="307"/>
      <c r="FJ70" s="307"/>
      <c r="FK70" s="307"/>
      <c r="FL70" s="307"/>
      <c r="FM70" s="307"/>
      <c r="FN70" s="307"/>
      <c r="FO70" s="307"/>
      <c r="FP70" s="307"/>
      <c r="FQ70" s="307"/>
      <c r="FR70" s="307"/>
      <c r="FS70" s="307"/>
      <c r="FT70" s="307"/>
      <c r="FU70" s="307"/>
      <c r="FV70" s="307"/>
      <c r="FW70" s="307"/>
      <c r="FX70" s="307"/>
      <c r="FY70" s="307"/>
      <c r="FZ70" s="307"/>
      <c r="GA70" s="307"/>
      <c r="GB70" s="307"/>
      <c r="GC70" s="307"/>
      <c r="GD70" s="307"/>
      <c r="GE70" s="307"/>
      <c r="GF70" s="307"/>
      <c r="GG70" s="307"/>
      <c r="GH70" s="307"/>
      <c r="GI70" s="307"/>
      <c r="GJ70" s="307"/>
      <c r="GK70" s="307"/>
      <c r="GL70" s="307"/>
      <c r="GM70" s="307"/>
      <c r="GN70" s="307"/>
      <c r="GO70" s="307"/>
      <c r="GP70" s="307"/>
      <c r="GQ70" s="307"/>
      <c r="GR70" s="307"/>
      <c r="GS70" s="307"/>
      <c r="GT70" s="307"/>
      <c r="GU70" s="307"/>
      <c r="GV70" s="307"/>
      <c r="GW70" s="307"/>
      <c r="GX70" s="307"/>
      <c r="GY70" s="307"/>
      <c r="GZ70" s="307"/>
      <c r="HA70" s="307"/>
      <c r="HB70" s="307"/>
      <c r="HC70" s="307"/>
      <c r="HD70" s="307"/>
      <c r="HE70" s="307"/>
      <c r="HF70" s="307"/>
      <c r="HG70" s="307"/>
      <c r="HH70" s="307"/>
      <c r="HI70" s="307"/>
      <c r="HJ70" s="307"/>
      <c r="HK70" s="307"/>
      <c r="HL70" s="307"/>
      <c r="HM70" s="307"/>
      <c r="HN70" s="307"/>
      <c r="HO70" s="307"/>
      <c r="HP70" s="307"/>
      <c r="HQ70" s="307"/>
      <c r="HR70" s="307"/>
      <c r="HS70" s="307"/>
      <c r="HT70" s="307"/>
      <c r="HU70" s="307"/>
      <c r="HV70" s="307"/>
      <c r="HW70" s="307"/>
      <c r="HX70" s="307"/>
      <c r="HY70" s="307"/>
      <c r="HZ70" s="307"/>
      <c r="IA70" s="307"/>
      <c r="IB70" s="307"/>
      <c r="IC70" s="307"/>
      <c r="ID70" s="307"/>
      <c r="IE70" s="307"/>
      <c r="IF70" s="307"/>
      <c r="IG70" s="307"/>
      <c r="IH70" s="307"/>
      <c r="II70" s="307"/>
      <c r="IJ70" s="307"/>
      <c r="IK70" s="307"/>
      <c r="IL70" s="307"/>
      <c r="IM70" s="307"/>
      <c r="IN70" s="307"/>
      <c r="IO70" s="307"/>
      <c r="IP70" s="307"/>
      <c r="IQ70" s="307"/>
      <c r="IR70" s="307"/>
      <c r="IS70" s="307"/>
      <c r="IT70" s="307"/>
      <c r="IU70" s="307"/>
    </row>
    <row r="71" spans="1:255">
      <c r="A71" s="308"/>
      <c r="B71" s="308"/>
      <c r="C71" s="308"/>
      <c r="D71" s="308"/>
      <c r="E71" s="336"/>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8"/>
      <c r="BR71" s="308"/>
      <c r="BS71" s="308"/>
      <c r="BT71" s="308"/>
      <c r="BU71" s="308"/>
      <c r="BV71" s="308"/>
      <c r="BW71" s="308"/>
      <c r="BX71" s="308"/>
      <c r="BY71" s="308"/>
      <c r="BZ71" s="308"/>
      <c r="CA71" s="308"/>
      <c r="CB71" s="308"/>
      <c r="CC71" s="308"/>
      <c r="CD71" s="308"/>
      <c r="CE71" s="308"/>
      <c r="CF71" s="308"/>
      <c r="CG71" s="308"/>
      <c r="CH71" s="308"/>
      <c r="CI71" s="308"/>
      <c r="CJ71" s="308"/>
      <c r="CK71" s="308"/>
      <c r="CL71" s="308"/>
      <c r="CM71" s="308"/>
      <c r="CN71" s="308"/>
      <c r="CO71" s="308"/>
      <c r="CP71" s="308"/>
      <c r="CQ71" s="308"/>
      <c r="CR71" s="308"/>
      <c r="CS71" s="308"/>
      <c r="CT71" s="308"/>
      <c r="CU71" s="308"/>
      <c r="CV71" s="308"/>
      <c r="CW71" s="308"/>
      <c r="CX71" s="308"/>
      <c r="CY71" s="308"/>
      <c r="CZ71" s="308"/>
      <c r="DA71" s="308"/>
      <c r="DB71" s="308"/>
      <c r="DC71" s="308"/>
      <c r="DD71" s="308"/>
      <c r="DE71" s="308"/>
      <c r="DF71" s="308"/>
      <c r="DG71" s="308"/>
      <c r="DH71" s="308"/>
      <c r="DI71" s="308"/>
      <c r="DJ71" s="308"/>
      <c r="DK71" s="308"/>
      <c r="DL71" s="308"/>
      <c r="DM71" s="308"/>
      <c r="DN71" s="308"/>
      <c r="DO71" s="308"/>
      <c r="DP71" s="308"/>
      <c r="DQ71" s="308"/>
      <c r="DR71" s="308"/>
      <c r="DS71" s="308"/>
      <c r="DT71" s="308"/>
      <c r="DU71" s="308"/>
      <c r="DV71" s="308"/>
      <c r="DW71" s="308"/>
      <c r="DX71" s="308"/>
      <c r="DY71" s="308"/>
      <c r="DZ71" s="308"/>
      <c r="EA71" s="308"/>
      <c r="EB71" s="308"/>
      <c r="EC71" s="308"/>
      <c r="ED71" s="308"/>
      <c r="EE71" s="308"/>
      <c r="EF71" s="308"/>
      <c r="EG71" s="308"/>
      <c r="EH71" s="308"/>
      <c r="EI71" s="308"/>
      <c r="EJ71" s="308"/>
      <c r="EK71" s="308"/>
      <c r="EL71" s="308"/>
      <c r="EM71" s="308"/>
      <c r="EN71" s="308"/>
      <c r="EO71" s="308"/>
      <c r="EP71" s="308"/>
      <c r="EQ71" s="308"/>
      <c r="ER71" s="308"/>
      <c r="ES71" s="308"/>
      <c r="ET71" s="308"/>
      <c r="EU71" s="308"/>
      <c r="EV71" s="308"/>
      <c r="EW71" s="308"/>
      <c r="EX71" s="308"/>
      <c r="EY71" s="308"/>
      <c r="EZ71" s="308"/>
      <c r="FA71" s="308"/>
      <c r="FB71" s="308"/>
      <c r="FC71" s="308"/>
      <c r="FD71" s="308"/>
      <c r="FE71" s="308"/>
      <c r="FF71" s="308"/>
      <c r="FG71" s="308"/>
      <c r="FH71" s="308"/>
      <c r="FI71" s="308"/>
      <c r="FJ71" s="308"/>
      <c r="FK71" s="308"/>
      <c r="FL71" s="308"/>
      <c r="FM71" s="308"/>
      <c r="FN71" s="308"/>
      <c r="FO71" s="308"/>
      <c r="FP71" s="308"/>
      <c r="FQ71" s="308"/>
      <c r="FR71" s="308"/>
      <c r="FS71" s="308"/>
      <c r="FT71" s="308"/>
      <c r="FU71" s="308"/>
      <c r="FV71" s="308"/>
      <c r="FW71" s="308"/>
      <c r="FX71" s="308"/>
      <c r="FY71" s="308"/>
      <c r="FZ71" s="308"/>
      <c r="GA71" s="308"/>
      <c r="GB71" s="308"/>
      <c r="GC71" s="308"/>
      <c r="GD71" s="308"/>
      <c r="GE71" s="308"/>
      <c r="GF71" s="308"/>
      <c r="GG71" s="308"/>
      <c r="GH71" s="308"/>
      <c r="GI71" s="308"/>
      <c r="GJ71" s="308"/>
      <c r="GK71" s="308"/>
      <c r="GL71" s="308"/>
      <c r="GM71" s="308"/>
      <c r="GN71" s="308"/>
      <c r="GO71" s="308"/>
      <c r="GP71" s="308"/>
      <c r="GQ71" s="308"/>
      <c r="GR71" s="308"/>
      <c r="GS71" s="308"/>
      <c r="GT71" s="308"/>
      <c r="GU71" s="308"/>
      <c r="GV71" s="308"/>
      <c r="GW71" s="308"/>
      <c r="GX71" s="308"/>
      <c r="GY71" s="308"/>
      <c r="GZ71" s="308"/>
      <c r="HA71" s="308"/>
      <c r="HB71" s="308"/>
      <c r="HC71" s="308"/>
      <c r="HD71" s="308"/>
      <c r="HE71" s="308"/>
      <c r="HF71" s="308"/>
      <c r="HG71" s="308"/>
      <c r="HH71" s="308"/>
      <c r="HI71" s="308"/>
      <c r="HJ71" s="308"/>
      <c r="HK71" s="308"/>
      <c r="HL71" s="308"/>
      <c r="HM71" s="308"/>
      <c r="HN71" s="308"/>
      <c r="HO71" s="308"/>
      <c r="HP71" s="308"/>
      <c r="HQ71" s="308"/>
      <c r="HR71" s="308"/>
      <c r="HS71" s="308"/>
      <c r="HT71" s="308"/>
      <c r="HU71" s="308"/>
      <c r="HV71" s="308"/>
      <c r="HW71" s="308"/>
      <c r="HX71" s="308"/>
      <c r="HY71" s="308"/>
      <c r="HZ71" s="308"/>
      <c r="IA71" s="308"/>
      <c r="IB71" s="308"/>
      <c r="IC71" s="308"/>
      <c r="ID71" s="308"/>
      <c r="IE71" s="308"/>
      <c r="IF71" s="308"/>
      <c r="IG71" s="308"/>
      <c r="IH71" s="308"/>
      <c r="II71" s="308"/>
      <c r="IJ71" s="308"/>
      <c r="IK71" s="308"/>
      <c r="IL71" s="308"/>
      <c r="IM71" s="308"/>
      <c r="IN71" s="308"/>
      <c r="IO71" s="308"/>
      <c r="IP71" s="308"/>
      <c r="IQ71" s="308"/>
      <c r="IR71" s="308"/>
      <c r="IS71" s="308"/>
      <c r="IT71" s="308"/>
      <c r="IU71" s="308"/>
    </row>
    <row r="72" spans="1:255">
      <c r="A72" s="307"/>
      <c r="B72" s="307"/>
      <c r="C72" s="307"/>
      <c r="D72" s="307"/>
      <c r="E72" s="336"/>
      <c r="F72" s="307"/>
      <c r="G72" s="307"/>
      <c r="H72" s="307"/>
      <c r="I72" s="307"/>
      <c r="J72" s="307"/>
      <c r="K72" s="307"/>
      <c r="L72" s="307"/>
      <c r="M72" s="307"/>
      <c r="N72" s="307"/>
      <c r="O72" s="307"/>
      <c r="P72" s="307"/>
      <c r="Q72" s="307"/>
      <c r="R72" s="308"/>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c r="BR72" s="307"/>
      <c r="BS72" s="307"/>
      <c r="BT72" s="307"/>
      <c r="BU72" s="307"/>
      <c r="BV72" s="307"/>
      <c r="BW72" s="307"/>
      <c r="BX72" s="307"/>
      <c r="BY72" s="307"/>
      <c r="BZ72" s="307"/>
      <c r="CA72" s="307"/>
      <c r="CB72" s="307"/>
      <c r="CC72" s="307"/>
      <c r="CD72" s="307"/>
      <c r="CE72" s="307"/>
      <c r="CF72" s="307"/>
      <c r="CG72" s="307"/>
      <c r="CH72" s="307"/>
      <c r="CI72" s="307"/>
      <c r="CJ72" s="307"/>
      <c r="CK72" s="307"/>
      <c r="CL72" s="307"/>
      <c r="CM72" s="307"/>
      <c r="CN72" s="307"/>
      <c r="CO72" s="307"/>
      <c r="CP72" s="307"/>
      <c r="CQ72" s="307"/>
      <c r="CR72" s="307"/>
      <c r="CS72" s="307"/>
      <c r="CT72" s="307"/>
      <c r="CU72" s="307"/>
      <c r="CV72" s="307"/>
      <c r="CW72" s="307"/>
      <c r="CX72" s="307"/>
      <c r="CY72" s="307"/>
      <c r="CZ72" s="307"/>
      <c r="DA72" s="307"/>
      <c r="DB72" s="307"/>
      <c r="DC72" s="307"/>
      <c r="DD72" s="307"/>
      <c r="DE72" s="307"/>
      <c r="DF72" s="307"/>
      <c r="DG72" s="307"/>
      <c r="DH72" s="307"/>
      <c r="DI72" s="307"/>
      <c r="DJ72" s="307"/>
      <c r="DK72" s="307"/>
      <c r="DL72" s="307"/>
      <c r="DM72" s="307"/>
      <c r="DN72" s="307"/>
      <c r="DO72" s="307"/>
      <c r="DP72" s="307"/>
      <c r="DQ72" s="307"/>
      <c r="DR72" s="307"/>
      <c r="DS72" s="307"/>
      <c r="DT72" s="307"/>
      <c r="DU72" s="307"/>
      <c r="DV72" s="307"/>
      <c r="DW72" s="307"/>
      <c r="DX72" s="307"/>
      <c r="DY72" s="307"/>
      <c r="DZ72" s="307"/>
      <c r="EA72" s="307"/>
      <c r="EB72" s="307"/>
      <c r="EC72" s="307"/>
      <c r="ED72" s="307"/>
      <c r="EE72" s="307"/>
      <c r="EF72" s="307"/>
      <c r="EG72" s="307"/>
      <c r="EH72" s="307"/>
      <c r="EI72" s="307"/>
      <c r="EJ72" s="307"/>
      <c r="EK72" s="307"/>
      <c r="EL72" s="307"/>
      <c r="EM72" s="307"/>
      <c r="EN72" s="307"/>
      <c r="EO72" s="307"/>
      <c r="EP72" s="307"/>
      <c r="EQ72" s="307"/>
      <c r="ER72" s="307"/>
      <c r="ES72" s="307"/>
      <c r="ET72" s="307"/>
      <c r="EU72" s="307"/>
      <c r="EV72" s="307"/>
      <c r="EW72" s="307"/>
      <c r="EX72" s="307"/>
      <c r="EY72" s="307"/>
      <c r="EZ72" s="307"/>
      <c r="FA72" s="307"/>
      <c r="FB72" s="307"/>
      <c r="FC72" s="307"/>
      <c r="FD72" s="307"/>
      <c r="FE72" s="307"/>
      <c r="FF72" s="307"/>
      <c r="FG72" s="307"/>
      <c r="FH72" s="307"/>
      <c r="FI72" s="307"/>
      <c r="FJ72" s="307"/>
      <c r="FK72" s="307"/>
      <c r="FL72" s="307"/>
      <c r="FM72" s="307"/>
      <c r="FN72" s="307"/>
      <c r="FO72" s="307"/>
      <c r="FP72" s="307"/>
      <c r="FQ72" s="307"/>
      <c r="FR72" s="307"/>
      <c r="FS72" s="307"/>
      <c r="FT72" s="307"/>
      <c r="FU72" s="307"/>
      <c r="FV72" s="307"/>
      <c r="FW72" s="307"/>
      <c r="FX72" s="307"/>
      <c r="FY72" s="307"/>
      <c r="FZ72" s="307"/>
      <c r="GA72" s="307"/>
      <c r="GB72" s="307"/>
      <c r="GC72" s="307"/>
      <c r="GD72" s="307"/>
      <c r="GE72" s="307"/>
      <c r="GF72" s="307"/>
      <c r="GG72" s="307"/>
      <c r="GH72" s="307"/>
      <c r="GI72" s="307"/>
      <c r="GJ72" s="307"/>
      <c r="GK72" s="307"/>
      <c r="GL72" s="307"/>
      <c r="GM72" s="307"/>
      <c r="GN72" s="307"/>
      <c r="GO72" s="307"/>
      <c r="GP72" s="307"/>
      <c r="GQ72" s="307"/>
      <c r="GR72" s="307"/>
      <c r="GS72" s="307"/>
      <c r="GT72" s="307"/>
      <c r="GU72" s="307"/>
      <c r="GV72" s="307"/>
      <c r="GW72" s="307"/>
      <c r="GX72" s="307"/>
      <c r="GY72" s="307"/>
      <c r="GZ72" s="307"/>
      <c r="HA72" s="307"/>
      <c r="HB72" s="307"/>
      <c r="HC72" s="307"/>
      <c r="HD72" s="307"/>
      <c r="HE72" s="307"/>
      <c r="HF72" s="307"/>
      <c r="HG72" s="307"/>
      <c r="HH72" s="307"/>
      <c r="HI72" s="307"/>
      <c r="HJ72" s="307"/>
      <c r="HK72" s="307"/>
      <c r="HL72" s="307"/>
      <c r="HM72" s="307"/>
      <c r="HN72" s="307"/>
      <c r="HO72" s="307"/>
      <c r="HP72" s="307"/>
      <c r="HQ72" s="307"/>
      <c r="HR72" s="307"/>
      <c r="HS72" s="307"/>
      <c r="HT72" s="307"/>
      <c r="HU72" s="307"/>
      <c r="HV72" s="307"/>
      <c r="HW72" s="307"/>
      <c r="HX72" s="307"/>
      <c r="HY72" s="307"/>
      <c r="HZ72" s="307"/>
      <c r="IA72" s="307"/>
      <c r="IB72" s="307"/>
      <c r="IC72" s="307"/>
      <c r="ID72" s="307"/>
      <c r="IE72" s="307"/>
      <c r="IF72" s="307"/>
      <c r="IG72" s="307"/>
      <c r="IH72" s="307"/>
      <c r="II72" s="307"/>
      <c r="IJ72" s="307"/>
      <c r="IK72" s="307"/>
      <c r="IL72" s="307"/>
      <c r="IM72" s="307"/>
      <c r="IN72" s="307"/>
      <c r="IO72" s="307"/>
      <c r="IP72" s="307"/>
      <c r="IQ72" s="307"/>
      <c r="IR72" s="307"/>
      <c r="IS72" s="307"/>
      <c r="IT72" s="307"/>
      <c r="IU72" s="307"/>
    </row>
    <row r="73" spans="1:255">
      <c r="A73" s="307"/>
      <c r="B73" s="307"/>
      <c r="C73" s="307"/>
      <c r="D73" s="307"/>
      <c r="E73" s="336"/>
      <c r="F73" s="307"/>
      <c r="G73" s="307"/>
      <c r="H73" s="307"/>
      <c r="I73" s="307"/>
      <c r="J73" s="307"/>
      <c r="K73" s="307"/>
      <c r="L73" s="307"/>
      <c r="M73" s="307"/>
      <c r="N73" s="307"/>
      <c r="O73" s="307"/>
      <c r="P73" s="307"/>
      <c r="Q73" s="307"/>
      <c r="R73" s="308"/>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7"/>
      <c r="DB73" s="307"/>
      <c r="DC73" s="307"/>
      <c r="DD73" s="307"/>
      <c r="DE73" s="307"/>
      <c r="DF73" s="307"/>
      <c r="DG73" s="307"/>
      <c r="DH73" s="307"/>
      <c r="DI73" s="307"/>
      <c r="DJ73" s="307"/>
      <c r="DK73" s="307"/>
      <c r="DL73" s="307"/>
      <c r="DM73" s="307"/>
      <c r="DN73" s="307"/>
      <c r="DO73" s="307"/>
      <c r="DP73" s="307"/>
      <c r="DQ73" s="307"/>
      <c r="DR73" s="307"/>
      <c r="DS73" s="307"/>
      <c r="DT73" s="307"/>
      <c r="DU73" s="307"/>
      <c r="DV73" s="307"/>
      <c r="DW73" s="307"/>
      <c r="DX73" s="307"/>
      <c r="DY73" s="307"/>
      <c r="DZ73" s="307"/>
      <c r="EA73" s="307"/>
      <c r="EB73" s="307"/>
      <c r="EC73" s="307"/>
      <c r="ED73" s="307"/>
      <c r="EE73" s="307"/>
      <c r="EF73" s="307"/>
      <c r="EG73" s="307"/>
      <c r="EH73" s="307"/>
      <c r="EI73" s="307"/>
      <c r="EJ73" s="307"/>
      <c r="EK73" s="307"/>
      <c r="EL73" s="307"/>
      <c r="EM73" s="307"/>
      <c r="EN73" s="307"/>
      <c r="EO73" s="307"/>
      <c r="EP73" s="307"/>
      <c r="EQ73" s="307"/>
      <c r="ER73" s="307"/>
      <c r="ES73" s="307"/>
      <c r="ET73" s="307"/>
      <c r="EU73" s="307"/>
      <c r="EV73" s="307"/>
      <c r="EW73" s="307"/>
      <c r="EX73" s="307"/>
      <c r="EY73" s="307"/>
      <c r="EZ73" s="307"/>
      <c r="FA73" s="307"/>
      <c r="FB73" s="307"/>
      <c r="FC73" s="307"/>
      <c r="FD73" s="307"/>
      <c r="FE73" s="307"/>
      <c r="FF73" s="307"/>
      <c r="FG73" s="307"/>
      <c r="FH73" s="307"/>
      <c r="FI73" s="307"/>
      <c r="FJ73" s="307"/>
      <c r="FK73" s="307"/>
      <c r="FL73" s="307"/>
      <c r="FM73" s="307"/>
      <c r="FN73" s="307"/>
      <c r="FO73" s="307"/>
      <c r="FP73" s="307"/>
      <c r="FQ73" s="307"/>
      <c r="FR73" s="307"/>
      <c r="FS73" s="307"/>
      <c r="FT73" s="307"/>
      <c r="FU73" s="307"/>
      <c r="FV73" s="307"/>
      <c r="FW73" s="307"/>
      <c r="FX73" s="307"/>
      <c r="FY73" s="307"/>
      <c r="FZ73" s="307"/>
      <c r="GA73" s="307"/>
      <c r="GB73" s="307"/>
      <c r="GC73" s="307"/>
      <c r="GD73" s="307"/>
      <c r="GE73" s="307"/>
      <c r="GF73" s="307"/>
      <c r="GG73" s="307"/>
      <c r="GH73" s="307"/>
      <c r="GI73" s="307"/>
      <c r="GJ73" s="307"/>
      <c r="GK73" s="307"/>
      <c r="GL73" s="307"/>
      <c r="GM73" s="307"/>
      <c r="GN73" s="307"/>
      <c r="GO73" s="307"/>
      <c r="GP73" s="307"/>
      <c r="GQ73" s="307"/>
      <c r="GR73" s="307"/>
      <c r="GS73" s="307"/>
      <c r="GT73" s="307"/>
      <c r="GU73" s="307"/>
      <c r="GV73" s="307"/>
      <c r="GW73" s="307"/>
      <c r="GX73" s="307"/>
      <c r="GY73" s="307"/>
      <c r="GZ73" s="307"/>
      <c r="HA73" s="307"/>
      <c r="HB73" s="307"/>
      <c r="HC73" s="307"/>
      <c r="HD73" s="307"/>
      <c r="HE73" s="307"/>
      <c r="HF73" s="307"/>
      <c r="HG73" s="307"/>
      <c r="HH73" s="307"/>
      <c r="HI73" s="307"/>
      <c r="HJ73" s="307"/>
      <c r="HK73" s="307"/>
      <c r="HL73" s="307"/>
      <c r="HM73" s="307"/>
      <c r="HN73" s="307"/>
      <c r="HO73" s="307"/>
      <c r="HP73" s="307"/>
      <c r="HQ73" s="307"/>
      <c r="HR73" s="307"/>
      <c r="HS73" s="307"/>
      <c r="HT73" s="307"/>
      <c r="HU73" s="307"/>
      <c r="HV73" s="307"/>
      <c r="HW73" s="307"/>
      <c r="HX73" s="307"/>
      <c r="HY73" s="307"/>
      <c r="HZ73" s="307"/>
      <c r="IA73" s="307"/>
      <c r="IB73" s="307"/>
      <c r="IC73" s="307"/>
      <c r="ID73" s="307"/>
      <c r="IE73" s="307"/>
      <c r="IF73" s="307"/>
      <c r="IG73" s="307"/>
      <c r="IH73" s="307"/>
      <c r="II73" s="307"/>
      <c r="IJ73" s="307"/>
      <c r="IK73" s="307"/>
      <c r="IL73" s="307"/>
      <c r="IM73" s="307"/>
      <c r="IN73" s="307"/>
      <c r="IO73" s="307"/>
      <c r="IP73" s="307"/>
      <c r="IQ73" s="307"/>
      <c r="IR73" s="307"/>
      <c r="IS73" s="307"/>
      <c r="IT73" s="307"/>
      <c r="IU73" s="307"/>
    </row>
    <row r="74" spans="1:255">
      <c r="A74" s="307"/>
      <c r="B74" s="307"/>
      <c r="C74" s="307"/>
      <c r="D74" s="307"/>
      <c r="E74" s="336"/>
      <c r="F74" s="307"/>
      <c r="G74" s="307"/>
      <c r="H74" s="307"/>
      <c r="I74" s="307"/>
      <c r="J74" s="307"/>
      <c r="K74" s="307"/>
      <c r="L74" s="307"/>
      <c r="M74" s="307"/>
      <c r="N74" s="307"/>
      <c r="O74" s="307"/>
      <c r="P74" s="307"/>
      <c r="Q74" s="307"/>
      <c r="R74" s="308"/>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7"/>
      <c r="DV74" s="307"/>
      <c r="DW74" s="307"/>
      <c r="DX74" s="307"/>
      <c r="DY74" s="307"/>
      <c r="DZ74" s="307"/>
      <c r="EA74" s="307"/>
      <c r="EB74" s="307"/>
      <c r="EC74" s="307"/>
      <c r="ED74" s="307"/>
      <c r="EE74" s="307"/>
      <c r="EF74" s="307"/>
      <c r="EG74" s="307"/>
      <c r="EH74" s="307"/>
      <c r="EI74" s="307"/>
      <c r="EJ74" s="307"/>
      <c r="EK74" s="307"/>
      <c r="EL74" s="307"/>
      <c r="EM74" s="307"/>
      <c r="EN74" s="307"/>
      <c r="EO74" s="307"/>
      <c r="EP74" s="307"/>
      <c r="EQ74" s="307"/>
      <c r="ER74" s="307"/>
      <c r="ES74" s="307"/>
      <c r="ET74" s="307"/>
      <c r="EU74" s="307"/>
      <c r="EV74" s="307"/>
      <c r="EW74" s="307"/>
      <c r="EX74" s="307"/>
      <c r="EY74" s="307"/>
      <c r="EZ74" s="307"/>
      <c r="FA74" s="307"/>
      <c r="FB74" s="307"/>
      <c r="FC74" s="307"/>
      <c r="FD74" s="307"/>
      <c r="FE74" s="307"/>
      <c r="FF74" s="307"/>
      <c r="FG74" s="307"/>
      <c r="FH74" s="307"/>
      <c r="FI74" s="307"/>
      <c r="FJ74" s="307"/>
      <c r="FK74" s="307"/>
      <c r="FL74" s="307"/>
      <c r="FM74" s="307"/>
      <c r="FN74" s="307"/>
      <c r="FO74" s="307"/>
      <c r="FP74" s="307"/>
      <c r="FQ74" s="307"/>
      <c r="FR74" s="307"/>
      <c r="FS74" s="307"/>
      <c r="FT74" s="307"/>
      <c r="FU74" s="307"/>
      <c r="FV74" s="307"/>
      <c r="FW74" s="307"/>
      <c r="FX74" s="307"/>
      <c r="FY74" s="307"/>
      <c r="FZ74" s="307"/>
      <c r="GA74" s="307"/>
      <c r="GB74" s="307"/>
      <c r="GC74" s="307"/>
      <c r="GD74" s="307"/>
      <c r="GE74" s="307"/>
      <c r="GF74" s="307"/>
      <c r="GG74" s="307"/>
      <c r="GH74" s="307"/>
      <c r="GI74" s="307"/>
      <c r="GJ74" s="307"/>
      <c r="GK74" s="307"/>
      <c r="GL74" s="307"/>
      <c r="GM74" s="307"/>
      <c r="GN74" s="307"/>
      <c r="GO74" s="307"/>
      <c r="GP74" s="307"/>
      <c r="GQ74" s="307"/>
      <c r="GR74" s="307"/>
      <c r="GS74" s="307"/>
      <c r="GT74" s="307"/>
      <c r="GU74" s="307"/>
      <c r="GV74" s="307"/>
      <c r="GW74" s="307"/>
      <c r="GX74" s="307"/>
      <c r="GY74" s="307"/>
      <c r="GZ74" s="307"/>
      <c r="HA74" s="307"/>
      <c r="HB74" s="307"/>
      <c r="HC74" s="307"/>
      <c r="HD74" s="307"/>
      <c r="HE74" s="307"/>
      <c r="HF74" s="307"/>
      <c r="HG74" s="307"/>
      <c r="HH74" s="307"/>
      <c r="HI74" s="307"/>
      <c r="HJ74" s="307"/>
      <c r="HK74" s="307"/>
      <c r="HL74" s="307"/>
      <c r="HM74" s="307"/>
      <c r="HN74" s="307"/>
      <c r="HO74" s="307"/>
      <c r="HP74" s="307"/>
      <c r="HQ74" s="307"/>
      <c r="HR74" s="307"/>
      <c r="HS74" s="307"/>
      <c r="HT74" s="307"/>
      <c r="HU74" s="307"/>
      <c r="HV74" s="307"/>
      <c r="HW74" s="307"/>
      <c r="HX74" s="307"/>
      <c r="HY74" s="307"/>
      <c r="HZ74" s="307"/>
      <c r="IA74" s="307"/>
      <c r="IB74" s="307"/>
      <c r="IC74" s="307"/>
      <c r="ID74" s="307"/>
      <c r="IE74" s="307"/>
      <c r="IF74" s="307"/>
      <c r="IG74" s="307"/>
      <c r="IH74" s="307"/>
      <c r="II74" s="307"/>
      <c r="IJ74" s="307"/>
      <c r="IK74" s="307"/>
      <c r="IL74" s="307"/>
      <c r="IM74" s="307"/>
      <c r="IN74" s="307"/>
      <c r="IO74" s="307"/>
      <c r="IP74" s="307"/>
      <c r="IQ74" s="307"/>
      <c r="IR74" s="307"/>
      <c r="IS74" s="307"/>
      <c r="IT74" s="307"/>
      <c r="IU74" s="307"/>
    </row>
    <row r="75" spans="1:255">
      <c r="A75" s="307"/>
      <c r="B75" s="307"/>
      <c r="C75" s="307"/>
      <c r="D75" s="307"/>
      <c r="E75" s="336"/>
      <c r="F75" s="307"/>
      <c r="G75" s="307"/>
      <c r="H75" s="307"/>
      <c r="I75" s="307"/>
      <c r="J75" s="307"/>
      <c r="K75" s="307"/>
      <c r="L75" s="307"/>
      <c r="M75" s="307"/>
      <c r="N75" s="307"/>
      <c r="O75" s="307"/>
      <c r="P75" s="307"/>
      <c r="Q75" s="307"/>
      <c r="R75" s="308"/>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c r="CB75" s="307"/>
      <c r="CC75" s="307"/>
      <c r="CD75" s="307"/>
      <c r="CE75" s="307"/>
      <c r="CF75" s="307"/>
      <c r="CG75" s="307"/>
      <c r="CH75" s="307"/>
      <c r="CI75" s="307"/>
      <c r="CJ75" s="307"/>
      <c r="CK75" s="307"/>
      <c r="CL75" s="307"/>
      <c r="CM75" s="307"/>
      <c r="CN75" s="307"/>
      <c r="CO75" s="307"/>
      <c r="CP75" s="307"/>
      <c r="CQ75" s="307"/>
      <c r="CR75" s="307"/>
      <c r="CS75" s="307"/>
      <c r="CT75" s="307"/>
      <c r="CU75" s="307"/>
      <c r="CV75" s="307"/>
      <c r="CW75" s="307"/>
      <c r="CX75" s="307"/>
      <c r="CY75" s="307"/>
      <c r="CZ75" s="307"/>
      <c r="DA75" s="307"/>
      <c r="DB75" s="307"/>
      <c r="DC75" s="307"/>
      <c r="DD75" s="307"/>
      <c r="DE75" s="307"/>
      <c r="DF75" s="307"/>
      <c r="DG75" s="307"/>
      <c r="DH75" s="307"/>
      <c r="DI75" s="307"/>
      <c r="DJ75" s="307"/>
      <c r="DK75" s="307"/>
      <c r="DL75" s="307"/>
      <c r="DM75" s="307"/>
      <c r="DN75" s="307"/>
      <c r="DO75" s="307"/>
      <c r="DP75" s="307"/>
      <c r="DQ75" s="307"/>
      <c r="DR75" s="307"/>
      <c r="DS75" s="307"/>
      <c r="DT75" s="307"/>
      <c r="DU75" s="307"/>
      <c r="DV75" s="307"/>
      <c r="DW75" s="307"/>
      <c r="DX75" s="307"/>
      <c r="DY75" s="307"/>
      <c r="DZ75" s="307"/>
      <c r="EA75" s="307"/>
      <c r="EB75" s="307"/>
      <c r="EC75" s="307"/>
      <c r="ED75" s="307"/>
      <c r="EE75" s="307"/>
      <c r="EF75" s="307"/>
      <c r="EG75" s="307"/>
      <c r="EH75" s="307"/>
      <c r="EI75" s="307"/>
      <c r="EJ75" s="307"/>
      <c r="EK75" s="307"/>
      <c r="EL75" s="307"/>
      <c r="EM75" s="307"/>
      <c r="EN75" s="307"/>
      <c r="EO75" s="307"/>
      <c r="EP75" s="307"/>
      <c r="EQ75" s="307"/>
      <c r="ER75" s="307"/>
      <c r="ES75" s="307"/>
      <c r="ET75" s="307"/>
      <c r="EU75" s="307"/>
      <c r="EV75" s="307"/>
      <c r="EW75" s="307"/>
      <c r="EX75" s="307"/>
      <c r="EY75" s="307"/>
      <c r="EZ75" s="307"/>
      <c r="FA75" s="307"/>
      <c r="FB75" s="307"/>
      <c r="FC75" s="307"/>
      <c r="FD75" s="307"/>
      <c r="FE75" s="307"/>
      <c r="FF75" s="307"/>
      <c r="FG75" s="307"/>
      <c r="FH75" s="307"/>
      <c r="FI75" s="307"/>
      <c r="FJ75" s="307"/>
      <c r="FK75" s="307"/>
      <c r="FL75" s="307"/>
      <c r="FM75" s="307"/>
      <c r="FN75" s="307"/>
      <c r="FO75" s="307"/>
      <c r="FP75" s="307"/>
      <c r="FQ75" s="307"/>
      <c r="FR75" s="307"/>
      <c r="FS75" s="307"/>
      <c r="FT75" s="307"/>
      <c r="FU75" s="307"/>
      <c r="FV75" s="307"/>
      <c r="FW75" s="307"/>
      <c r="FX75" s="307"/>
      <c r="FY75" s="307"/>
      <c r="FZ75" s="307"/>
      <c r="GA75" s="307"/>
      <c r="GB75" s="307"/>
      <c r="GC75" s="307"/>
      <c r="GD75" s="307"/>
      <c r="GE75" s="307"/>
      <c r="GF75" s="307"/>
      <c r="GG75" s="307"/>
      <c r="GH75" s="307"/>
      <c r="GI75" s="307"/>
      <c r="GJ75" s="307"/>
      <c r="GK75" s="307"/>
      <c r="GL75" s="307"/>
      <c r="GM75" s="307"/>
      <c r="GN75" s="307"/>
      <c r="GO75" s="307"/>
      <c r="GP75" s="307"/>
      <c r="GQ75" s="307"/>
      <c r="GR75" s="307"/>
      <c r="GS75" s="307"/>
      <c r="GT75" s="307"/>
      <c r="GU75" s="307"/>
      <c r="GV75" s="307"/>
      <c r="GW75" s="307"/>
      <c r="GX75" s="307"/>
      <c r="GY75" s="307"/>
      <c r="GZ75" s="307"/>
      <c r="HA75" s="307"/>
      <c r="HB75" s="307"/>
      <c r="HC75" s="307"/>
      <c r="HD75" s="307"/>
      <c r="HE75" s="307"/>
      <c r="HF75" s="307"/>
      <c r="HG75" s="307"/>
      <c r="HH75" s="307"/>
      <c r="HI75" s="307"/>
      <c r="HJ75" s="307"/>
      <c r="HK75" s="307"/>
      <c r="HL75" s="307"/>
      <c r="HM75" s="307"/>
      <c r="HN75" s="307"/>
      <c r="HO75" s="307"/>
      <c r="HP75" s="307"/>
      <c r="HQ75" s="307"/>
      <c r="HR75" s="307"/>
      <c r="HS75" s="307"/>
      <c r="HT75" s="307"/>
      <c r="HU75" s="307"/>
      <c r="HV75" s="307"/>
      <c r="HW75" s="307"/>
      <c r="HX75" s="307"/>
      <c r="HY75" s="307"/>
      <c r="HZ75" s="307"/>
      <c r="IA75" s="307"/>
      <c r="IB75" s="307"/>
      <c r="IC75" s="307"/>
      <c r="ID75" s="307"/>
      <c r="IE75" s="307"/>
      <c r="IF75" s="307"/>
      <c r="IG75" s="307"/>
      <c r="IH75" s="307"/>
      <c r="II75" s="307"/>
      <c r="IJ75" s="307"/>
      <c r="IK75" s="307"/>
      <c r="IL75" s="307"/>
      <c r="IM75" s="307"/>
      <c r="IN75" s="307"/>
      <c r="IO75" s="307"/>
      <c r="IP75" s="307"/>
      <c r="IQ75" s="307"/>
      <c r="IR75" s="307"/>
      <c r="IS75" s="307"/>
      <c r="IT75" s="307"/>
      <c r="IU75" s="307"/>
    </row>
    <row r="76" spans="1:255">
      <c r="A76" s="307"/>
      <c r="B76" s="307"/>
      <c r="C76" s="307"/>
      <c r="D76" s="307"/>
      <c r="E76" s="336"/>
      <c r="F76" s="307"/>
      <c r="G76" s="307"/>
      <c r="H76" s="307"/>
      <c r="I76" s="307"/>
      <c r="J76" s="307"/>
      <c r="K76" s="307"/>
      <c r="L76" s="307"/>
      <c r="M76" s="307"/>
      <c r="N76" s="307"/>
      <c r="O76" s="307"/>
      <c r="P76" s="307"/>
      <c r="Q76" s="307"/>
      <c r="R76" s="308"/>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307"/>
      <c r="CC76" s="307"/>
      <c r="CD76" s="307"/>
      <c r="CE76" s="307"/>
      <c r="CF76" s="307"/>
      <c r="CG76" s="307"/>
      <c r="CH76" s="307"/>
      <c r="CI76" s="307"/>
      <c r="CJ76" s="307"/>
      <c r="CK76" s="307"/>
      <c r="CL76" s="307"/>
      <c r="CM76" s="307"/>
      <c r="CN76" s="307"/>
      <c r="CO76" s="307"/>
      <c r="CP76" s="307"/>
      <c r="CQ76" s="307"/>
      <c r="CR76" s="307"/>
      <c r="CS76" s="307"/>
      <c r="CT76" s="307"/>
      <c r="CU76" s="307"/>
      <c r="CV76" s="307"/>
      <c r="CW76" s="307"/>
      <c r="CX76" s="307"/>
      <c r="CY76" s="307"/>
      <c r="CZ76" s="307"/>
      <c r="DA76" s="307"/>
      <c r="DB76" s="307"/>
      <c r="DC76" s="307"/>
      <c r="DD76" s="307"/>
      <c r="DE76" s="307"/>
      <c r="DF76" s="307"/>
      <c r="DG76" s="307"/>
      <c r="DH76" s="307"/>
      <c r="DI76" s="307"/>
      <c r="DJ76" s="307"/>
      <c r="DK76" s="307"/>
      <c r="DL76" s="307"/>
      <c r="DM76" s="307"/>
      <c r="DN76" s="307"/>
      <c r="DO76" s="307"/>
      <c r="DP76" s="307"/>
      <c r="DQ76" s="307"/>
      <c r="DR76" s="307"/>
      <c r="DS76" s="307"/>
      <c r="DT76" s="307"/>
      <c r="DU76" s="307"/>
      <c r="DV76" s="307"/>
      <c r="DW76" s="307"/>
      <c r="DX76" s="307"/>
      <c r="DY76" s="307"/>
      <c r="DZ76" s="307"/>
      <c r="EA76" s="307"/>
      <c r="EB76" s="307"/>
      <c r="EC76" s="307"/>
      <c r="ED76" s="307"/>
      <c r="EE76" s="307"/>
      <c r="EF76" s="307"/>
      <c r="EG76" s="307"/>
      <c r="EH76" s="307"/>
      <c r="EI76" s="307"/>
      <c r="EJ76" s="307"/>
      <c r="EK76" s="307"/>
      <c r="EL76" s="307"/>
      <c r="EM76" s="307"/>
      <c r="EN76" s="307"/>
      <c r="EO76" s="307"/>
      <c r="EP76" s="307"/>
      <c r="EQ76" s="307"/>
      <c r="ER76" s="307"/>
      <c r="ES76" s="307"/>
      <c r="ET76" s="307"/>
      <c r="EU76" s="307"/>
      <c r="EV76" s="307"/>
      <c r="EW76" s="307"/>
      <c r="EX76" s="307"/>
      <c r="EY76" s="307"/>
      <c r="EZ76" s="307"/>
      <c r="FA76" s="307"/>
      <c r="FB76" s="307"/>
      <c r="FC76" s="307"/>
      <c r="FD76" s="307"/>
      <c r="FE76" s="307"/>
      <c r="FF76" s="307"/>
      <c r="FG76" s="307"/>
      <c r="FH76" s="307"/>
      <c r="FI76" s="307"/>
      <c r="FJ76" s="307"/>
      <c r="FK76" s="307"/>
      <c r="FL76" s="307"/>
      <c r="FM76" s="307"/>
      <c r="FN76" s="307"/>
      <c r="FO76" s="307"/>
      <c r="FP76" s="307"/>
      <c r="FQ76" s="307"/>
      <c r="FR76" s="307"/>
      <c r="FS76" s="307"/>
      <c r="FT76" s="307"/>
      <c r="FU76" s="307"/>
      <c r="FV76" s="307"/>
      <c r="FW76" s="307"/>
      <c r="FX76" s="307"/>
      <c r="FY76" s="307"/>
      <c r="FZ76" s="307"/>
      <c r="GA76" s="307"/>
      <c r="GB76" s="307"/>
      <c r="GC76" s="307"/>
      <c r="GD76" s="307"/>
      <c r="GE76" s="307"/>
      <c r="GF76" s="307"/>
      <c r="GG76" s="307"/>
      <c r="GH76" s="307"/>
      <c r="GI76" s="307"/>
      <c r="GJ76" s="307"/>
      <c r="GK76" s="307"/>
      <c r="GL76" s="307"/>
      <c r="GM76" s="307"/>
      <c r="GN76" s="307"/>
      <c r="GO76" s="307"/>
      <c r="GP76" s="307"/>
      <c r="GQ76" s="307"/>
      <c r="GR76" s="307"/>
      <c r="GS76" s="307"/>
      <c r="GT76" s="307"/>
      <c r="GU76" s="307"/>
      <c r="GV76" s="307"/>
      <c r="GW76" s="307"/>
      <c r="GX76" s="307"/>
      <c r="GY76" s="307"/>
      <c r="GZ76" s="307"/>
      <c r="HA76" s="307"/>
      <c r="HB76" s="307"/>
      <c r="HC76" s="307"/>
      <c r="HD76" s="307"/>
      <c r="HE76" s="307"/>
      <c r="HF76" s="307"/>
      <c r="HG76" s="307"/>
      <c r="HH76" s="307"/>
      <c r="HI76" s="307"/>
      <c r="HJ76" s="307"/>
      <c r="HK76" s="307"/>
      <c r="HL76" s="307"/>
      <c r="HM76" s="307"/>
      <c r="HN76" s="307"/>
      <c r="HO76" s="307"/>
      <c r="HP76" s="307"/>
      <c r="HQ76" s="307"/>
      <c r="HR76" s="307"/>
      <c r="HS76" s="307"/>
      <c r="HT76" s="307"/>
      <c r="HU76" s="307"/>
      <c r="HV76" s="307"/>
      <c r="HW76" s="307"/>
      <c r="HX76" s="307"/>
      <c r="HY76" s="307"/>
      <c r="HZ76" s="307"/>
      <c r="IA76" s="307"/>
      <c r="IB76" s="307"/>
      <c r="IC76" s="307"/>
      <c r="ID76" s="307"/>
      <c r="IE76" s="307"/>
      <c r="IF76" s="307"/>
      <c r="IG76" s="307"/>
      <c r="IH76" s="307"/>
      <c r="II76" s="307"/>
      <c r="IJ76" s="307"/>
      <c r="IK76" s="307"/>
      <c r="IL76" s="307"/>
      <c r="IM76" s="307"/>
      <c r="IN76" s="307"/>
      <c r="IO76" s="307"/>
      <c r="IP76" s="307"/>
      <c r="IQ76" s="307"/>
      <c r="IR76" s="307"/>
      <c r="IS76" s="307"/>
      <c r="IT76" s="307"/>
      <c r="IU76" s="307"/>
    </row>
    <row r="77" spans="1:255">
      <c r="A77" s="307"/>
      <c r="B77" s="307"/>
      <c r="C77" s="307"/>
      <c r="D77" s="307"/>
      <c r="E77" s="336"/>
      <c r="F77" s="307"/>
      <c r="G77" s="307"/>
      <c r="H77" s="307"/>
      <c r="I77" s="307"/>
      <c r="J77" s="307"/>
      <c r="K77" s="307"/>
      <c r="L77" s="307"/>
      <c r="M77" s="307"/>
      <c r="N77" s="307"/>
      <c r="O77" s="307"/>
      <c r="P77" s="307"/>
      <c r="Q77" s="307"/>
      <c r="R77" s="308"/>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307"/>
      <c r="CC77" s="307"/>
      <c r="CD77" s="307"/>
      <c r="CE77" s="307"/>
      <c r="CF77" s="307"/>
      <c r="CG77" s="307"/>
      <c r="CH77" s="307"/>
      <c r="CI77" s="307"/>
      <c r="CJ77" s="307"/>
      <c r="CK77" s="307"/>
      <c r="CL77" s="307"/>
      <c r="CM77" s="307"/>
      <c r="CN77" s="307"/>
      <c r="CO77" s="307"/>
      <c r="CP77" s="307"/>
      <c r="CQ77" s="307"/>
      <c r="CR77" s="307"/>
      <c r="CS77" s="307"/>
      <c r="CT77" s="307"/>
      <c r="CU77" s="307"/>
      <c r="CV77" s="307"/>
      <c r="CW77" s="307"/>
      <c r="CX77" s="307"/>
      <c r="CY77" s="307"/>
      <c r="CZ77" s="307"/>
      <c r="DA77" s="307"/>
      <c r="DB77" s="307"/>
      <c r="DC77" s="307"/>
      <c r="DD77" s="307"/>
      <c r="DE77" s="307"/>
      <c r="DF77" s="307"/>
      <c r="DG77" s="307"/>
      <c r="DH77" s="307"/>
      <c r="DI77" s="307"/>
      <c r="DJ77" s="307"/>
      <c r="DK77" s="307"/>
      <c r="DL77" s="307"/>
      <c r="DM77" s="307"/>
      <c r="DN77" s="307"/>
      <c r="DO77" s="307"/>
      <c r="DP77" s="307"/>
      <c r="DQ77" s="307"/>
      <c r="DR77" s="307"/>
      <c r="DS77" s="307"/>
      <c r="DT77" s="307"/>
      <c r="DU77" s="307"/>
      <c r="DV77" s="307"/>
      <c r="DW77" s="307"/>
      <c r="DX77" s="307"/>
      <c r="DY77" s="307"/>
      <c r="DZ77" s="307"/>
      <c r="EA77" s="307"/>
      <c r="EB77" s="307"/>
      <c r="EC77" s="307"/>
      <c r="ED77" s="307"/>
      <c r="EE77" s="307"/>
      <c r="EF77" s="307"/>
      <c r="EG77" s="307"/>
      <c r="EH77" s="307"/>
      <c r="EI77" s="307"/>
      <c r="EJ77" s="307"/>
      <c r="EK77" s="307"/>
      <c r="EL77" s="307"/>
      <c r="EM77" s="307"/>
      <c r="EN77" s="307"/>
      <c r="EO77" s="307"/>
      <c r="EP77" s="307"/>
      <c r="EQ77" s="307"/>
      <c r="ER77" s="307"/>
      <c r="ES77" s="307"/>
      <c r="ET77" s="307"/>
      <c r="EU77" s="307"/>
      <c r="EV77" s="307"/>
      <c r="EW77" s="307"/>
      <c r="EX77" s="307"/>
      <c r="EY77" s="307"/>
      <c r="EZ77" s="307"/>
      <c r="FA77" s="307"/>
      <c r="FB77" s="307"/>
      <c r="FC77" s="307"/>
      <c r="FD77" s="307"/>
      <c r="FE77" s="307"/>
      <c r="FF77" s="307"/>
      <c r="FG77" s="307"/>
      <c r="FH77" s="307"/>
      <c r="FI77" s="307"/>
      <c r="FJ77" s="307"/>
      <c r="FK77" s="307"/>
      <c r="FL77" s="307"/>
      <c r="FM77" s="307"/>
      <c r="FN77" s="307"/>
      <c r="FO77" s="307"/>
      <c r="FP77" s="307"/>
      <c r="FQ77" s="307"/>
      <c r="FR77" s="307"/>
      <c r="FS77" s="307"/>
      <c r="FT77" s="307"/>
      <c r="FU77" s="307"/>
      <c r="FV77" s="307"/>
      <c r="FW77" s="307"/>
      <c r="FX77" s="307"/>
      <c r="FY77" s="307"/>
      <c r="FZ77" s="307"/>
      <c r="GA77" s="307"/>
      <c r="GB77" s="307"/>
      <c r="GC77" s="307"/>
      <c r="GD77" s="307"/>
      <c r="GE77" s="307"/>
      <c r="GF77" s="307"/>
      <c r="GG77" s="307"/>
      <c r="GH77" s="307"/>
      <c r="GI77" s="307"/>
      <c r="GJ77" s="307"/>
      <c r="GK77" s="307"/>
      <c r="GL77" s="307"/>
      <c r="GM77" s="307"/>
      <c r="GN77" s="307"/>
      <c r="GO77" s="307"/>
      <c r="GP77" s="307"/>
      <c r="GQ77" s="307"/>
      <c r="GR77" s="307"/>
      <c r="GS77" s="307"/>
      <c r="GT77" s="307"/>
      <c r="GU77" s="307"/>
      <c r="GV77" s="307"/>
      <c r="GW77" s="307"/>
      <c r="GX77" s="307"/>
      <c r="GY77" s="307"/>
      <c r="GZ77" s="307"/>
      <c r="HA77" s="307"/>
      <c r="HB77" s="307"/>
      <c r="HC77" s="307"/>
      <c r="HD77" s="307"/>
      <c r="HE77" s="307"/>
      <c r="HF77" s="307"/>
      <c r="HG77" s="307"/>
      <c r="HH77" s="307"/>
      <c r="HI77" s="307"/>
      <c r="HJ77" s="307"/>
      <c r="HK77" s="307"/>
      <c r="HL77" s="307"/>
      <c r="HM77" s="307"/>
      <c r="HN77" s="307"/>
      <c r="HO77" s="307"/>
      <c r="HP77" s="307"/>
      <c r="HQ77" s="307"/>
      <c r="HR77" s="307"/>
      <c r="HS77" s="307"/>
      <c r="HT77" s="307"/>
      <c r="HU77" s="307"/>
      <c r="HV77" s="307"/>
      <c r="HW77" s="307"/>
      <c r="HX77" s="307"/>
      <c r="HY77" s="307"/>
      <c r="HZ77" s="307"/>
      <c r="IA77" s="307"/>
      <c r="IB77" s="307"/>
      <c r="IC77" s="307"/>
      <c r="ID77" s="307"/>
      <c r="IE77" s="307"/>
      <c r="IF77" s="307"/>
      <c r="IG77" s="307"/>
      <c r="IH77" s="307"/>
      <c r="II77" s="307"/>
      <c r="IJ77" s="307"/>
      <c r="IK77" s="307"/>
      <c r="IL77" s="307"/>
      <c r="IM77" s="307"/>
      <c r="IN77" s="307"/>
      <c r="IO77" s="307"/>
      <c r="IP77" s="307"/>
      <c r="IQ77" s="307"/>
      <c r="IR77" s="307"/>
      <c r="IS77" s="307"/>
      <c r="IT77" s="307"/>
      <c r="IU77" s="307"/>
    </row>
    <row r="78" spans="1:255">
      <c r="A78" s="307"/>
      <c r="B78" s="307"/>
      <c r="C78" s="307"/>
      <c r="D78" s="307"/>
      <c r="E78" s="336"/>
      <c r="F78" s="307"/>
      <c r="G78" s="307"/>
      <c r="H78" s="307"/>
      <c r="I78" s="307"/>
      <c r="J78" s="307"/>
      <c r="K78" s="307"/>
      <c r="L78" s="307"/>
      <c r="M78" s="307"/>
      <c r="N78" s="307"/>
      <c r="O78" s="307"/>
      <c r="P78" s="307"/>
      <c r="Q78" s="307"/>
      <c r="R78" s="308"/>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7"/>
      <c r="BS78" s="307"/>
      <c r="BT78" s="307"/>
      <c r="BU78" s="307"/>
      <c r="BV78" s="307"/>
      <c r="BW78" s="307"/>
      <c r="BX78" s="307"/>
      <c r="BY78" s="307"/>
      <c r="BZ78" s="307"/>
      <c r="CA78" s="307"/>
      <c r="CB78" s="307"/>
      <c r="CC78" s="307"/>
      <c r="CD78" s="307"/>
      <c r="CE78" s="307"/>
      <c r="CF78" s="307"/>
      <c r="CG78" s="307"/>
      <c r="CH78" s="307"/>
      <c r="CI78" s="307"/>
      <c r="CJ78" s="307"/>
      <c r="CK78" s="307"/>
      <c r="CL78" s="307"/>
      <c r="CM78" s="307"/>
      <c r="CN78" s="307"/>
      <c r="CO78" s="307"/>
      <c r="CP78" s="307"/>
      <c r="CQ78" s="307"/>
      <c r="CR78" s="307"/>
      <c r="CS78" s="307"/>
      <c r="CT78" s="307"/>
      <c r="CU78" s="307"/>
      <c r="CV78" s="307"/>
      <c r="CW78" s="307"/>
      <c r="CX78" s="307"/>
      <c r="CY78" s="307"/>
      <c r="CZ78" s="307"/>
      <c r="DA78" s="307"/>
      <c r="DB78" s="307"/>
      <c r="DC78" s="307"/>
      <c r="DD78" s="307"/>
      <c r="DE78" s="307"/>
      <c r="DF78" s="307"/>
      <c r="DG78" s="307"/>
      <c r="DH78" s="307"/>
      <c r="DI78" s="307"/>
      <c r="DJ78" s="307"/>
      <c r="DK78" s="307"/>
      <c r="DL78" s="307"/>
      <c r="DM78" s="307"/>
      <c r="DN78" s="307"/>
      <c r="DO78" s="307"/>
      <c r="DP78" s="307"/>
      <c r="DQ78" s="307"/>
      <c r="DR78" s="307"/>
      <c r="DS78" s="307"/>
      <c r="DT78" s="307"/>
      <c r="DU78" s="307"/>
      <c r="DV78" s="307"/>
      <c r="DW78" s="307"/>
      <c r="DX78" s="307"/>
      <c r="DY78" s="307"/>
      <c r="DZ78" s="307"/>
      <c r="EA78" s="307"/>
      <c r="EB78" s="307"/>
      <c r="EC78" s="307"/>
      <c r="ED78" s="307"/>
      <c r="EE78" s="307"/>
      <c r="EF78" s="307"/>
      <c r="EG78" s="307"/>
      <c r="EH78" s="307"/>
      <c r="EI78" s="307"/>
      <c r="EJ78" s="307"/>
      <c r="EK78" s="307"/>
      <c r="EL78" s="307"/>
      <c r="EM78" s="307"/>
      <c r="EN78" s="307"/>
      <c r="EO78" s="307"/>
      <c r="EP78" s="307"/>
      <c r="EQ78" s="307"/>
      <c r="ER78" s="307"/>
      <c r="ES78" s="307"/>
      <c r="ET78" s="307"/>
      <c r="EU78" s="307"/>
      <c r="EV78" s="307"/>
      <c r="EW78" s="307"/>
      <c r="EX78" s="307"/>
      <c r="EY78" s="307"/>
      <c r="EZ78" s="307"/>
      <c r="FA78" s="307"/>
      <c r="FB78" s="307"/>
      <c r="FC78" s="307"/>
      <c r="FD78" s="307"/>
      <c r="FE78" s="307"/>
      <c r="FF78" s="307"/>
      <c r="FG78" s="307"/>
      <c r="FH78" s="307"/>
      <c r="FI78" s="307"/>
      <c r="FJ78" s="307"/>
      <c r="FK78" s="307"/>
      <c r="FL78" s="307"/>
      <c r="FM78" s="307"/>
      <c r="FN78" s="307"/>
      <c r="FO78" s="307"/>
      <c r="FP78" s="307"/>
      <c r="FQ78" s="307"/>
      <c r="FR78" s="307"/>
      <c r="FS78" s="307"/>
      <c r="FT78" s="307"/>
      <c r="FU78" s="307"/>
      <c r="FV78" s="307"/>
      <c r="FW78" s="307"/>
      <c r="FX78" s="307"/>
      <c r="FY78" s="307"/>
      <c r="FZ78" s="307"/>
      <c r="GA78" s="307"/>
      <c r="GB78" s="307"/>
      <c r="GC78" s="307"/>
      <c r="GD78" s="307"/>
      <c r="GE78" s="307"/>
      <c r="GF78" s="307"/>
      <c r="GG78" s="307"/>
      <c r="GH78" s="307"/>
      <c r="GI78" s="307"/>
      <c r="GJ78" s="307"/>
      <c r="GK78" s="307"/>
      <c r="GL78" s="307"/>
      <c r="GM78" s="307"/>
      <c r="GN78" s="307"/>
      <c r="GO78" s="307"/>
      <c r="GP78" s="307"/>
      <c r="GQ78" s="307"/>
      <c r="GR78" s="307"/>
      <c r="GS78" s="307"/>
      <c r="GT78" s="307"/>
      <c r="GU78" s="307"/>
      <c r="GV78" s="307"/>
      <c r="GW78" s="307"/>
      <c r="GX78" s="307"/>
      <c r="GY78" s="307"/>
      <c r="GZ78" s="307"/>
      <c r="HA78" s="307"/>
      <c r="HB78" s="307"/>
      <c r="HC78" s="307"/>
      <c r="HD78" s="307"/>
      <c r="HE78" s="307"/>
      <c r="HF78" s="307"/>
      <c r="HG78" s="307"/>
      <c r="HH78" s="307"/>
      <c r="HI78" s="307"/>
      <c r="HJ78" s="307"/>
      <c r="HK78" s="307"/>
      <c r="HL78" s="307"/>
      <c r="HM78" s="307"/>
      <c r="HN78" s="307"/>
      <c r="HO78" s="307"/>
      <c r="HP78" s="307"/>
      <c r="HQ78" s="307"/>
      <c r="HR78" s="307"/>
      <c r="HS78" s="307"/>
      <c r="HT78" s="307"/>
      <c r="HU78" s="307"/>
      <c r="HV78" s="307"/>
      <c r="HW78" s="307"/>
      <c r="HX78" s="307"/>
      <c r="HY78" s="307"/>
      <c r="HZ78" s="307"/>
      <c r="IA78" s="307"/>
      <c r="IB78" s="307"/>
      <c r="IC78" s="307"/>
      <c r="ID78" s="307"/>
      <c r="IE78" s="307"/>
      <c r="IF78" s="307"/>
      <c r="IG78" s="307"/>
      <c r="IH78" s="307"/>
      <c r="II78" s="307"/>
      <c r="IJ78" s="307"/>
      <c r="IK78" s="307"/>
      <c r="IL78" s="307"/>
      <c r="IM78" s="307"/>
      <c r="IN78" s="307"/>
      <c r="IO78" s="307"/>
      <c r="IP78" s="307"/>
      <c r="IQ78" s="307"/>
      <c r="IR78" s="307"/>
      <c r="IS78" s="307"/>
      <c r="IT78" s="307"/>
      <c r="IU78" s="307"/>
    </row>
    <row r="79" spans="1:255">
      <c r="A79" s="307"/>
      <c r="B79" s="307"/>
      <c r="C79" s="307"/>
      <c r="D79" s="307"/>
      <c r="E79" s="336"/>
      <c r="F79" s="307"/>
      <c r="G79" s="307"/>
      <c r="H79" s="307"/>
      <c r="I79" s="307"/>
      <c r="J79" s="307"/>
      <c r="K79" s="307"/>
      <c r="L79" s="307"/>
      <c r="M79" s="307"/>
      <c r="N79" s="307"/>
      <c r="O79" s="307"/>
      <c r="P79" s="307"/>
      <c r="Q79" s="307"/>
      <c r="R79" s="308"/>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c r="BA79" s="307"/>
      <c r="BB79" s="307"/>
      <c r="BC79" s="307"/>
      <c r="BD79" s="307"/>
      <c r="BE79" s="307"/>
      <c r="BF79" s="307"/>
      <c r="BG79" s="307"/>
      <c r="BH79" s="307"/>
      <c r="BI79" s="307"/>
      <c r="BJ79" s="307"/>
      <c r="BK79" s="307"/>
      <c r="BL79" s="307"/>
      <c r="BM79" s="307"/>
      <c r="BN79" s="307"/>
      <c r="BO79" s="307"/>
      <c r="BP79" s="307"/>
      <c r="BQ79" s="307"/>
      <c r="BR79" s="307"/>
      <c r="BS79" s="307"/>
      <c r="BT79" s="307"/>
      <c r="BU79" s="307"/>
      <c r="BV79" s="307"/>
      <c r="BW79" s="307"/>
      <c r="BX79" s="307"/>
      <c r="BY79" s="307"/>
      <c r="BZ79" s="307"/>
      <c r="CA79" s="307"/>
      <c r="CB79" s="307"/>
      <c r="CC79" s="307"/>
      <c r="CD79" s="307"/>
      <c r="CE79" s="307"/>
      <c r="CF79" s="307"/>
      <c r="CG79" s="307"/>
      <c r="CH79" s="307"/>
      <c r="CI79" s="307"/>
      <c r="CJ79" s="307"/>
      <c r="CK79" s="307"/>
      <c r="CL79" s="307"/>
      <c r="CM79" s="307"/>
      <c r="CN79" s="307"/>
      <c r="CO79" s="307"/>
      <c r="CP79" s="307"/>
      <c r="CQ79" s="307"/>
      <c r="CR79" s="307"/>
      <c r="CS79" s="307"/>
      <c r="CT79" s="307"/>
      <c r="CU79" s="307"/>
      <c r="CV79" s="307"/>
      <c r="CW79" s="307"/>
      <c r="CX79" s="307"/>
      <c r="CY79" s="307"/>
      <c r="CZ79" s="307"/>
      <c r="DA79" s="307"/>
      <c r="DB79" s="307"/>
      <c r="DC79" s="307"/>
      <c r="DD79" s="307"/>
      <c r="DE79" s="307"/>
      <c r="DF79" s="307"/>
      <c r="DG79" s="307"/>
      <c r="DH79" s="307"/>
      <c r="DI79" s="307"/>
      <c r="DJ79" s="307"/>
      <c r="DK79" s="307"/>
      <c r="DL79" s="307"/>
      <c r="DM79" s="307"/>
      <c r="DN79" s="307"/>
      <c r="DO79" s="307"/>
      <c r="DP79" s="307"/>
      <c r="DQ79" s="307"/>
      <c r="DR79" s="307"/>
      <c r="DS79" s="307"/>
      <c r="DT79" s="307"/>
      <c r="DU79" s="307"/>
      <c r="DV79" s="307"/>
      <c r="DW79" s="307"/>
      <c r="DX79" s="307"/>
      <c r="DY79" s="307"/>
      <c r="DZ79" s="307"/>
      <c r="EA79" s="307"/>
      <c r="EB79" s="307"/>
      <c r="EC79" s="307"/>
      <c r="ED79" s="307"/>
      <c r="EE79" s="307"/>
      <c r="EF79" s="307"/>
      <c r="EG79" s="307"/>
      <c r="EH79" s="307"/>
      <c r="EI79" s="307"/>
      <c r="EJ79" s="307"/>
      <c r="EK79" s="307"/>
      <c r="EL79" s="307"/>
      <c r="EM79" s="307"/>
      <c r="EN79" s="307"/>
      <c r="EO79" s="307"/>
      <c r="EP79" s="307"/>
      <c r="EQ79" s="307"/>
      <c r="ER79" s="307"/>
      <c r="ES79" s="307"/>
      <c r="ET79" s="307"/>
      <c r="EU79" s="307"/>
      <c r="EV79" s="307"/>
      <c r="EW79" s="307"/>
      <c r="EX79" s="307"/>
      <c r="EY79" s="307"/>
      <c r="EZ79" s="307"/>
      <c r="FA79" s="307"/>
      <c r="FB79" s="307"/>
      <c r="FC79" s="307"/>
      <c r="FD79" s="307"/>
      <c r="FE79" s="307"/>
      <c r="FF79" s="307"/>
      <c r="FG79" s="307"/>
      <c r="FH79" s="307"/>
      <c r="FI79" s="307"/>
      <c r="FJ79" s="307"/>
      <c r="FK79" s="307"/>
      <c r="FL79" s="307"/>
      <c r="FM79" s="307"/>
      <c r="FN79" s="307"/>
      <c r="FO79" s="307"/>
      <c r="FP79" s="307"/>
      <c r="FQ79" s="307"/>
      <c r="FR79" s="307"/>
      <c r="FS79" s="307"/>
      <c r="FT79" s="307"/>
      <c r="FU79" s="307"/>
      <c r="FV79" s="307"/>
      <c r="FW79" s="307"/>
      <c r="FX79" s="307"/>
      <c r="FY79" s="307"/>
      <c r="FZ79" s="307"/>
      <c r="GA79" s="307"/>
      <c r="GB79" s="307"/>
      <c r="GC79" s="307"/>
      <c r="GD79" s="307"/>
      <c r="GE79" s="307"/>
      <c r="GF79" s="307"/>
      <c r="GG79" s="307"/>
      <c r="GH79" s="307"/>
      <c r="GI79" s="307"/>
      <c r="GJ79" s="307"/>
      <c r="GK79" s="307"/>
      <c r="GL79" s="307"/>
      <c r="GM79" s="307"/>
      <c r="GN79" s="307"/>
      <c r="GO79" s="307"/>
      <c r="GP79" s="307"/>
      <c r="GQ79" s="307"/>
      <c r="GR79" s="307"/>
      <c r="GS79" s="307"/>
      <c r="GT79" s="307"/>
      <c r="GU79" s="307"/>
      <c r="GV79" s="307"/>
      <c r="GW79" s="307"/>
      <c r="GX79" s="307"/>
      <c r="GY79" s="307"/>
      <c r="GZ79" s="307"/>
      <c r="HA79" s="307"/>
      <c r="HB79" s="307"/>
      <c r="HC79" s="307"/>
      <c r="HD79" s="307"/>
      <c r="HE79" s="307"/>
      <c r="HF79" s="307"/>
      <c r="HG79" s="307"/>
      <c r="HH79" s="307"/>
      <c r="HI79" s="307"/>
      <c r="HJ79" s="307"/>
      <c r="HK79" s="307"/>
      <c r="HL79" s="307"/>
      <c r="HM79" s="307"/>
      <c r="HN79" s="307"/>
      <c r="HO79" s="307"/>
      <c r="HP79" s="307"/>
      <c r="HQ79" s="307"/>
      <c r="HR79" s="307"/>
      <c r="HS79" s="307"/>
      <c r="HT79" s="307"/>
      <c r="HU79" s="307"/>
      <c r="HV79" s="307"/>
      <c r="HW79" s="307"/>
      <c r="HX79" s="307"/>
      <c r="HY79" s="307"/>
      <c r="HZ79" s="307"/>
      <c r="IA79" s="307"/>
      <c r="IB79" s="307"/>
      <c r="IC79" s="307"/>
      <c r="ID79" s="307"/>
      <c r="IE79" s="307"/>
      <c r="IF79" s="307"/>
      <c r="IG79" s="307"/>
      <c r="IH79" s="307"/>
      <c r="II79" s="307"/>
      <c r="IJ79" s="307"/>
      <c r="IK79" s="307"/>
      <c r="IL79" s="307"/>
      <c r="IM79" s="307"/>
      <c r="IN79" s="307"/>
      <c r="IO79" s="307"/>
      <c r="IP79" s="307"/>
      <c r="IQ79" s="307"/>
      <c r="IR79" s="307"/>
      <c r="IS79" s="307"/>
      <c r="IT79" s="307"/>
      <c r="IU79" s="307"/>
    </row>
    <row r="80" spans="1:255">
      <c r="A80" s="307"/>
      <c r="B80" s="307"/>
      <c r="C80" s="307"/>
      <c r="D80" s="307"/>
      <c r="E80" s="336"/>
      <c r="F80" s="307"/>
      <c r="G80" s="307"/>
      <c r="H80" s="307"/>
      <c r="I80" s="307"/>
      <c r="J80" s="307"/>
      <c r="K80" s="307"/>
      <c r="L80" s="307"/>
      <c r="M80" s="307"/>
      <c r="N80" s="307"/>
      <c r="O80" s="307"/>
      <c r="P80" s="307"/>
      <c r="Q80" s="307"/>
      <c r="R80" s="308"/>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7"/>
      <c r="AP80" s="307"/>
      <c r="AQ80" s="307"/>
      <c r="AR80" s="307"/>
      <c r="AS80" s="307"/>
      <c r="AT80" s="307"/>
      <c r="AU80" s="307"/>
      <c r="AV80" s="307"/>
      <c r="AW80" s="307"/>
      <c r="AX80" s="307"/>
      <c r="AY80" s="307"/>
      <c r="AZ80" s="307"/>
      <c r="BA80" s="307"/>
      <c r="BB80" s="307"/>
      <c r="BC80" s="307"/>
      <c r="BD80" s="307"/>
      <c r="BE80" s="307"/>
      <c r="BF80" s="307"/>
      <c r="BG80" s="307"/>
      <c r="BH80" s="307"/>
      <c r="BI80" s="307"/>
      <c r="BJ80" s="307"/>
      <c r="BK80" s="307"/>
      <c r="BL80" s="307"/>
      <c r="BM80" s="307"/>
      <c r="BN80" s="307"/>
      <c r="BO80" s="307"/>
      <c r="BP80" s="307"/>
      <c r="BQ80" s="307"/>
      <c r="BR80" s="307"/>
      <c r="BS80" s="307"/>
      <c r="BT80" s="307"/>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7"/>
      <c r="DV80" s="307"/>
      <c r="DW80" s="307"/>
      <c r="DX80" s="307"/>
      <c r="DY80" s="307"/>
      <c r="DZ80" s="307"/>
      <c r="EA80" s="307"/>
      <c r="EB80" s="307"/>
      <c r="EC80" s="307"/>
      <c r="ED80" s="307"/>
      <c r="EE80" s="307"/>
      <c r="EF80" s="307"/>
      <c r="EG80" s="307"/>
      <c r="EH80" s="307"/>
      <c r="EI80" s="307"/>
      <c r="EJ80" s="307"/>
      <c r="EK80" s="307"/>
      <c r="EL80" s="307"/>
      <c r="EM80" s="307"/>
      <c r="EN80" s="307"/>
      <c r="EO80" s="307"/>
      <c r="EP80" s="307"/>
      <c r="EQ80" s="307"/>
      <c r="ER80" s="307"/>
      <c r="ES80" s="307"/>
      <c r="ET80" s="307"/>
      <c r="EU80" s="307"/>
      <c r="EV80" s="307"/>
      <c r="EW80" s="307"/>
      <c r="EX80" s="307"/>
      <c r="EY80" s="307"/>
      <c r="EZ80" s="307"/>
      <c r="FA80" s="307"/>
      <c r="FB80" s="307"/>
      <c r="FC80" s="307"/>
      <c r="FD80" s="307"/>
      <c r="FE80" s="307"/>
      <c r="FF80" s="307"/>
      <c r="FG80" s="307"/>
      <c r="FH80" s="307"/>
      <c r="FI80" s="307"/>
      <c r="FJ80" s="307"/>
      <c r="FK80" s="307"/>
      <c r="FL80" s="307"/>
      <c r="FM80" s="307"/>
      <c r="FN80" s="307"/>
      <c r="FO80" s="307"/>
      <c r="FP80" s="307"/>
      <c r="FQ80" s="307"/>
      <c r="FR80" s="307"/>
      <c r="FS80" s="307"/>
      <c r="FT80" s="307"/>
      <c r="FU80" s="307"/>
      <c r="FV80" s="307"/>
      <c r="FW80" s="307"/>
      <c r="FX80" s="307"/>
      <c r="FY80" s="307"/>
      <c r="FZ80" s="307"/>
      <c r="GA80" s="307"/>
      <c r="GB80" s="307"/>
      <c r="GC80" s="307"/>
      <c r="GD80" s="307"/>
      <c r="GE80" s="307"/>
      <c r="GF80" s="307"/>
      <c r="GG80" s="307"/>
      <c r="GH80" s="307"/>
      <c r="GI80" s="307"/>
      <c r="GJ80" s="307"/>
      <c r="GK80" s="307"/>
      <c r="GL80" s="307"/>
      <c r="GM80" s="307"/>
      <c r="GN80" s="307"/>
      <c r="GO80" s="307"/>
      <c r="GP80" s="307"/>
      <c r="GQ80" s="307"/>
      <c r="GR80" s="307"/>
      <c r="GS80" s="307"/>
      <c r="GT80" s="307"/>
      <c r="GU80" s="307"/>
      <c r="GV80" s="307"/>
      <c r="GW80" s="307"/>
      <c r="GX80" s="307"/>
      <c r="GY80" s="307"/>
      <c r="GZ80" s="307"/>
      <c r="HA80" s="307"/>
      <c r="HB80" s="307"/>
      <c r="HC80" s="307"/>
      <c r="HD80" s="307"/>
      <c r="HE80" s="307"/>
      <c r="HF80" s="307"/>
      <c r="HG80" s="307"/>
      <c r="HH80" s="307"/>
      <c r="HI80" s="307"/>
      <c r="HJ80" s="307"/>
      <c r="HK80" s="307"/>
      <c r="HL80" s="307"/>
      <c r="HM80" s="307"/>
      <c r="HN80" s="307"/>
      <c r="HO80" s="307"/>
      <c r="HP80" s="307"/>
      <c r="HQ80" s="307"/>
      <c r="HR80" s="307"/>
      <c r="HS80" s="307"/>
      <c r="HT80" s="307"/>
      <c r="HU80" s="307"/>
      <c r="HV80" s="307"/>
      <c r="HW80" s="307"/>
      <c r="HX80" s="307"/>
      <c r="HY80" s="307"/>
      <c r="HZ80" s="307"/>
      <c r="IA80" s="307"/>
      <c r="IB80" s="307"/>
      <c r="IC80" s="307"/>
      <c r="ID80" s="307"/>
      <c r="IE80" s="307"/>
      <c r="IF80" s="307"/>
      <c r="IG80" s="307"/>
      <c r="IH80" s="307"/>
      <c r="II80" s="307"/>
      <c r="IJ80" s="307"/>
      <c r="IK80" s="307"/>
      <c r="IL80" s="307"/>
      <c r="IM80" s="307"/>
      <c r="IN80" s="307"/>
      <c r="IO80" s="307"/>
      <c r="IP80" s="307"/>
      <c r="IQ80" s="307"/>
      <c r="IR80" s="307"/>
      <c r="IS80" s="307"/>
      <c r="IT80" s="307"/>
      <c r="IU80" s="307"/>
    </row>
    <row r="81" spans="1:255">
      <c r="A81" s="307"/>
      <c r="B81" s="307"/>
      <c r="C81" s="307"/>
      <c r="D81" s="307"/>
      <c r="E81" s="336"/>
      <c r="F81" s="307"/>
      <c r="G81" s="307"/>
      <c r="H81" s="307"/>
      <c r="I81" s="307"/>
      <c r="J81" s="307"/>
      <c r="K81" s="307"/>
      <c r="L81" s="307"/>
      <c r="M81" s="307"/>
      <c r="N81" s="307"/>
      <c r="O81" s="307"/>
      <c r="P81" s="307"/>
      <c r="Q81" s="307"/>
      <c r="R81" s="308"/>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307"/>
      <c r="AX81" s="307"/>
      <c r="AY81" s="307"/>
      <c r="AZ81" s="307"/>
      <c r="BA81" s="307"/>
      <c r="BB81" s="307"/>
      <c r="BC81" s="307"/>
      <c r="BD81" s="307"/>
      <c r="BE81" s="307"/>
      <c r="BF81" s="307"/>
      <c r="BG81" s="307"/>
      <c r="BH81" s="307"/>
      <c r="BI81" s="307"/>
      <c r="BJ81" s="307"/>
      <c r="BK81" s="307"/>
      <c r="BL81" s="307"/>
      <c r="BM81" s="307"/>
      <c r="BN81" s="307"/>
      <c r="BO81" s="307"/>
      <c r="BP81" s="307"/>
      <c r="BQ81" s="307"/>
      <c r="BR81" s="307"/>
      <c r="BS81" s="307"/>
      <c r="BT81" s="307"/>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7"/>
      <c r="DV81" s="307"/>
      <c r="DW81" s="307"/>
      <c r="DX81" s="307"/>
      <c r="DY81" s="307"/>
      <c r="DZ81" s="307"/>
      <c r="EA81" s="307"/>
      <c r="EB81" s="307"/>
      <c r="EC81" s="307"/>
      <c r="ED81" s="307"/>
      <c r="EE81" s="307"/>
      <c r="EF81" s="307"/>
      <c r="EG81" s="307"/>
      <c r="EH81" s="307"/>
      <c r="EI81" s="307"/>
      <c r="EJ81" s="307"/>
      <c r="EK81" s="307"/>
      <c r="EL81" s="307"/>
      <c r="EM81" s="307"/>
      <c r="EN81" s="307"/>
      <c r="EO81" s="307"/>
      <c r="EP81" s="307"/>
      <c r="EQ81" s="307"/>
      <c r="ER81" s="307"/>
      <c r="ES81" s="307"/>
      <c r="ET81" s="307"/>
      <c r="EU81" s="307"/>
      <c r="EV81" s="307"/>
      <c r="EW81" s="307"/>
      <c r="EX81" s="307"/>
      <c r="EY81" s="307"/>
      <c r="EZ81" s="307"/>
      <c r="FA81" s="307"/>
      <c r="FB81" s="307"/>
      <c r="FC81" s="307"/>
      <c r="FD81" s="307"/>
      <c r="FE81" s="307"/>
      <c r="FF81" s="307"/>
      <c r="FG81" s="307"/>
      <c r="FH81" s="307"/>
      <c r="FI81" s="307"/>
      <c r="FJ81" s="307"/>
      <c r="FK81" s="307"/>
      <c r="FL81" s="307"/>
      <c r="FM81" s="307"/>
      <c r="FN81" s="307"/>
      <c r="FO81" s="307"/>
      <c r="FP81" s="307"/>
      <c r="FQ81" s="307"/>
      <c r="FR81" s="307"/>
      <c r="FS81" s="307"/>
      <c r="FT81" s="307"/>
      <c r="FU81" s="307"/>
      <c r="FV81" s="307"/>
      <c r="FW81" s="307"/>
      <c r="FX81" s="307"/>
      <c r="FY81" s="307"/>
      <c r="FZ81" s="307"/>
      <c r="GA81" s="307"/>
      <c r="GB81" s="307"/>
      <c r="GC81" s="307"/>
      <c r="GD81" s="307"/>
      <c r="GE81" s="307"/>
      <c r="GF81" s="307"/>
      <c r="GG81" s="307"/>
      <c r="GH81" s="307"/>
      <c r="GI81" s="307"/>
      <c r="GJ81" s="307"/>
      <c r="GK81" s="307"/>
      <c r="GL81" s="307"/>
      <c r="GM81" s="307"/>
      <c r="GN81" s="307"/>
      <c r="GO81" s="307"/>
      <c r="GP81" s="307"/>
      <c r="GQ81" s="307"/>
      <c r="GR81" s="307"/>
      <c r="GS81" s="307"/>
      <c r="GT81" s="307"/>
      <c r="GU81" s="307"/>
      <c r="GV81" s="307"/>
      <c r="GW81" s="307"/>
      <c r="GX81" s="307"/>
      <c r="GY81" s="307"/>
      <c r="GZ81" s="307"/>
      <c r="HA81" s="307"/>
      <c r="HB81" s="307"/>
      <c r="HC81" s="307"/>
      <c r="HD81" s="307"/>
      <c r="HE81" s="307"/>
      <c r="HF81" s="307"/>
      <c r="HG81" s="307"/>
      <c r="HH81" s="307"/>
      <c r="HI81" s="307"/>
      <c r="HJ81" s="307"/>
      <c r="HK81" s="307"/>
      <c r="HL81" s="307"/>
      <c r="HM81" s="307"/>
      <c r="HN81" s="307"/>
      <c r="HO81" s="307"/>
      <c r="HP81" s="307"/>
      <c r="HQ81" s="307"/>
      <c r="HR81" s="307"/>
      <c r="HS81" s="307"/>
      <c r="HT81" s="307"/>
      <c r="HU81" s="307"/>
      <c r="HV81" s="307"/>
      <c r="HW81" s="307"/>
      <c r="HX81" s="307"/>
      <c r="HY81" s="307"/>
      <c r="HZ81" s="307"/>
      <c r="IA81" s="307"/>
      <c r="IB81" s="307"/>
      <c r="IC81" s="307"/>
      <c r="ID81" s="307"/>
      <c r="IE81" s="307"/>
      <c r="IF81" s="307"/>
      <c r="IG81" s="307"/>
      <c r="IH81" s="307"/>
      <c r="II81" s="307"/>
      <c r="IJ81" s="307"/>
      <c r="IK81" s="307"/>
      <c r="IL81" s="307"/>
      <c r="IM81" s="307"/>
      <c r="IN81" s="307"/>
      <c r="IO81" s="307"/>
      <c r="IP81" s="307"/>
      <c r="IQ81" s="307"/>
      <c r="IR81" s="307"/>
      <c r="IS81" s="307"/>
      <c r="IT81" s="307"/>
      <c r="IU81" s="307"/>
    </row>
    <row r="82" spans="1:255">
      <c r="A82" s="307"/>
      <c r="B82" s="307"/>
      <c r="C82" s="307"/>
      <c r="D82" s="307"/>
      <c r="E82" s="336"/>
      <c r="F82" s="307"/>
      <c r="G82" s="307"/>
      <c r="H82" s="307"/>
      <c r="I82" s="307"/>
      <c r="J82" s="307"/>
      <c r="K82" s="307"/>
      <c r="L82" s="307"/>
      <c r="M82" s="307"/>
      <c r="N82" s="307"/>
      <c r="O82" s="307"/>
      <c r="P82" s="307"/>
      <c r="Q82" s="307"/>
      <c r="R82" s="308"/>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07"/>
      <c r="BA82" s="307"/>
      <c r="BB82" s="307"/>
      <c r="BC82" s="307"/>
      <c r="BD82" s="307"/>
      <c r="BE82" s="307"/>
      <c r="BF82" s="307"/>
      <c r="BG82" s="307"/>
      <c r="BH82" s="307"/>
      <c r="BI82" s="307"/>
      <c r="BJ82" s="307"/>
      <c r="BK82" s="307"/>
      <c r="BL82" s="307"/>
      <c r="BM82" s="307"/>
      <c r="BN82" s="307"/>
      <c r="BO82" s="307"/>
      <c r="BP82" s="307"/>
      <c r="BQ82" s="307"/>
      <c r="BR82" s="307"/>
      <c r="BS82" s="307"/>
      <c r="BT82" s="307"/>
      <c r="BU82" s="307"/>
      <c r="BV82" s="307"/>
      <c r="BW82" s="307"/>
      <c r="BX82" s="307"/>
      <c r="BY82" s="307"/>
      <c r="BZ82" s="307"/>
      <c r="CA82" s="307"/>
      <c r="CB82" s="307"/>
      <c r="CC82" s="307"/>
      <c r="CD82" s="307"/>
      <c r="CE82" s="307"/>
      <c r="CF82" s="307"/>
      <c r="CG82" s="307"/>
      <c r="CH82" s="307"/>
      <c r="CI82" s="307"/>
      <c r="CJ82" s="307"/>
      <c r="CK82" s="307"/>
      <c r="CL82" s="307"/>
      <c r="CM82" s="307"/>
      <c r="CN82" s="307"/>
      <c r="CO82" s="307"/>
      <c r="CP82" s="307"/>
      <c r="CQ82" s="307"/>
      <c r="CR82" s="307"/>
      <c r="CS82" s="307"/>
      <c r="CT82" s="307"/>
      <c r="CU82" s="307"/>
      <c r="CV82" s="307"/>
      <c r="CW82" s="307"/>
      <c r="CX82" s="307"/>
      <c r="CY82" s="307"/>
      <c r="CZ82" s="307"/>
      <c r="DA82" s="307"/>
      <c r="DB82" s="307"/>
      <c r="DC82" s="307"/>
      <c r="DD82" s="307"/>
      <c r="DE82" s="307"/>
      <c r="DF82" s="307"/>
      <c r="DG82" s="307"/>
      <c r="DH82" s="307"/>
      <c r="DI82" s="307"/>
      <c r="DJ82" s="307"/>
      <c r="DK82" s="307"/>
      <c r="DL82" s="307"/>
      <c r="DM82" s="307"/>
      <c r="DN82" s="307"/>
      <c r="DO82" s="307"/>
      <c r="DP82" s="307"/>
      <c r="DQ82" s="307"/>
      <c r="DR82" s="307"/>
      <c r="DS82" s="307"/>
      <c r="DT82" s="307"/>
      <c r="DU82" s="307"/>
      <c r="DV82" s="307"/>
      <c r="DW82" s="307"/>
      <c r="DX82" s="307"/>
      <c r="DY82" s="307"/>
      <c r="DZ82" s="307"/>
      <c r="EA82" s="307"/>
      <c r="EB82" s="307"/>
      <c r="EC82" s="307"/>
      <c r="ED82" s="307"/>
      <c r="EE82" s="307"/>
      <c r="EF82" s="307"/>
      <c r="EG82" s="307"/>
      <c r="EH82" s="307"/>
      <c r="EI82" s="307"/>
      <c r="EJ82" s="307"/>
      <c r="EK82" s="307"/>
      <c r="EL82" s="307"/>
      <c r="EM82" s="307"/>
      <c r="EN82" s="307"/>
      <c r="EO82" s="307"/>
      <c r="EP82" s="307"/>
      <c r="EQ82" s="307"/>
      <c r="ER82" s="307"/>
      <c r="ES82" s="307"/>
      <c r="ET82" s="307"/>
      <c r="EU82" s="307"/>
      <c r="EV82" s="307"/>
      <c r="EW82" s="307"/>
      <c r="EX82" s="307"/>
      <c r="EY82" s="307"/>
      <c r="EZ82" s="307"/>
      <c r="FA82" s="307"/>
      <c r="FB82" s="307"/>
      <c r="FC82" s="307"/>
      <c r="FD82" s="307"/>
      <c r="FE82" s="307"/>
      <c r="FF82" s="307"/>
      <c r="FG82" s="307"/>
      <c r="FH82" s="307"/>
      <c r="FI82" s="307"/>
      <c r="FJ82" s="307"/>
      <c r="FK82" s="307"/>
      <c r="FL82" s="307"/>
      <c r="FM82" s="307"/>
      <c r="FN82" s="307"/>
      <c r="FO82" s="307"/>
      <c r="FP82" s="307"/>
      <c r="FQ82" s="307"/>
      <c r="FR82" s="307"/>
      <c r="FS82" s="307"/>
      <c r="FT82" s="307"/>
      <c r="FU82" s="307"/>
      <c r="FV82" s="307"/>
      <c r="FW82" s="307"/>
      <c r="FX82" s="307"/>
      <c r="FY82" s="307"/>
      <c r="FZ82" s="307"/>
      <c r="GA82" s="307"/>
      <c r="GB82" s="307"/>
      <c r="GC82" s="307"/>
      <c r="GD82" s="307"/>
      <c r="GE82" s="307"/>
      <c r="GF82" s="307"/>
      <c r="GG82" s="307"/>
      <c r="GH82" s="307"/>
      <c r="GI82" s="307"/>
      <c r="GJ82" s="307"/>
      <c r="GK82" s="307"/>
      <c r="GL82" s="307"/>
      <c r="GM82" s="307"/>
      <c r="GN82" s="307"/>
      <c r="GO82" s="307"/>
      <c r="GP82" s="307"/>
      <c r="GQ82" s="307"/>
      <c r="GR82" s="307"/>
      <c r="GS82" s="307"/>
      <c r="GT82" s="307"/>
      <c r="GU82" s="307"/>
      <c r="GV82" s="307"/>
      <c r="GW82" s="307"/>
      <c r="GX82" s="307"/>
      <c r="GY82" s="307"/>
      <c r="GZ82" s="307"/>
      <c r="HA82" s="307"/>
      <c r="HB82" s="307"/>
      <c r="HC82" s="307"/>
      <c r="HD82" s="307"/>
      <c r="HE82" s="307"/>
      <c r="HF82" s="307"/>
      <c r="HG82" s="307"/>
      <c r="HH82" s="307"/>
      <c r="HI82" s="307"/>
      <c r="HJ82" s="307"/>
      <c r="HK82" s="307"/>
      <c r="HL82" s="307"/>
      <c r="HM82" s="307"/>
      <c r="HN82" s="307"/>
      <c r="HO82" s="307"/>
      <c r="HP82" s="307"/>
      <c r="HQ82" s="307"/>
      <c r="HR82" s="307"/>
      <c r="HS82" s="307"/>
      <c r="HT82" s="307"/>
      <c r="HU82" s="307"/>
      <c r="HV82" s="307"/>
      <c r="HW82" s="307"/>
      <c r="HX82" s="307"/>
      <c r="HY82" s="307"/>
      <c r="HZ82" s="307"/>
      <c r="IA82" s="307"/>
      <c r="IB82" s="307"/>
      <c r="IC82" s="307"/>
      <c r="ID82" s="307"/>
      <c r="IE82" s="307"/>
      <c r="IF82" s="307"/>
      <c r="IG82" s="307"/>
      <c r="IH82" s="307"/>
      <c r="II82" s="307"/>
      <c r="IJ82" s="307"/>
      <c r="IK82" s="307"/>
      <c r="IL82" s="307"/>
      <c r="IM82" s="307"/>
      <c r="IN82" s="307"/>
      <c r="IO82" s="307"/>
      <c r="IP82" s="307"/>
      <c r="IQ82" s="307"/>
      <c r="IR82" s="307"/>
      <c r="IS82" s="307"/>
      <c r="IT82" s="307"/>
      <c r="IU82" s="307"/>
    </row>
    <row r="83" spans="1:255">
      <c r="A83" s="307"/>
      <c r="B83" s="307"/>
      <c r="C83" s="307"/>
      <c r="D83" s="307"/>
      <c r="E83" s="336"/>
      <c r="F83" s="307"/>
      <c r="G83" s="307"/>
      <c r="H83" s="307"/>
      <c r="I83" s="307"/>
      <c r="J83" s="307"/>
      <c r="K83" s="307"/>
      <c r="L83" s="307"/>
      <c r="M83" s="307"/>
      <c r="N83" s="307"/>
      <c r="O83" s="307"/>
      <c r="P83" s="307"/>
      <c r="Q83" s="307"/>
      <c r="R83" s="308"/>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7"/>
      <c r="EN83" s="307"/>
      <c r="EO83" s="307"/>
      <c r="EP83" s="307"/>
      <c r="EQ83" s="307"/>
      <c r="ER83" s="307"/>
      <c r="ES83" s="307"/>
      <c r="ET83" s="307"/>
      <c r="EU83" s="307"/>
      <c r="EV83" s="307"/>
      <c r="EW83" s="307"/>
      <c r="EX83" s="307"/>
      <c r="EY83" s="307"/>
      <c r="EZ83" s="307"/>
      <c r="FA83" s="307"/>
      <c r="FB83" s="307"/>
      <c r="FC83" s="307"/>
      <c r="FD83" s="307"/>
      <c r="FE83" s="307"/>
      <c r="FF83" s="307"/>
      <c r="FG83" s="307"/>
      <c r="FH83" s="307"/>
      <c r="FI83" s="307"/>
      <c r="FJ83" s="307"/>
      <c r="FK83" s="307"/>
      <c r="FL83" s="307"/>
      <c r="FM83" s="307"/>
      <c r="FN83" s="307"/>
      <c r="FO83" s="307"/>
      <c r="FP83" s="307"/>
      <c r="FQ83" s="307"/>
      <c r="FR83" s="307"/>
      <c r="FS83" s="307"/>
      <c r="FT83" s="307"/>
      <c r="FU83" s="307"/>
      <c r="FV83" s="307"/>
      <c r="FW83" s="307"/>
      <c r="FX83" s="307"/>
      <c r="FY83" s="307"/>
      <c r="FZ83" s="307"/>
      <c r="GA83" s="307"/>
      <c r="GB83" s="307"/>
      <c r="GC83" s="307"/>
      <c r="GD83" s="307"/>
      <c r="GE83" s="307"/>
      <c r="GF83" s="307"/>
      <c r="GG83" s="307"/>
      <c r="GH83" s="307"/>
      <c r="GI83" s="307"/>
      <c r="GJ83" s="307"/>
      <c r="GK83" s="307"/>
      <c r="GL83" s="307"/>
      <c r="GM83" s="307"/>
      <c r="GN83" s="307"/>
      <c r="GO83" s="307"/>
      <c r="GP83" s="307"/>
      <c r="GQ83" s="307"/>
      <c r="GR83" s="307"/>
      <c r="GS83" s="307"/>
      <c r="GT83" s="307"/>
      <c r="GU83" s="307"/>
      <c r="GV83" s="307"/>
      <c r="GW83" s="307"/>
      <c r="GX83" s="307"/>
      <c r="GY83" s="307"/>
      <c r="GZ83" s="307"/>
      <c r="HA83" s="307"/>
      <c r="HB83" s="307"/>
      <c r="HC83" s="307"/>
      <c r="HD83" s="307"/>
      <c r="HE83" s="307"/>
      <c r="HF83" s="307"/>
      <c r="HG83" s="307"/>
      <c r="HH83" s="307"/>
      <c r="HI83" s="307"/>
      <c r="HJ83" s="307"/>
      <c r="HK83" s="307"/>
      <c r="HL83" s="307"/>
      <c r="HM83" s="307"/>
      <c r="HN83" s="307"/>
      <c r="HO83" s="307"/>
      <c r="HP83" s="307"/>
      <c r="HQ83" s="307"/>
      <c r="HR83" s="307"/>
      <c r="HS83" s="307"/>
      <c r="HT83" s="307"/>
      <c r="HU83" s="307"/>
      <c r="HV83" s="307"/>
      <c r="HW83" s="307"/>
      <c r="HX83" s="307"/>
      <c r="HY83" s="307"/>
      <c r="HZ83" s="307"/>
      <c r="IA83" s="307"/>
      <c r="IB83" s="307"/>
      <c r="IC83" s="307"/>
      <c r="ID83" s="307"/>
      <c r="IE83" s="307"/>
      <c r="IF83" s="307"/>
      <c r="IG83" s="307"/>
      <c r="IH83" s="307"/>
      <c r="II83" s="307"/>
      <c r="IJ83" s="307"/>
      <c r="IK83" s="307"/>
      <c r="IL83" s="307"/>
      <c r="IM83" s="307"/>
      <c r="IN83" s="307"/>
      <c r="IO83" s="307"/>
      <c r="IP83" s="307"/>
      <c r="IQ83" s="307"/>
      <c r="IR83" s="307"/>
      <c r="IS83" s="307"/>
      <c r="IT83" s="307"/>
      <c r="IU83" s="307"/>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BA126"/>
  <sheetViews>
    <sheetView topLeftCell="A77" zoomScale="80" zoomScaleNormal="80" workbookViewId="0">
      <selection activeCell="I117" sqref="I117"/>
    </sheetView>
  </sheetViews>
  <sheetFormatPr defaultRowHeight="12.75"/>
  <cols>
    <col min="1" max="1" width="97.42578125" bestFit="1" customWidth="1"/>
    <col min="3" max="3" width="14.42578125" bestFit="1" customWidth="1"/>
    <col min="5" max="5" width="16.28515625" bestFit="1" customWidth="1"/>
    <col min="6" max="6" width="19.5703125" bestFit="1" customWidth="1"/>
    <col min="7" max="7" width="23" bestFit="1" customWidth="1"/>
    <col min="8" max="8" width="7.5703125" customWidth="1"/>
    <col min="9" max="9" width="94" bestFit="1" customWidth="1"/>
    <col min="11" max="11" width="13.42578125" bestFit="1" customWidth="1"/>
    <col min="14" max="14" width="18.42578125" bestFit="1" customWidth="1"/>
    <col min="15" max="15" width="22.85546875" bestFit="1" customWidth="1"/>
    <col min="16" max="16" width="4.42578125" customWidth="1"/>
    <col min="17" max="17" width="64.140625" customWidth="1"/>
    <col min="18" max="18" width="16.42578125" customWidth="1"/>
    <col min="19" max="19" width="14.28515625" bestFit="1" customWidth="1"/>
    <col min="21" max="21" width="16.28515625" customWidth="1"/>
    <col min="22" max="22" width="18.28515625" customWidth="1"/>
    <col min="23" max="23" width="22.85546875" bestFit="1" customWidth="1"/>
    <col min="24" max="24" width="3.5703125" customWidth="1"/>
    <col min="25" max="25" width="64.140625" customWidth="1"/>
    <col min="26" max="26" width="16.42578125" customWidth="1"/>
    <col min="27" max="27" width="14.28515625" bestFit="1" customWidth="1"/>
    <col min="29" max="29" width="16.28515625" customWidth="1"/>
    <col min="30" max="30" width="18.28515625" customWidth="1"/>
    <col min="31" max="31" width="22.85546875" bestFit="1" customWidth="1"/>
    <col min="32" max="32" width="5" customWidth="1"/>
    <col min="33" max="33" width="64.140625" customWidth="1"/>
    <col min="34" max="34" width="16.42578125" customWidth="1"/>
    <col min="35" max="35" width="14.28515625" bestFit="1" customWidth="1"/>
    <col min="37" max="37" width="14" bestFit="1" customWidth="1"/>
    <col min="38" max="38" width="15.5703125" bestFit="1" customWidth="1"/>
    <col min="41" max="41" width="73.140625" bestFit="1" customWidth="1"/>
    <col min="43" max="43" width="13.42578125" bestFit="1" customWidth="1"/>
    <col min="45" max="45" width="14" bestFit="1" customWidth="1"/>
    <col min="46" max="46" width="14.28515625" bestFit="1" customWidth="1"/>
    <col min="48" max="48" width="7.7109375" customWidth="1"/>
    <col min="49" max="49" width="13.42578125" customWidth="1"/>
    <col min="50" max="50" width="14" bestFit="1" customWidth="1"/>
    <col min="51" max="51" width="12.28515625" bestFit="1" customWidth="1"/>
    <col min="52" max="52" width="14.5703125" bestFit="1" customWidth="1"/>
    <col min="289" max="289" width="64.140625" customWidth="1"/>
    <col min="290" max="290" width="16.42578125" customWidth="1"/>
    <col min="291" max="291" width="14.28515625" bestFit="1" customWidth="1"/>
    <col min="293" max="293" width="14" bestFit="1" customWidth="1"/>
    <col min="294" max="294" width="15.5703125" bestFit="1" customWidth="1"/>
    <col min="297" max="297" width="73.140625" bestFit="1" customWidth="1"/>
    <col min="299" max="299" width="13.42578125" bestFit="1" customWidth="1"/>
    <col min="301" max="301" width="14" bestFit="1" customWidth="1"/>
    <col min="302" max="302" width="14.28515625" bestFit="1" customWidth="1"/>
    <col min="304" max="304" width="7.7109375" customWidth="1"/>
    <col min="305" max="305" width="13.42578125" customWidth="1"/>
    <col min="306" max="306" width="14" bestFit="1" customWidth="1"/>
    <col min="307" max="307" width="12.28515625" bestFit="1" customWidth="1"/>
    <col min="308" max="308" width="14.5703125" bestFit="1" customWidth="1"/>
    <col min="545" max="545" width="64.140625" customWidth="1"/>
    <col min="546" max="546" width="16.42578125" customWidth="1"/>
    <col min="547" max="547" width="14.28515625" bestFit="1" customWidth="1"/>
    <col min="549" max="549" width="14" bestFit="1" customWidth="1"/>
    <col min="550" max="550" width="15.5703125" bestFit="1" customWidth="1"/>
    <col min="553" max="553" width="73.140625" bestFit="1" customWidth="1"/>
    <col min="555" max="555" width="13.42578125" bestFit="1" customWidth="1"/>
    <col min="557" max="557" width="14" bestFit="1" customWidth="1"/>
    <col min="558" max="558" width="14.28515625" bestFit="1" customWidth="1"/>
    <col min="560" max="560" width="7.7109375" customWidth="1"/>
    <col min="561" max="561" width="13.42578125" customWidth="1"/>
    <col min="562" max="562" width="14" bestFit="1" customWidth="1"/>
    <col min="563" max="563" width="12.28515625" bestFit="1" customWidth="1"/>
    <col min="564" max="564" width="14.5703125" bestFit="1" customWidth="1"/>
    <col min="801" max="801" width="64.140625" customWidth="1"/>
    <col min="802" max="802" width="16.42578125" customWidth="1"/>
    <col min="803" max="803" width="14.28515625" bestFit="1" customWidth="1"/>
    <col min="805" max="805" width="14" bestFit="1" customWidth="1"/>
    <col min="806" max="806" width="15.5703125" bestFit="1" customWidth="1"/>
    <col min="809" max="809" width="73.140625" bestFit="1" customWidth="1"/>
    <col min="811" max="811" width="13.42578125" bestFit="1" customWidth="1"/>
    <col min="813" max="813" width="14" bestFit="1" customWidth="1"/>
    <col min="814" max="814" width="14.28515625" bestFit="1" customWidth="1"/>
    <col min="816" max="816" width="7.7109375" customWidth="1"/>
    <col min="817" max="817" width="13.42578125" customWidth="1"/>
    <col min="818" max="818" width="14" bestFit="1" customWidth="1"/>
    <col min="819" max="819" width="12.28515625" bestFit="1" customWidth="1"/>
    <col min="820" max="820" width="14.5703125" bestFit="1" customWidth="1"/>
    <col min="1057" max="1057" width="64.140625" customWidth="1"/>
    <col min="1058" max="1058" width="16.42578125" customWidth="1"/>
    <col min="1059" max="1059" width="14.28515625" bestFit="1" customWidth="1"/>
    <col min="1061" max="1061" width="14" bestFit="1" customWidth="1"/>
    <col min="1062" max="1062" width="15.5703125" bestFit="1" customWidth="1"/>
    <col min="1065" max="1065" width="73.140625" bestFit="1" customWidth="1"/>
    <col min="1067" max="1067" width="13.42578125" bestFit="1" customWidth="1"/>
    <col min="1069" max="1069" width="14" bestFit="1" customWidth="1"/>
    <col min="1070" max="1070" width="14.28515625" bestFit="1" customWidth="1"/>
    <col min="1072" max="1072" width="7.7109375" customWidth="1"/>
    <col min="1073" max="1073" width="13.42578125" customWidth="1"/>
    <col min="1074" max="1074" width="14" bestFit="1" customWidth="1"/>
    <col min="1075" max="1075" width="12.28515625" bestFit="1" customWidth="1"/>
    <col min="1076" max="1076" width="14.5703125" bestFit="1" customWidth="1"/>
    <col min="1313" max="1313" width="64.140625" customWidth="1"/>
    <col min="1314" max="1314" width="16.42578125" customWidth="1"/>
    <col min="1315" max="1315" width="14.28515625" bestFit="1" customWidth="1"/>
    <col min="1317" max="1317" width="14" bestFit="1" customWidth="1"/>
    <col min="1318" max="1318" width="15.5703125" bestFit="1" customWidth="1"/>
    <col min="1321" max="1321" width="73.140625" bestFit="1" customWidth="1"/>
    <col min="1323" max="1323" width="13.42578125" bestFit="1" customWidth="1"/>
    <col min="1325" max="1325" width="14" bestFit="1" customWidth="1"/>
    <col min="1326" max="1326" width="14.28515625" bestFit="1" customWidth="1"/>
    <col min="1328" max="1328" width="7.7109375" customWidth="1"/>
    <col min="1329" max="1329" width="13.42578125" customWidth="1"/>
    <col min="1330" max="1330" width="14" bestFit="1" customWidth="1"/>
    <col min="1331" max="1331" width="12.28515625" bestFit="1" customWidth="1"/>
    <col min="1332" max="1332" width="14.5703125" bestFit="1" customWidth="1"/>
    <col min="1569" max="1569" width="64.140625" customWidth="1"/>
    <col min="1570" max="1570" width="16.42578125" customWidth="1"/>
    <col min="1571" max="1571" width="14.28515625" bestFit="1" customWidth="1"/>
    <col min="1573" max="1573" width="14" bestFit="1" customWidth="1"/>
    <col min="1574" max="1574" width="15.5703125" bestFit="1" customWidth="1"/>
    <col min="1577" max="1577" width="73.140625" bestFit="1" customWidth="1"/>
    <col min="1579" max="1579" width="13.42578125" bestFit="1" customWidth="1"/>
    <col min="1581" max="1581" width="14" bestFit="1" customWidth="1"/>
    <col min="1582" max="1582" width="14.28515625" bestFit="1" customWidth="1"/>
    <col min="1584" max="1584" width="7.7109375" customWidth="1"/>
    <col min="1585" max="1585" width="13.42578125" customWidth="1"/>
    <col min="1586" max="1586" width="14" bestFit="1" customWidth="1"/>
    <col min="1587" max="1587" width="12.28515625" bestFit="1" customWidth="1"/>
    <col min="1588" max="1588" width="14.5703125" bestFit="1" customWidth="1"/>
    <col min="1825" max="1825" width="64.140625" customWidth="1"/>
    <col min="1826" max="1826" width="16.42578125" customWidth="1"/>
    <col min="1827" max="1827" width="14.28515625" bestFit="1" customWidth="1"/>
    <col min="1829" max="1829" width="14" bestFit="1" customWidth="1"/>
    <col min="1830" max="1830" width="15.5703125" bestFit="1" customWidth="1"/>
    <col min="1833" max="1833" width="73.140625" bestFit="1" customWidth="1"/>
    <col min="1835" max="1835" width="13.42578125" bestFit="1" customWidth="1"/>
    <col min="1837" max="1837" width="14" bestFit="1" customWidth="1"/>
    <col min="1838" max="1838" width="14.28515625" bestFit="1" customWidth="1"/>
    <col min="1840" max="1840" width="7.7109375" customWidth="1"/>
    <col min="1841" max="1841" width="13.42578125" customWidth="1"/>
    <col min="1842" max="1842" width="14" bestFit="1" customWidth="1"/>
    <col min="1843" max="1843" width="12.28515625" bestFit="1" customWidth="1"/>
    <col min="1844" max="1844" width="14.5703125" bestFit="1" customWidth="1"/>
    <col min="2081" max="2081" width="64.140625" customWidth="1"/>
    <col min="2082" max="2082" width="16.42578125" customWidth="1"/>
    <col min="2083" max="2083" width="14.28515625" bestFit="1" customWidth="1"/>
    <col min="2085" max="2085" width="14" bestFit="1" customWidth="1"/>
    <col min="2086" max="2086" width="15.5703125" bestFit="1" customWidth="1"/>
    <col min="2089" max="2089" width="73.140625" bestFit="1" customWidth="1"/>
    <col min="2091" max="2091" width="13.42578125" bestFit="1" customWidth="1"/>
    <col min="2093" max="2093" width="14" bestFit="1" customWidth="1"/>
    <col min="2094" max="2094" width="14.28515625" bestFit="1" customWidth="1"/>
    <col min="2096" max="2096" width="7.7109375" customWidth="1"/>
    <col min="2097" max="2097" width="13.42578125" customWidth="1"/>
    <col min="2098" max="2098" width="14" bestFit="1" customWidth="1"/>
    <col min="2099" max="2099" width="12.28515625" bestFit="1" customWidth="1"/>
    <col min="2100" max="2100" width="14.5703125" bestFit="1" customWidth="1"/>
    <col min="2337" max="2337" width="64.140625" customWidth="1"/>
    <col min="2338" max="2338" width="16.42578125" customWidth="1"/>
    <col min="2339" max="2339" width="14.28515625" bestFit="1" customWidth="1"/>
    <col min="2341" max="2341" width="14" bestFit="1" customWidth="1"/>
    <col min="2342" max="2342" width="15.5703125" bestFit="1" customWidth="1"/>
    <col min="2345" max="2345" width="73.140625" bestFit="1" customWidth="1"/>
    <col min="2347" max="2347" width="13.42578125" bestFit="1" customWidth="1"/>
    <col min="2349" max="2349" width="14" bestFit="1" customWidth="1"/>
    <col min="2350" max="2350" width="14.28515625" bestFit="1" customWidth="1"/>
    <col min="2352" max="2352" width="7.7109375" customWidth="1"/>
    <col min="2353" max="2353" width="13.42578125" customWidth="1"/>
    <col min="2354" max="2354" width="14" bestFit="1" customWidth="1"/>
    <col min="2355" max="2355" width="12.28515625" bestFit="1" customWidth="1"/>
    <col min="2356" max="2356" width="14.5703125" bestFit="1" customWidth="1"/>
    <col min="2593" max="2593" width="64.140625" customWidth="1"/>
    <col min="2594" max="2594" width="16.42578125" customWidth="1"/>
    <col min="2595" max="2595" width="14.28515625" bestFit="1" customWidth="1"/>
    <col min="2597" max="2597" width="14" bestFit="1" customWidth="1"/>
    <col min="2598" max="2598" width="15.5703125" bestFit="1" customWidth="1"/>
    <col min="2601" max="2601" width="73.140625" bestFit="1" customWidth="1"/>
    <col min="2603" max="2603" width="13.42578125" bestFit="1" customWidth="1"/>
    <col min="2605" max="2605" width="14" bestFit="1" customWidth="1"/>
    <col min="2606" max="2606" width="14.28515625" bestFit="1" customWidth="1"/>
    <col min="2608" max="2608" width="7.7109375" customWidth="1"/>
    <col min="2609" max="2609" width="13.42578125" customWidth="1"/>
    <col min="2610" max="2610" width="14" bestFit="1" customWidth="1"/>
    <col min="2611" max="2611" width="12.28515625" bestFit="1" customWidth="1"/>
    <col min="2612" max="2612" width="14.5703125" bestFit="1" customWidth="1"/>
    <col min="2849" max="2849" width="64.140625" customWidth="1"/>
    <col min="2850" max="2850" width="16.42578125" customWidth="1"/>
    <col min="2851" max="2851" width="14.28515625" bestFit="1" customWidth="1"/>
    <col min="2853" max="2853" width="14" bestFit="1" customWidth="1"/>
    <col min="2854" max="2854" width="15.5703125" bestFit="1" customWidth="1"/>
    <col min="2857" max="2857" width="73.140625" bestFit="1" customWidth="1"/>
    <col min="2859" max="2859" width="13.42578125" bestFit="1" customWidth="1"/>
    <col min="2861" max="2861" width="14" bestFit="1" customWidth="1"/>
    <col min="2862" max="2862" width="14.28515625" bestFit="1" customWidth="1"/>
    <col min="2864" max="2864" width="7.7109375" customWidth="1"/>
    <col min="2865" max="2865" width="13.42578125" customWidth="1"/>
    <col min="2866" max="2866" width="14" bestFit="1" customWidth="1"/>
    <col min="2867" max="2867" width="12.28515625" bestFit="1" customWidth="1"/>
    <col min="2868" max="2868" width="14.5703125" bestFit="1" customWidth="1"/>
    <col min="3105" max="3105" width="64.140625" customWidth="1"/>
    <col min="3106" max="3106" width="16.42578125" customWidth="1"/>
    <col min="3107" max="3107" width="14.28515625" bestFit="1" customWidth="1"/>
    <col min="3109" max="3109" width="14" bestFit="1" customWidth="1"/>
    <col min="3110" max="3110" width="15.5703125" bestFit="1" customWidth="1"/>
    <col min="3113" max="3113" width="73.140625" bestFit="1" customWidth="1"/>
    <col min="3115" max="3115" width="13.42578125" bestFit="1" customWidth="1"/>
    <col min="3117" max="3117" width="14" bestFit="1" customWidth="1"/>
    <col min="3118" max="3118" width="14.28515625" bestFit="1" customWidth="1"/>
    <col min="3120" max="3120" width="7.7109375" customWidth="1"/>
    <col min="3121" max="3121" width="13.42578125" customWidth="1"/>
    <col min="3122" max="3122" width="14" bestFit="1" customWidth="1"/>
    <col min="3123" max="3123" width="12.28515625" bestFit="1" customWidth="1"/>
    <col min="3124" max="3124" width="14.5703125" bestFit="1" customWidth="1"/>
    <col min="3361" max="3361" width="64.140625" customWidth="1"/>
    <col min="3362" max="3362" width="16.42578125" customWidth="1"/>
    <col min="3363" max="3363" width="14.28515625" bestFit="1" customWidth="1"/>
    <col min="3365" max="3365" width="14" bestFit="1" customWidth="1"/>
    <col min="3366" max="3366" width="15.5703125" bestFit="1" customWidth="1"/>
    <col min="3369" max="3369" width="73.140625" bestFit="1" customWidth="1"/>
    <col min="3371" max="3371" width="13.42578125" bestFit="1" customWidth="1"/>
    <col min="3373" max="3373" width="14" bestFit="1" customWidth="1"/>
    <col min="3374" max="3374" width="14.28515625" bestFit="1" customWidth="1"/>
    <col min="3376" max="3376" width="7.7109375" customWidth="1"/>
    <col min="3377" max="3377" width="13.42578125" customWidth="1"/>
    <col min="3378" max="3378" width="14" bestFit="1" customWidth="1"/>
    <col min="3379" max="3379" width="12.28515625" bestFit="1" customWidth="1"/>
    <col min="3380" max="3380" width="14.5703125" bestFit="1" customWidth="1"/>
    <col min="3617" max="3617" width="64.140625" customWidth="1"/>
    <col min="3618" max="3618" width="16.42578125" customWidth="1"/>
    <col min="3619" max="3619" width="14.28515625" bestFit="1" customWidth="1"/>
    <col min="3621" max="3621" width="14" bestFit="1" customWidth="1"/>
    <col min="3622" max="3622" width="15.5703125" bestFit="1" customWidth="1"/>
    <col min="3625" max="3625" width="73.140625" bestFit="1" customWidth="1"/>
    <col min="3627" max="3627" width="13.42578125" bestFit="1" customWidth="1"/>
    <col min="3629" max="3629" width="14" bestFit="1" customWidth="1"/>
    <col min="3630" max="3630" width="14.28515625" bestFit="1" customWidth="1"/>
    <col min="3632" max="3632" width="7.7109375" customWidth="1"/>
    <col min="3633" max="3633" width="13.42578125" customWidth="1"/>
    <col min="3634" max="3634" width="14" bestFit="1" customWidth="1"/>
    <col min="3635" max="3635" width="12.28515625" bestFit="1" customWidth="1"/>
    <col min="3636" max="3636" width="14.5703125" bestFit="1" customWidth="1"/>
    <col min="3873" max="3873" width="64.140625" customWidth="1"/>
    <col min="3874" max="3874" width="16.42578125" customWidth="1"/>
    <col min="3875" max="3875" width="14.28515625" bestFit="1" customWidth="1"/>
    <col min="3877" max="3877" width="14" bestFit="1" customWidth="1"/>
    <col min="3878" max="3878" width="15.5703125" bestFit="1" customWidth="1"/>
    <col min="3881" max="3881" width="73.140625" bestFit="1" customWidth="1"/>
    <col min="3883" max="3883" width="13.42578125" bestFit="1" customWidth="1"/>
    <col min="3885" max="3885" width="14" bestFit="1" customWidth="1"/>
    <col min="3886" max="3886" width="14.28515625" bestFit="1" customWidth="1"/>
    <col min="3888" max="3888" width="7.7109375" customWidth="1"/>
    <col min="3889" max="3889" width="13.42578125" customWidth="1"/>
    <col min="3890" max="3890" width="14" bestFit="1" customWidth="1"/>
    <col min="3891" max="3891" width="12.28515625" bestFit="1" customWidth="1"/>
    <col min="3892" max="3892" width="14.5703125" bestFit="1" customWidth="1"/>
    <col min="4129" max="4129" width="64.140625" customWidth="1"/>
    <col min="4130" max="4130" width="16.42578125" customWidth="1"/>
    <col min="4131" max="4131" width="14.28515625" bestFit="1" customWidth="1"/>
    <col min="4133" max="4133" width="14" bestFit="1" customWidth="1"/>
    <col min="4134" max="4134" width="15.5703125" bestFit="1" customWidth="1"/>
    <col min="4137" max="4137" width="73.140625" bestFit="1" customWidth="1"/>
    <col min="4139" max="4139" width="13.42578125" bestFit="1" customWidth="1"/>
    <col min="4141" max="4141" width="14" bestFit="1" customWidth="1"/>
    <col min="4142" max="4142" width="14.28515625" bestFit="1" customWidth="1"/>
    <col min="4144" max="4144" width="7.7109375" customWidth="1"/>
    <col min="4145" max="4145" width="13.42578125" customWidth="1"/>
    <col min="4146" max="4146" width="14" bestFit="1" customWidth="1"/>
    <col min="4147" max="4147" width="12.28515625" bestFit="1" customWidth="1"/>
    <col min="4148" max="4148" width="14.5703125" bestFit="1" customWidth="1"/>
    <col min="4385" max="4385" width="64.140625" customWidth="1"/>
    <col min="4386" max="4386" width="16.42578125" customWidth="1"/>
    <col min="4387" max="4387" width="14.28515625" bestFit="1" customWidth="1"/>
    <col min="4389" max="4389" width="14" bestFit="1" customWidth="1"/>
    <col min="4390" max="4390" width="15.5703125" bestFit="1" customWidth="1"/>
    <col min="4393" max="4393" width="73.140625" bestFit="1" customWidth="1"/>
    <col min="4395" max="4395" width="13.42578125" bestFit="1" customWidth="1"/>
    <col min="4397" max="4397" width="14" bestFit="1" customWidth="1"/>
    <col min="4398" max="4398" width="14.28515625" bestFit="1" customWidth="1"/>
    <col min="4400" max="4400" width="7.7109375" customWidth="1"/>
    <col min="4401" max="4401" width="13.42578125" customWidth="1"/>
    <col min="4402" max="4402" width="14" bestFit="1" customWidth="1"/>
    <col min="4403" max="4403" width="12.28515625" bestFit="1" customWidth="1"/>
    <col min="4404" max="4404" width="14.5703125" bestFit="1" customWidth="1"/>
    <col min="4641" max="4641" width="64.140625" customWidth="1"/>
    <col min="4642" max="4642" width="16.42578125" customWidth="1"/>
    <col min="4643" max="4643" width="14.28515625" bestFit="1" customWidth="1"/>
    <col min="4645" max="4645" width="14" bestFit="1" customWidth="1"/>
    <col min="4646" max="4646" width="15.5703125" bestFit="1" customWidth="1"/>
    <col min="4649" max="4649" width="73.140625" bestFit="1" customWidth="1"/>
    <col min="4651" max="4651" width="13.42578125" bestFit="1" customWidth="1"/>
    <col min="4653" max="4653" width="14" bestFit="1" customWidth="1"/>
    <col min="4654" max="4654" width="14.28515625" bestFit="1" customWidth="1"/>
    <col min="4656" max="4656" width="7.7109375" customWidth="1"/>
    <col min="4657" max="4657" width="13.42578125" customWidth="1"/>
    <col min="4658" max="4658" width="14" bestFit="1" customWidth="1"/>
    <col min="4659" max="4659" width="12.28515625" bestFit="1" customWidth="1"/>
    <col min="4660" max="4660" width="14.5703125" bestFit="1" customWidth="1"/>
    <col min="4897" max="4897" width="64.140625" customWidth="1"/>
    <col min="4898" max="4898" width="16.42578125" customWidth="1"/>
    <col min="4899" max="4899" width="14.28515625" bestFit="1" customWidth="1"/>
    <col min="4901" max="4901" width="14" bestFit="1" customWidth="1"/>
    <col min="4902" max="4902" width="15.5703125" bestFit="1" customWidth="1"/>
    <col min="4905" max="4905" width="73.140625" bestFit="1" customWidth="1"/>
    <col min="4907" max="4907" width="13.42578125" bestFit="1" customWidth="1"/>
    <col min="4909" max="4909" width="14" bestFit="1" customWidth="1"/>
    <col min="4910" max="4910" width="14.28515625" bestFit="1" customWidth="1"/>
    <col min="4912" max="4912" width="7.7109375" customWidth="1"/>
    <col min="4913" max="4913" width="13.42578125" customWidth="1"/>
    <col min="4914" max="4914" width="14" bestFit="1" customWidth="1"/>
    <col min="4915" max="4915" width="12.28515625" bestFit="1" customWidth="1"/>
    <col min="4916" max="4916" width="14.5703125" bestFit="1" customWidth="1"/>
    <col min="5153" max="5153" width="64.140625" customWidth="1"/>
    <col min="5154" max="5154" width="16.42578125" customWidth="1"/>
    <col min="5155" max="5155" width="14.28515625" bestFit="1" customWidth="1"/>
    <col min="5157" max="5157" width="14" bestFit="1" customWidth="1"/>
    <col min="5158" max="5158" width="15.5703125" bestFit="1" customWidth="1"/>
    <col min="5161" max="5161" width="73.140625" bestFit="1" customWidth="1"/>
    <col min="5163" max="5163" width="13.42578125" bestFit="1" customWidth="1"/>
    <col min="5165" max="5165" width="14" bestFit="1" customWidth="1"/>
    <col min="5166" max="5166" width="14.28515625" bestFit="1" customWidth="1"/>
    <col min="5168" max="5168" width="7.7109375" customWidth="1"/>
    <col min="5169" max="5169" width="13.42578125" customWidth="1"/>
    <col min="5170" max="5170" width="14" bestFit="1" customWidth="1"/>
    <col min="5171" max="5171" width="12.28515625" bestFit="1" customWidth="1"/>
    <col min="5172" max="5172" width="14.5703125" bestFit="1" customWidth="1"/>
    <col min="5409" max="5409" width="64.140625" customWidth="1"/>
    <col min="5410" max="5410" width="16.42578125" customWidth="1"/>
    <col min="5411" max="5411" width="14.28515625" bestFit="1" customWidth="1"/>
    <col min="5413" max="5413" width="14" bestFit="1" customWidth="1"/>
    <col min="5414" max="5414" width="15.5703125" bestFit="1" customWidth="1"/>
    <col min="5417" max="5417" width="73.140625" bestFit="1" customWidth="1"/>
    <col min="5419" max="5419" width="13.42578125" bestFit="1" customWidth="1"/>
    <col min="5421" max="5421" width="14" bestFit="1" customWidth="1"/>
    <col min="5422" max="5422" width="14.28515625" bestFit="1" customWidth="1"/>
    <col min="5424" max="5424" width="7.7109375" customWidth="1"/>
    <col min="5425" max="5425" width="13.42578125" customWidth="1"/>
    <col min="5426" max="5426" width="14" bestFit="1" customWidth="1"/>
    <col min="5427" max="5427" width="12.28515625" bestFit="1" customWidth="1"/>
    <col min="5428" max="5428" width="14.5703125" bestFit="1" customWidth="1"/>
    <col min="5665" max="5665" width="64.140625" customWidth="1"/>
    <col min="5666" max="5666" width="16.42578125" customWidth="1"/>
    <col min="5667" max="5667" width="14.28515625" bestFit="1" customWidth="1"/>
    <col min="5669" max="5669" width="14" bestFit="1" customWidth="1"/>
    <col min="5670" max="5670" width="15.5703125" bestFit="1" customWidth="1"/>
    <col min="5673" max="5673" width="73.140625" bestFit="1" customWidth="1"/>
    <col min="5675" max="5675" width="13.42578125" bestFit="1" customWidth="1"/>
    <col min="5677" max="5677" width="14" bestFit="1" customWidth="1"/>
    <col min="5678" max="5678" width="14.28515625" bestFit="1" customWidth="1"/>
    <col min="5680" max="5680" width="7.7109375" customWidth="1"/>
    <col min="5681" max="5681" width="13.42578125" customWidth="1"/>
    <col min="5682" max="5682" width="14" bestFit="1" customWidth="1"/>
    <col min="5683" max="5683" width="12.28515625" bestFit="1" customWidth="1"/>
    <col min="5684" max="5684" width="14.5703125" bestFit="1" customWidth="1"/>
    <col min="5921" max="5921" width="64.140625" customWidth="1"/>
    <col min="5922" max="5922" width="16.42578125" customWidth="1"/>
    <col min="5923" max="5923" width="14.28515625" bestFit="1" customWidth="1"/>
    <col min="5925" max="5925" width="14" bestFit="1" customWidth="1"/>
    <col min="5926" max="5926" width="15.5703125" bestFit="1" customWidth="1"/>
    <col min="5929" max="5929" width="73.140625" bestFit="1" customWidth="1"/>
    <col min="5931" max="5931" width="13.42578125" bestFit="1" customWidth="1"/>
    <col min="5933" max="5933" width="14" bestFit="1" customWidth="1"/>
    <col min="5934" max="5934" width="14.28515625" bestFit="1" customWidth="1"/>
    <col min="5936" max="5936" width="7.7109375" customWidth="1"/>
    <col min="5937" max="5937" width="13.42578125" customWidth="1"/>
    <col min="5938" max="5938" width="14" bestFit="1" customWidth="1"/>
    <col min="5939" max="5939" width="12.28515625" bestFit="1" customWidth="1"/>
    <col min="5940" max="5940" width="14.5703125" bestFit="1" customWidth="1"/>
    <col min="6177" max="6177" width="64.140625" customWidth="1"/>
    <col min="6178" max="6178" width="16.42578125" customWidth="1"/>
    <col min="6179" max="6179" width="14.28515625" bestFit="1" customWidth="1"/>
    <col min="6181" max="6181" width="14" bestFit="1" customWidth="1"/>
    <col min="6182" max="6182" width="15.5703125" bestFit="1" customWidth="1"/>
    <col min="6185" max="6185" width="73.140625" bestFit="1" customWidth="1"/>
    <col min="6187" max="6187" width="13.42578125" bestFit="1" customWidth="1"/>
    <col min="6189" max="6189" width="14" bestFit="1" customWidth="1"/>
    <col min="6190" max="6190" width="14.28515625" bestFit="1" customWidth="1"/>
    <col min="6192" max="6192" width="7.7109375" customWidth="1"/>
    <col min="6193" max="6193" width="13.42578125" customWidth="1"/>
    <col min="6194" max="6194" width="14" bestFit="1" customWidth="1"/>
    <col min="6195" max="6195" width="12.28515625" bestFit="1" customWidth="1"/>
    <col min="6196" max="6196" width="14.5703125" bestFit="1" customWidth="1"/>
    <col min="6433" max="6433" width="64.140625" customWidth="1"/>
    <col min="6434" max="6434" width="16.42578125" customWidth="1"/>
    <col min="6435" max="6435" width="14.28515625" bestFit="1" customWidth="1"/>
    <col min="6437" max="6437" width="14" bestFit="1" customWidth="1"/>
    <col min="6438" max="6438" width="15.5703125" bestFit="1" customWidth="1"/>
    <col min="6441" max="6441" width="73.140625" bestFit="1" customWidth="1"/>
    <col min="6443" max="6443" width="13.42578125" bestFit="1" customWidth="1"/>
    <col min="6445" max="6445" width="14" bestFit="1" customWidth="1"/>
    <col min="6446" max="6446" width="14.28515625" bestFit="1" customWidth="1"/>
    <col min="6448" max="6448" width="7.7109375" customWidth="1"/>
    <col min="6449" max="6449" width="13.42578125" customWidth="1"/>
    <col min="6450" max="6450" width="14" bestFit="1" customWidth="1"/>
    <col min="6451" max="6451" width="12.28515625" bestFit="1" customWidth="1"/>
    <col min="6452" max="6452" width="14.5703125" bestFit="1" customWidth="1"/>
    <col min="6689" max="6689" width="64.140625" customWidth="1"/>
    <col min="6690" max="6690" width="16.42578125" customWidth="1"/>
    <col min="6691" max="6691" width="14.28515625" bestFit="1" customWidth="1"/>
    <col min="6693" max="6693" width="14" bestFit="1" customWidth="1"/>
    <col min="6694" max="6694" width="15.5703125" bestFit="1" customWidth="1"/>
    <col min="6697" max="6697" width="73.140625" bestFit="1" customWidth="1"/>
    <col min="6699" max="6699" width="13.42578125" bestFit="1" customWidth="1"/>
    <col min="6701" max="6701" width="14" bestFit="1" customWidth="1"/>
    <col min="6702" max="6702" width="14.28515625" bestFit="1" customWidth="1"/>
    <col min="6704" max="6704" width="7.7109375" customWidth="1"/>
    <col min="6705" max="6705" width="13.42578125" customWidth="1"/>
    <col min="6706" max="6706" width="14" bestFit="1" customWidth="1"/>
    <col min="6707" max="6707" width="12.28515625" bestFit="1" customWidth="1"/>
    <col min="6708" max="6708" width="14.5703125" bestFit="1" customWidth="1"/>
    <col min="6945" max="6945" width="64.140625" customWidth="1"/>
    <col min="6946" max="6946" width="16.42578125" customWidth="1"/>
    <col min="6947" max="6947" width="14.28515625" bestFit="1" customWidth="1"/>
    <col min="6949" max="6949" width="14" bestFit="1" customWidth="1"/>
    <col min="6950" max="6950" width="15.5703125" bestFit="1" customWidth="1"/>
    <col min="6953" max="6953" width="73.140625" bestFit="1" customWidth="1"/>
    <col min="6955" max="6955" width="13.42578125" bestFit="1" customWidth="1"/>
    <col min="6957" max="6957" width="14" bestFit="1" customWidth="1"/>
    <col min="6958" max="6958" width="14.28515625" bestFit="1" customWidth="1"/>
    <col min="6960" max="6960" width="7.7109375" customWidth="1"/>
    <col min="6961" max="6961" width="13.42578125" customWidth="1"/>
    <col min="6962" max="6962" width="14" bestFit="1" customWidth="1"/>
    <col min="6963" max="6963" width="12.28515625" bestFit="1" customWidth="1"/>
    <col min="6964" max="6964" width="14.5703125" bestFit="1" customWidth="1"/>
    <col min="7201" max="7201" width="64.140625" customWidth="1"/>
    <col min="7202" max="7202" width="16.42578125" customWidth="1"/>
    <col min="7203" max="7203" width="14.28515625" bestFit="1" customWidth="1"/>
    <col min="7205" max="7205" width="14" bestFit="1" customWidth="1"/>
    <col min="7206" max="7206" width="15.5703125" bestFit="1" customWidth="1"/>
    <col min="7209" max="7209" width="73.140625" bestFit="1" customWidth="1"/>
    <col min="7211" max="7211" width="13.42578125" bestFit="1" customWidth="1"/>
    <col min="7213" max="7213" width="14" bestFit="1" customWidth="1"/>
    <col min="7214" max="7214" width="14.28515625" bestFit="1" customWidth="1"/>
    <col min="7216" max="7216" width="7.7109375" customWidth="1"/>
    <col min="7217" max="7217" width="13.42578125" customWidth="1"/>
    <col min="7218" max="7218" width="14" bestFit="1" customWidth="1"/>
    <col min="7219" max="7219" width="12.28515625" bestFit="1" customWidth="1"/>
    <col min="7220" max="7220" width="14.5703125" bestFit="1" customWidth="1"/>
    <col min="7457" max="7457" width="64.140625" customWidth="1"/>
    <col min="7458" max="7458" width="16.42578125" customWidth="1"/>
    <col min="7459" max="7459" width="14.28515625" bestFit="1" customWidth="1"/>
    <col min="7461" max="7461" width="14" bestFit="1" customWidth="1"/>
    <col min="7462" max="7462" width="15.5703125" bestFit="1" customWidth="1"/>
    <col min="7465" max="7465" width="73.140625" bestFit="1" customWidth="1"/>
    <col min="7467" max="7467" width="13.42578125" bestFit="1" customWidth="1"/>
    <col min="7469" max="7469" width="14" bestFit="1" customWidth="1"/>
    <col min="7470" max="7470" width="14.28515625" bestFit="1" customWidth="1"/>
    <col min="7472" max="7472" width="7.7109375" customWidth="1"/>
    <col min="7473" max="7473" width="13.42578125" customWidth="1"/>
    <col min="7474" max="7474" width="14" bestFit="1" customWidth="1"/>
    <col min="7475" max="7475" width="12.28515625" bestFit="1" customWidth="1"/>
    <col min="7476" max="7476" width="14.5703125" bestFit="1" customWidth="1"/>
    <col min="7713" max="7713" width="64.140625" customWidth="1"/>
    <col min="7714" max="7714" width="16.42578125" customWidth="1"/>
    <col min="7715" max="7715" width="14.28515625" bestFit="1" customWidth="1"/>
    <col min="7717" max="7717" width="14" bestFit="1" customWidth="1"/>
    <col min="7718" max="7718" width="15.5703125" bestFit="1" customWidth="1"/>
    <col min="7721" max="7721" width="73.140625" bestFit="1" customWidth="1"/>
    <col min="7723" max="7723" width="13.42578125" bestFit="1" customWidth="1"/>
    <col min="7725" max="7725" width="14" bestFit="1" customWidth="1"/>
    <col min="7726" max="7726" width="14.28515625" bestFit="1" customWidth="1"/>
    <col min="7728" max="7728" width="7.7109375" customWidth="1"/>
    <col min="7729" max="7729" width="13.42578125" customWidth="1"/>
    <col min="7730" max="7730" width="14" bestFit="1" customWidth="1"/>
    <col min="7731" max="7731" width="12.28515625" bestFit="1" customWidth="1"/>
    <col min="7732" max="7732" width="14.5703125" bestFit="1" customWidth="1"/>
    <col min="7969" max="7969" width="64.140625" customWidth="1"/>
    <col min="7970" max="7970" width="16.42578125" customWidth="1"/>
    <col min="7971" max="7971" width="14.28515625" bestFit="1" customWidth="1"/>
    <col min="7973" max="7973" width="14" bestFit="1" customWidth="1"/>
    <col min="7974" max="7974" width="15.5703125" bestFit="1" customWidth="1"/>
    <col min="7977" max="7977" width="73.140625" bestFit="1" customWidth="1"/>
    <col min="7979" max="7979" width="13.42578125" bestFit="1" customWidth="1"/>
    <col min="7981" max="7981" width="14" bestFit="1" customWidth="1"/>
    <col min="7982" max="7982" width="14.28515625" bestFit="1" customWidth="1"/>
    <col min="7984" max="7984" width="7.7109375" customWidth="1"/>
    <col min="7985" max="7985" width="13.42578125" customWidth="1"/>
    <col min="7986" max="7986" width="14" bestFit="1" customWidth="1"/>
    <col min="7987" max="7987" width="12.28515625" bestFit="1" customWidth="1"/>
    <col min="7988" max="7988" width="14.5703125" bestFit="1" customWidth="1"/>
    <col min="8225" max="8225" width="64.140625" customWidth="1"/>
    <col min="8226" max="8226" width="16.42578125" customWidth="1"/>
    <col min="8227" max="8227" width="14.28515625" bestFit="1" customWidth="1"/>
    <col min="8229" max="8229" width="14" bestFit="1" customWidth="1"/>
    <col min="8230" max="8230" width="15.5703125" bestFit="1" customWidth="1"/>
    <col min="8233" max="8233" width="73.140625" bestFit="1" customWidth="1"/>
    <col min="8235" max="8235" width="13.42578125" bestFit="1" customWidth="1"/>
    <col min="8237" max="8237" width="14" bestFit="1" customWidth="1"/>
    <col min="8238" max="8238" width="14.28515625" bestFit="1" customWidth="1"/>
    <col min="8240" max="8240" width="7.7109375" customWidth="1"/>
    <col min="8241" max="8241" width="13.42578125" customWidth="1"/>
    <col min="8242" max="8242" width="14" bestFit="1" customWidth="1"/>
    <col min="8243" max="8243" width="12.28515625" bestFit="1" customWidth="1"/>
    <col min="8244" max="8244" width="14.5703125" bestFit="1" customWidth="1"/>
    <col min="8481" max="8481" width="64.140625" customWidth="1"/>
    <col min="8482" max="8482" width="16.42578125" customWidth="1"/>
    <col min="8483" max="8483" width="14.28515625" bestFit="1" customWidth="1"/>
    <col min="8485" max="8485" width="14" bestFit="1" customWidth="1"/>
    <col min="8486" max="8486" width="15.5703125" bestFit="1" customWidth="1"/>
    <col min="8489" max="8489" width="73.140625" bestFit="1" customWidth="1"/>
    <col min="8491" max="8491" width="13.42578125" bestFit="1" customWidth="1"/>
    <col min="8493" max="8493" width="14" bestFit="1" customWidth="1"/>
    <col min="8494" max="8494" width="14.28515625" bestFit="1" customWidth="1"/>
    <col min="8496" max="8496" width="7.7109375" customWidth="1"/>
    <col min="8497" max="8497" width="13.42578125" customWidth="1"/>
    <col min="8498" max="8498" width="14" bestFit="1" customWidth="1"/>
    <col min="8499" max="8499" width="12.28515625" bestFit="1" customWidth="1"/>
    <col min="8500" max="8500" width="14.5703125" bestFit="1" customWidth="1"/>
    <col min="8737" max="8737" width="64.140625" customWidth="1"/>
    <col min="8738" max="8738" width="16.42578125" customWidth="1"/>
    <col min="8739" max="8739" width="14.28515625" bestFit="1" customWidth="1"/>
    <col min="8741" max="8741" width="14" bestFit="1" customWidth="1"/>
    <col min="8742" max="8742" width="15.5703125" bestFit="1" customWidth="1"/>
    <col min="8745" max="8745" width="73.140625" bestFit="1" customWidth="1"/>
    <col min="8747" max="8747" width="13.42578125" bestFit="1" customWidth="1"/>
    <col min="8749" max="8749" width="14" bestFit="1" customWidth="1"/>
    <col min="8750" max="8750" width="14.28515625" bestFit="1" customWidth="1"/>
    <col min="8752" max="8752" width="7.7109375" customWidth="1"/>
    <col min="8753" max="8753" width="13.42578125" customWidth="1"/>
    <col min="8754" max="8754" width="14" bestFit="1" customWidth="1"/>
    <col min="8755" max="8755" width="12.28515625" bestFit="1" customWidth="1"/>
    <col min="8756" max="8756" width="14.5703125" bestFit="1" customWidth="1"/>
    <col min="8993" max="8993" width="64.140625" customWidth="1"/>
    <col min="8994" max="8994" width="16.42578125" customWidth="1"/>
    <col min="8995" max="8995" width="14.28515625" bestFit="1" customWidth="1"/>
    <col min="8997" max="8997" width="14" bestFit="1" customWidth="1"/>
    <col min="8998" max="8998" width="15.5703125" bestFit="1" customWidth="1"/>
    <col min="9001" max="9001" width="73.140625" bestFit="1" customWidth="1"/>
    <col min="9003" max="9003" width="13.42578125" bestFit="1" customWidth="1"/>
    <col min="9005" max="9005" width="14" bestFit="1" customWidth="1"/>
    <col min="9006" max="9006" width="14.28515625" bestFit="1" customWidth="1"/>
    <col min="9008" max="9008" width="7.7109375" customWidth="1"/>
    <col min="9009" max="9009" width="13.42578125" customWidth="1"/>
    <col min="9010" max="9010" width="14" bestFit="1" customWidth="1"/>
    <col min="9011" max="9011" width="12.28515625" bestFit="1" customWidth="1"/>
    <col min="9012" max="9012" width="14.5703125" bestFit="1" customWidth="1"/>
    <col min="9249" max="9249" width="64.140625" customWidth="1"/>
    <col min="9250" max="9250" width="16.42578125" customWidth="1"/>
    <col min="9251" max="9251" width="14.28515625" bestFit="1" customWidth="1"/>
    <col min="9253" max="9253" width="14" bestFit="1" customWidth="1"/>
    <col min="9254" max="9254" width="15.5703125" bestFit="1" customWidth="1"/>
    <col min="9257" max="9257" width="73.140625" bestFit="1" customWidth="1"/>
    <col min="9259" max="9259" width="13.42578125" bestFit="1" customWidth="1"/>
    <col min="9261" max="9261" width="14" bestFit="1" customWidth="1"/>
    <col min="9262" max="9262" width="14.28515625" bestFit="1" customWidth="1"/>
    <col min="9264" max="9264" width="7.7109375" customWidth="1"/>
    <col min="9265" max="9265" width="13.42578125" customWidth="1"/>
    <col min="9266" max="9266" width="14" bestFit="1" customWidth="1"/>
    <col min="9267" max="9267" width="12.28515625" bestFit="1" customWidth="1"/>
    <col min="9268" max="9268" width="14.5703125" bestFit="1" customWidth="1"/>
    <col min="9505" max="9505" width="64.140625" customWidth="1"/>
    <col min="9506" max="9506" width="16.42578125" customWidth="1"/>
    <col min="9507" max="9507" width="14.28515625" bestFit="1" customWidth="1"/>
    <col min="9509" max="9509" width="14" bestFit="1" customWidth="1"/>
    <col min="9510" max="9510" width="15.5703125" bestFit="1" customWidth="1"/>
    <col min="9513" max="9513" width="73.140625" bestFit="1" customWidth="1"/>
    <col min="9515" max="9515" width="13.42578125" bestFit="1" customWidth="1"/>
    <col min="9517" max="9517" width="14" bestFit="1" customWidth="1"/>
    <col min="9518" max="9518" width="14.28515625" bestFit="1" customWidth="1"/>
    <col min="9520" max="9520" width="7.7109375" customWidth="1"/>
    <col min="9521" max="9521" width="13.42578125" customWidth="1"/>
    <col min="9522" max="9522" width="14" bestFit="1" customWidth="1"/>
    <col min="9523" max="9523" width="12.28515625" bestFit="1" customWidth="1"/>
    <col min="9524" max="9524" width="14.5703125" bestFit="1" customWidth="1"/>
    <col min="9761" max="9761" width="64.140625" customWidth="1"/>
    <col min="9762" max="9762" width="16.42578125" customWidth="1"/>
    <col min="9763" max="9763" width="14.28515625" bestFit="1" customWidth="1"/>
    <col min="9765" max="9765" width="14" bestFit="1" customWidth="1"/>
    <col min="9766" max="9766" width="15.5703125" bestFit="1" customWidth="1"/>
    <col min="9769" max="9769" width="73.140625" bestFit="1" customWidth="1"/>
    <col min="9771" max="9771" width="13.42578125" bestFit="1" customWidth="1"/>
    <col min="9773" max="9773" width="14" bestFit="1" customWidth="1"/>
    <col min="9774" max="9774" width="14.28515625" bestFit="1" customWidth="1"/>
    <col min="9776" max="9776" width="7.7109375" customWidth="1"/>
    <col min="9777" max="9777" width="13.42578125" customWidth="1"/>
    <col min="9778" max="9778" width="14" bestFit="1" customWidth="1"/>
    <col min="9779" max="9779" width="12.28515625" bestFit="1" customWidth="1"/>
    <col min="9780" max="9780" width="14.5703125" bestFit="1" customWidth="1"/>
    <col min="10017" max="10017" width="64.140625" customWidth="1"/>
    <col min="10018" max="10018" width="16.42578125" customWidth="1"/>
    <col min="10019" max="10019" width="14.28515625" bestFit="1" customWidth="1"/>
    <col min="10021" max="10021" width="14" bestFit="1" customWidth="1"/>
    <col min="10022" max="10022" width="15.5703125" bestFit="1" customWidth="1"/>
    <col min="10025" max="10025" width="73.140625" bestFit="1" customWidth="1"/>
    <col min="10027" max="10027" width="13.42578125" bestFit="1" customWidth="1"/>
    <col min="10029" max="10029" width="14" bestFit="1" customWidth="1"/>
    <col min="10030" max="10030" width="14.28515625" bestFit="1" customWidth="1"/>
    <col min="10032" max="10032" width="7.7109375" customWidth="1"/>
    <col min="10033" max="10033" width="13.42578125" customWidth="1"/>
    <col min="10034" max="10034" width="14" bestFit="1" customWidth="1"/>
    <col min="10035" max="10035" width="12.28515625" bestFit="1" customWidth="1"/>
    <col min="10036" max="10036" width="14.5703125" bestFit="1" customWidth="1"/>
    <col min="10273" max="10273" width="64.140625" customWidth="1"/>
    <col min="10274" max="10274" width="16.42578125" customWidth="1"/>
    <col min="10275" max="10275" width="14.28515625" bestFit="1" customWidth="1"/>
    <col min="10277" max="10277" width="14" bestFit="1" customWidth="1"/>
    <col min="10278" max="10278" width="15.5703125" bestFit="1" customWidth="1"/>
    <col min="10281" max="10281" width="73.140625" bestFit="1" customWidth="1"/>
    <col min="10283" max="10283" width="13.42578125" bestFit="1" customWidth="1"/>
    <col min="10285" max="10285" width="14" bestFit="1" customWidth="1"/>
    <col min="10286" max="10286" width="14.28515625" bestFit="1" customWidth="1"/>
    <col min="10288" max="10288" width="7.7109375" customWidth="1"/>
    <col min="10289" max="10289" width="13.42578125" customWidth="1"/>
    <col min="10290" max="10290" width="14" bestFit="1" customWidth="1"/>
    <col min="10291" max="10291" width="12.28515625" bestFit="1" customWidth="1"/>
    <col min="10292" max="10292" width="14.5703125" bestFit="1" customWidth="1"/>
    <col min="10529" max="10529" width="64.140625" customWidth="1"/>
    <col min="10530" max="10530" width="16.42578125" customWidth="1"/>
    <col min="10531" max="10531" width="14.28515625" bestFit="1" customWidth="1"/>
    <col min="10533" max="10533" width="14" bestFit="1" customWidth="1"/>
    <col min="10534" max="10534" width="15.5703125" bestFit="1" customWidth="1"/>
    <col min="10537" max="10537" width="73.140625" bestFit="1" customWidth="1"/>
    <col min="10539" max="10539" width="13.42578125" bestFit="1" customWidth="1"/>
    <col min="10541" max="10541" width="14" bestFit="1" customWidth="1"/>
    <col min="10542" max="10542" width="14.28515625" bestFit="1" customWidth="1"/>
    <col min="10544" max="10544" width="7.7109375" customWidth="1"/>
    <col min="10545" max="10545" width="13.42578125" customWidth="1"/>
    <col min="10546" max="10546" width="14" bestFit="1" customWidth="1"/>
    <col min="10547" max="10547" width="12.28515625" bestFit="1" customWidth="1"/>
    <col min="10548" max="10548" width="14.5703125" bestFit="1" customWidth="1"/>
    <col min="10785" max="10785" width="64.140625" customWidth="1"/>
    <col min="10786" max="10786" width="16.42578125" customWidth="1"/>
    <col min="10787" max="10787" width="14.28515625" bestFit="1" customWidth="1"/>
    <col min="10789" max="10789" width="14" bestFit="1" customWidth="1"/>
    <col min="10790" max="10790" width="15.5703125" bestFit="1" customWidth="1"/>
    <col min="10793" max="10793" width="73.140625" bestFit="1" customWidth="1"/>
    <col min="10795" max="10795" width="13.42578125" bestFit="1" customWidth="1"/>
    <col min="10797" max="10797" width="14" bestFit="1" customWidth="1"/>
    <col min="10798" max="10798" width="14.28515625" bestFit="1" customWidth="1"/>
    <col min="10800" max="10800" width="7.7109375" customWidth="1"/>
    <col min="10801" max="10801" width="13.42578125" customWidth="1"/>
    <col min="10802" max="10802" width="14" bestFit="1" customWidth="1"/>
    <col min="10803" max="10803" width="12.28515625" bestFit="1" customWidth="1"/>
    <col min="10804" max="10804" width="14.5703125" bestFit="1" customWidth="1"/>
    <col min="11041" max="11041" width="64.140625" customWidth="1"/>
    <col min="11042" max="11042" width="16.42578125" customWidth="1"/>
    <col min="11043" max="11043" width="14.28515625" bestFit="1" customWidth="1"/>
    <col min="11045" max="11045" width="14" bestFit="1" customWidth="1"/>
    <col min="11046" max="11046" width="15.5703125" bestFit="1" customWidth="1"/>
    <col min="11049" max="11049" width="73.140625" bestFit="1" customWidth="1"/>
    <col min="11051" max="11051" width="13.42578125" bestFit="1" customWidth="1"/>
    <col min="11053" max="11053" width="14" bestFit="1" customWidth="1"/>
    <col min="11054" max="11054" width="14.28515625" bestFit="1" customWidth="1"/>
    <col min="11056" max="11056" width="7.7109375" customWidth="1"/>
    <col min="11057" max="11057" width="13.42578125" customWidth="1"/>
    <col min="11058" max="11058" width="14" bestFit="1" customWidth="1"/>
    <col min="11059" max="11059" width="12.28515625" bestFit="1" customWidth="1"/>
    <col min="11060" max="11060" width="14.5703125" bestFit="1" customWidth="1"/>
    <col min="11297" max="11297" width="64.140625" customWidth="1"/>
    <col min="11298" max="11298" width="16.42578125" customWidth="1"/>
    <col min="11299" max="11299" width="14.28515625" bestFit="1" customWidth="1"/>
    <col min="11301" max="11301" width="14" bestFit="1" customWidth="1"/>
    <col min="11302" max="11302" width="15.5703125" bestFit="1" customWidth="1"/>
    <col min="11305" max="11305" width="73.140625" bestFit="1" customWidth="1"/>
    <col min="11307" max="11307" width="13.42578125" bestFit="1" customWidth="1"/>
    <col min="11309" max="11309" width="14" bestFit="1" customWidth="1"/>
    <col min="11310" max="11310" width="14.28515625" bestFit="1" customWidth="1"/>
    <col min="11312" max="11312" width="7.7109375" customWidth="1"/>
    <col min="11313" max="11313" width="13.42578125" customWidth="1"/>
    <col min="11314" max="11314" width="14" bestFit="1" customWidth="1"/>
    <col min="11315" max="11315" width="12.28515625" bestFit="1" customWidth="1"/>
    <col min="11316" max="11316" width="14.5703125" bestFit="1" customWidth="1"/>
    <col min="11553" max="11553" width="64.140625" customWidth="1"/>
    <col min="11554" max="11554" width="16.42578125" customWidth="1"/>
    <col min="11555" max="11555" width="14.28515625" bestFit="1" customWidth="1"/>
    <col min="11557" max="11557" width="14" bestFit="1" customWidth="1"/>
    <col min="11558" max="11558" width="15.5703125" bestFit="1" customWidth="1"/>
    <col min="11561" max="11561" width="73.140625" bestFit="1" customWidth="1"/>
    <col min="11563" max="11563" width="13.42578125" bestFit="1" customWidth="1"/>
    <col min="11565" max="11565" width="14" bestFit="1" customWidth="1"/>
    <col min="11566" max="11566" width="14.28515625" bestFit="1" customWidth="1"/>
    <col min="11568" max="11568" width="7.7109375" customWidth="1"/>
    <col min="11569" max="11569" width="13.42578125" customWidth="1"/>
    <col min="11570" max="11570" width="14" bestFit="1" customWidth="1"/>
    <col min="11571" max="11571" width="12.28515625" bestFit="1" customWidth="1"/>
    <col min="11572" max="11572" width="14.5703125" bestFit="1" customWidth="1"/>
    <col min="11809" max="11809" width="64.140625" customWidth="1"/>
    <col min="11810" max="11810" width="16.42578125" customWidth="1"/>
    <col min="11811" max="11811" width="14.28515625" bestFit="1" customWidth="1"/>
    <col min="11813" max="11813" width="14" bestFit="1" customWidth="1"/>
    <col min="11814" max="11814" width="15.5703125" bestFit="1" customWidth="1"/>
    <col min="11817" max="11817" width="73.140625" bestFit="1" customWidth="1"/>
    <col min="11819" max="11819" width="13.42578125" bestFit="1" customWidth="1"/>
    <col min="11821" max="11821" width="14" bestFit="1" customWidth="1"/>
    <col min="11822" max="11822" width="14.28515625" bestFit="1" customWidth="1"/>
    <col min="11824" max="11824" width="7.7109375" customWidth="1"/>
    <col min="11825" max="11825" width="13.42578125" customWidth="1"/>
    <col min="11826" max="11826" width="14" bestFit="1" customWidth="1"/>
    <col min="11827" max="11827" width="12.28515625" bestFit="1" customWidth="1"/>
    <col min="11828" max="11828" width="14.5703125" bestFit="1" customWidth="1"/>
    <col min="12065" max="12065" width="64.140625" customWidth="1"/>
    <col min="12066" max="12066" width="16.42578125" customWidth="1"/>
    <col min="12067" max="12067" width="14.28515625" bestFit="1" customWidth="1"/>
    <col min="12069" max="12069" width="14" bestFit="1" customWidth="1"/>
    <col min="12070" max="12070" width="15.5703125" bestFit="1" customWidth="1"/>
    <col min="12073" max="12073" width="73.140625" bestFit="1" customWidth="1"/>
    <col min="12075" max="12075" width="13.42578125" bestFit="1" customWidth="1"/>
    <col min="12077" max="12077" width="14" bestFit="1" customWidth="1"/>
    <col min="12078" max="12078" width="14.28515625" bestFit="1" customWidth="1"/>
    <col min="12080" max="12080" width="7.7109375" customWidth="1"/>
    <col min="12081" max="12081" width="13.42578125" customWidth="1"/>
    <col min="12082" max="12082" width="14" bestFit="1" customWidth="1"/>
    <col min="12083" max="12083" width="12.28515625" bestFit="1" customWidth="1"/>
    <col min="12084" max="12084" width="14.5703125" bestFit="1" customWidth="1"/>
    <col min="12321" max="12321" width="64.140625" customWidth="1"/>
    <col min="12322" max="12322" width="16.42578125" customWidth="1"/>
    <col min="12323" max="12323" width="14.28515625" bestFit="1" customWidth="1"/>
    <col min="12325" max="12325" width="14" bestFit="1" customWidth="1"/>
    <col min="12326" max="12326" width="15.5703125" bestFit="1" customWidth="1"/>
    <col min="12329" max="12329" width="73.140625" bestFit="1" customWidth="1"/>
    <col min="12331" max="12331" width="13.42578125" bestFit="1" customWidth="1"/>
    <col min="12333" max="12333" width="14" bestFit="1" customWidth="1"/>
    <col min="12334" max="12334" width="14.28515625" bestFit="1" customWidth="1"/>
    <col min="12336" max="12336" width="7.7109375" customWidth="1"/>
    <col min="12337" max="12337" width="13.42578125" customWidth="1"/>
    <col min="12338" max="12338" width="14" bestFit="1" customWidth="1"/>
    <col min="12339" max="12339" width="12.28515625" bestFit="1" customWidth="1"/>
    <col min="12340" max="12340" width="14.5703125" bestFit="1" customWidth="1"/>
    <col min="12577" max="12577" width="64.140625" customWidth="1"/>
    <col min="12578" max="12578" width="16.42578125" customWidth="1"/>
    <col min="12579" max="12579" width="14.28515625" bestFit="1" customWidth="1"/>
    <col min="12581" max="12581" width="14" bestFit="1" customWidth="1"/>
    <col min="12582" max="12582" width="15.5703125" bestFit="1" customWidth="1"/>
    <col min="12585" max="12585" width="73.140625" bestFit="1" customWidth="1"/>
    <col min="12587" max="12587" width="13.42578125" bestFit="1" customWidth="1"/>
    <col min="12589" max="12589" width="14" bestFit="1" customWidth="1"/>
    <col min="12590" max="12590" width="14.28515625" bestFit="1" customWidth="1"/>
    <col min="12592" max="12592" width="7.7109375" customWidth="1"/>
    <col min="12593" max="12593" width="13.42578125" customWidth="1"/>
    <col min="12594" max="12594" width="14" bestFit="1" customWidth="1"/>
    <col min="12595" max="12595" width="12.28515625" bestFit="1" customWidth="1"/>
    <col min="12596" max="12596" width="14.5703125" bestFit="1" customWidth="1"/>
    <col min="12833" max="12833" width="64.140625" customWidth="1"/>
    <col min="12834" max="12834" width="16.42578125" customWidth="1"/>
    <col min="12835" max="12835" width="14.28515625" bestFit="1" customWidth="1"/>
    <col min="12837" max="12837" width="14" bestFit="1" customWidth="1"/>
    <col min="12838" max="12838" width="15.5703125" bestFit="1" customWidth="1"/>
    <col min="12841" max="12841" width="73.140625" bestFit="1" customWidth="1"/>
    <col min="12843" max="12843" width="13.42578125" bestFit="1" customWidth="1"/>
    <col min="12845" max="12845" width="14" bestFit="1" customWidth="1"/>
    <col min="12846" max="12846" width="14.28515625" bestFit="1" customWidth="1"/>
    <col min="12848" max="12848" width="7.7109375" customWidth="1"/>
    <col min="12849" max="12849" width="13.42578125" customWidth="1"/>
    <col min="12850" max="12850" width="14" bestFit="1" customWidth="1"/>
    <col min="12851" max="12851" width="12.28515625" bestFit="1" customWidth="1"/>
    <col min="12852" max="12852" width="14.5703125" bestFit="1" customWidth="1"/>
    <col min="13089" max="13089" width="64.140625" customWidth="1"/>
    <col min="13090" max="13090" width="16.42578125" customWidth="1"/>
    <col min="13091" max="13091" width="14.28515625" bestFit="1" customWidth="1"/>
    <col min="13093" max="13093" width="14" bestFit="1" customWidth="1"/>
    <col min="13094" max="13094" width="15.5703125" bestFit="1" customWidth="1"/>
    <col min="13097" max="13097" width="73.140625" bestFit="1" customWidth="1"/>
    <col min="13099" max="13099" width="13.42578125" bestFit="1" customWidth="1"/>
    <col min="13101" max="13101" width="14" bestFit="1" customWidth="1"/>
    <col min="13102" max="13102" width="14.28515625" bestFit="1" customWidth="1"/>
    <col min="13104" max="13104" width="7.7109375" customWidth="1"/>
    <col min="13105" max="13105" width="13.42578125" customWidth="1"/>
    <col min="13106" max="13106" width="14" bestFit="1" customWidth="1"/>
    <col min="13107" max="13107" width="12.28515625" bestFit="1" customWidth="1"/>
    <col min="13108" max="13108" width="14.5703125" bestFit="1" customWidth="1"/>
    <col min="13345" max="13345" width="64.140625" customWidth="1"/>
    <col min="13346" max="13346" width="16.42578125" customWidth="1"/>
    <col min="13347" max="13347" width="14.28515625" bestFit="1" customWidth="1"/>
    <col min="13349" max="13349" width="14" bestFit="1" customWidth="1"/>
    <col min="13350" max="13350" width="15.5703125" bestFit="1" customWidth="1"/>
    <col min="13353" max="13353" width="73.140625" bestFit="1" customWidth="1"/>
    <col min="13355" max="13355" width="13.42578125" bestFit="1" customWidth="1"/>
    <col min="13357" max="13357" width="14" bestFit="1" customWidth="1"/>
    <col min="13358" max="13358" width="14.28515625" bestFit="1" customWidth="1"/>
    <col min="13360" max="13360" width="7.7109375" customWidth="1"/>
    <col min="13361" max="13361" width="13.42578125" customWidth="1"/>
    <col min="13362" max="13362" width="14" bestFit="1" customWidth="1"/>
    <col min="13363" max="13363" width="12.28515625" bestFit="1" customWidth="1"/>
    <col min="13364" max="13364" width="14.5703125" bestFit="1" customWidth="1"/>
    <col min="13601" max="13601" width="64.140625" customWidth="1"/>
    <col min="13602" max="13602" width="16.42578125" customWidth="1"/>
    <col min="13603" max="13603" width="14.28515625" bestFit="1" customWidth="1"/>
    <col min="13605" max="13605" width="14" bestFit="1" customWidth="1"/>
    <col min="13606" max="13606" width="15.5703125" bestFit="1" customWidth="1"/>
    <col min="13609" max="13609" width="73.140625" bestFit="1" customWidth="1"/>
    <col min="13611" max="13611" width="13.42578125" bestFit="1" customWidth="1"/>
    <col min="13613" max="13613" width="14" bestFit="1" customWidth="1"/>
    <col min="13614" max="13614" width="14.28515625" bestFit="1" customWidth="1"/>
    <col min="13616" max="13616" width="7.7109375" customWidth="1"/>
    <col min="13617" max="13617" width="13.42578125" customWidth="1"/>
    <col min="13618" max="13618" width="14" bestFit="1" customWidth="1"/>
    <col min="13619" max="13619" width="12.28515625" bestFit="1" customWidth="1"/>
    <col min="13620" max="13620" width="14.5703125" bestFit="1" customWidth="1"/>
    <col min="13857" max="13857" width="64.140625" customWidth="1"/>
    <col min="13858" max="13858" width="16.42578125" customWidth="1"/>
    <col min="13859" max="13859" width="14.28515625" bestFit="1" customWidth="1"/>
    <col min="13861" max="13861" width="14" bestFit="1" customWidth="1"/>
    <col min="13862" max="13862" width="15.5703125" bestFit="1" customWidth="1"/>
    <col min="13865" max="13865" width="73.140625" bestFit="1" customWidth="1"/>
    <col min="13867" max="13867" width="13.42578125" bestFit="1" customWidth="1"/>
    <col min="13869" max="13869" width="14" bestFit="1" customWidth="1"/>
    <col min="13870" max="13870" width="14.28515625" bestFit="1" customWidth="1"/>
    <col min="13872" max="13872" width="7.7109375" customWidth="1"/>
    <col min="13873" max="13873" width="13.42578125" customWidth="1"/>
    <col min="13874" max="13874" width="14" bestFit="1" customWidth="1"/>
    <col min="13875" max="13875" width="12.28515625" bestFit="1" customWidth="1"/>
    <col min="13876" max="13876" width="14.5703125" bestFit="1" customWidth="1"/>
    <col min="14113" max="14113" width="64.140625" customWidth="1"/>
    <col min="14114" max="14114" width="16.42578125" customWidth="1"/>
    <col min="14115" max="14115" width="14.28515625" bestFit="1" customWidth="1"/>
    <col min="14117" max="14117" width="14" bestFit="1" customWidth="1"/>
    <col min="14118" max="14118" width="15.5703125" bestFit="1" customWidth="1"/>
    <col min="14121" max="14121" width="73.140625" bestFit="1" customWidth="1"/>
    <col min="14123" max="14123" width="13.42578125" bestFit="1" customWidth="1"/>
    <col min="14125" max="14125" width="14" bestFit="1" customWidth="1"/>
    <col min="14126" max="14126" width="14.28515625" bestFit="1" customWidth="1"/>
    <col min="14128" max="14128" width="7.7109375" customWidth="1"/>
    <col min="14129" max="14129" width="13.42578125" customWidth="1"/>
    <col min="14130" max="14130" width="14" bestFit="1" customWidth="1"/>
    <col min="14131" max="14131" width="12.28515625" bestFit="1" customWidth="1"/>
    <col min="14132" max="14132" width="14.5703125" bestFit="1" customWidth="1"/>
    <col min="14369" max="14369" width="64.140625" customWidth="1"/>
    <col min="14370" max="14370" width="16.42578125" customWidth="1"/>
    <col min="14371" max="14371" width="14.28515625" bestFit="1" customWidth="1"/>
    <col min="14373" max="14373" width="14" bestFit="1" customWidth="1"/>
    <col min="14374" max="14374" width="15.5703125" bestFit="1" customWidth="1"/>
    <col min="14377" max="14377" width="73.140625" bestFit="1" customWidth="1"/>
    <col min="14379" max="14379" width="13.42578125" bestFit="1" customWidth="1"/>
    <col min="14381" max="14381" width="14" bestFit="1" customWidth="1"/>
    <col min="14382" max="14382" width="14.28515625" bestFit="1" customWidth="1"/>
    <col min="14384" max="14384" width="7.7109375" customWidth="1"/>
    <col min="14385" max="14385" width="13.42578125" customWidth="1"/>
    <col min="14386" max="14386" width="14" bestFit="1" customWidth="1"/>
    <col min="14387" max="14387" width="12.28515625" bestFit="1" customWidth="1"/>
    <col min="14388" max="14388" width="14.5703125" bestFit="1" customWidth="1"/>
    <col min="14625" max="14625" width="64.140625" customWidth="1"/>
    <col min="14626" max="14626" width="16.42578125" customWidth="1"/>
    <col min="14627" max="14627" width="14.28515625" bestFit="1" customWidth="1"/>
    <col min="14629" max="14629" width="14" bestFit="1" customWidth="1"/>
    <col min="14630" max="14630" width="15.5703125" bestFit="1" customWidth="1"/>
    <col min="14633" max="14633" width="73.140625" bestFit="1" customWidth="1"/>
    <col min="14635" max="14635" width="13.42578125" bestFit="1" customWidth="1"/>
    <col min="14637" max="14637" width="14" bestFit="1" customWidth="1"/>
    <col min="14638" max="14638" width="14.28515625" bestFit="1" customWidth="1"/>
    <col min="14640" max="14640" width="7.7109375" customWidth="1"/>
    <col min="14641" max="14641" width="13.42578125" customWidth="1"/>
    <col min="14642" max="14642" width="14" bestFit="1" customWidth="1"/>
    <col min="14643" max="14643" width="12.28515625" bestFit="1" customWidth="1"/>
    <col min="14644" max="14644" width="14.5703125" bestFit="1" customWidth="1"/>
    <col min="14881" max="14881" width="64.140625" customWidth="1"/>
    <col min="14882" max="14882" width="16.42578125" customWidth="1"/>
    <col min="14883" max="14883" width="14.28515625" bestFit="1" customWidth="1"/>
    <col min="14885" max="14885" width="14" bestFit="1" customWidth="1"/>
    <col min="14886" max="14886" width="15.5703125" bestFit="1" customWidth="1"/>
    <col min="14889" max="14889" width="73.140625" bestFit="1" customWidth="1"/>
    <col min="14891" max="14891" width="13.42578125" bestFit="1" customWidth="1"/>
    <col min="14893" max="14893" width="14" bestFit="1" customWidth="1"/>
    <col min="14894" max="14894" width="14.28515625" bestFit="1" customWidth="1"/>
    <col min="14896" max="14896" width="7.7109375" customWidth="1"/>
    <col min="14897" max="14897" width="13.42578125" customWidth="1"/>
    <col min="14898" max="14898" width="14" bestFit="1" customWidth="1"/>
    <col min="14899" max="14899" width="12.28515625" bestFit="1" customWidth="1"/>
    <col min="14900" max="14900" width="14.5703125" bestFit="1" customWidth="1"/>
    <col min="15137" max="15137" width="64.140625" customWidth="1"/>
    <col min="15138" max="15138" width="16.42578125" customWidth="1"/>
    <col min="15139" max="15139" width="14.28515625" bestFit="1" customWidth="1"/>
    <col min="15141" max="15141" width="14" bestFit="1" customWidth="1"/>
    <col min="15142" max="15142" width="15.5703125" bestFit="1" customWidth="1"/>
    <col min="15145" max="15145" width="73.140625" bestFit="1" customWidth="1"/>
    <col min="15147" max="15147" width="13.42578125" bestFit="1" customWidth="1"/>
    <col min="15149" max="15149" width="14" bestFit="1" customWidth="1"/>
    <col min="15150" max="15150" width="14.28515625" bestFit="1" customWidth="1"/>
    <col min="15152" max="15152" width="7.7109375" customWidth="1"/>
    <col min="15153" max="15153" width="13.42578125" customWidth="1"/>
    <col min="15154" max="15154" width="14" bestFit="1" customWidth="1"/>
    <col min="15155" max="15155" width="12.28515625" bestFit="1" customWidth="1"/>
    <col min="15156" max="15156" width="14.5703125" bestFit="1" customWidth="1"/>
    <col min="15393" max="15393" width="64.140625" customWidth="1"/>
    <col min="15394" max="15394" width="16.42578125" customWidth="1"/>
    <col min="15395" max="15395" width="14.28515625" bestFit="1" customWidth="1"/>
    <col min="15397" max="15397" width="14" bestFit="1" customWidth="1"/>
    <col min="15398" max="15398" width="15.5703125" bestFit="1" customWidth="1"/>
    <col min="15401" max="15401" width="73.140625" bestFit="1" customWidth="1"/>
    <col min="15403" max="15403" width="13.42578125" bestFit="1" customWidth="1"/>
    <col min="15405" max="15405" width="14" bestFit="1" customWidth="1"/>
    <col min="15406" max="15406" width="14.28515625" bestFit="1" customWidth="1"/>
    <col min="15408" max="15408" width="7.7109375" customWidth="1"/>
    <col min="15409" max="15409" width="13.42578125" customWidth="1"/>
    <col min="15410" max="15410" width="14" bestFit="1" customWidth="1"/>
    <col min="15411" max="15411" width="12.28515625" bestFit="1" customWidth="1"/>
    <col min="15412" max="15412" width="14.5703125" bestFit="1" customWidth="1"/>
    <col min="15649" max="15649" width="64.140625" customWidth="1"/>
    <col min="15650" max="15650" width="16.42578125" customWidth="1"/>
    <col min="15651" max="15651" width="14.28515625" bestFit="1" customWidth="1"/>
    <col min="15653" max="15653" width="14" bestFit="1" customWidth="1"/>
    <col min="15654" max="15654" width="15.5703125" bestFit="1" customWidth="1"/>
    <col min="15657" max="15657" width="73.140625" bestFit="1" customWidth="1"/>
    <col min="15659" max="15659" width="13.42578125" bestFit="1" customWidth="1"/>
    <col min="15661" max="15661" width="14" bestFit="1" customWidth="1"/>
    <col min="15662" max="15662" width="14.28515625" bestFit="1" customWidth="1"/>
    <col min="15664" max="15664" width="7.7109375" customWidth="1"/>
    <col min="15665" max="15665" width="13.42578125" customWidth="1"/>
    <col min="15666" max="15666" width="14" bestFit="1" customWidth="1"/>
    <col min="15667" max="15667" width="12.28515625" bestFit="1" customWidth="1"/>
    <col min="15668" max="15668" width="14.5703125" bestFit="1" customWidth="1"/>
    <col min="15905" max="15905" width="64.140625" customWidth="1"/>
    <col min="15906" max="15906" width="16.42578125" customWidth="1"/>
    <col min="15907" max="15907" width="14.28515625" bestFit="1" customWidth="1"/>
    <col min="15909" max="15909" width="14" bestFit="1" customWidth="1"/>
    <col min="15910" max="15910" width="15.5703125" bestFit="1" customWidth="1"/>
    <col min="15913" max="15913" width="73.140625" bestFit="1" customWidth="1"/>
    <col min="15915" max="15915" width="13.42578125" bestFit="1" customWidth="1"/>
    <col min="15917" max="15917" width="14" bestFit="1" customWidth="1"/>
    <col min="15918" max="15918" width="14.28515625" bestFit="1" customWidth="1"/>
    <col min="15920" max="15920" width="7.7109375" customWidth="1"/>
    <col min="15921" max="15921" width="13.42578125" customWidth="1"/>
    <col min="15922" max="15922" width="14" bestFit="1" customWidth="1"/>
    <col min="15923" max="15923" width="12.28515625" bestFit="1" customWidth="1"/>
    <col min="15924" max="15924" width="14.5703125" bestFit="1" customWidth="1"/>
    <col min="16161" max="16161" width="64.140625" customWidth="1"/>
    <col min="16162" max="16162" width="16.42578125" customWidth="1"/>
    <col min="16163" max="16163" width="14.28515625" bestFit="1" customWidth="1"/>
    <col min="16165" max="16165" width="14" bestFit="1" customWidth="1"/>
    <col min="16166" max="16166" width="15.5703125" bestFit="1" customWidth="1"/>
    <col min="16169" max="16169" width="73.140625" bestFit="1" customWidth="1"/>
    <col min="16171" max="16171" width="13.42578125" bestFit="1" customWidth="1"/>
    <col min="16173" max="16173" width="14" bestFit="1" customWidth="1"/>
    <col min="16174" max="16174" width="14.28515625" bestFit="1" customWidth="1"/>
    <col min="16176" max="16176" width="7.7109375" customWidth="1"/>
    <col min="16177" max="16177" width="13.42578125" customWidth="1"/>
    <col min="16178" max="16178" width="14" bestFit="1" customWidth="1"/>
    <col min="16179" max="16179" width="12.28515625" bestFit="1" customWidth="1"/>
    <col min="16180" max="16180" width="14.5703125" bestFit="1" customWidth="1"/>
  </cols>
  <sheetData>
    <row r="1" spans="1:53" ht="23.25">
      <c r="A1" s="210" t="s">
        <v>108</v>
      </c>
      <c r="B1" s="211"/>
      <c r="C1" s="212"/>
      <c r="D1" s="212"/>
      <c r="E1" s="212"/>
      <c r="F1" s="212"/>
      <c r="G1" s="213"/>
      <c r="I1" s="210" t="s">
        <v>108</v>
      </c>
      <c r="J1" s="211"/>
      <c r="K1" s="212"/>
      <c r="L1" s="212"/>
      <c r="M1" s="212"/>
      <c r="N1" s="212"/>
      <c r="O1" s="213"/>
      <c r="Q1" s="210" t="s">
        <v>108</v>
      </c>
      <c r="R1" s="211"/>
      <c r="S1" s="212"/>
      <c r="T1" s="212"/>
      <c r="U1" s="212"/>
      <c r="V1" s="212"/>
      <c r="W1" s="213"/>
      <c r="Y1" s="210" t="s">
        <v>108</v>
      </c>
      <c r="Z1" s="211"/>
      <c r="AA1" s="212"/>
      <c r="AB1" s="212"/>
      <c r="AC1" s="212"/>
      <c r="AD1" s="212"/>
      <c r="AE1" s="213"/>
      <c r="AG1" s="210" t="s">
        <v>108</v>
      </c>
      <c r="AH1" s="211"/>
      <c r="AI1" s="212"/>
      <c r="AJ1" s="212"/>
      <c r="AK1" s="212"/>
      <c r="AL1" s="212"/>
      <c r="AM1" s="213"/>
      <c r="AO1" s="210" t="s">
        <v>108</v>
      </c>
      <c r="AP1" s="211"/>
      <c r="AQ1" s="212"/>
      <c r="AR1" s="212"/>
      <c r="AS1" s="212"/>
      <c r="AT1" s="212"/>
      <c r="AU1" s="213"/>
    </row>
    <row r="2" spans="1:53" ht="15.75">
      <c r="A2" s="214" t="s">
        <v>285</v>
      </c>
      <c r="B2" s="215"/>
      <c r="C2" s="216"/>
      <c r="D2" s="216"/>
      <c r="E2" s="217"/>
      <c r="F2" s="217"/>
      <c r="G2" s="218"/>
      <c r="I2" s="214" t="s">
        <v>274</v>
      </c>
      <c r="J2" s="215"/>
      <c r="K2" s="216"/>
      <c r="L2" s="216"/>
      <c r="M2" s="217"/>
      <c r="N2" s="217"/>
      <c r="O2" s="218"/>
      <c r="Q2" s="214" t="s">
        <v>250</v>
      </c>
      <c r="R2" s="215"/>
      <c r="S2" s="216"/>
      <c r="T2" s="216"/>
      <c r="U2" s="217"/>
      <c r="V2" s="217"/>
      <c r="W2" s="218"/>
      <c r="Y2" s="214" t="s">
        <v>128</v>
      </c>
      <c r="Z2" s="215"/>
      <c r="AA2" s="216"/>
      <c r="AB2" s="216"/>
      <c r="AC2" s="217"/>
      <c r="AD2" s="217"/>
      <c r="AE2" s="218"/>
      <c r="AG2" s="214" t="s">
        <v>128</v>
      </c>
      <c r="AH2" s="339"/>
      <c r="AI2" s="340"/>
      <c r="AJ2" s="340"/>
      <c r="AK2" s="341"/>
      <c r="AL2" s="341"/>
      <c r="AM2" s="218"/>
      <c r="AO2" s="214" t="s">
        <v>109</v>
      </c>
      <c r="AP2" s="339"/>
      <c r="AQ2" s="340"/>
      <c r="AR2" s="340"/>
      <c r="AS2" s="341"/>
      <c r="AT2" s="341"/>
      <c r="AU2" s="218"/>
    </row>
    <row r="3" spans="1:53" ht="15.75">
      <c r="A3" s="214"/>
      <c r="B3" s="215"/>
      <c r="C3" s="216"/>
      <c r="D3" s="216"/>
      <c r="E3" s="217"/>
      <c r="F3" s="217"/>
      <c r="G3" s="218"/>
      <c r="I3" s="214"/>
      <c r="J3" s="215"/>
      <c r="K3" s="216"/>
      <c r="L3" s="216"/>
      <c r="M3" s="217"/>
      <c r="N3" s="217"/>
      <c r="O3" s="218"/>
      <c r="Q3" s="214"/>
      <c r="R3" s="215"/>
      <c r="S3" s="216"/>
      <c r="T3" s="216"/>
      <c r="U3" s="217"/>
      <c r="V3" s="217"/>
      <c r="W3" s="218"/>
      <c r="Y3" s="214"/>
      <c r="Z3" s="215"/>
      <c r="AA3" s="216"/>
      <c r="AB3" s="216"/>
      <c r="AC3" s="217"/>
      <c r="AD3" s="217"/>
      <c r="AE3" s="218"/>
      <c r="AG3" s="214"/>
      <c r="AH3" s="339"/>
      <c r="AI3" s="340"/>
      <c r="AJ3" s="340"/>
      <c r="AK3" s="341"/>
      <c r="AL3" s="341"/>
      <c r="AM3" s="218"/>
      <c r="AO3" s="214" t="s">
        <v>149</v>
      </c>
      <c r="AP3" s="339"/>
      <c r="AQ3" s="340"/>
      <c r="AR3" s="340"/>
      <c r="AS3" s="341"/>
      <c r="AT3" s="341"/>
      <c r="AU3" s="218"/>
    </row>
    <row r="4" spans="1:53" ht="42.75" customHeight="1">
      <c r="A4" s="519"/>
      <c r="B4" s="520"/>
      <c r="C4" s="520"/>
      <c r="D4" s="216"/>
      <c r="E4" s="217"/>
      <c r="F4" s="217"/>
      <c r="G4" s="218"/>
      <c r="I4" s="519"/>
      <c r="J4" s="520"/>
      <c r="K4" s="520"/>
      <c r="L4" s="216"/>
      <c r="M4" s="217"/>
      <c r="N4" s="217"/>
      <c r="O4" s="218"/>
      <c r="Q4" s="519"/>
      <c r="R4" s="520"/>
      <c r="S4" s="520"/>
      <c r="T4" s="216"/>
      <c r="U4" s="217"/>
      <c r="V4" s="217"/>
      <c r="W4" s="218"/>
      <c r="Y4" s="519"/>
      <c r="Z4" s="520"/>
      <c r="AA4" s="520"/>
      <c r="AB4" s="216"/>
      <c r="AC4" s="217"/>
      <c r="AD4" s="217"/>
      <c r="AE4" s="218"/>
      <c r="AG4" s="524" t="s">
        <v>147</v>
      </c>
      <c r="AH4" s="525"/>
      <c r="AI4" s="526"/>
      <c r="AJ4" s="340"/>
      <c r="AK4" s="341"/>
      <c r="AL4" s="341"/>
      <c r="AM4" s="218"/>
      <c r="AO4" s="214"/>
      <c r="AP4" s="339"/>
      <c r="AQ4" s="340"/>
      <c r="AR4" s="340"/>
      <c r="AS4" s="341"/>
      <c r="AT4" s="341"/>
      <c r="AU4" s="218"/>
    </row>
    <row r="5" spans="1:53" ht="15.75">
      <c r="A5" s="436"/>
      <c r="B5" s="216"/>
      <c r="C5" s="216"/>
      <c r="D5" s="216"/>
      <c r="E5" s="217"/>
      <c r="F5" s="217"/>
      <c r="G5" s="218"/>
      <c r="I5" s="436"/>
      <c r="J5" s="216"/>
      <c r="K5" s="216"/>
      <c r="L5" s="216"/>
      <c r="M5" s="217"/>
      <c r="N5" s="217"/>
      <c r="O5" s="218"/>
      <c r="Q5" s="436"/>
      <c r="R5" s="216"/>
      <c r="S5" s="216"/>
      <c r="T5" s="216"/>
      <c r="U5" s="217"/>
      <c r="V5" s="217"/>
      <c r="W5" s="218"/>
      <c r="Y5" s="342"/>
      <c r="Z5" s="216"/>
      <c r="AA5" s="216"/>
      <c r="AB5" s="216"/>
      <c r="AC5" s="217"/>
      <c r="AD5" s="217"/>
      <c r="AE5" s="218"/>
      <c r="AG5" s="342"/>
      <c r="AH5" s="340"/>
      <c r="AI5" s="340"/>
      <c r="AJ5" s="340"/>
      <c r="AK5" s="341"/>
      <c r="AL5" s="341"/>
      <c r="AM5" s="218"/>
      <c r="AO5" s="214"/>
      <c r="AP5" s="339"/>
      <c r="AQ5" s="340"/>
      <c r="AR5" s="340"/>
      <c r="AS5" s="341"/>
      <c r="AT5" s="341"/>
      <c r="AU5" s="218"/>
    </row>
    <row r="6" spans="1:53" ht="15">
      <c r="A6" s="503" t="s">
        <v>19</v>
      </c>
      <c r="B6" s="504"/>
      <c r="C6" s="504"/>
      <c r="D6" s="504"/>
      <c r="E6" s="504"/>
      <c r="F6" s="504"/>
      <c r="G6" s="505"/>
      <c r="I6" s="503" t="s">
        <v>19</v>
      </c>
      <c r="J6" s="504"/>
      <c r="K6" s="504"/>
      <c r="L6" s="504"/>
      <c r="M6" s="504"/>
      <c r="N6" s="504"/>
      <c r="O6" s="505"/>
      <c r="Q6" s="503" t="s">
        <v>19</v>
      </c>
      <c r="R6" s="504"/>
      <c r="S6" s="504"/>
      <c r="T6" s="504"/>
      <c r="U6" s="504"/>
      <c r="V6" s="504"/>
      <c r="W6" s="505"/>
      <c r="Y6" s="503" t="s">
        <v>19</v>
      </c>
      <c r="Z6" s="504"/>
      <c r="AA6" s="504"/>
      <c r="AB6" s="504"/>
      <c r="AC6" s="504"/>
      <c r="AD6" s="504"/>
      <c r="AE6" s="505"/>
      <c r="AG6" s="503" t="s">
        <v>19</v>
      </c>
      <c r="AH6" s="523"/>
      <c r="AI6" s="523"/>
      <c r="AJ6" s="523"/>
      <c r="AK6" s="523"/>
      <c r="AL6" s="523"/>
      <c r="AM6" s="505"/>
      <c r="AO6" s="503" t="s">
        <v>19</v>
      </c>
      <c r="AP6" s="523"/>
      <c r="AQ6" s="523"/>
      <c r="AR6" s="523"/>
      <c r="AS6" s="523"/>
      <c r="AT6" s="523"/>
      <c r="AU6" s="505"/>
    </row>
    <row r="7" spans="1:53" ht="15">
      <c r="A7" s="221"/>
      <c r="B7" s="217"/>
      <c r="C7" s="217"/>
      <c r="D7" s="217"/>
      <c r="E7" s="217"/>
      <c r="F7" s="217"/>
      <c r="G7" s="218"/>
      <c r="I7" s="221"/>
      <c r="J7" s="217"/>
      <c r="K7" s="217"/>
      <c r="L7" s="217"/>
      <c r="M7" s="217"/>
      <c r="N7" s="217"/>
      <c r="O7" s="218"/>
      <c r="Q7" s="221"/>
      <c r="R7" s="217"/>
      <c r="S7" s="217"/>
      <c r="T7" s="217"/>
      <c r="U7" s="217"/>
      <c r="V7" s="217"/>
      <c r="W7" s="218"/>
      <c r="Y7" s="221"/>
      <c r="Z7" s="217"/>
      <c r="AA7" s="217"/>
      <c r="AB7" s="217"/>
      <c r="AC7" s="217"/>
      <c r="AD7" s="217"/>
      <c r="AE7" s="218"/>
      <c r="AG7" s="221"/>
      <c r="AH7" s="341"/>
      <c r="AI7" s="341"/>
      <c r="AJ7" s="341"/>
      <c r="AK7" s="341"/>
      <c r="AL7" s="341"/>
      <c r="AM7" s="218"/>
      <c r="AO7" s="221"/>
      <c r="AP7" s="341"/>
      <c r="AQ7" s="341"/>
      <c r="AR7" s="341"/>
      <c r="AS7" s="341"/>
      <c r="AT7" s="341"/>
      <c r="AU7" s="218"/>
    </row>
    <row r="8" spans="1:53" ht="15.75">
      <c r="A8" s="221"/>
      <c r="B8" s="217"/>
      <c r="C8" s="222"/>
      <c r="D8" s="222"/>
      <c r="E8" s="222" t="s">
        <v>110</v>
      </c>
      <c r="F8" s="222" t="s">
        <v>71</v>
      </c>
      <c r="G8" s="218"/>
      <c r="I8" s="221"/>
      <c r="J8" s="217"/>
      <c r="K8" s="222"/>
      <c r="L8" s="222"/>
      <c r="M8" s="222" t="s">
        <v>110</v>
      </c>
      <c r="N8" s="222" t="s">
        <v>71</v>
      </c>
      <c r="O8" s="218"/>
      <c r="Q8" s="221"/>
      <c r="R8" s="217"/>
      <c r="S8" s="222"/>
      <c r="T8" s="222"/>
      <c r="U8" s="222" t="s">
        <v>110</v>
      </c>
      <c r="V8" s="222" t="s">
        <v>71</v>
      </c>
      <c r="W8" s="218"/>
      <c r="Y8" s="221"/>
      <c r="Z8" s="217"/>
      <c r="AA8" s="222"/>
      <c r="AB8" s="222"/>
      <c r="AC8" s="222" t="s">
        <v>110</v>
      </c>
      <c r="AD8" s="222" t="s">
        <v>71</v>
      </c>
      <c r="AE8" s="218"/>
      <c r="AG8" s="221"/>
      <c r="AH8" s="341"/>
      <c r="AI8" s="343"/>
      <c r="AJ8" s="343"/>
      <c r="AK8" s="343" t="s">
        <v>110</v>
      </c>
      <c r="AL8" s="343" t="s">
        <v>71</v>
      </c>
      <c r="AM8" s="218"/>
      <c r="AO8" s="221"/>
      <c r="AP8" s="341"/>
      <c r="AQ8" s="343"/>
      <c r="AR8" s="343"/>
      <c r="AS8" s="343" t="s">
        <v>110</v>
      </c>
      <c r="AT8" s="343" t="s">
        <v>71</v>
      </c>
      <c r="AU8" s="218"/>
    </row>
    <row r="9" spans="1:53" ht="15.75">
      <c r="A9" s="221"/>
      <c r="B9" s="217"/>
      <c r="C9" s="223" t="s">
        <v>87</v>
      </c>
      <c r="D9" s="223"/>
      <c r="E9" s="223" t="s">
        <v>233</v>
      </c>
      <c r="F9" s="223" t="s">
        <v>234</v>
      </c>
      <c r="G9" s="218"/>
      <c r="I9" s="221"/>
      <c r="J9" s="217"/>
      <c r="K9" s="223" t="s">
        <v>87</v>
      </c>
      <c r="L9" s="223"/>
      <c r="M9" s="223" t="s">
        <v>233</v>
      </c>
      <c r="N9" s="223" t="s">
        <v>234</v>
      </c>
      <c r="O9" s="218"/>
      <c r="Q9" s="221"/>
      <c r="R9" s="217"/>
      <c r="S9" s="223" t="s">
        <v>87</v>
      </c>
      <c r="T9" s="223"/>
      <c r="U9" s="223" t="s">
        <v>233</v>
      </c>
      <c r="V9" s="223" t="s">
        <v>234</v>
      </c>
      <c r="W9" s="218"/>
      <c r="Y9" s="221"/>
      <c r="Z9" s="217"/>
      <c r="AA9" s="223" t="s">
        <v>87</v>
      </c>
      <c r="AB9" s="223"/>
      <c r="AC9" s="223" t="s">
        <v>233</v>
      </c>
      <c r="AD9" s="223" t="s">
        <v>234</v>
      </c>
      <c r="AE9" s="218"/>
      <c r="AG9" s="221"/>
      <c r="AH9" s="341"/>
      <c r="AI9" s="344" t="s">
        <v>87</v>
      </c>
      <c r="AJ9" s="344"/>
      <c r="AK9" s="344" t="s">
        <v>111</v>
      </c>
      <c r="AL9" s="344" t="s">
        <v>112</v>
      </c>
      <c r="AM9" s="218"/>
      <c r="AO9" s="221"/>
      <c r="AP9" s="341"/>
      <c r="AQ9" s="344" t="s">
        <v>87</v>
      </c>
      <c r="AR9" s="344"/>
      <c r="AS9" s="344" t="s">
        <v>111</v>
      </c>
      <c r="AT9" s="344" t="s">
        <v>112</v>
      </c>
      <c r="AU9" s="218"/>
    </row>
    <row r="10" spans="1:53" ht="15.75">
      <c r="A10" s="224" t="s">
        <v>284</v>
      </c>
      <c r="B10" s="215"/>
      <c r="C10" s="225"/>
      <c r="D10" s="225"/>
      <c r="E10" s="225"/>
      <c r="F10" s="225"/>
      <c r="G10" s="218"/>
      <c r="I10" s="224" t="s">
        <v>275</v>
      </c>
      <c r="J10" s="215"/>
      <c r="K10" s="225"/>
      <c r="L10" s="225"/>
      <c r="M10" s="225"/>
      <c r="N10" s="225"/>
      <c r="O10" s="218"/>
      <c r="Q10" s="224" t="s">
        <v>243</v>
      </c>
      <c r="R10" s="215"/>
      <c r="S10" s="225"/>
      <c r="T10" s="225"/>
      <c r="U10" s="225"/>
      <c r="V10" s="225"/>
      <c r="W10" s="218"/>
      <c r="Y10" s="224" t="s">
        <v>235</v>
      </c>
      <c r="Z10" s="215"/>
      <c r="AA10" s="225"/>
      <c r="AB10" s="225"/>
      <c r="AC10" s="225"/>
      <c r="AD10" s="225"/>
      <c r="AE10" s="218"/>
      <c r="AG10" s="224" t="s">
        <v>127</v>
      </c>
      <c r="AH10" s="339"/>
      <c r="AI10" s="345"/>
      <c r="AJ10" s="345"/>
      <c r="AK10" s="345"/>
      <c r="AL10" s="345"/>
      <c r="AM10" s="218"/>
      <c r="AO10" s="224" t="s">
        <v>113</v>
      </c>
      <c r="AP10" s="339"/>
      <c r="AQ10" s="345"/>
      <c r="AR10" s="345"/>
      <c r="AS10" s="345"/>
      <c r="AT10" s="345"/>
      <c r="AU10" s="218"/>
    </row>
    <row r="11" spans="1:53" ht="15.75">
      <c r="A11" s="221" t="s">
        <v>114</v>
      </c>
      <c r="B11" s="217"/>
      <c r="C11" s="226">
        <f>SUM('Customer Counts - Enspire'!G18:H20)</f>
        <v>280398</v>
      </c>
      <c r="D11" s="226"/>
      <c r="E11" s="227">
        <f>+M12</f>
        <v>1.46</v>
      </c>
      <c r="F11" s="228">
        <f>C11*E11</f>
        <v>409381.08</v>
      </c>
      <c r="G11" s="218"/>
      <c r="I11" s="221" t="s">
        <v>114</v>
      </c>
      <c r="J11" s="217"/>
      <c r="K11" s="226">
        <v>290784</v>
      </c>
      <c r="L11" s="226"/>
      <c r="M11" s="227">
        <f>+U12</f>
        <v>0.23</v>
      </c>
      <c r="N11" s="228">
        <f>K11*M11</f>
        <v>66880.320000000007</v>
      </c>
      <c r="O11" s="218"/>
      <c r="Q11" s="221" t="s">
        <v>114</v>
      </c>
      <c r="R11" s="217"/>
      <c r="S11" s="226">
        <v>314616</v>
      </c>
      <c r="T11" s="226"/>
      <c r="U11" s="227">
        <f>+AC12</f>
        <v>0.44</v>
      </c>
      <c r="V11" s="228">
        <f>S11*U11</f>
        <v>138431.04000000001</v>
      </c>
      <c r="W11" s="218"/>
      <c r="Y11" s="221" t="s">
        <v>114</v>
      </c>
      <c r="Z11" s="217"/>
      <c r="AA11" s="226">
        <v>305514</v>
      </c>
      <c r="AB11" s="226"/>
      <c r="AC11" s="227">
        <f>+AK12</f>
        <v>0.73</v>
      </c>
      <c r="AD11" s="228">
        <f>AA11*AC11</f>
        <v>223025.22</v>
      </c>
      <c r="AE11" s="218"/>
      <c r="AG11" s="221" t="s">
        <v>114</v>
      </c>
      <c r="AH11" s="341"/>
      <c r="AI11" s="346">
        <v>299451</v>
      </c>
      <c r="AJ11" s="346"/>
      <c r="AK11" s="227">
        <f>+AS12</f>
        <v>2.4500000000000002</v>
      </c>
      <c r="AL11" s="228">
        <f>AI11*AK11</f>
        <v>733654.95000000007</v>
      </c>
      <c r="AM11" s="218"/>
      <c r="AO11" s="221" t="s">
        <v>114</v>
      </c>
      <c r="AP11" s="341"/>
      <c r="AQ11" s="346">
        <v>291373</v>
      </c>
      <c r="AR11" s="346"/>
      <c r="AS11" s="347">
        <v>1.79</v>
      </c>
      <c r="AT11" s="348">
        <f>AQ11*AS11</f>
        <v>521557.67</v>
      </c>
      <c r="AU11" s="218"/>
      <c r="AX11" s="247"/>
      <c r="AY11" s="208"/>
      <c r="AZ11" s="258"/>
    </row>
    <row r="12" spans="1:53" ht="17.25">
      <c r="A12" s="229" t="s">
        <v>115</v>
      </c>
      <c r="B12" s="230"/>
      <c r="C12" s="231">
        <f>SUM('Customer Counts - Enspire'!G21:H29)</f>
        <v>846387</v>
      </c>
      <c r="D12" s="231"/>
      <c r="E12" s="227">
        <f>+O33</f>
        <v>1.41</v>
      </c>
      <c r="F12" s="232">
        <f>C12*E12</f>
        <v>1193405.67</v>
      </c>
      <c r="G12" s="218"/>
      <c r="I12" s="229" t="s">
        <v>115</v>
      </c>
      <c r="J12" s="230"/>
      <c r="K12" s="231">
        <v>836699</v>
      </c>
      <c r="L12" s="231"/>
      <c r="M12" s="227">
        <f>+W33</f>
        <v>1.46</v>
      </c>
      <c r="N12" s="232">
        <f>K12*M12</f>
        <v>1221580.54</v>
      </c>
      <c r="O12" s="218"/>
      <c r="Q12" s="229" t="s">
        <v>115</v>
      </c>
      <c r="R12" s="230"/>
      <c r="S12" s="231">
        <v>909275</v>
      </c>
      <c r="T12" s="231"/>
      <c r="U12" s="227">
        <f>+AE33</f>
        <v>0.23</v>
      </c>
      <c r="V12" s="232">
        <f>S12*U12</f>
        <v>209133.25</v>
      </c>
      <c r="W12" s="218"/>
      <c r="Y12" s="229" t="s">
        <v>115</v>
      </c>
      <c r="Z12" s="230"/>
      <c r="AA12" s="231">
        <v>931767</v>
      </c>
      <c r="AB12" s="231"/>
      <c r="AC12" s="227">
        <f>+AM33</f>
        <v>0.44</v>
      </c>
      <c r="AD12" s="232">
        <f>AA12*AC12</f>
        <v>409977.48</v>
      </c>
      <c r="AE12" s="218"/>
      <c r="AG12" s="229" t="s">
        <v>115</v>
      </c>
      <c r="AH12" s="281"/>
      <c r="AI12" s="349">
        <v>706622</v>
      </c>
      <c r="AJ12" s="349"/>
      <c r="AK12" s="227">
        <f>+AU31</f>
        <v>0.73</v>
      </c>
      <c r="AL12" s="232">
        <f>AI12*AK12</f>
        <v>515834.06</v>
      </c>
      <c r="AM12" s="218"/>
      <c r="AO12" s="229" t="s">
        <v>115</v>
      </c>
      <c r="AP12" s="281"/>
      <c r="AQ12" s="349">
        <v>885244</v>
      </c>
      <c r="AR12" s="349"/>
      <c r="AS12" s="347">
        <v>2.4500000000000002</v>
      </c>
      <c r="AT12" s="350">
        <f>AQ12*AS12</f>
        <v>2168847.8000000003</v>
      </c>
      <c r="AU12" s="218"/>
    </row>
    <row r="13" spans="1:53" ht="17.25">
      <c r="A13" s="221" t="s">
        <v>71</v>
      </c>
      <c r="B13" s="217"/>
      <c r="C13" s="226">
        <f>SUM(C11:C12)</f>
        <v>1126785</v>
      </c>
      <c r="D13" s="231"/>
      <c r="E13" s="217"/>
      <c r="F13" s="228">
        <f>SUM(F11:F12)</f>
        <v>1602786.75</v>
      </c>
      <c r="G13" s="218" t="s">
        <v>236</v>
      </c>
      <c r="I13" s="221" t="s">
        <v>71</v>
      </c>
      <c r="J13" s="217"/>
      <c r="K13" s="226">
        <f>SUM(K11:K12)</f>
        <v>1127483</v>
      </c>
      <c r="L13" s="231"/>
      <c r="M13" s="217"/>
      <c r="N13" s="228">
        <f>SUM(N11:N12)</f>
        <v>1288460.8600000001</v>
      </c>
      <c r="O13" s="218" t="s">
        <v>236</v>
      </c>
      <c r="Q13" s="221" t="s">
        <v>71</v>
      </c>
      <c r="R13" s="217"/>
      <c r="S13" s="226">
        <f>SUM(S11:S12)</f>
        <v>1223891</v>
      </c>
      <c r="T13" s="231"/>
      <c r="U13" s="217"/>
      <c r="V13" s="228">
        <f>SUM(V11:V12)</f>
        <v>347564.29000000004</v>
      </c>
      <c r="W13" s="218" t="s">
        <v>236</v>
      </c>
      <c r="Y13" s="221" t="s">
        <v>71</v>
      </c>
      <c r="Z13" s="217"/>
      <c r="AA13" s="226">
        <f>SUM(AA11:AA12)</f>
        <v>1237281</v>
      </c>
      <c r="AB13" s="231"/>
      <c r="AC13" s="217"/>
      <c r="AD13" s="228">
        <f>SUM(AD11:AD12)</f>
        <v>633002.69999999995</v>
      </c>
      <c r="AE13" s="218" t="s">
        <v>236</v>
      </c>
      <c r="AG13" s="221" t="s">
        <v>71</v>
      </c>
      <c r="AH13" s="341"/>
      <c r="AI13" s="346">
        <f>SUM(AI11:AI12)</f>
        <v>1006073</v>
      </c>
      <c r="AJ13" s="349"/>
      <c r="AK13" s="341"/>
      <c r="AL13" s="228">
        <f>SUM(AL11:AL12)</f>
        <v>1249489.01</v>
      </c>
      <c r="AM13" s="218"/>
      <c r="AO13" s="221" t="s">
        <v>71</v>
      </c>
      <c r="AP13" s="341"/>
      <c r="AQ13" s="346">
        <f>SUM(AQ11:AQ12)</f>
        <v>1176617</v>
      </c>
      <c r="AR13" s="349"/>
      <c r="AS13" s="341"/>
      <c r="AT13" s="348">
        <f>SUM(AT11:AT12)</f>
        <v>2690405.47</v>
      </c>
      <c r="AU13" s="218"/>
      <c r="AZ13" s="260"/>
    </row>
    <row r="14" spans="1:53" ht="15">
      <c r="A14" s="221"/>
      <c r="B14" s="217"/>
      <c r="C14" s="217"/>
      <c r="D14" s="217"/>
      <c r="E14" s="217"/>
      <c r="F14" s="217"/>
      <c r="G14" s="218"/>
      <c r="I14" s="221"/>
      <c r="J14" s="217"/>
      <c r="K14" s="217"/>
      <c r="L14" s="217"/>
      <c r="M14" s="217"/>
      <c r="N14" s="217"/>
      <c r="O14" s="218"/>
      <c r="Q14" s="221"/>
      <c r="R14" s="217"/>
      <c r="S14" s="217"/>
      <c r="T14" s="217"/>
      <c r="U14" s="217"/>
      <c r="V14" s="217"/>
      <c r="W14" s="218"/>
      <c r="Y14" s="221"/>
      <c r="Z14" s="217"/>
      <c r="AA14" s="217"/>
      <c r="AB14" s="217"/>
      <c r="AC14" s="217"/>
      <c r="AD14" s="217"/>
      <c r="AE14" s="218"/>
      <c r="AG14" s="221"/>
      <c r="AH14" s="341"/>
      <c r="AI14" s="341"/>
      <c r="AJ14" s="341"/>
      <c r="AK14" s="341"/>
      <c r="AL14" s="341"/>
      <c r="AM14" s="218"/>
      <c r="AO14" s="221"/>
      <c r="AP14" s="341"/>
      <c r="AQ14" s="341"/>
      <c r="AR14" s="341"/>
      <c r="AS14" s="341"/>
      <c r="AT14" s="341"/>
      <c r="AU14" s="218"/>
      <c r="AZ14" s="259"/>
      <c r="BA14" s="283"/>
    </row>
    <row r="15" spans="1:53" ht="15.75">
      <c r="A15" s="214"/>
      <c r="B15" s="217"/>
      <c r="C15" s="217"/>
      <c r="D15" s="217"/>
      <c r="E15" s="217"/>
      <c r="F15" s="256"/>
      <c r="G15" s="218"/>
      <c r="I15" s="214"/>
      <c r="J15" s="217"/>
      <c r="K15" s="217"/>
      <c r="L15" s="217"/>
      <c r="M15" s="217"/>
      <c r="N15" s="256"/>
      <c r="O15" s="218"/>
      <c r="Q15" s="214"/>
      <c r="R15" s="217"/>
      <c r="S15" s="217"/>
      <c r="T15" s="217"/>
      <c r="U15" s="217"/>
      <c r="V15" s="256"/>
      <c r="W15" s="218"/>
      <c r="Y15" s="214"/>
      <c r="Z15" s="217"/>
      <c r="AA15" s="217"/>
      <c r="AB15" s="217"/>
      <c r="AC15" s="217"/>
      <c r="AD15" s="256"/>
      <c r="AE15" s="218"/>
      <c r="AG15" s="214"/>
      <c r="AH15" s="341"/>
      <c r="AI15" s="341"/>
      <c r="AJ15" s="341"/>
      <c r="AK15" s="341"/>
      <c r="AL15" s="256"/>
      <c r="AM15" s="218"/>
      <c r="AO15" s="221"/>
      <c r="AP15" s="341"/>
      <c r="AQ15" s="341"/>
      <c r="AR15" s="341"/>
      <c r="AS15" s="341"/>
      <c r="AT15" s="341"/>
      <c r="AU15" s="218"/>
      <c r="AZ15" s="259"/>
      <c r="BA15" s="283"/>
    </row>
    <row r="16" spans="1:53" ht="15.75">
      <c r="A16" s="214" t="s">
        <v>283</v>
      </c>
      <c r="B16" s="217"/>
      <c r="C16" s="217"/>
      <c r="D16" s="217"/>
      <c r="E16" s="217"/>
      <c r="F16" s="228">
        <f>SUM('2022-2023 Recy. Tons &amp; Revenue'!O86:O97)</f>
        <v>814156.97531898215</v>
      </c>
      <c r="G16" s="218"/>
      <c r="I16" s="214" t="s">
        <v>277</v>
      </c>
      <c r="J16" s="217"/>
      <c r="K16" s="217"/>
      <c r="L16" s="217"/>
      <c r="M16" s="217"/>
      <c r="N16" s="228">
        <v>1591890.1202750448</v>
      </c>
      <c r="O16" s="218"/>
      <c r="Q16" s="214" t="s">
        <v>244</v>
      </c>
      <c r="R16" s="217"/>
      <c r="S16" s="217"/>
      <c r="T16" s="217"/>
      <c r="U16" s="217"/>
      <c r="V16" s="228">
        <v>1789368.6842237888</v>
      </c>
      <c r="W16" s="218"/>
      <c r="Y16" s="214" t="s">
        <v>237</v>
      </c>
      <c r="Z16" s="217"/>
      <c r="AA16" s="217"/>
      <c r="AB16" s="217"/>
      <c r="AC16" s="217"/>
      <c r="AD16" s="228">
        <v>281606.83174170979</v>
      </c>
      <c r="AE16" s="218"/>
      <c r="AG16" s="214" t="s">
        <v>129</v>
      </c>
      <c r="AH16" s="341"/>
      <c r="AI16" s="341"/>
      <c r="AJ16" s="341"/>
      <c r="AK16" s="341"/>
      <c r="AL16" s="228">
        <v>528491.43671045091</v>
      </c>
      <c r="AM16" s="218"/>
      <c r="AO16" s="221"/>
      <c r="AP16" s="341"/>
      <c r="AQ16" s="341"/>
      <c r="AR16" s="341"/>
      <c r="AS16" s="341"/>
      <c r="AT16" s="341"/>
      <c r="AU16" s="218"/>
      <c r="AZ16" s="259"/>
      <c r="BA16" s="283"/>
    </row>
    <row r="17" spans="1:53" ht="15.75">
      <c r="A17" s="214" t="s">
        <v>150</v>
      </c>
      <c r="B17" s="217"/>
      <c r="C17" s="217"/>
      <c r="D17" s="217"/>
      <c r="E17" s="217"/>
      <c r="F17" s="276">
        <f>-F16*50%</f>
        <v>-407078.48765949107</v>
      </c>
      <c r="G17" s="218"/>
      <c r="I17" s="214" t="s">
        <v>150</v>
      </c>
      <c r="J17" s="217"/>
      <c r="K17" s="217"/>
      <c r="L17" s="217"/>
      <c r="M17" s="217"/>
      <c r="N17" s="276">
        <f>-N16*50%</f>
        <v>-795945.06013752241</v>
      </c>
      <c r="O17" s="218"/>
      <c r="Q17" s="214" t="s">
        <v>150</v>
      </c>
      <c r="R17" s="217"/>
      <c r="S17" s="217"/>
      <c r="T17" s="217"/>
      <c r="U17" s="217"/>
      <c r="V17" s="276">
        <f>-V16*50%</f>
        <v>-894684.3421118944</v>
      </c>
      <c r="W17" s="218"/>
      <c r="Y17" s="214" t="s">
        <v>150</v>
      </c>
      <c r="Z17" s="217"/>
      <c r="AA17" s="217"/>
      <c r="AB17" s="217"/>
      <c r="AC17" s="217"/>
      <c r="AD17" s="276">
        <f>-AD16*50%</f>
        <v>-140803.41587085489</v>
      </c>
      <c r="AE17" s="218"/>
      <c r="AG17" s="214" t="s">
        <v>150</v>
      </c>
      <c r="AH17" s="341"/>
      <c r="AI17" s="341"/>
      <c r="AJ17" s="341"/>
      <c r="AK17" s="341"/>
      <c r="AL17" s="276">
        <f>-AL16*50%</f>
        <v>-264245.71835522546</v>
      </c>
      <c r="AM17" s="218"/>
      <c r="AO17" s="214"/>
      <c r="AP17" s="341"/>
      <c r="AQ17" s="341"/>
      <c r="AR17" s="341"/>
      <c r="AS17" s="341"/>
      <c r="AT17" s="348"/>
      <c r="AU17" s="218"/>
    </row>
    <row r="18" spans="1:53" ht="15.75">
      <c r="A18" s="280" t="s">
        <v>153</v>
      </c>
      <c r="B18" s="217"/>
      <c r="C18" s="217"/>
      <c r="D18" s="217"/>
      <c r="E18" s="217"/>
      <c r="F18" s="255">
        <f>SUM(F16:F17)</f>
        <v>407078.48765949107</v>
      </c>
      <c r="G18" s="218" t="s">
        <v>238</v>
      </c>
      <c r="I18" s="280" t="s">
        <v>153</v>
      </c>
      <c r="J18" s="217"/>
      <c r="K18" s="217"/>
      <c r="L18" s="217"/>
      <c r="M18" s="217"/>
      <c r="N18" s="255">
        <f>SUM(N16:N17)</f>
        <v>795945.06013752241</v>
      </c>
      <c r="O18" s="218" t="s">
        <v>238</v>
      </c>
      <c r="Q18" s="280" t="s">
        <v>153</v>
      </c>
      <c r="R18" s="217"/>
      <c r="S18" s="217"/>
      <c r="T18" s="217"/>
      <c r="U18" s="217"/>
      <c r="V18" s="255">
        <f>SUM(V16:V17)</f>
        <v>894684.3421118944</v>
      </c>
      <c r="W18" s="218" t="s">
        <v>238</v>
      </c>
      <c r="Y18" s="280" t="s">
        <v>153</v>
      </c>
      <c r="Z18" s="217"/>
      <c r="AA18" s="217"/>
      <c r="AB18" s="217"/>
      <c r="AC18" s="217"/>
      <c r="AD18" s="255">
        <f>SUM(AD16:AD17)</f>
        <v>140803.41587085489</v>
      </c>
      <c r="AE18" s="218" t="s">
        <v>238</v>
      </c>
      <c r="AG18" s="280" t="s">
        <v>153</v>
      </c>
      <c r="AH18" s="341"/>
      <c r="AI18" s="341"/>
      <c r="AJ18" s="341"/>
      <c r="AK18" s="341"/>
      <c r="AL18" s="352">
        <f>SUM(AL16:AL17)</f>
        <v>264245.71835522546</v>
      </c>
      <c r="AM18" s="218"/>
      <c r="AO18" s="221"/>
      <c r="AP18" s="341"/>
      <c r="AQ18" s="341"/>
      <c r="AR18" s="341"/>
      <c r="AS18" s="341"/>
      <c r="AT18" s="341"/>
      <c r="AU18" s="218"/>
      <c r="AZ18" s="259"/>
      <c r="BA18" s="283"/>
    </row>
    <row r="19" spans="1:53" ht="17.25">
      <c r="A19" s="229"/>
      <c r="B19" s="230"/>
      <c r="C19" s="230"/>
      <c r="D19" s="230"/>
      <c r="E19" s="230"/>
      <c r="F19" s="230"/>
      <c r="G19" s="218"/>
      <c r="I19" s="229"/>
      <c r="J19" s="230"/>
      <c r="K19" s="230"/>
      <c r="L19" s="230"/>
      <c r="M19" s="230"/>
      <c r="N19" s="230"/>
      <c r="O19" s="218"/>
      <c r="Q19" s="229"/>
      <c r="R19" s="230"/>
      <c r="S19" s="230"/>
      <c r="T19" s="230"/>
      <c r="U19" s="230"/>
      <c r="V19" s="230"/>
      <c r="W19" s="218"/>
      <c r="Y19" s="229"/>
      <c r="Z19" s="230"/>
      <c r="AA19" s="230"/>
      <c r="AB19" s="230"/>
      <c r="AC19" s="230"/>
      <c r="AD19" s="230"/>
      <c r="AE19" s="218"/>
      <c r="AG19" s="229"/>
      <c r="AH19" s="281"/>
      <c r="AI19" s="281"/>
      <c r="AJ19" s="281"/>
      <c r="AK19" s="281"/>
      <c r="AL19" s="281"/>
      <c r="AM19" s="218"/>
      <c r="AO19" s="221"/>
      <c r="AP19" s="341"/>
      <c r="AQ19" s="341"/>
      <c r="AR19" s="341"/>
      <c r="AS19" s="341"/>
      <c r="AT19" s="341"/>
      <c r="AU19" s="218"/>
      <c r="AZ19" s="261"/>
      <c r="BA19" s="283"/>
    </row>
    <row r="20" spans="1:53" ht="15.75">
      <c r="A20" s="221"/>
      <c r="B20" s="217"/>
      <c r="C20" s="217"/>
      <c r="D20" s="217"/>
      <c r="E20" s="217"/>
      <c r="F20" s="256"/>
      <c r="G20" s="218"/>
      <c r="I20" s="221"/>
      <c r="J20" s="217"/>
      <c r="K20" s="217"/>
      <c r="L20" s="217"/>
      <c r="M20" s="217"/>
      <c r="N20" s="256"/>
      <c r="O20" s="218"/>
      <c r="Q20" s="221"/>
      <c r="R20" s="217"/>
      <c r="S20" s="217"/>
      <c r="T20" s="217"/>
      <c r="U20" s="217"/>
      <c r="V20" s="256"/>
      <c r="W20" s="218"/>
      <c r="Y20" s="221"/>
      <c r="Z20" s="217"/>
      <c r="AA20" s="217"/>
      <c r="AB20" s="217"/>
      <c r="AC20" s="217"/>
      <c r="AD20" s="256"/>
      <c r="AE20" s="380"/>
      <c r="AG20" s="221" t="s">
        <v>117</v>
      </c>
      <c r="AH20" s="341"/>
      <c r="AI20" s="341"/>
      <c r="AJ20" s="341"/>
      <c r="AK20" s="341"/>
      <c r="AL20" s="256">
        <f>AL18-AL13</f>
        <v>-985243.29164477461</v>
      </c>
      <c r="AM20" s="218"/>
      <c r="AO20" s="214" t="s">
        <v>116</v>
      </c>
      <c r="AP20" s="341"/>
      <c r="AQ20" s="341"/>
      <c r="AR20" s="341"/>
      <c r="AS20" s="341"/>
      <c r="AT20" s="348">
        <v>1226082</v>
      </c>
      <c r="AU20" s="218"/>
      <c r="AW20" s="258"/>
      <c r="AZ20" s="259"/>
    </row>
    <row r="21" spans="1:53" ht="17.25">
      <c r="A21" s="214"/>
      <c r="B21" s="217"/>
      <c r="C21" s="253"/>
      <c r="D21" s="217"/>
      <c r="E21" s="254"/>
      <c r="F21" s="234"/>
      <c r="G21" s="218"/>
      <c r="I21" s="214"/>
      <c r="J21" s="217"/>
      <c r="K21" s="253"/>
      <c r="L21" s="217"/>
      <c r="M21" s="254"/>
      <c r="N21" s="234"/>
      <c r="O21" s="218"/>
      <c r="Q21" s="214"/>
      <c r="R21" s="217"/>
      <c r="S21" s="253"/>
      <c r="T21" s="217"/>
      <c r="U21" s="254"/>
      <c r="V21" s="234"/>
      <c r="W21" s="218"/>
      <c r="Y21" s="214"/>
      <c r="Z21" s="217"/>
      <c r="AA21" s="253"/>
      <c r="AB21" s="217"/>
      <c r="AC21" s="254"/>
      <c r="AD21" s="234"/>
      <c r="AE21" s="218"/>
      <c r="AG21" s="214" t="s">
        <v>151</v>
      </c>
      <c r="AH21" s="341"/>
      <c r="AI21" s="253">
        <f>SUM('[1]Customer Counts'!G21:H22)</f>
        <v>199583</v>
      </c>
      <c r="AJ21" s="341"/>
      <c r="AK21" s="354">
        <f>AU38</f>
        <v>-0.90024999999999988</v>
      </c>
      <c r="AL21" s="234">
        <f>AK21*AI21</f>
        <v>-179674.59574999998</v>
      </c>
      <c r="AM21" s="218"/>
      <c r="AO21" s="214"/>
      <c r="AP21" s="341"/>
      <c r="AQ21" s="341"/>
      <c r="AR21" s="341"/>
      <c r="AS21" s="341"/>
      <c r="AT21" s="348"/>
      <c r="AU21" s="218"/>
    </row>
    <row r="22" spans="1:53" ht="15">
      <c r="A22" s="229" t="s">
        <v>154</v>
      </c>
      <c r="B22" s="230"/>
      <c r="C22" s="230"/>
      <c r="D22" s="230"/>
      <c r="E22" s="230"/>
      <c r="F22" s="226">
        <f>F18-F13</f>
        <v>-1195708.2623405089</v>
      </c>
      <c r="G22" s="218" t="s">
        <v>239</v>
      </c>
      <c r="I22" s="229" t="s">
        <v>154</v>
      </c>
      <c r="J22" s="230"/>
      <c r="K22" s="230"/>
      <c r="L22" s="230"/>
      <c r="M22" s="230"/>
      <c r="N22" s="226">
        <f>N18-N13</f>
        <v>-492515.7998624777</v>
      </c>
      <c r="O22" s="218" t="s">
        <v>239</v>
      </c>
      <c r="Q22" s="229" t="s">
        <v>154</v>
      </c>
      <c r="R22" s="230"/>
      <c r="S22" s="230"/>
      <c r="T22" s="230"/>
      <c r="U22" s="230"/>
      <c r="V22" s="226">
        <f>V18-V13</f>
        <v>547120.05211189436</v>
      </c>
      <c r="W22" s="218" t="s">
        <v>248</v>
      </c>
      <c r="Y22" s="229" t="s">
        <v>154</v>
      </c>
      <c r="Z22" s="230"/>
      <c r="AA22" s="230"/>
      <c r="AB22" s="230"/>
      <c r="AC22" s="230"/>
      <c r="AD22" s="381">
        <f>AD18-AD13</f>
        <v>-492199.28412914509</v>
      </c>
      <c r="AE22" s="218" t="s">
        <v>239</v>
      </c>
      <c r="AG22" s="229" t="s">
        <v>154</v>
      </c>
      <c r="AH22" s="281"/>
      <c r="AI22" s="281"/>
      <c r="AJ22" s="281"/>
      <c r="AK22" s="281"/>
      <c r="AL22" s="277">
        <f>SUM(AL20:AL21)</f>
        <v>-1164917.8873947747</v>
      </c>
      <c r="AM22" s="218"/>
      <c r="AO22" s="221" t="s">
        <v>117</v>
      </c>
      <c r="AP22" s="341"/>
      <c r="AQ22" s="341"/>
      <c r="AR22" s="341"/>
      <c r="AS22" s="341"/>
      <c r="AT22" s="346">
        <f>AT20-AT13</f>
        <v>-1464323.4700000002</v>
      </c>
      <c r="AU22" s="218"/>
      <c r="AZ22" s="259"/>
      <c r="BA22" s="283"/>
    </row>
    <row r="23" spans="1:53" ht="17.25">
      <c r="A23" s="229"/>
      <c r="B23" s="230"/>
      <c r="C23" s="230"/>
      <c r="D23" s="230"/>
      <c r="E23" s="230"/>
      <c r="F23" s="230"/>
      <c r="G23" s="218"/>
      <c r="I23" s="229"/>
      <c r="J23" s="230"/>
      <c r="K23" s="230"/>
      <c r="L23" s="230"/>
      <c r="M23" s="230"/>
      <c r="N23" s="230"/>
      <c r="O23" s="218"/>
      <c r="Q23" s="229"/>
      <c r="R23" s="230"/>
      <c r="S23" s="230"/>
      <c r="T23" s="230"/>
      <c r="U23" s="230"/>
      <c r="V23" s="230"/>
      <c r="W23" s="218"/>
      <c r="Y23" s="229"/>
      <c r="Z23" s="230"/>
      <c r="AA23" s="230"/>
      <c r="AB23" s="230"/>
      <c r="AC23" s="230"/>
      <c r="AD23" s="230"/>
      <c r="AE23" s="218"/>
      <c r="AG23" s="229"/>
      <c r="AH23" s="281"/>
      <c r="AI23" s="281"/>
      <c r="AJ23" s="281"/>
      <c r="AK23" s="281"/>
      <c r="AL23" s="281"/>
      <c r="AM23" s="218"/>
      <c r="AO23" s="221"/>
      <c r="AP23" s="341"/>
      <c r="AQ23" s="356"/>
      <c r="AR23" s="341"/>
      <c r="AS23" s="341"/>
      <c r="AT23" s="355"/>
      <c r="AU23" s="218"/>
    </row>
    <row r="24" spans="1:53" ht="17.25">
      <c r="A24" s="221" t="s">
        <v>118</v>
      </c>
      <c r="B24" s="217"/>
      <c r="C24" s="217"/>
      <c r="D24" s="217"/>
      <c r="E24" s="217"/>
      <c r="F24" s="226">
        <f>+C13</f>
        <v>1126785</v>
      </c>
      <c r="G24" s="218"/>
      <c r="I24" s="221" t="s">
        <v>118</v>
      </c>
      <c r="J24" s="217"/>
      <c r="K24" s="217"/>
      <c r="L24" s="217"/>
      <c r="M24" s="217"/>
      <c r="N24" s="226">
        <f>+K13</f>
        <v>1127483</v>
      </c>
      <c r="O24" s="218"/>
      <c r="Q24" s="221" t="s">
        <v>118</v>
      </c>
      <c r="R24" s="217"/>
      <c r="S24" s="217"/>
      <c r="T24" s="217"/>
      <c r="U24" s="217"/>
      <c r="V24" s="226">
        <f>+S13</f>
        <v>1223891</v>
      </c>
      <c r="W24" s="218"/>
      <c r="Y24" s="221" t="s">
        <v>118</v>
      </c>
      <c r="Z24" s="217"/>
      <c r="AA24" s="217"/>
      <c r="AB24" s="217"/>
      <c r="AC24" s="217"/>
      <c r="AD24" s="226">
        <f>+AA13</f>
        <v>1237281</v>
      </c>
      <c r="AE24" s="218"/>
      <c r="AG24" s="221" t="s">
        <v>118</v>
      </c>
      <c r="AH24" s="341"/>
      <c r="AI24" s="341"/>
      <c r="AJ24" s="341"/>
      <c r="AK24" s="341"/>
      <c r="AL24" s="346">
        <f>SUM('[1]Customer Counts'!G18:H29)</f>
        <v>1205656</v>
      </c>
      <c r="AM24" s="218"/>
      <c r="AO24" s="221" t="s">
        <v>118</v>
      </c>
      <c r="AP24" s="341"/>
      <c r="AQ24" s="341"/>
      <c r="AR24" s="341"/>
      <c r="AS24" s="341"/>
      <c r="AT24" s="346">
        <f>+AQ13</f>
        <v>1176617</v>
      </c>
      <c r="AU24" s="218"/>
      <c r="AZ24" s="260"/>
    </row>
    <row r="25" spans="1:53" ht="15">
      <c r="A25" s="221"/>
      <c r="B25" s="217"/>
      <c r="C25" s="217"/>
      <c r="D25" s="217"/>
      <c r="E25" s="217"/>
      <c r="F25" s="217"/>
      <c r="G25" s="218"/>
      <c r="I25" s="221"/>
      <c r="J25" s="217"/>
      <c r="K25" s="217"/>
      <c r="L25" s="217"/>
      <c r="M25" s="217"/>
      <c r="N25" s="217"/>
      <c r="O25" s="218"/>
      <c r="Q25" s="221"/>
      <c r="R25" s="217"/>
      <c r="S25" s="217"/>
      <c r="T25" s="217"/>
      <c r="U25" s="217"/>
      <c r="V25" s="217"/>
      <c r="W25" s="218"/>
      <c r="Y25" s="221"/>
      <c r="Z25" s="217"/>
      <c r="AA25" s="217"/>
      <c r="AB25" s="217"/>
      <c r="AC25" s="217"/>
      <c r="AD25" s="217"/>
      <c r="AE25" s="218"/>
      <c r="AG25" s="221"/>
      <c r="AH25" s="341"/>
      <c r="AI25" s="341"/>
      <c r="AJ25" s="341"/>
      <c r="AK25" s="341"/>
      <c r="AL25" s="341"/>
      <c r="AM25" s="218"/>
      <c r="AO25" s="221"/>
      <c r="AP25" s="341"/>
      <c r="AQ25" s="341"/>
      <c r="AR25" s="341"/>
      <c r="AS25" s="341"/>
      <c r="AT25" s="341"/>
      <c r="AU25" s="218"/>
    </row>
    <row r="26" spans="1:53" ht="15">
      <c r="A26" s="221" t="s">
        <v>119</v>
      </c>
      <c r="B26" s="217"/>
      <c r="C26" s="217"/>
      <c r="D26" s="217"/>
      <c r="E26" s="217"/>
      <c r="F26" s="235"/>
      <c r="G26" s="236">
        <f>F22/F24</f>
        <v>-1.0611680687447107</v>
      </c>
      <c r="I26" s="221" t="s">
        <v>119</v>
      </c>
      <c r="J26" s="217"/>
      <c r="K26" s="217"/>
      <c r="L26" s="217"/>
      <c r="M26" s="217"/>
      <c r="N26" s="235"/>
      <c r="O26" s="236">
        <f>N22/N24</f>
        <v>-0.43682769484105544</v>
      </c>
      <c r="Q26" s="221" t="s">
        <v>119</v>
      </c>
      <c r="R26" s="217"/>
      <c r="S26" s="217"/>
      <c r="T26" s="217"/>
      <c r="U26" s="217"/>
      <c r="V26" s="235"/>
      <c r="W26" s="236">
        <f>V22/V24</f>
        <v>0.44703331596677676</v>
      </c>
      <c r="Y26" s="221" t="s">
        <v>119</v>
      </c>
      <c r="Z26" s="217"/>
      <c r="AA26" s="217"/>
      <c r="AB26" s="217"/>
      <c r="AC26" s="217"/>
      <c r="AD26" s="235"/>
      <c r="AE26" s="236">
        <f>AD22/AD24</f>
        <v>-0.39780719507463952</v>
      </c>
      <c r="AG26" s="221" t="s">
        <v>119</v>
      </c>
      <c r="AH26" s="341"/>
      <c r="AI26" s="341"/>
      <c r="AJ26" s="341"/>
      <c r="AK26" s="341"/>
      <c r="AL26" s="235"/>
      <c r="AM26" s="236">
        <f>AL22/AL24</f>
        <v>-0.96621083243875094</v>
      </c>
      <c r="AO26" s="221" t="s">
        <v>119</v>
      </c>
      <c r="AP26" s="341"/>
      <c r="AQ26" s="341"/>
      <c r="AR26" s="341"/>
      <c r="AS26" s="341"/>
      <c r="AT26" s="357"/>
      <c r="AU26" s="236">
        <f>ROUND(AT22/AT24,2)</f>
        <v>-1.24</v>
      </c>
    </row>
    <row r="27" spans="1:53" ht="15">
      <c r="A27" s="221"/>
      <c r="B27" s="217"/>
      <c r="C27" s="217"/>
      <c r="D27" s="217"/>
      <c r="E27" s="217"/>
      <c r="F27" s="217"/>
      <c r="G27" s="236"/>
      <c r="I27" s="221"/>
      <c r="J27" s="217"/>
      <c r="K27" s="217"/>
      <c r="L27" s="217"/>
      <c r="M27" s="217"/>
      <c r="N27" s="217"/>
      <c r="O27" s="236"/>
      <c r="Q27" s="221"/>
      <c r="R27" s="217"/>
      <c r="S27" s="217"/>
      <c r="T27" s="217"/>
      <c r="U27" s="217"/>
      <c r="V27" s="217"/>
      <c r="W27" s="236"/>
      <c r="Y27" s="221"/>
      <c r="Z27" s="217"/>
      <c r="AA27" s="217"/>
      <c r="AB27" s="217"/>
      <c r="AC27" s="217"/>
      <c r="AD27" s="217"/>
      <c r="AE27" s="236"/>
      <c r="AG27" s="221"/>
      <c r="AH27" s="341"/>
      <c r="AI27" s="341"/>
      <c r="AJ27" s="341"/>
      <c r="AK27" s="341"/>
      <c r="AL27" s="341"/>
      <c r="AM27" s="236"/>
      <c r="AO27" s="221"/>
      <c r="AP27" s="341"/>
      <c r="AQ27" s="341"/>
      <c r="AR27" s="341"/>
      <c r="AS27" s="341"/>
      <c r="AT27" s="341"/>
      <c r="AU27" s="236"/>
    </row>
    <row r="28" spans="1:53" ht="15">
      <c r="A28" s="221"/>
      <c r="B28" s="217"/>
      <c r="C28" s="217"/>
      <c r="D28" s="217"/>
      <c r="E28" s="217"/>
      <c r="F28" s="217"/>
      <c r="G28" s="236"/>
      <c r="I28" s="221"/>
      <c r="J28" s="217"/>
      <c r="K28" s="217"/>
      <c r="L28" s="217"/>
      <c r="M28" s="217"/>
      <c r="N28" s="217"/>
      <c r="O28" s="236"/>
      <c r="Q28" s="221"/>
      <c r="R28" s="217"/>
      <c r="S28" s="217"/>
      <c r="T28" s="217"/>
      <c r="U28" s="217"/>
      <c r="V28" s="217"/>
      <c r="W28" s="236"/>
      <c r="Y28" s="221"/>
      <c r="Z28" s="217"/>
      <c r="AA28" s="217"/>
      <c r="AB28" s="217"/>
      <c r="AC28" s="217"/>
      <c r="AD28" s="217"/>
      <c r="AE28" s="236"/>
      <c r="AG28" s="221"/>
      <c r="AH28" s="341"/>
      <c r="AI28" s="341"/>
      <c r="AJ28" s="341"/>
      <c r="AK28" s="341"/>
      <c r="AL28" s="341"/>
      <c r="AM28" s="236"/>
      <c r="AO28" s="221"/>
      <c r="AP28" s="341"/>
      <c r="AQ28" s="341"/>
      <c r="AR28" s="341"/>
      <c r="AS28" s="341"/>
      <c r="AT28" s="341"/>
      <c r="AU28" s="236"/>
    </row>
    <row r="29" spans="1:53" ht="15.75">
      <c r="A29" s="237" t="s">
        <v>276</v>
      </c>
      <c r="B29" s="215"/>
      <c r="C29" s="217"/>
      <c r="D29" s="217"/>
      <c r="E29" s="217"/>
      <c r="F29" s="238">
        <f>F16</f>
        <v>814156.97531898215</v>
      </c>
      <c r="G29" s="236"/>
      <c r="I29" s="237" t="s">
        <v>276</v>
      </c>
      <c r="J29" s="215"/>
      <c r="K29" s="217"/>
      <c r="L29" s="217"/>
      <c r="M29" s="217"/>
      <c r="N29" s="238">
        <f>N16</f>
        <v>1591890.1202750448</v>
      </c>
      <c r="O29" s="236"/>
      <c r="Q29" s="237" t="s">
        <v>245</v>
      </c>
      <c r="R29" s="215"/>
      <c r="S29" s="217"/>
      <c r="T29" s="217"/>
      <c r="U29" s="217"/>
      <c r="V29" s="238">
        <f>V16</f>
        <v>1789368.6842237888</v>
      </c>
      <c r="W29" s="236"/>
      <c r="Y29" s="237" t="s">
        <v>240</v>
      </c>
      <c r="Z29" s="215"/>
      <c r="AA29" s="217"/>
      <c r="AB29" s="217"/>
      <c r="AC29" s="217"/>
      <c r="AD29" s="238">
        <f>AD16</f>
        <v>281606.83174170979</v>
      </c>
      <c r="AE29" s="236"/>
      <c r="AG29" s="237" t="s">
        <v>130</v>
      </c>
      <c r="AH29" s="339"/>
      <c r="AI29" s="341"/>
      <c r="AJ29" s="341"/>
      <c r="AK29" s="341"/>
      <c r="AL29" s="238">
        <f>AL16</f>
        <v>528491.43671045091</v>
      </c>
      <c r="AM29" s="236"/>
      <c r="AO29" s="237" t="s">
        <v>120</v>
      </c>
      <c r="AP29" s="339"/>
      <c r="AQ29" s="341"/>
      <c r="AR29" s="341"/>
      <c r="AS29" s="341"/>
      <c r="AT29" s="358">
        <f>431654*2</f>
        <v>863308</v>
      </c>
      <c r="AU29" s="236"/>
    </row>
    <row r="30" spans="1:53" ht="17.25">
      <c r="A30" s="214" t="s">
        <v>150</v>
      </c>
      <c r="B30" s="230"/>
      <c r="C30" s="230"/>
      <c r="D30" s="230"/>
      <c r="E30" s="230"/>
      <c r="F30" s="279">
        <f>F29*50%</f>
        <v>407078.48765949107</v>
      </c>
      <c r="G30" s="236"/>
      <c r="I30" s="214" t="s">
        <v>150</v>
      </c>
      <c r="J30" s="230"/>
      <c r="K30" s="230"/>
      <c r="L30" s="230"/>
      <c r="M30" s="230"/>
      <c r="N30" s="279">
        <f>N29*50%</f>
        <v>795945.06013752241</v>
      </c>
      <c r="O30" s="236"/>
      <c r="Q30" s="214" t="s">
        <v>150</v>
      </c>
      <c r="R30" s="230"/>
      <c r="S30" s="230"/>
      <c r="T30" s="230"/>
      <c r="U30" s="230"/>
      <c r="V30" s="279">
        <f>V29*50%</f>
        <v>894684.3421118944</v>
      </c>
      <c r="W30" s="236"/>
      <c r="Y30" s="214" t="s">
        <v>150</v>
      </c>
      <c r="Z30" s="230"/>
      <c r="AA30" s="230"/>
      <c r="AB30" s="230"/>
      <c r="AC30" s="230"/>
      <c r="AD30" s="279">
        <f>AD29*50%</f>
        <v>140803.41587085489</v>
      </c>
      <c r="AE30" s="236"/>
      <c r="AG30" s="214" t="s">
        <v>150</v>
      </c>
      <c r="AH30" s="281"/>
      <c r="AI30" s="281"/>
      <c r="AJ30" s="281"/>
      <c r="AK30" s="281"/>
      <c r="AL30" s="279">
        <f>AL29*50%</f>
        <v>264245.71835522546</v>
      </c>
      <c r="AM30" s="236"/>
      <c r="AO30" s="221" t="s">
        <v>118</v>
      </c>
      <c r="AP30" s="341"/>
      <c r="AQ30" s="341"/>
      <c r="AR30" s="341"/>
      <c r="AS30" s="341"/>
      <c r="AT30" s="359">
        <f>+AQ13</f>
        <v>1176617</v>
      </c>
      <c r="AU30" s="236"/>
    </row>
    <row r="31" spans="1:53" ht="17.25">
      <c r="A31" s="229" t="s">
        <v>152</v>
      </c>
      <c r="B31" s="230"/>
      <c r="C31" s="230"/>
      <c r="D31" s="230"/>
      <c r="E31" s="230"/>
      <c r="F31" s="382">
        <f>F29-F30</f>
        <v>407078.48765949107</v>
      </c>
      <c r="G31" s="236"/>
      <c r="I31" s="229" t="s">
        <v>152</v>
      </c>
      <c r="J31" s="230"/>
      <c r="K31" s="230"/>
      <c r="L31" s="230"/>
      <c r="M31" s="230"/>
      <c r="N31" s="382">
        <f>N29-N30</f>
        <v>795945.06013752241</v>
      </c>
      <c r="O31" s="236"/>
      <c r="Q31" s="229" t="s">
        <v>152</v>
      </c>
      <c r="R31" s="230"/>
      <c r="S31" s="230"/>
      <c r="T31" s="230"/>
      <c r="U31" s="230"/>
      <c r="V31" s="382">
        <f>V29-V30</f>
        <v>894684.3421118944</v>
      </c>
      <c r="W31" s="236"/>
      <c r="Y31" s="229" t="s">
        <v>152</v>
      </c>
      <c r="Z31" s="230"/>
      <c r="AA31" s="230"/>
      <c r="AB31" s="230"/>
      <c r="AC31" s="230"/>
      <c r="AD31" s="382">
        <f>AD29-AD30</f>
        <v>140803.41587085489</v>
      </c>
      <c r="AE31" s="236"/>
      <c r="AG31" s="229" t="s">
        <v>152</v>
      </c>
      <c r="AH31" s="281"/>
      <c r="AI31" s="281"/>
      <c r="AJ31" s="281"/>
      <c r="AK31" s="281"/>
      <c r="AL31" s="277">
        <f>AL29-AL30</f>
        <v>264245.71835522546</v>
      </c>
      <c r="AM31" s="236"/>
      <c r="AO31" s="221" t="s">
        <v>121</v>
      </c>
      <c r="AP31" s="341"/>
      <c r="AQ31" s="341"/>
      <c r="AR31" s="341"/>
      <c r="AS31" s="341"/>
      <c r="AT31" s="341"/>
      <c r="AU31" s="360">
        <f>ROUND(+AT29/AT30,2)</f>
        <v>0.73</v>
      </c>
    </row>
    <row r="32" spans="1:53" ht="17.25">
      <c r="A32" s="221" t="s">
        <v>118</v>
      </c>
      <c r="B32" s="217"/>
      <c r="C32" s="217"/>
      <c r="D32" s="217"/>
      <c r="E32" s="217"/>
      <c r="F32" s="239">
        <f>F24</f>
        <v>1126785</v>
      </c>
      <c r="G32" s="236"/>
      <c r="I32" s="221" t="s">
        <v>118</v>
      </c>
      <c r="J32" s="217"/>
      <c r="K32" s="217"/>
      <c r="L32" s="217"/>
      <c r="M32" s="217"/>
      <c r="N32" s="239">
        <f>N24</f>
        <v>1127483</v>
      </c>
      <c r="O32" s="236"/>
      <c r="Q32" s="221" t="s">
        <v>118</v>
      </c>
      <c r="R32" s="217"/>
      <c r="S32" s="217"/>
      <c r="T32" s="217"/>
      <c r="U32" s="217"/>
      <c r="V32" s="239">
        <f>V24</f>
        <v>1223891</v>
      </c>
      <c r="W32" s="236"/>
      <c r="Y32" s="221" t="s">
        <v>118</v>
      </c>
      <c r="Z32" s="217"/>
      <c r="AA32" s="217"/>
      <c r="AB32" s="217"/>
      <c r="AC32" s="217"/>
      <c r="AD32" s="239">
        <f>AD24</f>
        <v>1237281</v>
      </c>
      <c r="AE32" s="236"/>
      <c r="AG32" s="221" t="s">
        <v>118</v>
      </c>
      <c r="AH32" s="341"/>
      <c r="AI32" s="341"/>
      <c r="AJ32" s="341"/>
      <c r="AK32" s="341"/>
      <c r="AL32" s="359">
        <f>AL24</f>
        <v>1205656</v>
      </c>
      <c r="AM32" s="236"/>
      <c r="AO32" s="214" t="s">
        <v>122</v>
      </c>
      <c r="AP32" s="339"/>
      <c r="AQ32" s="341"/>
      <c r="AR32" s="341"/>
      <c r="AS32" s="341"/>
      <c r="AT32" s="341"/>
      <c r="AU32" s="244">
        <f>SUM(AU26:AU31)</f>
        <v>-0.51</v>
      </c>
      <c r="AV32" s="242"/>
    </row>
    <row r="33" spans="1:48" ht="17.25">
      <c r="A33" s="221" t="s">
        <v>121</v>
      </c>
      <c r="B33" s="217"/>
      <c r="C33" s="217"/>
      <c r="D33" s="217"/>
      <c r="E33" s="217"/>
      <c r="F33" s="217"/>
      <c r="G33" s="360">
        <f>ROUND(+F29/F32,2)</f>
        <v>0.72</v>
      </c>
      <c r="I33" s="221" t="s">
        <v>121</v>
      </c>
      <c r="J33" s="217"/>
      <c r="K33" s="217"/>
      <c r="L33" s="217"/>
      <c r="M33" s="217"/>
      <c r="N33" s="217"/>
      <c r="O33" s="360">
        <f>ROUND(+N29/N32,2)</f>
        <v>1.41</v>
      </c>
      <c r="Q33" s="221" t="s">
        <v>121</v>
      </c>
      <c r="R33" s="217"/>
      <c r="S33" s="217"/>
      <c r="T33" s="217"/>
      <c r="U33" s="217"/>
      <c r="V33" s="217"/>
      <c r="W33" s="360">
        <f>ROUND(+V29/V32,2)</f>
        <v>1.46</v>
      </c>
      <c r="Y33" s="221" t="s">
        <v>121</v>
      </c>
      <c r="Z33" s="217"/>
      <c r="AA33" s="217"/>
      <c r="AB33" s="217"/>
      <c r="AC33" s="217"/>
      <c r="AD33" s="217"/>
      <c r="AE33" s="360">
        <f>ROUND(+AD29/AD32,2)</f>
        <v>0.23</v>
      </c>
      <c r="AG33" s="221" t="s">
        <v>121</v>
      </c>
      <c r="AH33" s="341"/>
      <c r="AI33" s="341"/>
      <c r="AJ33" s="341"/>
      <c r="AK33" s="341"/>
      <c r="AL33" s="341"/>
      <c r="AM33" s="360">
        <f>ROUND(+AL29/AL32,2)</f>
        <v>0.44</v>
      </c>
      <c r="AO33" s="214"/>
      <c r="AP33" s="339"/>
      <c r="AQ33" s="341"/>
      <c r="AR33" s="341"/>
      <c r="AS33" s="341"/>
      <c r="AT33" s="341"/>
      <c r="AU33" s="244"/>
      <c r="AV33" s="242"/>
    </row>
    <row r="34" spans="1:48" ht="18">
      <c r="A34" s="214" t="s">
        <v>241</v>
      </c>
      <c r="B34" s="215"/>
      <c r="C34" s="217"/>
      <c r="D34" s="217"/>
      <c r="E34" s="217"/>
      <c r="F34" s="217"/>
      <c r="G34" s="361">
        <f>SUM(G26:G33)</f>
        <v>-0.34116806874471073</v>
      </c>
      <c r="I34" s="214" t="s">
        <v>241</v>
      </c>
      <c r="J34" s="215"/>
      <c r="K34" s="217"/>
      <c r="L34" s="217"/>
      <c r="M34" s="217"/>
      <c r="N34" s="217"/>
      <c r="O34" s="361">
        <f>SUM(O26:O33)</f>
        <v>0.97317230515894448</v>
      </c>
      <c r="Q34" s="214" t="s">
        <v>241</v>
      </c>
      <c r="R34" s="215"/>
      <c r="S34" s="217"/>
      <c r="T34" s="217"/>
      <c r="U34" s="217"/>
      <c r="V34" s="217"/>
      <c r="W34" s="361">
        <f>SUM(W26:W33)</f>
        <v>1.9070333159667767</v>
      </c>
      <c r="Y34" s="214" t="s">
        <v>241</v>
      </c>
      <c r="Z34" s="215"/>
      <c r="AA34" s="217"/>
      <c r="AB34" s="217"/>
      <c r="AC34" s="217"/>
      <c r="AD34" s="217"/>
      <c r="AE34" s="361">
        <f>SUM(AE26:AE33)</f>
        <v>-0.16780719507463951</v>
      </c>
      <c r="AG34" s="214" t="s">
        <v>122</v>
      </c>
      <c r="AH34" s="339"/>
      <c r="AI34" s="341"/>
      <c r="AJ34" s="341"/>
      <c r="AK34" s="341"/>
      <c r="AL34" s="341"/>
      <c r="AM34" s="244">
        <f>SUM(AM26:AM33)</f>
        <v>-0.52621083243875089</v>
      </c>
      <c r="AO34" s="229" t="s">
        <v>123</v>
      </c>
      <c r="AP34" s="339"/>
      <c r="AQ34" s="341"/>
      <c r="AR34" s="341"/>
      <c r="AS34" s="362">
        <f>+AQ13/12*0.5</f>
        <v>49025.708333333336</v>
      </c>
      <c r="AT34" s="341"/>
      <c r="AU34" s="244">
        <f>ROUND(-AS34/AQ13*2,2)</f>
        <v>-0.08</v>
      </c>
    </row>
    <row r="35" spans="1:48" ht="15.75">
      <c r="A35" s="229"/>
      <c r="B35" s="215"/>
      <c r="C35" s="217"/>
      <c r="D35" s="217"/>
      <c r="E35" s="217"/>
      <c r="F35" s="217"/>
      <c r="G35" s="244"/>
      <c r="I35" s="229"/>
      <c r="J35" s="215"/>
      <c r="K35" s="217"/>
      <c r="L35" s="217"/>
      <c r="M35" s="217"/>
      <c r="N35" s="217"/>
      <c r="O35" s="244"/>
      <c r="Q35" s="229"/>
      <c r="R35" s="215"/>
      <c r="S35" s="217"/>
      <c r="T35" s="217"/>
      <c r="U35" s="217"/>
      <c r="V35" s="217"/>
      <c r="W35" s="244"/>
      <c r="Y35" s="229"/>
      <c r="Z35" s="215"/>
      <c r="AA35" s="217"/>
      <c r="AB35" s="217"/>
      <c r="AC35" s="217"/>
      <c r="AD35" s="217"/>
      <c r="AE35" s="244"/>
      <c r="AG35" s="229"/>
      <c r="AH35" s="339"/>
      <c r="AI35" s="341"/>
      <c r="AJ35" s="341"/>
      <c r="AK35" s="341"/>
      <c r="AL35" s="341"/>
      <c r="AM35" s="244"/>
      <c r="AO35" s="229"/>
      <c r="AP35" s="339"/>
      <c r="AQ35" s="341"/>
      <c r="AR35" s="341"/>
      <c r="AS35" s="341"/>
      <c r="AT35" s="341"/>
      <c r="AU35" s="244"/>
    </row>
    <row r="36" spans="1:48" ht="20.25">
      <c r="A36" s="229"/>
      <c r="B36" s="217"/>
      <c r="C36" s="217"/>
      <c r="D36" s="217"/>
      <c r="E36" s="245"/>
      <c r="F36" s="217"/>
      <c r="G36" s="364"/>
      <c r="I36" s="229"/>
      <c r="J36" s="217"/>
      <c r="K36" s="217"/>
      <c r="L36" s="217"/>
      <c r="M36" s="245"/>
      <c r="N36" s="217"/>
      <c r="O36" s="364"/>
      <c r="Q36" s="229"/>
      <c r="R36" s="217"/>
      <c r="S36" s="217"/>
      <c r="T36" s="217"/>
      <c r="U36" s="245"/>
      <c r="V36" s="217"/>
      <c r="W36" s="364"/>
      <c r="Y36" s="229"/>
      <c r="Z36" s="217"/>
      <c r="AA36" s="217"/>
      <c r="AB36" s="217"/>
      <c r="AC36" s="245"/>
      <c r="AD36" s="217"/>
      <c r="AE36" s="364"/>
      <c r="AG36" s="229"/>
      <c r="AH36" s="341"/>
      <c r="AI36" s="341"/>
      <c r="AJ36" s="341"/>
      <c r="AK36" s="245"/>
      <c r="AL36" s="341"/>
      <c r="AM36" s="364"/>
      <c r="AO36" s="229" t="s">
        <v>124</v>
      </c>
      <c r="AP36" s="341"/>
      <c r="AQ36" s="341"/>
      <c r="AR36" s="341"/>
      <c r="AS36" s="363">
        <v>0.42499999999999999</v>
      </c>
      <c r="AT36" s="341"/>
      <c r="AU36" s="364">
        <f>-AS36*AU31</f>
        <v>-0.31024999999999997</v>
      </c>
      <c r="AV36" s="247"/>
    </row>
    <row r="37" spans="1:48" ht="20.25">
      <c r="A37" s="214" t="s">
        <v>247</v>
      </c>
      <c r="B37" s="217"/>
      <c r="C37" s="217"/>
      <c r="D37" s="217"/>
      <c r="E37" s="245">
        <v>0.5</v>
      </c>
      <c r="F37" s="217"/>
      <c r="G37" s="361">
        <f>ROUND(+G33*E37,2)</f>
        <v>0.36</v>
      </c>
      <c r="I37" s="214" t="s">
        <v>247</v>
      </c>
      <c r="J37" s="217"/>
      <c r="K37" s="217"/>
      <c r="L37" s="217"/>
      <c r="M37" s="245">
        <v>0.5</v>
      </c>
      <c r="N37" s="217"/>
      <c r="O37" s="361">
        <f>ROUND(+O33*M37,2)</f>
        <v>0.71</v>
      </c>
      <c r="Q37" s="214" t="s">
        <v>247</v>
      </c>
      <c r="R37" s="217"/>
      <c r="S37" s="217"/>
      <c r="T37" s="217"/>
      <c r="U37" s="245">
        <v>0.5</v>
      </c>
      <c r="V37" s="217"/>
      <c r="W37" s="361">
        <f>ROUND(+W33*U37,2)</f>
        <v>0.73</v>
      </c>
      <c r="Y37" s="214" t="s">
        <v>145</v>
      </c>
      <c r="Z37" s="217"/>
      <c r="AA37" s="217"/>
      <c r="AB37" s="245">
        <v>0.5</v>
      </c>
      <c r="AC37" s="248"/>
      <c r="AD37" s="217"/>
      <c r="AE37" s="361">
        <f>+AE33*AB37</f>
        <v>0.115</v>
      </c>
      <c r="AG37" s="214" t="s">
        <v>145</v>
      </c>
      <c r="AH37" s="341"/>
      <c r="AI37" s="341"/>
      <c r="AJ37" s="245">
        <v>0.5</v>
      </c>
      <c r="AK37" s="248"/>
      <c r="AL37" s="341"/>
      <c r="AM37" s="361">
        <f>+AM33*AJ37</f>
        <v>0.22</v>
      </c>
      <c r="AO37" s="229"/>
      <c r="AP37" s="341"/>
      <c r="AQ37" s="341"/>
      <c r="AR37" s="341"/>
      <c r="AS37" s="365"/>
      <c r="AT37" s="341"/>
      <c r="AU37" s="364"/>
      <c r="AV37" s="247"/>
    </row>
    <row r="38" spans="1:48" ht="18">
      <c r="A38" s="214"/>
      <c r="B38" s="217"/>
      <c r="C38" s="217"/>
      <c r="D38" s="217"/>
      <c r="E38" s="248"/>
      <c r="F38" s="217"/>
      <c r="G38" s="361"/>
      <c r="I38" s="214"/>
      <c r="J38" s="217"/>
      <c r="K38" s="217"/>
      <c r="L38" s="217"/>
      <c r="M38" s="248"/>
      <c r="N38" s="217"/>
      <c r="O38" s="361"/>
      <c r="Q38" s="214"/>
      <c r="R38" s="217"/>
      <c r="S38" s="217"/>
      <c r="T38" s="217"/>
      <c r="U38" s="248"/>
      <c r="V38" s="217"/>
      <c r="W38" s="361"/>
      <c r="Y38" s="214"/>
      <c r="Z38" s="217"/>
      <c r="AA38" s="217"/>
      <c r="AB38" s="217"/>
      <c r="AC38" s="248"/>
      <c r="AD38" s="217"/>
      <c r="AE38" s="361"/>
      <c r="AG38" s="214"/>
      <c r="AH38" s="341"/>
      <c r="AI38" s="341"/>
      <c r="AJ38" s="341"/>
      <c r="AK38" s="248"/>
      <c r="AL38" s="341"/>
      <c r="AM38" s="361"/>
      <c r="AO38" s="214" t="s">
        <v>144</v>
      </c>
      <c r="AP38" s="341"/>
      <c r="AQ38" s="341"/>
      <c r="AR38" s="341"/>
      <c r="AS38" s="365"/>
      <c r="AT38" s="341"/>
      <c r="AU38" s="361">
        <f>+AU32+AU36+AU34</f>
        <v>-0.90024999999999988</v>
      </c>
      <c r="AV38" s="242"/>
    </row>
    <row r="39" spans="1:48" ht="18">
      <c r="A39" s="214" t="s">
        <v>145</v>
      </c>
      <c r="B39" s="217"/>
      <c r="C39" s="217"/>
      <c r="D39" s="217"/>
      <c r="E39" s="248"/>
      <c r="F39" s="217"/>
      <c r="G39" s="361">
        <f>+G34+G37</f>
        <v>1.8831931255289258E-2</v>
      </c>
      <c r="I39" s="214" t="s">
        <v>145</v>
      </c>
      <c r="J39" s="217"/>
      <c r="K39" s="217"/>
      <c r="L39" s="217"/>
      <c r="M39" s="248"/>
      <c r="N39" s="217"/>
      <c r="O39" s="361">
        <f>+O34+O37</f>
        <v>1.6831723051589444</v>
      </c>
      <c r="Q39" s="214" t="s">
        <v>145</v>
      </c>
      <c r="R39" s="217"/>
      <c r="S39" s="217"/>
      <c r="T39" s="217"/>
      <c r="U39" s="248"/>
      <c r="V39" s="217"/>
      <c r="W39" s="361">
        <f>+W34+W37</f>
        <v>2.6370333159667769</v>
      </c>
      <c r="Y39" s="214" t="s">
        <v>145</v>
      </c>
      <c r="Z39" s="217"/>
      <c r="AA39" s="217"/>
      <c r="AB39" s="217"/>
      <c r="AC39" s="248"/>
      <c r="AD39" s="217"/>
      <c r="AE39" s="361">
        <f>+AE34+AE37</f>
        <v>-5.2807195074639504E-2</v>
      </c>
      <c r="AG39" s="214" t="s">
        <v>145</v>
      </c>
      <c r="AH39" s="341"/>
      <c r="AI39" s="341"/>
      <c r="AJ39" s="341"/>
      <c r="AK39" s="248"/>
      <c r="AL39" s="341"/>
      <c r="AM39" s="361">
        <f>+AM34+AM37</f>
        <v>-0.30621083243875091</v>
      </c>
      <c r="AO39" s="214"/>
      <c r="AP39" s="341"/>
      <c r="AQ39" s="341"/>
      <c r="AR39" s="341"/>
      <c r="AS39" s="365"/>
      <c r="AT39" s="341"/>
      <c r="AU39" s="361"/>
      <c r="AV39" s="242"/>
    </row>
    <row r="40" spans="1:48" ht="18">
      <c r="A40" s="214"/>
      <c r="B40" s="217"/>
      <c r="C40" s="217"/>
      <c r="D40" s="217"/>
      <c r="E40" s="248"/>
      <c r="F40" s="217"/>
      <c r="G40" s="361"/>
      <c r="I40" s="214"/>
      <c r="J40" s="217"/>
      <c r="K40" s="217"/>
      <c r="L40" s="217"/>
      <c r="M40" s="248"/>
      <c r="N40" s="217"/>
      <c r="O40" s="361"/>
      <c r="Q40" s="214"/>
      <c r="R40" s="217"/>
      <c r="S40" s="217"/>
      <c r="T40" s="217"/>
      <c r="U40" s="248"/>
      <c r="V40" s="217"/>
      <c r="W40" s="361"/>
      <c r="Y40" s="214"/>
      <c r="Z40" s="217"/>
      <c r="AA40" s="217"/>
      <c r="AB40" s="217"/>
      <c r="AC40" s="248"/>
      <c r="AD40" s="217"/>
      <c r="AE40" s="361"/>
      <c r="AG40" s="214"/>
      <c r="AH40" s="341"/>
      <c r="AI40" s="341"/>
      <c r="AJ40" s="341"/>
      <c r="AK40" s="248"/>
      <c r="AL40" s="341"/>
      <c r="AM40" s="361"/>
      <c r="AO40" s="214" t="s">
        <v>145</v>
      </c>
      <c r="AP40" s="341"/>
      <c r="AQ40" s="341"/>
      <c r="AR40" s="341"/>
      <c r="AS40" s="365"/>
      <c r="AT40" s="341"/>
      <c r="AU40" s="361">
        <f>+AU32+AU34</f>
        <v>-0.59</v>
      </c>
      <c r="AV40" s="242"/>
    </row>
    <row r="41" spans="1:48" ht="13.5" thickBot="1">
      <c r="A41" s="250"/>
      <c r="B41" s="251"/>
      <c r="C41" s="251"/>
      <c r="D41" s="251"/>
      <c r="E41" s="251"/>
      <c r="F41" s="251"/>
      <c r="G41" s="252"/>
      <c r="I41" s="250"/>
      <c r="J41" s="251"/>
      <c r="K41" s="251"/>
      <c r="L41" s="251"/>
      <c r="M41" s="251"/>
      <c r="N41" s="251"/>
      <c r="O41" s="252"/>
      <c r="Q41" s="250"/>
      <c r="R41" s="251"/>
      <c r="S41" s="251"/>
      <c r="T41" s="251"/>
      <c r="U41" s="251"/>
      <c r="V41" s="251"/>
      <c r="W41" s="252"/>
      <c r="Y41" s="250"/>
      <c r="Z41" s="251"/>
      <c r="AA41" s="251"/>
      <c r="AB41" s="251"/>
      <c r="AC41" s="251"/>
      <c r="AD41" s="251"/>
      <c r="AE41" s="252"/>
      <c r="AG41" s="250"/>
      <c r="AH41" s="251"/>
      <c r="AI41" s="251"/>
      <c r="AJ41" s="251"/>
      <c r="AK41" s="251"/>
      <c r="AL41" s="251"/>
      <c r="AM41" s="252"/>
      <c r="AO41" s="250"/>
      <c r="AP41" s="251"/>
      <c r="AQ41" s="251"/>
      <c r="AR41" s="251"/>
      <c r="AS41" s="251"/>
      <c r="AT41" s="251"/>
      <c r="AU41" s="252"/>
    </row>
    <row r="42" spans="1:48">
      <c r="AG42" s="366"/>
      <c r="AM42" s="367"/>
    </row>
    <row r="43" spans="1:48">
      <c r="AG43" s="366"/>
      <c r="AM43" s="367"/>
    </row>
    <row r="44" spans="1:48" ht="13.5" thickBot="1">
      <c r="AG44" s="366"/>
      <c r="AM44" s="367"/>
    </row>
    <row r="45" spans="1:48" ht="23.25">
      <c r="A45" s="210" t="s">
        <v>125</v>
      </c>
      <c r="B45" s="211"/>
      <c r="C45" s="212"/>
      <c r="D45" s="212"/>
      <c r="E45" s="212"/>
      <c r="F45" s="212"/>
      <c r="G45" s="213"/>
      <c r="I45" s="210" t="s">
        <v>125</v>
      </c>
      <c r="J45" s="211"/>
      <c r="K45" s="212"/>
      <c r="L45" s="212"/>
      <c r="M45" s="212"/>
      <c r="N45" s="212"/>
      <c r="O45" s="213"/>
      <c r="Q45" s="210" t="s">
        <v>125</v>
      </c>
      <c r="R45" s="211"/>
      <c r="S45" s="212"/>
      <c r="T45" s="212"/>
      <c r="U45" s="212"/>
      <c r="V45" s="212"/>
      <c r="W45" s="213"/>
      <c r="Y45" s="210" t="s">
        <v>125</v>
      </c>
      <c r="Z45" s="211"/>
      <c r="AA45" s="212"/>
      <c r="AB45" s="212"/>
      <c r="AC45" s="212"/>
      <c r="AD45" s="212"/>
      <c r="AE45" s="213"/>
      <c r="AG45" s="210" t="s">
        <v>125</v>
      </c>
      <c r="AH45" s="211"/>
      <c r="AI45" s="212"/>
      <c r="AJ45" s="212"/>
      <c r="AK45" s="212"/>
      <c r="AL45" s="212"/>
      <c r="AM45" s="213"/>
      <c r="AO45" s="210" t="s">
        <v>125</v>
      </c>
      <c r="AP45" s="211"/>
      <c r="AQ45" s="212"/>
      <c r="AR45" s="212"/>
      <c r="AS45" s="212"/>
      <c r="AT45" s="212"/>
      <c r="AU45" s="213"/>
    </row>
    <row r="46" spans="1:48" ht="15.75">
      <c r="A46" s="214" t="str">
        <f>+A2</f>
        <v>2022 - 2023 Rebate Calculation - Deferred Accounting Methodology</v>
      </c>
      <c r="B46" s="215"/>
      <c r="C46" s="216"/>
      <c r="D46" s="216"/>
      <c r="E46" s="217"/>
      <c r="F46" s="217"/>
      <c r="G46" s="218"/>
      <c r="I46" s="214" t="str">
        <f>+I2</f>
        <v>2021 - 2022 Rebate Calculation - Deferred Accounting Methodology</v>
      </c>
      <c r="J46" s="215"/>
      <c r="K46" s="216"/>
      <c r="L46" s="216"/>
      <c r="M46" s="217"/>
      <c r="N46" s="217"/>
      <c r="O46" s="218"/>
      <c r="Q46" s="214" t="s">
        <v>242</v>
      </c>
      <c r="R46" s="339"/>
      <c r="S46" s="340"/>
      <c r="T46" s="340"/>
      <c r="U46" s="341"/>
      <c r="V46" s="341"/>
      <c r="W46" s="218"/>
      <c r="Y46" s="214" t="s">
        <v>128</v>
      </c>
      <c r="Z46" s="215"/>
      <c r="AA46" s="216"/>
      <c r="AB46" s="216"/>
      <c r="AC46" s="217"/>
      <c r="AD46" s="217"/>
      <c r="AE46" s="218"/>
      <c r="AG46" s="214" t="s">
        <v>128</v>
      </c>
      <c r="AH46" s="339"/>
      <c r="AI46" s="340"/>
      <c r="AJ46" s="340"/>
      <c r="AK46" s="341"/>
      <c r="AL46" s="341"/>
      <c r="AM46" s="218"/>
      <c r="AO46" s="214" t="s">
        <v>109</v>
      </c>
      <c r="AP46" s="339"/>
      <c r="AQ46" s="340"/>
      <c r="AR46" s="340"/>
      <c r="AS46" s="341"/>
      <c r="AT46" s="341"/>
      <c r="AU46" s="218"/>
    </row>
    <row r="47" spans="1:48" ht="15.75">
      <c r="A47" s="219"/>
      <c r="B47" s="220"/>
      <c r="C47" s="217"/>
      <c r="D47" s="217"/>
      <c r="E47" s="217"/>
      <c r="F47" s="217"/>
      <c r="G47" s="218"/>
      <c r="I47" s="219"/>
      <c r="J47" s="220"/>
      <c r="K47" s="217"/>
      <c r="L47" s="217"/>
      <c r="M47" s="217"/>
      <c r="N47" s="217"/>
      <c r="O47" s="218"/>
      <c r="Q47" s="219"/>
      <c r="R47" s="368"/>
      <c r="S47" s="341"/>
      <c r="T47" s="341"/>
      <c r="U47" s="341"/>
      <c r="V47" s="341"/>
      <c r="W47" s="218"/>
      <c r="Y47" s="219"/>
      <c r="Z47" s="220"/>
      <c r="AA47" s="217"/>
      <c r="AB47" s="217"/>
      <c r="AC47" s="217"/>
      <c r="AD47" s="217"/>
      <c r="AE47" s="218"/>
      <c r="AG47" s="219"/>
      <c r="AH47" s="368"/>
      <c r="AI47" s="341"/>
      <c r="AJ47" s="341"/>
      <c r="AK47" s="341"/>
      <c r="AL47" s="341"/>
      <c r="AM47" s="218"/>
      <c r="AO47" s="219"/>
      <c r="AP47" s="368"/>
      <c r="AQ47" s="341"/>
      <c r="AR47" s="341"/>
      <c r="AS47" s="341"/>
      <c r="AT47" s="341"/>
      <c r="AU47" s="218"/>
    </row>
    <row r="48" spans="1:48" ht="15">
      <c r="A48" s="503" t="s">
        <v>19</v>
      </c>
      <c r="B48" s="504"/>
      <c r="C48" s="504"/>
      <c r="D48" s="504"/>
      <c r="E48" s="504"/>
      <c r="F48" s="504"/>
      <c r="G48" s="505"/>
      <c r="I48" s="503" t="s">
        <v>19</v>
      </c>
      <c r="J48" s="504"/>
      <c r="K48" s="504"/>
      <c r="L48" s="504"/>
      <c r="M48" s="504"/>
      <c r="N48" s="504"/>
      <c r="O48" s="505"/>
      <c r="Q48" s="503" t="s">
        <v>19</v>
      </c>
      <c r="R48" s="523"/>
      <c r="S48" s="523"/>
      <c r="T48" s="523"/>
      <c r="U48" s="523"/>
      <c r="V48" s="523"/>
      <c r="W48" s="505"/>
      <c r="Y48" s="503" t="s">
        <v>19</v>
      </c>
      <c r="Z48" s="504"/>
      <c r="AA48" s="504"/>
      <c r="AB48" s="504"/>
      <c r="AC48" s="504"/>
      <c r="AD48" s="504"/>
      <c r="AE48" s="505"/>
      <c r="AG48" s="503" t="s">
        <v>19</v>
      </c>
      <c r="AH48" s="523"/>
      <c r="AI48" s="523"/>
      <c r="AJ48" s="523"/>
      <c r="AK48" s="523"/>
      <c r="AL48" s="523"/>
      <c r="AM48" s="505"/>
      <c r="AO48" s="503" t="s">
        <v>19</v>
      </c>
      <c r="AP48" s="523"/>
      <c r="AQ48" s="523"/>
      <c r="AR48" s="523"/>
      <c r="AS48" s="523"/>
      <c r="AT48" s="523"/>
      <c r="AU48" s="505"/>
    </row>
    <row r="49" spans="1:49" ht="15">
      <c r="A49" s="221"/>
      <c r="B49" s="217"/>
      <c r="C49" s="217"/>
      <c r="D49" s="217"/>
      <c r="E49" s="217"/>
      <c r="F49" s="217"/>
      <c r="G49" s="218"/>
      <c r="I49" s="221"/>
      <c r="J49" s="217"/>
      <c r="K49" s="217"/>
      <c r="L49" s="217"/>
      <c r="M49" s="217"/>
      <c r="N49" s="217"/>
      <c r="O49" s="218"/>
      <c r="Q49" s="221"/>
      <c r="R49" s="341"/>
      <c r="S49" s="341"/>
      <c r="T49" s="341"/>
      <c r="U49" s="341"/>
      <c r="V49" s="341"/>
      <c r="W49" s="218"/>
      <c r="Y49" s="221"/>
      <c r="Z49" s="217"/>
      <c r="AA49" s="217"/>
      <c r="AB49" s="217"/>
      <c r="AC49" s="217"/>
      <c r="AD49" s="217"/>
      <c r="AE49" s="218"/>
      <c r="AG49" s="221"/>
      <c r="AH49" s="341"/>
      <c r="AI49" s="341"/>
      <c r="AJ49" s="341"/>
      <c r="AK49" s="341"/>
      <c r="AL49" s="341"/>
      <c r="AM49" s="218"/>
      <c r="AO49" s="221"/>
      <c r="AP49" s="341"/>
      <c r="AQ49" s="341"/>
      <c r="AR49" s="341"/>
      <c r="AS49" s="341"/>
      <c r="AT49" s="341"/>
      <c r="AU49" s="218"/>
    </row>
    <row r="50" spans="1:49" ht="15.75">
      <c r="A50" s="221"/>
      <c r="B50" s="217"/>
      <c r="C50" s="222"/>
      <c r="D50" s="222"/>
      <c r="E50" s="222" t="s">
        <v>110</v>
      </c>
      <c r="F50" s="222" t="s">
        <v>71</v>
      </c>
      <c r="G50" s="218"/>
      <c r="I50" s="221"/>
      <c r="J50" s="217"/>
      <c r="K50" s="222"/>
      <c r="L50" s="222"/>
      <c r="M50" s="222" t="s">
        <v>110</v>
      </c>
      <c r="N50" s="222" t="s">
        <v>71</v>
      </c>
      <c r="O50" s="218"/>
      <c r="Q50" s="221"/>
      <c r="R50" s="341"/>
      <c r="S50" s="343"/>
      <c r="T50" s="343"/>
      <c r="U50" s="343" t="s">
        <v>110</v>
      </c>
      <c r="V50" s="343" t="s">
        <v>71</v>
      </c>
      <c r="W50" s="218"/>
      <c r="Y50" s="221"/>
      <c r="Z50" s="217"/>
      <c r="AA50" s="222"/>
      <c r="AB50" s="222"/>
      <c r="AC50" s="222" t="s">
        <v>110</v>
      </c>
      <c r="AD50" s="222" t="s">
        <v>71</v>
      </c>
      <c r="AE50" s="218"/>
      <c r="AG50" s="221"/>
      <c r="AH50" s="341"/>
      <c r="AI50" s="343"/>
      <c r="AJ50" s="343"/>
      <c r="AK50" s="343" t="s">
        <v>110</v>
      </c>
      <c r="AL50" s="343" t="s">
        <v>71</v>
      </c>
      <c r="AM50" s="218"/>
      <c r="AO50" s="221"/>
      <c r="AP50" s="341"/>
      <c r="AQ50" s="343"/>
      <c r="AR50" s="343"/>
      <c r="AS50" s="343" t="s">
        <v>110</v>
      </c>
      <c r="AT50" s="343" t="s">
        <v>71</v>
      </c>
      <c r="AU50" s="218"/>
    </row>
    <row r="51" spans="1:49" ht="15.75">
      <c r="A51" s="221"/>
      <c r="B51" s="217"/>
      <c r="C51" s="223" t="s">
        <v>87</v>
      </c>
      <c r="D51" s="223"/>
      <c r="E51" s="223" t="s">
        <v>111</v>
      </c>
      <c r="F51" s="223" t="s">
        <v>112</v>
      </c>
      <c r="G51" s="218"/>
      <c r="I51" s="221"/>
      <c r="J51" s="217"/>
      <c r="K51" s="223" t="s">
        <v>87</v>
      </c>
      <c r="L51" s="223"/>
      <c r="M51" s="223" t="s">
        <v>111</v>
      </c>
      <c r="N51" s="223" t="s">
        <v>112</v>
      </c>
      <c r="O51" s="218"/>
      <c r="Q51" s="221"/>
      <c r="R51" s="341"/>
      <c r="S51" s="344" t="s">
        <v>87</v>
      </c>
      <c r="T51" s="344"/>
      <c r="U51" s="344" t="s">
        <v>111</v>
      </c>
      <c r="V51" s="344" t="s">
        <v>112</v>
      </c>
      <c r="W51" s="218"/>
      <c r="Y51" s="221"/>
      <c r="Z51" s="217"/>
      <c r="AA51" s="223" t="s">
        <v>87</v>
      </c>
      <c r="AB51" s="223"/>
      <c r="AC51" s="223" t="s">
        <v>111</v>
      </c>
      <c r="AD51" s="223" t="s">
        <v>112</v>
      </c>
      <c r="AE51" s="218"/>
      <c r="AG51" s="221"/>
      <c r="AH51" s="341"/>
      <c r="AI51" s="344" t="s">
        <v>87</v>
      </c>
      <c r="AJ51" s="344"/>
      <c r="AK51" s="344" t="s">
        <v>111</v>
      </c>
      <c r="AL51" s="344" t="s">
        <v>112</v>
      </c>
      <c r="AM51" s="218"/>
      <c r="AO51" s="221"/>
      <c r="AP51" s="341"/>
      <c r="AQ51" s="344" t="s">
        <v>87</v>
      </c>
      <c r="AR51" s="344"/>
      <c r="AS51" s="344" t="s">
        <v>111</v>
      </c>
      <c r="AT51" s="344" t="s">
        <v>112</v>
      </c>
      <c r="AU51" s="218"/>
    </row>
    <row r="52" spans="1:49" ht="15.75">
      <c r="A52" s="224" t="str">
        <f>+A10</f>
        <v>Projected Revenue Oct. 2022 - Sep. 2023</v>
      </c>
      <c r="B52" s="215"/>
      <c r="C52" s="225"/>
      <c r="D52" s="225"/>
      <c r="E52" s="225"/>
      <c r="F52" s="225"/>
      <c r="G52" s="218"/>
      <c r="I52" s="224" t="str">
        <f>+I10</f>
        <v>Projected Revenue Oct. 2021 - Sep. 2022</v>
      </c>
      <c r="J52" s="215"/>
      <c r="K52" s="225"/>
      <c r="L52" s="225"/>
      <c r="M52" s="225"/>
      <c r="N52" s="225"/>
      <c r="O52" s="218"/>
      <c r="Q52" s="224" t="s">
        <v>243</v>
      </c>
      <c r="R52" s="339"/>
      <c r="S52" s="345"/>
      <c r="T52" s="345"/>
      <c r="U52" s="345"/>
      <c r="V52" s="345"/>
      <c r="W52" s="218"/>
      <c r="Y52" s="224" t="s">
        <v>235</v>
      </c>
      <c r="Z52" s="215"/>
      <c r="AA52" s="225"/>
      <c r="AB52" s="225"/>
      <c r="AC52" s="225"/>
      <c r="AD52" s="225"/>
      <c r="AE52" s="218"/>
      <c r="AG52" s="224" t="s">
        <v>127</v>
      </c>
      <c r="AH52" s="339"/>
      <c r="AI52" s="345"/>
      <c r="AJ52" s="345"/>
      <c r="AK52" s="345"/>
      <c r="AL52" s="345"/>
      <c r="AM52" s="218"/>
      <c r="AO52" s="224" t="s">
        <v>113</v>
      </c>
      <c r="AP52" s="339"/>
      <c r="AQ52" s="345"/>
      <c r="AR52" s="345"/>
      <c r="AS52" s="345"/>
      <c r="AT52" s="345"/>
      <c r="AU52" s="218"/>
    </row>
    <row r="53" spans="1:49" ht="15.75">
      <c r="A53" s="221" t="s">
        <v>114</v>
      </c>
      <c r="B53" s="217"/>
      <c r="C53" s="226">
        <f>SUM('Customer Counts - Enspire'!F18:F20)</f>
        <v>64943</v>
      </c>
      <c r="D53" s="226"/>
      <c r="E53" s="227">
        <f>+M54</f>
        <v>1.44</v>
      </c>
      <c r="F53" s="228">
        <f>C53*E53</f>
        <v>93517.92</v>
      </c>
      <c r="G53" s="218"/>
      <c r="I53" s="221" t="s">
        <v>114</v>
      </c>
      <c r="J53" s="217"/>
      <c r="K53" s="226">
        <f>SUM('Customer Counts - Enspire'!F6:F8)</f>
        <v>64645</v>
      </c>
      <c r="L53" s="226"/>
      <c r="M53" s="227">
        <f>+U54</f>
        <v>0.26</v>
      </c>
      <c r="N53" s="228">
        <f>K53*M53</f>
        <v>16807.7</v>
      </c>
      <c r="O53" s="218"/>
      <c r="Q53" s="221" t="s">
        <v>114</v>
      </c>
      <c r="R53" s="341"/>
      <c r="S53" s="346">
        <v>64357</v>
      </c>
      <c r="T53" s="346"/>
      <c r="U53" s="347">
        <f>+AC54</f>
        <v>0.61</v>
      </c>
      <c r="V53" s="348">
        <f>S53*U53</f>
        <v>39257.769999999997</v>
      </c>
      <c r="W53" s="218"/>
      <c r="Y53" s="221" t="s">
        <v>114</v>
      </c>
      <c r="Z53" s="217"/>
      <c r="AA53" s="226">
        <v>63872</v>
      </c>
      <c r="AB53" s="226"/>
      <c r="AC53" s="227">
        <f>+AK54</f>
        <v>0.72</v>
      </c>
      <c r="AD53" s="228">
        <f>AA53*AC53</f>
        <v>45987.839999999997</v>
      </c>
      <c r="AE53" s="218"/>
      <c r="AG53" s="221" t="s">
        <v>114</v>
      </c>
      <c r="AH53" s="341"/>
      <c r="AI53" s="346">
        <v>63231</v>
      </c>
      <c r="AJ53" s="346"/>
      <c r="AK53" s="227">
        <f>+AS54</f>
        <v>2.7</v>
      </c>
      <c r="AL53" s="228">
        <f>AI53*AK53</f>
        <v>170723.7</v>
      </c>
      <c r="AM53" s="218"/>
      <c r="AO53" s="221" t="s">
        <v>114</v>
      </c>
      <c r="AP53" s="341"/>
      <c r="AQ53" s="346">
        <v>62533</v>
      </c>
      <c r="AR53" s="346"/>
      <c r="AS53" s="347">
        <v>1.94</v>
      </c>
      <c r="AT53" s="348">
        <f>AQ53*AS53</f>
        <v>121314.01999999999</v>
      </c>
      <c r="AU53" s="218"/>
    </row>
    <row r="54" spans="1:49" ht="17.25">
      <c r="A54" s="229" t="s">
        <v>115</v>
      </c>
      <c r="B54" s="230"/>
      <c r="C54" s="231">
        <f>SUM('Customer Counts - Enspire'!F21:F29)</f>
        <v>195226</v>
      </c>
      <c r="D54" s="231"/>
      <c r="E54" s="227">
        <f>+O75</f>
        <v>1.34</v>
      </c>
      <c r="F54" s="232">
        <f>C54*E54</f>
        <v>261602.84000000003</v>
      </c>
      <c r="G54" s="218"/>
      <c r="I54" s="229" t="s">
        <v>115</v>
      </c>
      <c r="J54" s="230"/>
      <c r="K54" s="231">
        <f>SUM('Customer Counts - Enspire'!F9:F17)</f>
        <v>194351</v>
      </c>
      <c r="L54" s="231"/>
      <c r="M54" s="227">
        <f>+W75</f>
        <v>1.44</v>
      </c>
      <c r="N54" s="232">
        <f>K54*M54</f>
        <v>279865.44</v>
      </c>
      <c r="O54" s="218"/>
      <c r="Q54" s="229" t="s">
        <v>115</v>
      </c>
      <c r="R54" s="281"/>
      <c r="S54" s="349">
        <v>193756</v>
      </c>
      <c r="T54" s="349"/>
      <c r="U54" s="347">
        <f>+AE75</f>
        <v>0.26</v>
      </c>
      <c r="V54" s="350">
        <f>S54*U54</f>
        <v>50376.560000000005</v>
      </c>
      <c r="W54" s="218"/>
      <c r="Y54" s="229" t="s">
        <v>115</v>
      </c>
      <c r="Z54" s="230"/>
      <c r="AA54" s="231">
        <v>192670</v>
      </c>
      <c r="AB54" s="231"/>
      <c r="AC54" s="227">
        <f>+AM75</f>
        <v>0.61</v>
      </c>
      <c r="AD54" s="232">
        <f>AA54*AC54</f>
        <v>117528.7</v>
      </c>
      <c r="AE54" s="218"/>
      <c r="AG54" s="229" t="s">
        <v>115</v>
      </c>
      <c r="AH54" s="281"/>
      <c r="AI54" s="349">
        <v>148568</v>
      </c>
      <c r="AJ54" s="349"/>
      <c r="AK54" s="227">
        <f>+AU73</f>
        <v>0.72</v>
      </c>
      <c r="AL54" s="232">
        <f>AI54*AK54</f>
        <v>106968.95999999999</v>
      </c>
      <c r="AM54" s="218"/>
      <c r="AO54" s="229" t="s">
        <v>115</v>
      </c>
      <c r="AP54" s="281"/>
      <c r="AQ54" s="349">
        <v>188839</v>
      </c>
      <c r="AR54" s="349"/>
      <c r="AS54" s="347">
        <v>2.7</v>
      </c>
      <c r="AT54" s="350">
        <f>AQ54*AS54</f>
        <v>509865.30000000005</v>
      </c>
      <c r="AU54" s="218"/>
    </row>
    <row r="55" spans="1:49" ht="17.25">
      <c r="A55" s="221" t="s">
        <v>71</v>
      </c>
      <c r="B55" s="217"/>
      <c r="C55" s="226">
        <f>SUM(C53:C54)</f>
        <v>260169</v>
      </c>
      <c r="D55" s="231"/>
      <c r="E55" s="217"/>
      <c r="F55" s="228">
        <f>SUM(F53:F54)</f>
        <v>355120.76</v>
      </c>
      <c r="G55" s="218"/>
      <c r="I55" s="221" t="s">
        <v>71</v>
      </c>
      <c r="J55" s="217"/>
      <c r="K55" s="226">
        <f>SUM(K53:K54)</f>
        <v>258996</v>
      </c>
      <c r="L55" s="231"/>
      <c r="M55" s="217"/>
      <c r="N55" s="228">
        <f>SUM(N53:N54)</f>
        <v>296673.14</v>
      </c>
      <c r="O55" s="218"/>
      <c r="Q55" s="221" t="s">
        <v>71</v>
      </c>
      <c r="R55" s="341"/>
      <c r="S55" s="346">
        <f>SUM(S53:S54)</f>
        <v>258113</v>
      </c>
      <c r="T55" s="349"/>
      <c r="U55" s="341"/>
      <c r="V55" s="348">
        <f>SUM(V53:V54)</f>
        <v>89634.33</v>
      </c>
      <c r="W55" s="218"/>
      <c r="Y55" s="221" t="s">
        <v>71</v>
      </c>
      <c r="Z55" s="217"/>
      <c r="AA55" s="226">
        <f>SUM(AA53:AA54)</f>
        <v>256542</v>
      </c>
      <c r="AB55" s="231"/>
      <c r="AC55" s="217"/>
      <c r="AD55" s="228">
        <f>SUM(AD53:AD54)</f>
        <v>163516.53999999998</v>
      </c>
      <c r="AE55" s="218"/>
      <c r="AG55" s="221" t="s">
        <v>71</v>
      </c>
      <c r="AH55" s="341"/>
      <c r="AI55" s="346">
        <f>SUM(AI53:AI54)</f>
        <v>211799</v>
      </c>
      <c r="AJ55" s="349"/>
      <c r="AK55" s="341"/>
      <c r="AL55" s="228">
        <f>SUM(AL53:AL54)</f>
        <v>277692.66000000003</v>
      </c>
      <c r="AM55" s="218"/>
      <c r="AO55" s="221" t="s">
        <v>71</v>
      </c>
      <c r="AP55" s="341"/>
      <c r="AQ55" s="346">
        <f>SUM(AQ53:AQ54)</f>
        <v>251372</v>
      </c>
      <c r="AR55" s="349"/>
      <c r="AS55" s="341"/>
      <c r="AT55" s="348">
        <f>SUM(AT53:AT54)</f>
        <v>631179.32000000007</v>
      </c>
      <c r="AU55" s="218"/>
    </row>
    <row r="56" spans="1:49" ht="15">
      <c r="A56" s="221"/>
      <c r="B56" s="217"/>
      <c r="C56" s="217"/>
      <c r="D56" s="217"/>
      <c r="E56" s="217"/>
      <c r="F56" s="217"/>
      <c r="G56" s="218"/>
      <c r="I56" s="221"/>
      <c r="J56" s="217"/>
      <c r="K56" s="217"/>
      <c r="L56" s="217"/>
      <c r="M56" s="217"/>
      <c r="N56" s="217"/>
      <c r="O56" s="218"/>
      <c r="Q56" s="221"/>
      <c r="R56" s="341"/>
      <c r="S56" s="341"/>
      <c r="T56" s="341"/>
      <c r="U56" s="341"/>
      <c r="V56" s="341"/>
      <c r="W56" s="218"/>
      <c r="Y56" s="221"/>
      <c r="Z56" s="217"/>
      <c r="AA56" s="217"/>
      <c r="AB56" s="217"/>
      <c r="AC56" s="217"/>
      <c r="AD56" s="217"/>
      <c r="AE56" s="218"/>
      <c r="AG56" s="221"/>
      <c r="AH56" s="341"/>
      <c r="AI56" s="341"/>
      <c r="AJ56" s="341"/>
      <c r="AK56" s="341"/>
      <c r="AL56" s="341"/>
      <c r="AM56" s="218"/>
      <c r="AO56" s="221"/>
      <c r="AP56" s="341"/>
      <c r="AQ56" s="341"/>
      <c r="AR56" s="341"/>
      <c r="AS56" s="341"/>
      <c r="AT56" s="341"/>
      <c r="AU56" s="218"/>
    </row>
    <row r="57" spans="1:49" ht="15.75">
      <c r="A57" s="214" t="str">
        <f>+A16</f>
        <v xml:space="preserve">Actual Commodity Revenue (Oct. 2022 - Sept. 2023) </v>
      </c>
      <c r="B57" s="217"/>
      <c r="C57" s="217"/>
      <c r="D57" s="217"/>
      <c r="E57" s="217"/>
      <c r="F57" s="228">
        <f>SUM('2022-2023 Recy. Tons &amp; Revenue'!J86:J97)</f>
        <v>182202.75179312602</v>
      </c>
      <c r="G57" s="218"/>
      <c r="I57" s="214" t="str">
        <f>+I16</f>
        <v xml:space="preserve">Actual Commodity Revenue (Oct. 2021 - Sept. 2022) </v>
      </c>
      <c r="J57" s="217"/>
      <c r="K57" s="217"/>
      <c r="L57" s="217"/>
      <c r="M57" s="217"/>
      <c r="N57" s="228">
        <f>SUM('2022-2023 Recy. Tons &amp; Revenue'!J74:J85)</f>
        <v>347911.88406171836</v>
      </c>
      <c r="O57" s="218"/>
      <c r="Q57" s="214" t="str">
        <f>+Q16</f>
        <v xml:space="preserve">Actual Commodity Revenue (Oct. 2020 - Sept. 2021) </v>
      </c>
      <c r="R57" s="341"/>
      <c r="S57" s="341"/>
      <c r="T57" s="341"/>
      <c r="U57" s="341"/>
      <c r="V57" s="348">
        <v>372608.53427144117</v>
      </c>
      <c r="W57" s="218"/>
      <c r="Y57" s="214" t="str">
        <f>+Y16</f>
        <v xml:space="preserve">Actual Commodity Revenue (Oct. 2019 - Sept. 2020) </v>
      </c>
      <c r="Z57" s="217"/>
      <c r="AA57" s="217"/>
      <c r="AB57" s="217"/>
      <c r="AC57" s="217"/>
      <c r="AD57" s="228">
        <v>66311.043460356566</v>
      </c>
      <c r="AE57" s="218"/>
      <c r="AG57" s="214" t="s">
        <v>129</v>
      </c>
      <c r="AH57" s="341"/>
      <c r="AI57" s="341"/>
      <c r="AJ57" s="341"/>
      <c r="AK57" s="341"/>
      <c r="AL57" s="228">
        <v>153774.15208976623</v>
      </c>
      <c r="AM57" s="218"/>
      <c r="AO57" s="221"/>
      <c r="AP57" s="341"/>
      <c r="AQ57" s="341"/>
      <c r="AR57" s="341"/>
      <c r="AS57" s="341"/>
      <c r="AT57" s="341"/>
      <c r="AU57" s="218"/>
    </row>
    <row r="58" spans="1:49" ht="15.75">
      <c r="A58" s="214" t="str">
        <f t="shared" ref="A58:A59" si="0">+A17</f>
        <v>Less: 50% retained by company</v>
      </c>
      <c r="B58" s="217"/>
      <c r="C58" s="217"/>
      <c r="D58" s="217"/>
      <c r="E58" s="217"/>
      <c r="F58" s="276">
        <f>-F57*50%</f>
        <v>-91101.375896563011</v>
      </c>
      <c r="G58" s="218"/>
      <c r="I58" s="214" t="str">
        <f t="shared" ref="I58:I59" si="1">+I17</f>
        <v>Less: 50% retained by company</v>
      </c>
      <c r="J58" s="217"/>
      <c r="K58" s="217"/>
      <c r="L58" s="217"/>
      <c r="M58" s="217"/>
      <c r="N58" s="276">
        <f>-N57*50%</f>
        <v>-173955.94203085918</v>
      </c>
      <c r="O58" s="218"/>
      <c r="Q58" s="214" t="str">
        <f t="shared" ref="Q58:Q59" si="2">+Q17</f>
        <v>Less: 50% retained by company</v>
      </c>
      <c r="R58" s="341"/>
      <c r="S58" s="341"/>
      <c r="T58" s="341"/>
      <c r="U58" s="341"/>
      <c r="V58" s="276">
        <f>-V57*50%</f>
        <v>-186304.26713572058</v>
      </c>
      <c r="W58" s="218"/>
      <c r="Y58" s="214" t="str">
        <f t="shared" ref="Y58:Y59" si="3">+Y17</f>
        <v>Less: 50% retained by company</v>
      </c>
      <c r="Z58" s="217"/>
      <c r="AA58" s="217"/>
      <c r="AB58" s="217"/>
      <c r="AC58" s="217"/>
      <c r="AD58" s="276">
        <f>-AD57*50%</f>
        <v>-33155.521730178283</v>
      </c>
      <c r="AE58" s="218"/>
      <c r="AG58" s="214" t="s">
        <v>150</v>
      </c>
      <c r="AH58" s="341"/>
      <c r="AI58" s="341"/>
      <c r="AJ58" s="341"/>
      <c r="AK58" s="341"/>
      <c r="AL58" s="276">
        <f>-AL57*50%</f>
        <v>-76887.076044883113</v>
      </c>
      <c r="AM58" s="218"/>
      <c r="AO58" s="221"/>
      <c r="AP58" s="341"/>
      <c r="AQ58" s="341"/>
      <c r="AR58" s="341"/>
      <c r="AS58" s="341"/>
      <c r="AT58" s="341"/>
      <c r="AU58" s="218"/>
    </row>
    <row r="59" spans="1:49" ht="15.75">
      <c r="A59" s="214" t="str">
        <f t="shared" si="0"/>
        <v>Net Commodity Revenue</v>
      </c>
      <c r="B59" s="230"/>
      <c r="C59" s="230"/>
      <c r="D59" s="230"/>
      <c r="E59" s="230"/>
      <c r="F59" s="382">
        <f>SUM(F57:F58)</f>
        <v>91101.375896563011</v>
      </c>
      <c r="G59" s="218"/>
      <c r="I59" s="214" t="str">
        <f t="shared" si="1"/>
        <v>Net Commodity Revenue</v>
      </c>
      <c r="J59" s="230"/>
      <c r="K59" s="230"/>
      <c r="L59" s="230"/>
      <c r="M59" s="230"/>
      <c r="N59" s="382">
        <f>SUM(N57:N58)</f>
        <v>173955.94203085918</v>
      </c>
      <c r="O59" s="218"/>
      <c r="Q59" s="214" t="str">
        <f t="shared" si="2"/>
        <v>Net Commodity Revenue</v>
      </c>
      <c r="R59" s="281"/>
      <c r="S59" s="281"/>
      <c r="T59" s="281"/>
      <c r="U59" s="281"/>
      <c r="V59" s="277">
        <f>SUM(V57:V58)</f>
        <v>186304.26713572058</v>
      </c>
      <c r="W59" s="218"/>
      <c r="Y59" s="214" t="str">
        <f t="shared" si="3"/>
        <v>Net Commodity Revenue</v>
      </c>
      <c r="Z59" s="230"/>
      <c r="AA59" s="230"/>
      <c r="AB59" s="230"/>
      <c r="AC59" s="230"/>
      <c r="AD59" s="382">
        <f>SUM(AD57:AD58)</f>
        <v>33155.521730178283</v>
      </c>
      <c r="AE59" s="218"/>
      <c r="AG59" s="280" t="s">
        <v>153</v>
      </c>
      <c r="AH59" s="281"/>
      <c r="AI59" s="281"/>
      <c r="AJ59" s="281"/>
      <c r="AK59" s="281"/>
      <c r="AL59" s="277">
        <f>SUM(AL57:AL58)</f>
        <v>76887.076044883113</v>
      </c>
      <c r="AM59" s="218"/>
      <c r="AO59" s="221"/>
      <c r="AP59" s="341"/>
      <c r="AQ59" s="341"/>
      <c r="AR59" s="341"/>
      <c r="AS59" s="341"/>
      <c r="AT59" s="341"/>
      <c r="AU59" s="218"/>
    </row>
    <row r="60" spans="1:49" ht="15">
      <c r="A60" s="229"/>
      <c r="B60" s="230"/>
      <c r="C60" s="230"/>
      <c r="D60" s="230"/>
      <c r="E60" s="230"/>
      <c r="F60" s="230"/>
      <c r="G60" s="218"/>
      <c r="I60" s="229"/>
      <c r="J60" s="230"/>
      <c r="K60" s="230"/>
      <c r="L60" s="230"/>
      <c r="M60" s="230"/>
      <c r="N60" s="230"/>
      <c r="O60" s="218"/>
      <c r="Q60" s="281"/>
      <c r="R60" s="281"/>
      <c r="S60" s="281"/>
      <c r="T60" s="281"/>
      <c r="U60" s="281"/>
      <c r="V60" s="281"/>
      <c r="W60" s="218"/>
      <c r="Y60" s="229"/>
      <c r="Z60" s="230"/>
      <c r="AA60" s="230"/>
      <c r="AB60" s="230"/>
      <c r="AC60" s="230"/>
      <c r="AD60" s="230"/>
      <c r="AE60" s="218"/>
      <c r="AG60" s="229"/>
      <c r="AH60" s="281"/>
      <c r="AI60" s="281"/>
      <c r="AJ60" s="281"/>
      <c r="AK60" s="281"/>
      <c r="AL60" s="281"/>
      <c r="AM60" s="218"/>
      <c r="AO60" s="221"/>
      <c r="AP60" s="341"/>
      <c r="AQ60" s="341"/>
      <c r="AR60" s="341"/>
      <c r="AS60" s="341"/>
      <c r="AT60" s="341"/>
      <c r="AU60" s="218"/>
    </row>
    <row r="61" spans="1:49" ht="15">
      <c r="A61" s="221"/>
      <c r="B61" s="217"/>
      <c r="C61" s="217"/>
      <c r="D61" s="217"/>
      <c r="E61" s="217"/>
      <c r="F61" s="256"/>
      <c r="G61" s="218"/>
      <c r="I61" s="221"/>
      <c r="J61" s="217"/>
      <c r="K61" s="217"/>
      <c r="L61" s="217"/>
      <c r="M61" s="217"/>
      <c r="N61" s="256"/>
      <c r="O61" s="218"/>
      <c r="Q61" s="221"/>
      <c r="R61" s="341"/>
      <c r="S61" s="341"/>
      <c r="T61" s="341"/>
      <c r="U61" s="341"/>
      <c r="V61" s="351"/>
      <c r="W61" s="218"/>
      <c r="Y61" s="221"/>
      <c r="Z61" s="217"/>
      <c r="AA61" s="217"/>
      <c r="AB61" s="217"/>
      <c r="AC61" s="217"/>
      <c r="AD61" s="256"/>
      <c r="AE61" s="218"/>
      <c r="AG61" s="221" t="s">
        <v>117</v>
      </c>
      <c r="AH61" s="341"/>
      <c r="AI61" s="341"/>
      <c r="AJ61" s="341"/>
      <c r="AK61" s="341"/>
      <c r="AL61" s="256">
        <f>AL59-AL55</f>
        <v>-200805.58395511692</v>
      </c>
      <c r="AM61" s="218"/>
      <c r="AO61" s="221"/>
      <c r="AP61" s="341"/>
      <c r="AQ61" s="341"/>
      <c r="AR61" s="341"/>
      <c r="AS61" s="341"/>
      <c r="AT61" s="341"/>
      <c r="AU61" s="218"/>
    </row>
    <row r="62" spans="1:49" ht="15.75">
      <c r="A62" s="214"/>
      <c r="B62" s="217"/>
      <c r="C62" s="253"/>
      <c r="D62" s="217"/>
      <c r="E62" s="254"/>
      <c r="F62" s="228"/>
      <c r="G62" s="218"/>
      <c r="I62" s="214"/>
      <c r="J62" s="217"/>
      <c r="K62" s="253"/>
      <c r="L62" s="217"/>
      <c r="M62" s="254"/>
      <c r="N62" s="228"/>
      <c r="O62" s="218"/>
      <c r="Q62" s="214"/>
      <c r="R62" s="341"/>
      <c r="S62" s="353"/>
      <c r="T62" s="341"/>
      <c r="U62" s="354"/>
      <c r="V62" s="348"/>
      <c r="W62" s="218"/>
      <c r="Y62" s="214"/>
      <c r="Z62" s="217"/>
      <c r="AA62" s="253"/>
      <c r="AB62" s="217"/>
      <c r="AC62" s="254"/>
      <c r="AD62" s="228"/>
      <c r="AE62" s="218"/>
      <c r="AG62" s="214" t="s">
        <v>151</v>
      </c>
      <c r="AH62" s="341"/>
      <c r="AI62" s="253">
        <v>42056</v>
      </c>
      <c r="AJ62" s="341"/>
      <c r="AK62" s="354">
        <f>AU80</f>
        <v>-1.1600000000000001</v>
      </c>
      <c r="AL62" s="228">
        <f>AK62*AI62</f>
        <v>-48784.960000000006</v>
      </c>
      <c r="AM62" s="218"/>
      <c r="AO62" s="214" t="s">
        <v>116</v>
      </c>
      <c r="AP62" s="341"/>
      <c r="AQ62" s="341"/>
      <c r="AR62" s="341"/>
      <c r="AS62" s="341"/>
      <c r="AT62" s="348">
        <v>269162</v>
      </c>
      <c r="AU62" s="218"/>
      <c r="AW62" s="258"/>
    </row>
    <row r="63" spans="1:49" ht="15.75">
      <c r="A63" s="214"/>
      <c r="B63" s="230"/>
      <c r="C63" s="230"/>
      <c r="D63" s="230"/>
      <c r="E63" s="230"/>
      <c r="F63" s="256"/>
      <c r="G63" s="218"/>
      <c r="I63" s="214"/>
      <c r="J63" s="230"/>
      <c r="K63" s="230"/>
      <c r="L63" s="230"/>
      <c r="M63" s="230"/>
      <c r="N63" s="256"/>
      <c r="O63" s="218"/>
      <c r="Q63" s="214"/>
      <c r="R63" s="281"/>
      <c r="S63" s="281"/>
      <c r="T63" s="281"/>
      <c r="U63" s="281"/>
      <c r="V63" s="256"/>
      <c r="W63" s="218"/>
      <c r="Y63" s="214"/>
      <c r="Z63" s="230"/>
      <c r="AA63" s="230"/>
      <c r="AB63" s="230"/>
      <c r="AC63" s="230"/>
      <c r="AD63" s="256"/>
      <c r="AE63" s="218"/>
      <c r="AG63" s="214" t="s">
        <v>148</v>
      </c>
      <c r="AH63" s="281"/>
      <c r="AI63" s="281"/>
      <c r="AJ63" s="281"/>
      <c r="AK63" s="281"/>
      <c r="AL63" s="278">
        <v>4957.7399619857606</v>
      </c>
      <c r="AM63" s="218"/>
      <c r="AO63" s="221"/>
      <c r="AP63" s="341"/>
      <c r="AQ63" s="341"/>
      <c r="AR63" s="341"/>
      <c r="AS63" s="341"/>
      <c r="AT63" s="348"/>
      <c r="AU63" s="218"/>
    </row>
    <row r="64" spans="1:49" ht="15">
      <c r="A64" s="229" t="s">
        <v>154</v>
      </c>
      <c r="B64" s="230"/>
      <c r="C64" s="230"/>
      <c r="D64" s="230"/>
      <c r="E64" s="230"/>
      <c r="F64" s="382">
        <f>+F59-F55</f>
        <v>-264019.38410343701</v>
      </c>
      <c r="G64" s="218" t="s">
        <v>239</v>
      </c>
      <c r="I64" s="229" t="s">
        <v>154</v>
      </c>
      <c r="J64" s="230"/>
      <c r="K64" s="230"/>
      <c r="L64" s="230"/>
      <c r="M64" s="230"/>
      <c r="N64" s="382">
        <f>+N59-N55</f>
        <v>-122717.19796914083</v>
      </c>
      <c r="O64" s="218" t="s">
        <v>239</v>
      </c>
      <c r="Q64" s="281" t="s">
        <v>154</v>
      </c>
      <c r="R64" s="281"/>
      <c r="S64" s="281"/>
      <c r="T64" s="281"/>
      <c r="U64" s="281"/>
      <c r="V64" s="277">
        <f>+V59-V55</f>
        <v>96669.937135720582</v>
      </c>
      <c r="W64" s="218"/>
      <c r="Y64" s="229" t="s">
        <v>154</v>
      </c>
      <c r="Z64" s="230"/>
      <c r="AA64" s="230"/>
      <c r="AB64" s="230"/>
      <c r="AC64" s="230"/>
      <c r="AD64" s="382">
        <f>+AD59-AD55</f>
        <v>-130361.0182698217</v>
      </c>
      <c r="AE64" s="218"/>
      <c r="AG64" s="229" t="s">
        <v>154</v>
      </c>
      <c r="AH64" s="281"/>
      <c r="AI64" s="281"/>
      <c r="AJ64" s="281"/>
      <c r="AK64" s="281"/>
      <c r="AL64" s="277">
        <f>SUM(AL61:AL63)</f>
        <v>-244632.80399313118</v>
      </c>
      <c r="AM64" s="218"/>
      <c r="AO64" s="221" t="s">
        <v>117</v>
      </c>
      <c r="AP64" s="341"/>
      <c r="AQ64" s="341"/>
      <c r="AR64" s="341"/>
      <c r="AS64" s="341"/>
      <c r="AT64" s="346">
        <f>AT62-AT55</f>
        <v>-362017.32000000007</v>
      </c>
      <c r="AU64" s="218"/>
    </row>
    <row r="65" spans="1:47" ht="17.25">
      <c r="A65" s="229"/>
      <c r="B65" s="230"/>
      <c r="C65" s="230"/>
      <c r="D65" s="230"/>
      <c r="E65" s="230"/>
      <c r="F65" s="230"/>
      <c r="G65" s="218"/>
      <c r="I65" s="229"/>
      <c r="J65" s="230"/>
      <c r="K65" s="230"/>
      <c r="L65" s="230"/>
      <c r="M65" s="230"/>
      <c r="N65" s="230"/>
      <c r="O65" s="218"/>
      <c r="Q65" s="281"/>
      <c r="R65" s="281"/>
      <c r="S65" s="281"/>
      <c r="T65" s="281"/>
      <c r="U65" s="281"/>
      <c r="V65" s="281"/>
      <c r="W65" s="218"/>
      <c r="Y65" s="229"/>
      <c r="Z65" s="230"/>
      <c r="AA65" s="230"/>
      <c r="AB65" s="230"/>
      <c r="AC65" s="230"/>
      <c r="AD65" s="230"/>
      <c r="AE65" s="218"/>
      <c r="AG65" s="229"/>
      <c r="AH65" s="281"/>
      <c r="AI65" s="281"/>
      <c r="AJ65" s="281"/>
      <c r="AK65" s="281"/>
      <c r="AL65" s="281"/>
      <c r="AM65" s="218"/>
      <c r="AO65" s="221"/>
      <c r="AP65" s="341"/>
      <c r="AQ65" s="356"/>
      <c r="AR65" s="341"/>
      <c r="AS65" s="341"/>
      <c r="AT65" s="355"/>
      <c r="AU65" s="218"/>
    </row>
    <row r="66" spans="1:47" ht="15">
      <c r="A66" s="221" t="s">
        <v>118</v>
      </c>
      <c r="B66" s="217"/>
      <c r="C66" s="217"/>
      <c r="D66" s="217"/>
      <c r="E66" s="217"/>
      <c r="F66" s="226">
        <f>+C55</f>
        <v>260169</v>
      </c>
      <c r="G66" s="218"/>
      <c r="I66" s="221" t="s">
        <v>118</v>
      </c>
      <c r="J66" s="217"/>
      <c r="K66" s="217"/>
      <c r="L66" s="217"/>
      <c r="M66" s="217"/>
      <c r="N66" s="226">
        <f>+K55</f>
        <v>258996</v>
      </c>
      <c r="O66" s="218"/>
      <c r="Q66" s="221" t="s">
        <v>118</v>
      </c>
      <c r="R66" s="341"/>
      <c r="S66" s="341"/>
      <c r="T66" s="341"/>
      <c r="U66" s="341"/>
      <c r="V66" s="346">
        <f>+S55</f>
        <v>258113</v>
      </c>
      <c r="W66" s="218"/>
      <c r="Y66" s="221" t="s">
        <v>118</v>
      </c>
      <c r="Z66" s="217"/>
      <c r="AA66" s="217"/>
      <c r="AB66" s="217"/>
      <c r="AC66" s="217"/>
      <c r="AD66" s="226">
        <f>+AA55</f>
        <v>256542</v>
      </c>
      <c r="AE66" s="218"/>
      <c r="AG66" s="221" t="s">
        <v>118</v>
      </c>
      <c r="AH66" s="341"/>
      <c r="AI66" s="341"/>
      <c r="AJ66" s="341"/>
      <c r="AK66" s="341"/>
      <c r="AL66" s="346">
        <v>253855</v>
      </c>
      <c r="AM66" s="218"/>
      <c r="AO66" s="221" t="s">
        <v>118</v>
      </c>
      <c r="AP66" s="341"/>
      <c r="AQ66" s="341"/>
      <c r="AR66" s="341"/>
      <c r="AS66" s="341"/>
      <c r="AT66" s="346">
        <f>+AQ55</f>
        <v>251372</v>
      </c>
      <c r="AU66" s="218"/>
    </row>
    <row r="67" spans="1:47" ht="15">
      <c r="A67" s="221"/>
      <c r="B67" s="217"/>
      <c r="C67" s="217"/>
      <c r="D67" s="217"/>
      <c r="E67" s="217"/>
      <c r="F67" s="217"/>
      <c r="G67" s="218"/>
      <c r="I67" s="221"/>
      <c r="J67" s="217"/>
      <c r="K67" s="217"/>
      <c r="L67" s="217"/>
      <c r="M67" s="217"/>
      <c r="N67" s="217"/>
      <c r="O67" s="218"/>
      <c r="Q67" s="221"/>
      <c r="R67" s="341"/>
      <c r="S67" s="341"/>
      <c r="T67" s="341"/>
      <c r="U67" s="341"/>
      <c r="V67" s="341"/>
      <c r="W67" s="218"/>
      <c r="Y67" s="221"/>
      <c r="Z67" s="217"/>
      <c r="AA67" s="217"/>
      <c r="AB67" s="217"/>
      <c r="AC67" s="217"/>
      <c r="AD67" s="217"/>
      <c r="AE67" s="218"/>
      <c r="AG67" s="221"/>
      <c r="AH67" s="341"/>
      <c r="AI67" s="341"/>
      <c r="AJ67" s="341"/>
      <c r="AK67" s="341"/>
      <c r="AL67" s="341"/>
      <c r="AM67" s="218"/>
      <c r="AO67" s="221"/>
      <c r="AP67" s="341"/>
      <c r="AQ67" s="341"/>
      <c r="AR67" s="341"/>
      <c r="AS67" s="341"/>
      <c r="AT67" s="341"/>
      <c r="AU67" s="218"/>
    </row>
    <row r="68" spans="1:47" ht="15">
      <c r="A68" s="221" t="s">
        <v>119</v>
      </c>
      <c r="B68" s="217"/>
      <c r="C68" s="217"/>
      <c r="D68" s="217"/>
      <c r="E68" s="217"/>
      <c r="F68" s="235"/>
      <c r="G68" s="236">
        <f>F64/F66</f>
        <v>-1.0147995499211551</v>
      </c>
      <c r="I68" s="221" t="s">
        <v>119</v>
      </c>
      <c r="J68" s="217"/>
      <c r="K68" s="217"/>
      <c r="L68" s="217"/>
      <c r="M68" s="217"/>
      <c r="N68" s="235"/>
      <c r="O68" s="236">
        <f>N64/N66</f>
        <v>-0.47381889283672657</v>
      </c>
      <c r="Q68" s="221" t="s">
        <v>119</v>
      </c>
      <c r="R68" s="341"/>
      <c r="S68" s="341"/>
      <c r="T68" s="341"/>
      <c r="U68" s="341"/>
      <c r="V68" s="357"/>
      <c r="W68" s="236">
        <f>V64/V66</f>
        <v>0.37452564239585212</v>
      </c>
      <c r="Y68" s="221" t="s">
        <v>119</v>
      </c>
      <c r="Z68" s="217"/>
      <c r="AA68" s="217"/>
      <c r="AB68" s="217"/>
      <c r="AC68" s="217"/>
      <c r="AD68" s="235"/>
      <c r="AE68" s="236">
        <f>AD64/AD66</f>
        <v>-0.508146885382595</v>
      </c>
      <c r="AG68" s="221" t="s">
        <v>119</v>
      </c>
      <c r="AH68" s="341"/>
      <c r="AI68" s="341"/>
      <c r="AJ68" s="341"/>
      <c r="AK68" s="341"/>
      <c r="AL68" s="235"/>
      <c r="AM68" s="236">
        <f>AL64/AL66</f>
        <v>-0.96367140293920217</v>
      </c>
      <c r="AO68" s="221" t="s">
        <v>119</v>
      </c>
      <c r="AP68" s="341"/>
      <c r="AQ68" s="341"/>
      <c r="AR68" s="341"/>
      <c r="AS68" s="341"/>
      <c r="AT68" s="357"/>
      <c r="AU68" s="236">
        <f>ROUND(AT64/AT66,2)</f>
        <v>-1.44</v>
      </c>
    </row>
    <row r="69" spans="1:47" ht="15">
      <c r="A69" s="221"/>
      <c r="B69" s="217"/>
      <c r="C69" s="217"/>
      <c r="D69" s="217"/>
      <c r="E69" s="217"/>
      <c r="F69" s="217"/>
      <c r="G69" s="236"/>
      <c r="I69" s="221"/>
      <c r="J69" s="217"/>
      <c r="K69" s="217"/>
      <c r="L69" s="217"/>
      <c r="M69" s="217"/>
      <c r="N69" s="217"/>
      <c r="O69" s="236"/>
      <c r="Q69" s="221"/>
      <c r="R69" s="341"/>
      <c r="S69" s="341"/>
      <c r="T69" s="341"/>
      <c r="U69" s="341"/>
      <c r="V69" s="341"/>
      <c r="W69" s="236"/>
      <c r="Y69" s="221"/>
      <c r="Z69" s="217"/>
      <c r="AA69" s="217"/>
      <c r="AB69" s="217"/>
      <c r="AC69" s="217"/>
      <c r="AD69" s="217"/>
      <c r="AE69" s="236"/>
      <c r="AG69" s="221"/>
      <c r="AH69" s="341"/>
      <c r="AI69" s="341"/>
      <c r="AJ69" s="341"/>
      <c r="AK69" s="341"/>
      <c r="AL69" s="341"/>
      <c r="AM69" s="236"/>
      <c r="AO69" s="221"/>
      <c r="AP69" s="341"/>
      <c r="AQ69" s="341"/>
      <c r="AR69" s="341"/>
      <c r="AS69" s="341"/>
      <c r="AT69" s="341"/>
      <c r="AU69" s="236"/>
    </row>
    <row r="70" spans="1:47" ht="15">
      <c r="A70" s="221"/>
      <c r="B70" s="217"/>
      <c r="C70" s="217"/>
      <c r="D70" s="217"/>
      <c r="E70" s="217"/>
      <c r="F70" s="217"/>
      <c r="G70" s="236"/>
      <c r="I70" s="221"/>
      <c r="J70" s="217"/>
      <c r="K70" s="217"/>
      <c r="L70" s="217"/>
      <c r="M70" s="217"/>
      <c r="N70" s="217"/>
      <c r="O70" s="236"/>
      <c r="Q70" s="221"/>
      <c r="R70" s="341"/>
      <c r="S70" s="341"/>
      <c r="T70" s="341"/>
      <c r="U70" s="341"/>
      <c r="V70" s="341"/>
      <c r="W70" s="236"/>
      <c r="Y70" s="221"/>
      <c r="Z70" s="217"/>
      <c r="AA70" s="217"/>
      <c r="AB70" s="217"/>
      <c r="AC70" s="217"/>
      <c r="AD70" s="217"/>
      <c r="AE70" s="236"/>
      <c r="AG70" s="221"/>
      <c r="AH70" s="341"/>
      <c r="AI70" s="341"/>
      <c r="AJ70" s="341"/>
      <c r="AK70" s="341"/>
      <c r="AL70" s="341"/>
      <c r="AM70" s="236"/>
      <c r="AO70" s="221"/>
      <c r="AP70" s="341"/>
      <c r="AQ70" s="341"/>
      <c r="AR70" s="341"/>
      <c r="AS70" s="341"/>
      <c r="AT70" s="341"/>
      <c r="AU70" s="236"/>
    </row>
    <row r="71" spans="1:47" ht="15.75">
      <c r="A71" s="237" t="str">
        <f>+A29</f>
        <v>Projected Revenue Oct. 2022 - Sep. 2023 (based on most recent 12 months)</v>
      </c>
      <c r="B71" s="215"/>
      <c r="C71" s="217"/>
      <c r="D71" s="217"/>
      <c r="E71" s="217"/>
      <c r="F71" s="238">
        <f>F57</f>
        <v>182202.75179312602</v>
      </c>
      <c r="G71" s="236"/>
      <c r="I71" s="237" t="str">
        <f>+I29</f>
        <v>Projected Revenue Oct. 2022 - Sep. 2023 (based on most recent 12 months)</v>
      </c>
      <c r="J71" s="215"/>
      <c r="K71" s="217"/>
      <c r="L71" s="217"/>
      <c r="M71" s="217"/>
      <c r="N71" s="238">
        <f>N57</f>
        <v>347911.88406171836</v>
      </c>
      <c r="O71" s="236"/>
      <c r="Q71" s="237" t="str">
        <f>+Q29</f>
        <v>Projected Revenue Oct. 2021 - Sep. 2022 (based on most recent 12 months)</v>
      </c>
      <c r="R71" s="339"/>
      <c r="S71" s="341"/>
      <c r="T71" s="341"/>
      <c r="U71" s="341"/>
      <c r="V71" s="358">
        <f>V57</f>
        <v>372608.53427144117</v>
      </c>
      <c r="W71" s="236"/>
      <c r="Y71" s="237" t="str">
        <f>+Y29</f>
        <v>Projected Revenue Oct. 2020 - Sep. 2021 (based on most recent 12 months)</v>
      </c>
      <c r="Z71" s="215"/>
      <c r="AA71" s="217"/>
      <c r="AB71" s="217"/>
      <c r="AC71" s="217"/>
      <c r="AD71" s="238">
        <f>AD57</f>
        <v>66311.043460356566</v>
      </c>
      <c r="AE71" s="236"/>
      <c r="AG71" s="237" t="s">
        <v>130</v>
      </c>
      <c r="AH71" s="339"/>
      <c r="AI71" s="341"/>
      <c r="AJ71" s="341"/>
      <c r="AK71" s="341"/>
      <c r="AL71" s="238">
        <f>AL57</f>
        <v>153774.15208976623</v>
      </c>
      <c r="AM71" s="236"/>
      <c r="AO71" s="237" t="s">
        <v>120</v>
      </c>
      <c r="AP71" s="339"/>
      <c r="AQ71" s="341"/>
      <c r="AR71" s="341"/>
      <c r="AS71" s="341"/>
      <c r="AT71" s="358">
        <v>91522</v>
      </c>
      <c r="AU71" s="236"/>
    </row>
    <row r="72" spans="1:47" ht="17.25">
      <c r="A72" s="214" t="s">
        <v>150</v>
      </c>
      <c r="B72" s="230"/>
      <c r="C72" s="230"/>
      <c r="D72" s="230"/>
      <c r="E72" s="230"/>
      <c r="F72" s="279">
        <f>F71*50%</f>
        <v>91101.375896563011</v>
      </c>
      <c r="G72" s="236"/>
      <c r="I72" s="214" t="s">
        <v>150</v>
      </c>
      <c r="J72" s="230"/>
      <c r="K72" s="230"/>
      <c r="L72" s="230"/>
      <c r="M72" s="230"/>
      <c r="N72" s="279">
        <f>N71*50%</f>
        <v>173955.94203085918</v>
      </c>
      <c r="O72" s="236"/>
      <c r="Q72" s="214" t="s">
        <v>150</v>
      </c>
      <c r="R72" s="281"/>
      <c r="S72" s="281"/>
      <c r="T72" s="281"/>
      <c r="U72" s="281"/>
      <c r="V72" s="279">
        <f>V71*50%</f>
        <v>186304.26713572058</v>
      </c>
      <c r="W72" s="236"/>
      <c r="Y72" s="214" t="s">
        <v>150</v>
      </c>
      <c r="Z72" s="230"/>
      <c r="AA72" s="230"/>
      <c r="AB72" s="230"/>
      <c r="AC72" s="230"/>
      <c r="AD72" s="279">
        <f>AD71*50%</f>
        <v>33155.521730178283</v>
      </c>
      <c r="AE72" s="236"/>
      <c r="AG72" s="214" t="s">
        <v>150</v>
      </c>
      <c r="AH72" s="281"/>
      <c r="AI72" s="281"/>
      <c r="AJ72" s="281"/>
      <c r="AK72" s="281"/>
      <c r="AL72" s="279">
        <f>AL71*50%</f>
        <v>76887.076044883113</v>
      </c>
      <c r="AM72" s="236"/>
      <c r="AO72" s="221" t="s">
        <v>118</v>
      </c>
      <c r="AP72" s="341"/>
      <c r="AQ72" s="341"/>
      <c r="AR72" s="341"/>
      <c r="AS72" s="341"/>
      <c r="AT72" s="359">
        <v>126406</v>
      </c>
      <c r="AU72" s="236"/>
    </row>
    <row r="73" spans="1:47" ht="17.25">
      <c r="A73" s="229" t="s">
        <v>152</v>
      </c>
      <c r="B73" s="230"/>
      <c r="C73" s="230"/>
      <c r="D73" s="230"/>
      <c r="E73" s="230"/>
      <c r="F73" s="382">
        <f>F71-F72</f>
        <v>91101.375896563011</v>
      </c>
      <c r="G73" s="236"/>
      <c r="I73" s="229" t="s">
        <v>152</v>
      </c>
      <c r="J73" s="230"/>
      <c r="K73" s="230"/>
      <c r="L73" s="230"/>
      <c r="M73" s="230"/>
      <c r="N73" s="382">
        <f>N71-N72</f>
        <v>173955.94203085918</v>
      </c>
      <c r="O73" s="236"/>
      <c r="Q73" s="281" t="s">
        <v>152</v>
      </c>
      <c r="R73" s="281"/>
      <c r="S73" s="281"/>
      <c r="T73" s="281"/>
      <c r="U73" s="281"/>
      <c r="V73" s="277">
        <f>V71-V72</f>
        <v>186304.26713572058</v>
      </c>
      <c r="W73" s="236"/>
      <c r="Y73" s="229" t="s">
        <v>152</v>
      </c>
      <c r="Z73" s="230"/>
      <c r="AA73" s="230"/>
      <c r="AB73" s="230"/>
      <c r="AC73" s="230"/>
      <c r="AD73" s="382">
        <f>AD71-AD72</f>
        <v>33155.521730178283</v>
      </c>
      <c r="AE73" s="236"/>
      <c r="AG73" s="229" t="s">
        <v>152</v>
      </c>
      <c r="AH73" s="281"/>
      <c r="AI73" s="281"/>
      <c r="AJ73" s="281"/>
      <c r="AK73" s="281"/>
      <c r="AL73" s="277">
        <f>AL71-AL72</f>
        <v>76887.076044883113</v>
      </c>
      <c r="AM73" s="236"/>
      <c r="AO73" s="221" t="s">
        <v>121</v>
      </c>
      <c r="AP73" s="341"/>
      <c r="AQ73" s="341"/>
      <c r="AR73" s="341"/>
      <c r="AS73" s="341"/>
      <c r="AT73" s="341"/>
      <c r="AU73" s="360">
        <f>ROUND(+AT71/AT72,2)</f>
        <v>0.72</v>
      </c>
    </row>
    <row r="74" spans="1:47" ht="17.25">
      <c r="A74" s="221" t="s">
        <v>118</v>
      </c>
      <c r="B74" s="217"/>
      <c r="C74" s="217"/>
      <c r="D74" s="217"/>
      <c r="E74" s="217"/>
      <c r="F74" s="239">
        <f>+F66</f>
        <v>260169</v>
      </c>
      <c r="G74" s="236"/>
      <c r="I74" s="221" t="s">
        <v>118</v>
      </c>
      <c r="J74" s="217"/>
      <c r="K74" s="217"/>
      <c r="L74" s="217"/>
      <c r="M74" s="217"/>
      <c r="N74" s="239">
        <f>+N66</f>
        <v>258996</v>
      </c>
      <c r="O74" s="236"/>
      <c r="Q74" s="221" t="s">
        <v>118</v>
      </c>
      <c r="R74" s="341"/>
      <c r="S74" s="341"/>
      <c r="T74" s="341"/>
      <c r="U74" s="341"/>
      <c r="V74" s="359">
        <f>+V66</f>
        <v>258113</v>
      </c>
      <c r="W74" s="236"/>
      <c r="Y74" s="221" t="s">
        <v>118</v>
      </c>
      <c r="Z74" s="217"/>
      <c r="AA74" s="217"/>
      <c r="AB74" s="217"/>
      <c r="AC74" s="217"/>
      <c r="AD74" s="239">
        <f>+AD66</f>
        <v>256542</v>
      </c>
      <c r="AE74" s="236"/>
      <c r="AG74" s="221" t="s">
        <v>118</v>
      </c>
      <c r="AH74" s="341"/>
      <c r="AI74" s="341"/>
      <c r="AJ74" s="341"/>
      <c r="AK74" s="341"/>
      <c r="AL74" s="359">
        <f>+AL66</f>
        <v>253855</v>
      </c>
      <c r="AM74" s="236"/>
      <c r="AO74" s="214" t="s">
        <v>122</v>
      </c>
      <c r="AP74" s="339"/>
      <c r="AQ74" s="341"/>
      <c r="AR74" s="341"/>
      <c r="AS74" s="341"/>
      <c r="AT74" s="341"/>
      <c r="AU74" s="244">
        <f>SUM(AU68:AU73)</f>
        <v>-0.72</v>
      </c>
    </row>
    <row r="75" spans="1:47" ht="17.25">
      <c r="A75" s="221" t="s">
        <v>121</v>
      </c>
      <c r="B75" s="217"/>
      <c r="C75" s="217"/>
      <c r="D75" s="217"/>
      <c r="E75" s="217"/>
      <c r="F75" s="217"/>
      <c r="G75" s="360">
        <f>ROUND(+F71/F74,2)</f>
        <v>0.7</v>
      </c>
      <c r="I75" s="221" t="s">
        <v>121</v>
      </c>
      <c r="J75" s="217"/>
      <c r="K75" s="217"/>
      <c r="L75" s="217"/>
      <c r="M75" s="217"/>
      <c r="N75" s="217"/>
      <c r="O75" s="360">
        <f>ROUND(+N71/N74,2)</f>
        <v>1.34</v>
      </c>
      <c r="Q75" s="221" t="s">
        <v>121</v>
      </c>
      <c r="R75" s="341"/>
      <c r="S75" s="341"/>
      <c r="T75" s="341"/>
      <c r="U75" s="341"/>
      <c r="V75" s="341"/>
      <c r="W75" s="360">
        <f>ROUND(+V71/V74,2)</f>
        <v>1.44</v>
      </c>
      <c r="Y75" s="221" t="s">
        <v>121</v>
      </c>
      <c r="Z75" s="217"/>
      <c r="AA75" s="217"/>
      <c r="AB75" s="217"/>
      <c r="AC75" s="217"/>
      <c r="AD75" s="217"/>
      <c r="AE75" s="360">
        <f>ROUND(+AD71/AD74,2)</f>
        <v>0.26</v>
      </c>
      <c r="AG75" s="221" t="s">
        <v>121</v>
      </c>
      <c r="AH75" s="341"/>
      <c r="AI75" s="341"/>
      <c r="AJ75" s="341"/>
      <c r="AK75" s="341"/>
      <c r="AL75" s="341"/>
      <c r="AM75" s="360">
        <f>ROUND(+AL71/AL74,2)</f>
        <v>0.61</v>
      </c>
      <c r="AO75" s="214"/>
      <c r="AP75" s="339"/>
      <c r="AQ75" s="341"/>
      <c r="AR75" s="341"/>
      <c r="AS75" s="341"/>
      <c r="AT75" s="341"/>
      <c r="AU75" s="244"/>
    </row>
    <row r="76" spans="1:47" ht="18">
      <c r="A76" s="214" t="s">
        <v>241</v>
      </c>
      <c r="B76" s="215"/>
      <c r="C76" s="217"/>
      <c r="D76" s="217"/>
      <c r="E76" s="217"/>
      <c r="F76" s="217"/>
      <c r="G76" s="361">
        <f>SUM(G68:G75)</f>
        <v>-0.31479954992115511</v>
      </c>
      <c r="I76" s="214" t="s">
        <v>241</v>
      </c>
      <c r="J76" s="215"/>
      <c r="K76" s="217"/>
      <c r="L76" s="217"/>
      <c r="M76" s="217"/>
      <c r="N76" s="217"/>
      <c r="O76" s="361">
        <f>SUM(O68:O75)</f>
        <v>0.86618110716327346</v>
      </c>
      <c r="Q76" s="214" t="s">
        <v>241</v>
      </c>
      <c r="R76" s="339"/>
      <c r="S76" s="341"/>
      <c r="T76" s="341"/>
      <c r="U76" s="341"/>
      <c r="V76" s="341"/>
      <c r="W76" s="361">
        <f>SUM(W68:W75)</f>
        <v>1.814525642395852</v>
      </c>
      <c r="Y76" s="214" t="s">
        <v>241</v>
      </c>
      <c r="Z76" s="215"/>
      <c r="AA76" s="217"/>
      <c r="AB76" s="217"/>
      <c r="AC76" s="217"/>
      <c r="AD76" s="217"/>
      <c r="AE76" s="361">
        <f>SUM(AE68:AE75)</f>
        <v>-0.24814688538259499</v>
      </c>
      <c r="AG76" s="214" t="s">
        <v>122</v>
      </c>
      <c r="AH76" s="339"/>
      <c r="AI76" s="341"/>
      <c r="AJ76" s="341"/>
      <c r="AK76" s="341"/>
      <c r="AL76" s="341"/>
      <c r="AM76" s="244">
        <f>SUM(AM68:AM75)</f>
        <v>-0.35367140293920218</v>
      </c>
      <c r="AO76" s="229" t="s">
        <v>123</v>
      </c>
      <c r="AP76" s="339"/>
      <c r="AQ76" s="341"/>
      <c r="AR76" s="341"/>
      <c r="AS76" s="362">
        <f>+AQ55/12*0.5</f>
        <v>10473.833333333334</v>
      </c>
      <c r="AT76" s="341"/>
      <c r="AU76" s="244">
        <f>ROUND(-AS76/AQ55*2,2)</f>
        <v>-0.08</v>
      </c>
    </row>
    <row r="77" spans="1:47" ht="15.75">
      <c r="A77" s="214"/>
      <c r="B77" s="215"/>
      <c r="C77" s="217"/>
      <c r="D77" s="217"/>
      <c r="E77" s="217"/>
      <c r="F77" s="217"/>
      <c r="G77" s="244"/>
      <c r="I77" s="214"/>
      <c r="J77" s="215"/>
      <c r="K77" s="217"/>
      <c r="L77" s="217"/>
      <c r="M77" s="217"/>
      <c r="N77" s="217"/>
      <c r="O77" s="244"/>
      <c r="Q77" s="214"/>
      <c r="R77" s="339"/>
      <c r="S77" s="341"/>
      <c r="T77" s="341"/>
      <c r="U77" s="341"/>
      <c r="V77" s="341"/>
      <c r="W77" s="244"/>
      <c r="Y77" s="214"/>
      <c r="Z77" s="215"/>
      <c r="AA77" s="217"/>
      <c r="AB77" s="217"/>
      <c r="AC77" s="217"/>
      <c r="AD77" s="217"/>
      <c r="AE77" s="244"/>
      <c r="AG77" s="214"/>
      <c r="AH77" s="339"/>
      <c r="AI77" s="341"/>
      <c r="AJ77" s="341"/>
      <c r="AK77" s="341"/>
      <c r="AL77" s="341"/>
      <c r="AM77" s="244"/>
      <c r="AO77" s="214"/>
      <c r="AP77" s="339"/>
      <c r="AQ77" s="341"/>
      <c r="AR77" s="341"/>
      <c r="AS77" s="341"/>
      <c r="AT77" s="341"/>
      <c r="AU77" s="244"/>
    </row>
    <row r="78" spans="1:47" ht="20.25">
      <c r="A78" s="229"/>
      <c r="B78" s="217"/>
      <c r="C78" s="217"/>
      <c r="D78" s="217"/>
      <c r="E78" s="245"/>
      <c r="F78" s="217"/>
      <c r="G78" s="364"/>
      <c r="I78" s="229"/>
      <c r="J78" s="217"/>
      <c r="K78" s="217"/>
      <c r="L78" s="217"/>
      <c r="M78" s="245"/>
      <c r="N78" s="217"/>
      <c r="O78" s="364"/>
      <c r="Q78" s="229"/>
      <c r="R78" s="341"/>
      <c r="S78" s="341"/>
      <c r="T78" s="341"/>
      <c r="U78" s="363"/>
      <c r="V78" s="341"/>
      <c r="W78" s="364"/>
      <c r="Y78" s="229"/>
      <c r="Z78" s="217"/>
      <c r="AA78" s="217"/>
      <c r="AB78" s="217"/>
      <c r="AC78" s="245"/>
      <c r="AD78" s="217"/>
      <c r="AE78" s="364"/>
      <c r="AG78" s="229"/>
      <c r="AH78" s="341"/>
      <c r="AI78" s="341"/>
      <c r="AJ78" s="341"/>
      <c r="AK78" s="245"/>
      <c r="AL78" s="341"/>
      <c r="AM78" s="364"/>
      <c r="AO78" s="229" t="s">
        <v>124</v>
      </c>
      <c r="AP78" s="341"/>
      <c r="AQ78" s="341"/>
      <c r="AR78" s="341"/>
      <c r="AS78" s="363">
        <v>0.5</v>
      </c>
      <c r="AT78" s="341"/>
      <c r="AU78" s="364">
        <f>-AS78*AU73</f>
        <v>-0.36</v>
      </c>
    </row>
    <row r="79" spans="1:47" ht="20.25">
      <c r="A79" s="229"/>
      <c r="B79" s="217"/>
      <c r="C79" s="217"/>
      <c r="D79" s="217"/>
      <c r="E79" s="248"/>
      <c r="F79" s="217"/>
      <c r="G79" s="364"/>
      <c r="I79" s="229"/>
      <c r="J79" s="217"/>
      <c r="K79" s="217"/>
      <c r="L79" s="217"/>
      <c r="M79" s="248"/>
      <c r="N79" s="217"/>
      <c r="O79" s="364"/>
      <c r="Q79" s="229"/>
      <c r="R79" s="341"/>
      <c r="S79" s="341"/>
      <c r="T79" s="341"/>
      <c r="U79" s="365"/>
      <c r="V79" s="341"/>
      <c r="W79" s="364"/>
      <c r="Y79" s="229"/>
      <c r="Z79" s="217"/>
      <c r="AA79" s="217"/>
      <c r="AB79" s="217"/>
      <c r="AC79" s="248"/>
      <c r="AD79" s="217"/>
      <c r="AE79" s="364"/>
      <c r="AG79" s="229"/>
      <c r="AH79" s="341"/>
      <c r="AI79" s="341"/>
      <c r="AJ79" s="341"/>
      <c r="AK79" s="248"/>
      <c r="AL79" s="341"/>
      <c r="AM79" s="364"/>
      <c r="AO79" s="229"/>
      <c r="AP79" s="341"/>
      <c r="AQ79" s="341"/>
      <c r="AR79" s="341"/>
      <c r="AS79" s="365"/>
      <c r="AT79" s="341"/>
      <c r="AU79" s="364"/>
    </row>
    <row r="80" spans="1:47" ht="18">
      <c r="A80" s="214"/>
      <c r="B80" s="217"/>
      <c r="C80" s="217"/>
      <c r="D80" s="217"/>
      <c r="E80" s="248"/>
      <c r="F80" s="217"/>
      <c r="G80" s="361"/>
      <c r="I80" s="214"/>
      <c r="J80" s="217"/>
      <c r="K80" s="217"/>
      <c r="L80" s="217"/>
      <c r="M80" s="248"/>
      <c r="N80" s="217"/>
      <c r="O80" s="361"/>
      <c r="Q80" s="214"/>
      <c r="R80" s="341"/>
      <c r="S80" s="341"/>
      <c r="T80" s="341"/>
      <c r="U80" s="365"/>
      <c r="V80" s="341"/>
      <c r="W80" s="361"/>
      <c r="Y80" s="214"/>
      <c r="Z80" s="217"/>
      <c r="AA80" s="217"/>
      <c r="AB80" s="217"/>
      <c r="AC80" s="248"/>
      <c r="AD80" s="217"/>
      <c r="AE80" s="361"/>
      <c r="AG80" s="214"/>
      <c r="AH80" s="341"/>
      <c r="AI80" s="341"/>
      <c r="AJ80" s="341"/>
      <c r="AK80" s="248"/>
      <c r="AL80" s="341"/>
      <c r="AM80" s="361"/>
      <c r="AO80" s="214" t="s">
        <v>146</v>
      </c>
      <c r="AP80" s="341"/>
      <c r="AQ80" s="341"/>
      <c r="AR80" s="341"/>
      <c r="AS80" s="365"/>
      <c r="AT80" s="341"/>
      <c r="AU80" s="361">
        <f>+AU74+AU78+AU76</f>
        <v>-1.1600000000000001</v>
      </c>
    </row>
    <row r="81" spans="1:47" ht="13.5" thickBot="1">
      <c r="A81" s="250"/>
      <c r="B81" s="251"/>
      <c r="C81" s="251"/>
      <c r="D81" s="251"/>
      <c r="E81" s="251"/>
      <c r="F81" s="251"/>
      <c r="G81" s="252"/>
      <c r="I81" s="250"/>
      <c r="J81" s="251"/>
      <c r="K81" s="251"/>
      <c r="L81" s="251"/>
      <c r="M81" s="251"/>
      <c r="N81" s="251"/>
      <c r="O81" s="252"/>
      <c r="Q81" s="250"/>
      <c r="R81" s="251"/>
      <c r="S81" s="251"/>
      <c r="T81" s="251"/>
      <c r="U81" s="251"/>
      <c r="V81" s="251"/>
      <c r="W81" s="252"/>
      <c r="Y81" s="250"/>
      <c r="Z81" s="251"/>
      <c r="AA81" s="251"/>
      <c r="AB81" s="251"/>
      <c r="AC81" s="251"/>
      <c r="AD81" s="251"/>
      <c r="AE81" s="252"/>
      <c r="AG81" s="250"/>
      <c r="AH81" s="251"/>
      <c r="AI81" s="251"/>
      <c r="AJ81" s="251"/>
      <c r="AK81" s="251"/>
      <c r="AL81" s="251"/>
      <c r="AM81" s="252"/>
      <c r="AO81" s="250"/>
      <c r="AP81" s="251"/>
      <c r="AQ81" s="251"/>
      <c r="AR81" s="251"/>
      <c r="AS81" s="251"/>
      <c r="AT81" s="251"/>
      <c r="AU81" s="252"/>
    </row>
    <row r="83" spans="1:47" ht="13.5" thickBot="1"/>
    <row r="84" spans="1:47" ht="23.25">
      <c r="A84" s="210" t="s">
        <v>126</v>
      </c>
      <c r="B84" s="211"/>
      <c r="C84" s="212"/>
      <c r="D84" s="212"/>
      <c r="E84" s="212"/>
      <c r="F84" s="212"/>
      <c r="G84" s="213"/>
      <c r="I84" s="210" t="s">
        <v>126</v>
      </c>
      <c r="J84" s="211"/>
      <c r="K84" s="212"/>
      <c r="L84" s="212"/>
      <c r="M84" s="212"/>
      <c r="N84" s="212"/>
      <c r="O84" s="213"/>
      <c r="Q84" s="210" t="s">
        <v>126</v>
      </c>
      <c r="R84" s="211"/>
      <c r="S84" s="212"/>
      <c r="T84" s="212"/>
      <c r="U84" s="212"/>
      <c r="V84" s="212"/>
      <c r="W84" s="213"/>
      <c r="Y84" s="210" t="s">
        <v>126</v>
      </c>
      <c r="Z84" s="211"/>
      <c r="AA84" s="212"/>
      <c r="AB84" s="212"/>
      <c r="AC84" s="212"/>
      <c r="AD84" s="212"/>
      <c r="AE84" s="213"/>
      <c r="AG84" s="210" t="s">
        <v>126</v>
      </c>
      <c r="AH84" s="211"/>
      <c r="AI84" s="212"/>
      <c r="AJ84" s="212"/>
      <c r="AK84" s="212"/>
      <c r="AL84" s="212"/>
      <c r="AM84" s="213"/>
      <c r="AO84" s="210" t="s">
        <v>126</v>
      </c>
      <c r="AP84" s="211"/>
      <c r="AQ84" s="212"/>
      <c r="AR84" s="212"/>
      <c r="AS84" s="212"/>
      <c r="AT84" s="212"/>
      <c r="AU84" s="213"/>
    </row>
    <row r="85" spans="1:47" ht="15.75">
      <c r="A85" s="214" t="str">
        <f>+A2</f>
        <v>2022 - 2023 Rebate Calculation - Deferred Accounting Methodology</v>
      </c>
      <c r="B85" s="215"/>
      <c r="C85" s="216"/>
      <c r="D85" s="216"/>
      <c r="E85" s="217"/>
      <c r="F85" s="217"/>
      <c r="G85" s="218"/>
      <c r="I85" s="214" t="str">
        <f>+I2</f>
        <v>2021 - 2022 Rebate Calculation - Deferred Accounting Methodology</v>
      </c>
      <c r="J85" s="215"/>
      <c r="K85" s="216"/>
      <c r="L85" s="216"/>
      <c r="M85" s="217"/>
      <c r="N85" s="217"/>
      <c r="O85" s="218"/>
      <c r="Q85" s="214" t="s">
        <v>242</v>
      </c>
      <c r="R85" s="339"/>
      <c r="S85" s="340"/>
      <c r="T85" s="340"/>
      <c r="U85" s="341"/>
      <c r="V85" s="341"/>
      <c r="W85" s="218"/>
      <c r="Y85" s="214" t="s">
        <v>109</v>
      </c>
      <c r="Z85" s="215"/>
      <c r="AA85" s="216"/>
      <c r="AB85" s="216"/>
      <c r="AC85" s="217"/>
      <c r="AD85" s="217"/>
      <c r="AE85" s="218"/>
      <c r="AG85" s="214" t="s">
        <v>109</v>
      </c>
      <c r="AH85" s="339"/>
      <c r="AI85" s="340"/>
      <c r="AJ85" s="340"/>
      <c r="AK85" s="341"/>
      <c r="AL85" s="341"/>
      <c r="AM85" s="218"/>
      <c r="AO85" s="214" t="s">
        <v>109</v>
      </c>
      <c r="AP85" s="339"/>
      <c r="AQ85" s="340"/>
      <c r="AR85" s="340"/>
      <c r="AS85" s="341"/>
      <c r="AT85" s="341"/>
      <c r="AU85" s="218"/>
    </row>
    <row r="86" spans="1:47" ht="15.75">
      <c r="A86" s="219"/>
      <c r="B86" s="220"/>
      <c r="C86" s="217"/>
      <c r="D86" s="217"/>
      <c r="E86" s="217"/>
      <c r="F86" s="217"/>
      <c r="G86" s="218"/>
      <c r="I86" s="219"/>
      <c r="J86" s="220"/>
      <c r="K86" s="217"/>
      <c r="L86" s="217"/>
      <c r="M86" s="217"/>
      <c r="N86" s="217"/>
      <c r="O86" s="218"/>
      <c r="Q86" s="219"/>
      <c r="R86" s="368"/>
      <c r="S86" s="341"/>
      <c r="T86" s="341"/>
      <c r="U86" s="341"/>
      <c r="V86" s="341"/>
      <c r="W86" s="218"/>
      <c r="Y86" s="219"/>
      <c r="Z86" s="220"/>
      <c r="AA86" s="217"/>
      <c r="AB86" s="217"/>
      <c r="AC86" s="217"/>
      <c r="AD86" s="217"/>
      <c r="AE86" s="218"/>
      <c r="AG86" s="219"/>
      <c r="AH86" s="368"/>
      <c r="AI86" s="341"/>
      <c r="AJ86" s="341"/>
      <c r="AK86" s="341"/>
      <c r="AL86" s="341"/>
      <c r="AM86" s="218"/>
      <c r="AO86" s="219"/>
      <c r="AP86" s="368"/>
      <c r="AQ86" s="341"/>
      <c r="AR86" s="341"/>
      <c r="AS86" s="341"/>
      <c r="AT86" s="341"/>
      <c r="AU86" s="218"/>
    </row>
    <row r="87" spans="1:47" ht="15">
      <c r="A87" s="503" t="s">
        <v>19</v>
      </c>
      <c r="B87" s="504"/>
      <c r="C87" s="504"/>
      <c r="D87" s="504"/>
      <c r="E87" s="504"/>
      <c r="F87" s="504"/>
      <c r="G87" s="505"/>
      <c r="I87" s="503" t="s">
        <v>19</v>
      </c>
      <c r="J87" s="504"/>
      <c r="K87" s="504"/>
      <c r="L87" s="504"/>
      <c r="M87" s="504"/>
      <c r="N87" s="504"/>
      <c r="O87" s="505"/>
      <c r="Q87" s="503" t="s">
        <v>19</v>
      </c>
      <c r="R87" s="523"/>
      <c r="S87" s="523"/>
      <c r="T87" s="523"/>
      <c r="U87" s="523"/>
      <c r="V87" s="523"/>
      <c r="W87" s="505"/>
      <c r="Y87" s="503" t="s">
        <v>19</v>
      </c>
      <c r="Z87" s="504"/>
      <c r="AA87" s="504"/>
      <c r="AB87" s="504"/>
      <c r="AC87" s="504"/>
      <c r="AD87" s="504"/>
      <c r="AE87" s="505"/>
      <c r="AG87" s="503" t="s">
        <v>19</v>
      </c>
      <c r="AH87" s="523"/>
      <c r="AI87" s="523"/>
      <c r="AJ87" s="523"/>
      <c r="AK87" s="523"/>
      <c r="AL87" s="523"/>
      <c r="AM87" s="505"/>
      <c r="AO87" s="503" t="s">
        <v>19</v>
      </c>
      <c r="AP87" s="523"/>
      <c r="AQ87" s="523"/>
      <c r="AR87" s="523"/>
      <c r="AS87" s="523"/>
      <c r="AT87" s="523"/>
      <c r="AU87" s="505"/>
    </row>
    <row r="88" spans="1:47" ht="15">
      <c r="A88" s="221"/>
      <c r="B88" s="217"/>
      <c r="C88" s="217"/>
      <c r="D88" s="217"/>
      <c r="E88" s="217"/>
      <c r="F88" s="217"/>
      <c r="G88" s="218"/>
      <c r="I88" s="221"/>
      <c r="J88" s="217"/>
      <c r="K88" s="217"/>
      <c r="L88" s="217"/>
      <c r="M88" s="217"/>
      <c r="N88" s="217"/>
      <c r="O88" s="218"/>
      <c r="Q88" s="221"/>
      <c r="R88" s="341"/>
      <c r="S88" s="341"/>
      <c r="T88" s="341"/>
      <c r="U88" s="341"/>
      <c r="V88" s="341"/>
      <c r="W88" s="218"/>
      <c r="Y88" s="221"/>
      <c r="Z88" s="217"/>
      <c r="AA88" s="217"/>
      <c r="AB88" s="217"/>
      <c r="AC88" s="217"/>
      <c r="AD88" s="217"/>
      <c r="AE88" s="218"/>
      <c r="AG88" s="221"/>
      <c r="AH88" s="341"/>
      <c r="AI88" s="341"/>
      <c r="AJ88" s="341"/>
      <c r="AK88" s="341"/>
      <c r="AL88" s="341"/>
      <c r="AM88" s="218"/>
      <c r="AO88" s="221"/>
      <c r="AP88" s="341"/>
      <c r="AQ88" s="341"/>
      <c r="AR88" s="341"/>
      <c r="AS88" s="341"/>
      <c r="AT88" s="341"/>
      <c r="AU88" s="218"/>
    </row>
    <row r="89" spans="1:47" ht="15.75">
      <c r="A89" s="221"/>
      <c r="B89" s="217"/>
      <c r="C89" s="222"/>
      <c r="D89" s="222"/>
      <c r="E89" s="222" t="s">
        <v>110</v>
      </c>
      <c r="F89" s="222" t="s">
        <v>71</v>
      </c>
      <c r="G89" s="218"/>
      <c r="I89" s="221"/>
      <c r="J89" s="217"/>
      <c r="K89" s="222"/>
      <c r="L89" s="222"/>
      <c r="M89" s="222" t="s">
        <v>110</v>
      </c>
      <c r="N89" s="222" t="s">
        <v>71</v>
      </c>
      <c r="O89" s="218"/>
      <c r="Q89" s="221"/>
      <c r="R89" s="341"/>
      <c r="S89" s="343"/>
      <c r="T89" s="343"/>
      <c r="U89" s="343" t="s">
        <v>110</v>
      </c>
      <c r="V89" s="343" t="s">
        <v>71</v>
      </c>
      <c r="W89" s="218"/>
      <c r="Y89" s="221"/>
      <c r="Z89" s="217"/>
      <c r="AA89" s="222"/>
      <c r="AB89" s="222"/>
      <c r="AC89" s="222" t="s">
        <v>110</v>
      </c>
      <c r="AD89" s="222" t="s">
        <v>71</v>
      </c>
      <c r="AE89" s="218"/>
      <c r="AG89" s="221"/>
      <c r="AH89" s="341"/>
      <c r="AI89" s="343"/>
      <c r="AJ89" s="343"/>
      <c r="AK89" s="343" t="s">
        <v>110</v>
      </c>
      <c r="AL89" s="343" t="s">
        <v>71</v>
      </c>
      <c r="AM89" s="218"/>
      <c r="AO89" s="221"/>
      <c r="AP89" s="341"/>
      <c r="AQ89" s="343"/>
      <c r="AR89" s="343"/>
      <c r="AS89" s="343" t="s">
        <v>110</v>
      </c>
      <c r="AT89" s="343" t="s">
        <v>71</v>
      </c>
      <c r="AU89" s="218"/>
    </row>
    <row r="90" spans="1:47" ht="15.75">
      <c r="A90" s="221"/>
      <c r="B90" s="217"/>
      <c r="C90" s="223" t="s">
        <v>87</v>
      </c>
      <c r="D90" s="223"/>
      <c r="E90" s="223" t="s">
        <v>111</v>
      </c>
      <c r="F90" s="223" t="s">
        <v>112</v>
      </c>
      <c r="G90" s="218"/>
      <c r="I90" s="221"/>
      <c r="J90" s="217"/>
      <c r="K90" s="223" t="s">
        <v>87</v>
      </c>
      <c r="L90" s="223"/>
      <c r="M90" s="223" t="s">
        <v>111</v>
      </c>
      <c r="N90" s="223" t="s">
        <v>112</v>
      </c>
      <c r="O90" s="218"/>
      <c r="Q90" s="221"/>
      <c r="R90" s="341"/>
      <c r="S90" s="344" t="s">
        <v>87</v>
      </c>
      <c r="T90" s="344"/>
      <c r="U90" s="344" t="s">
        <v>111</v>
      </c>
      <c r="V90" s="344" t="s">
        <v>112</v>
      </c>
      <c r="W90" s="218"/>
      <c r="Y90" s="221"/>
      <c r="Z90" s="217"/>
      <c r="AA90" s="223" t="s">
        <v>87</v>
      </c>
      <c r="AB90" s="223"/>
      <c r="AC90" s="223" t="s">
        <v>111</v>
      </c>
      <c r="AD90" s="223" t="s">
        <v>112</v>
      </c>
      <c r="AE90" s="218"/>
      <c r="AG90" s="221"/>
      <c r="AH90" s="341"/>
      <c r="AI90" s="344" t="s">
        <v>87</v>
      </c>
      <c r="AJ90" s="344"/>
      <c r="AK90" s="344" t="s">
        <v>111</v>
      </c>
      <c r="AL90" s="344" t="s">
        <v>112</v>
      </c>
      <c r="AM90" s="218"/>
      <c r="AO90" s="221"/>
      <c r="AP90" s="341"/>
      <c r="AQ90" s="344" t="s">
        <v>87</v>
      </c>
      <c r="AR90" s="344"/>
      <c r="AS90" s="344" t="s">
        <v>111</v>
      </c>
      <c r="AT90" s="344" t="s">
        <v>112</v>
      </c>
      <c r="AU90" s="218"/>
    </row>
    <row r="91" spans="1:47" ht="15.75">
      <c r="A91" s="224" t="str">
        <f>+A10</f>
        <v>Projected Revenue Oct. 2022 - Sep. 2023</v>
      </c>
      <c r="B91" s="215"/>
      <c r="C91" s="225"/>
      <c r="D91" s="225"/>
      <c r="E91" s="225"/>
      <c r="F91" s="225"/>
      <c r="G91" s="218"/>
      <c r="I91" s="224" t="str">
        <f>+I10</f>
        <v>Projected Revenue Oct. 2021 - Sep. 2022</v>
      </c>
      <c r="J91" s="215"/>
      <c r="K91" s="225"/>
      <c r="L91" s="225"/>
      <c r="M91" s="225"/>
      <c r="N91" s="225"/>
      <c r="O91" s="218"/>
      <c r="Q91" s="224" t="str">
        <f>+Q10</f>
        <v>Projected Revenue Oct. 2020 - Sep. 2021</v>
      </c>
      <c r="R91" s="339"/>
      <c r="S91" s="345"/>
      <c r="T91" s="345"/>
      <c r="U91" s="345"/>
      <c r="V91" s="345"/>
      <c r="W91" s="218"/>
      <c r="Y91" s="224" t="str">
        <f>+Y10</f>
        <v>Projected Revenue Oct. 2019 - Sep. 2020</v>
      </c>
      <c r="Z91" s="215"/>
      <c r="AA91" s="225"/>
      <c r="AB91" s="225"/>
      <c r="AC91" s="225"/>
      <c r="AD91" s="225"/>
      <c r="AE91" s="218"/>
      <c r="AG91" s="224" t="s">
        <v>127</v>
      </c>
      <c r="AH91" s="339"/>
      <c r="AI91" s="345"/>
      <c r="AJ91" s="345"/>
      <c r="AK91" s="345"/>
      <c r="AL91" s="345"/>
      <c r="AM91" s="218"/>
      <c r="AO91" s="224" t="s">
        <v>113</v>
      </c>
      <c r="AP91" s="339"/>
      <c r="AQ91" s="345"/>
      <c r="AR91" s="345"/>
      <c r="AS91" s="345"/>
      <c r="AT91" s="345"/>
      <c r="AU91" s="218"/>
    </row>
    <row r="92" spans="1:47" ht="15.75">
      <c r="A92" s="221" t="s">
        <v>114</v>
      </c>
      <c r="B92" s="217"/>
      <c r="C92" s="226">
        <f>SUM('Customer Counts - Enspire'!B18:C20)</f>
        <v>55895</v>
      </c>
      <c r="D92" s="226"/>
      <c r="E92" s="227">
        <f>+M93</f>
        <v>1.7</v>
      </c>
      <c r="F92" s="228">
        <f>C92*E92</f>
        <v>95021.5</v>
      </c>
      <c r="G92" s="218"/>
      <c r="I92" s="221" t="s">
        <v>114</v>
      </c>
      <c r="J92" s="217"/>
      <c r="K92" s="226">
        <f>SUM('Customer Counts - Enspire'!D6:D8)</f>
        <v>55785</v>
      </c>
      <c r="L92" s="226"/>
      <c r="M92" s="227">
        <f>+U93</f>
        <v>0.3</v>
      </c>
      <c r="N92" s="228">
        <f>K92*M92</f>
        <v>16735.5</v>
      </c>
      <c r="O92" s="218"/>
      <c r="Q92" s="221" t="s">
        <v>114</v>
      </c>
      <c r="R92" s="341"/>
      <c r="S92" s="346">
        <v>55107</v>
      </c>
      <c r="T92" s="346"/>
      <c r="U92" s="347">
        <f>+AC93</f>
        <v>0.69</v>
      </c>
      <c r="V92" s="348">
        <f>S92*U92</f>
        <v>38023.829999999994</v>
      </c>
      <c r="W92" s="218"/>
      <c r="Y92" s="221" t="s">
        <v>114</v>
      </c>
      <c r="Z92" s="217"/>
      <c r="AA92" s="226">
        <v>53609</v>
      </c>
      <c r="AB92" s="226"/>
      <c r="AC92" s="227">
        <f>+AK93</f>
        <v>0.81</v>
      </c>
      <c r="AD92" s="228">
        <f>AA92*AC92</f>
        <v>43423.29</v>
      </c>
      <c r="AE92" s="218"/>
      <c r="AG92" s="221" t="s">
        <v>114</v>
      </c>
      <c r="AH92" s="341"/>
      <c r="AI92" s="346">
        <v>52930</v>
      </c>
      <c r="AJ92" s="346"/>
      <c r="AK92" s="227">
        <f>+AS93</f>
        <v>2.33</v>
      </c>
      <c r="AL92" s="228">
        <f>AI92*AK92</f>
        <v>123326.90000000001</v>
      </c>
      <c r="AM92" s="218"/>
      <c r="AO92" s="221" t="s">
        <v>114</v>
      </c>
      <c r="AP92" s="341"/>
      <c r="AQ92" s="346">
        <v>51847</v>
      </c>
      <c r="AR92" s="346"/>
      <c r="AS92" s="347">
        <v>1.67</v>
      </c>
      <c r="AT92" s="348">
        <f>AQ92*AS92</f>
        <v>86584.489999999991</v>
      </c>
      <c r="AU92" s="218"/>
    </row>
    <row r="93" spans="1:47" ht="17.25">
      <c r="A93" s="229" t="s">
        <v>115</v>
      </c>
      <c r="B93" s="230"/>
      <c r="C93" s="231">
        <f>SUM('Customer Counts - Enspire'!B21:C29)</f>
        <v>167918</v>
      </c>
      <c r="D93" s="231"/>
      <c r="E93" s="227">
        <f>+O114</f>
        <v>1.58</v>
      </c>
      <c r="F93" s="232">
        <f>C93*E93</f>
        <v>265310.44</v>
      </c>
      <c r="G93" s="218"/>
      <c r="I93" s="229" t="s">
        <v>115</v>
      </c>
      <c r="J93" s="230"/>
      <c r="K93" s="231">
        <f>SUM('Customer Counts - Enspire'!D9:D17)</f>
        <v>168234</v>
      </c>
      <c r="L93" s="231"/>
      <c r="M93" s="227">
        <f>+W114</f>
        <v>1.7</v>
      </c>
      <c r="N93" s="232">
        <f>K93*M93</f>
        <v>285997.8</v>
      </c>
      <c r="O93" s="218"/>
      <c r="Q93" s="229" t="s">
        <v>115</v>
      </c>
      <c r="R93" s="281"/>
      <c r="S93" s="349">
        <v>166768</v>
      </c>
      <c r="T93" s="349"/>
      <c r="U93" s="347">
        <f>+AE114</f>
        <v>0.3</v>
      </c>
      <c r="V93" s="350">
        <f>S93*U93</f>
        <v>50030.400000000001</v>
      </c>
      <c r="W93" s="218"/>
      <c r="Y93" s="229" t="s">
        <v>115</v>
      </c>
      <c r="Z93" s="230"/>
      <c r="AA93" s="231">
        <v>163351</v>
      </c>
      <c r="AB93" s="231"/>
      <c r="AC93" s="227">
        <f>+AM114</f>
        <v>0.69</v>
      </c>
      <c r="AD93" s="232">
        <f>AA93*AC93</f>
        <v>112712.18999999999</v>
      </c>
      <c r="AE93" s="218"/>
      <c r="AG93" s="229" t="s">
        <v>115</v>
      </c>
      <c r="AH93" s="281"/>
      <c r="AI93" s="349">
        <v>124468</v>
      </c>
      <c r="AJ93" s="349"/>
      <c r="AK93" s="227">
        <f>+AU112</f>
        <v>0.81</v>
      </c>
      <c r="AL93" s="232">
        <f>AI93*AK93</f>
        <v>100819.08</v>
      </c>
      <c r="AM93" s="218"/>
      <c r="AO93" s="229" t="s">
        <v>115</v>
      </c>
      <c r="AP93" s="281"/>
      <c r="AQ93" s="349">
        <v>157300</v>
      </c>
      <c r="AR93" s="349"/>
      <c r="AS93" s="347">
        <v>2.33</v>
      </c>
      <c r="AT93" s="350">
        <f>AQ93*AS93</f>
        <v>366509</v>
      </c>
      <c r="AU93" s="218"/>
    </row>
    <row r="94" spans="1:47" ht="17.25">
      <c r="A94" s="221" t="s">
        <v>71</v>
      </c>
      <c r="B94" s="217"/>
      <c r="C94" s="226">
        <f>SUM(C92:C93)</f>
        <v>223813</v>
      </c>
      <c r="D94" s="231"/>
      <c r="E94" s="217"/>
      <c r="F94" s="228">
        <f>SUM(F92:F93)</f>
        <v>360331.94</v>
      </c>
      <c r="G94" s="218"/>
      <c r="I94" s="221" t="s">
        <v>71</v>
      </c>
      <c r="J94" s="217"/>
      <c r="K94" s="226">
        <f>SUM(K92:K93)</f>
        <v>224019</v>
      </c>
      <c r="L94" s="231"/>
      <c r="M94" s="217"/>
      <c r="N94" s="228">
        <f>SUM(N92:N93)</f>
        <v>302733.3</v>
      </c>
      <c r="O94" s="218"/>
      <c r="Q94" s="221" t="s">
        <v>71</v>
      </c>
      <c r="R94" s="341"/>
      <c r="S94" s="346">
        <f>SUM(S92:S93)</f>
        <v>221875</v>
      </c>
      <c r="T94" s="349"/>
      <c r="U94" s="341"/>
      <c r="V94" s="348">
        <f>SUM(V92:V93)</f>
        <v>88054.23</v>
      </c>
      <c r="W94" s="218"/>
      <c r="Y94" s="221" t="s">
        <v>71</v>
      </c>
      <c r="Z94" s="217"/>
      <c r="AA94" s="226">
        <f>SUM(AA92:AA93)</f>
        <v>216960</v>
      </c>
      <c r="AB94" s="231"/>
      <c r="AC94" s="217"/>
      <c r="AD94" s="228">
        <f>SUM(AD92:AD93)</f>
        <v>156135.47999999998</v>
      </c>
      <c r="AE94" s="218"/>
      <c r="AG94" s="221" t="s">
        <v>71</v>
      </c>
      <c r="AH94" s="341"/>
      <c r="AI94" s="346">
        <f>SUM(AI92:AI93)</f>
        <v>177398</v>
      </c>
      <c r="AJ94" s="349"/>
      <c r="AK94" s="341"/>
      <c r="AL94" s="228">
        <f>SUM(AL92:AL93)</f>
        <v>224145.98</v>
      </c>
      <c r="AM94" s="218"/>
      <c r="AO94" s="221" t="s">
        <v>71</v>
      </c>
      <c r="AP94" s="341"/>
      <c r="AQ94" s="346">
        <f>SUM(AQ92:AQ93)</f>
        <v>209147</v>
      </c>
      <c r="AR94" s="349"/>
      <c r="AS94" s="341"/>
      <c r="AT94" s="348">
        <f>SUM(AT92:AT93)</f>
        <v>453093.49</v>
      </c>
      <c r="AU94" s="218"/>
    </row>
    <row r="95" spans="1:47" ht="15">
      <c r="A95" s="221"/>
      <c r="B95" s="217"/>
      <c r="C95" s="217"/>
      <c r="D95" s="217"/>
      <c r="E95" s="217"/>
      <c r="F95" s="217"/>
      <c r="G95" s="218"/>
      <c r="I95" s="221"/>
      <c r="J95" s="217"/>
      <c r="K95" s="217"/>
      <c r="L95" s="217"/>
      <c r="M95" s="217"/>
      <c r="N95" s="217"/>
      <c r="O95" s="218"/>
      <c r="Q95" s="221"/>
      <c r="R95" s="341"/>
      <c r="S95" s="341"/>
      <c r="T95" s="341"/>
      <c r="U95" s="341"/>
      <c r="V95" s="341"/>
      <c r="W95" s="218"/>
      <c r="Y95" s="221"/>
      <c r="Z95" s="217"/>
      <c r="AA95" s="217"/>
      <c r="AB95" s="217"/>
      <c r="AC95" s="217"/>
      <c r="AD95" s="217"/>
      <c r="AE95" s="218"/>
      <c r="AG95" s="221"/>
      <c r="AH95" s="341"/>
      <c r="AI95" s="341"/>
      <c r="AJ95" s="341"/>
      <c r="AK95" s="341"/>
      <c r="AL95" s="341"/>
      <c r="AM95" s="218"/>
      <c r="AO95" s="221"/>
      <c r="AP95" s="341"/>
      <c r="AQ95" s="341"/>
      <c r="AR95" s="341"/>
      <c r="AS95" s="341"/>
      <c r="AT95" s="341"/>
      <c r="AU95" s="218"/>
    </row>
    <row r="96" spans="1:47" ht="15.75">
      <c r="A96" s="214" t="str">
        <f>+A16</f>
        <v xml:space="preserve">Actual Commodity Revenue (Oct. 2022 - Sept. 2023) </v>
      </c>
      <c r="B96" s="217"/>
      <c r="C96" s="217"/>
      <c r="D96" s="217"/>
      <c r="E96" s="217"/>
      <c r="F96" s="228">
        <f>SUM('2022-2023 Recy. Tons &amp; Revenue'!L86:L97)</f>
        <v>212948.83905945055</v>
      </c>
      <c r="G96" s="218"/>
      <c r="I96" s="214" t="str">
        <f>+I16</f>
        <v xml:space="preserve">Actual Commodity Revenue (Oct. 2021 - Sept. 2022) </v>
      </c>
      <c r="J96" s="217"/>
      <c r="K96" s="217"/>
      <c r="L96" s="217"/>
      <c r="M96" s="217"/>
      <c r="N96" s="228">
        <f>SUM('2022-2023 Recy. Tons &amp; Revenue'!L74:L85)</f>
        <v>354181.70930382825</v>
      </c>
      <c r="O96" s="218"/>
      <c r="Q96" s="214" t="str">
        <f>+Q16</f>
        <v xml:space="preserve">Actual Commodity Revenue (Oct. 2020 - Sept. 2021) </v>
      </c>
      <c r="R96" s="341"/>
      <c r="S96" s="341"/>
      <c r="T96" s="341"/>
      <c r="U96" s="341"/>
      <c r="V96" s="348">
        <v>377956.43417141476</v>
      </c>
      <c r="W96" s="218"/>
      <c r="Y96" s="214" t="str">
        <f>+Y16</f>
        <v xml:space="preserve">Actual Commodity Revenue (Oct. 2019 - Sept. 2020) </v>
      </c>
      <c r="Z96" s="217"/>
      <c r="AA96" s="217"/>
      <c r="AB96" s="217"/>
      <c r="AC96" s="217"/>
      <c r="AD96" s="228">
        <v>65025.746670985172</v>
      </c>
      <c r="AE96" s="218"/>
      <c r="AG96" s="214" t="s">
        <v>129</v>
      </c>
      <c r="AH96" s="341"/>
      <c r="AI96" s="341"/>
      <c r="AJ96" s="341"/>
      <c r="AK96" s="341"/>
      <c r="AL96" s="228">
        <v>145945.7483506508</v>
      </c>
      <c r="AM96" s="218"/>
      <c r="AO96" s="221"/>
      <c r="AP96" s="341"/>
      <c r="AQ96" s="341"/>
      <c r="AR96" s="341"/>
      <c r="AS96" s="341"/>
      <c r="AT96" s="341"/>
      <c r="AU96" s="218"/>
    </row>
    <row r="97" spans="1:49" ht="15.75">
      <c r="A97" s="214" t="str">
        <f t="shared" ref="A97:A98" si="4">+A17</f>
        <v>Less: 50% retained by company</v>
      </c>
      <c r="B97" s="217"/>
      <c r="C97" s="217"/>
      <c r="D97" s="217"/>
      <c r="E97" s="217"/>
      <c r="F97" s="276">
        <f>-F96*50%</f>
        <v>-106474.41952972527</v>
      </c>
      <c r="G97" s="218"/>
      <c r="I97" s="214" t="str">
        <f t="shared" ref="I97:I98" si="5">+I17</f>
        <v>Less: 50% retained by company</v>
      </c>
      <c r="J97" s="217"/>
      <c r="K97" s="217"/>
      <c r="L97" s="217"/>
      <c r="M97" s="217"/>
      <c r="N97" s="276">
        <f>-N96*50%</f>
        <v>-177090.85465191412</v>
      </c>
      <c r="O97" s="218"/>
      <c r="Q97" s="214" t="str">
        <f t="shared" ref="Q97:Q98" si="6">+Q17</f>
        <v>Less: 50% retained by company</v>
      </c>
      <c r="R97" s="341"/>
      <c r="S97" s="341"/>
      <c r="T97" s="341"/>
      <c r="U97" s="341"/>
      <c r="V97" s="276">
        <f>-V96*50%</f>
        <v>-188978.21708570738</v>
      </c>
      <c r="W97" s="218"/>
      <c r="Y97" s="214" t="str">
        <f t="shared" ref="Y97:Y98" si="7">+Y17</f>
        <v>Less: 50% retained by company</v>
      </c>
      <c r="Z97" s="217"/>
      <c r="AA97" s="217"/>
      <c r="AB97" s="217"/>
      <c r="AC97" s="217"/>
      <c r="AD97" s="276">
        <f>-AD96*50%</f>
        <v>-32512.873335492586</v>
      </c>
      <c r="AE97" s="218"/>
      <c r="AG97" s="214" t="s">
        <v>150</v>
      </c>
      <c r="AH97" s="341"/>
      <c r="AI97" s="341"/>
      <c r="AJ97" s="341"/>
      <c r="AK97" s="341"/>
      <c r="AL97" s="276">
        <f>-AL96*50%</f>
        <v>-72972.8741753254</v>
      </c>
      <c r="AM97" s="218"/>
      <c r="AO97" s="221"/>
      <c r="AP97" s="341"/>
      <c r="AQ97" s="341"/>
      <c r="AR97" s="341"/>
      <c r="AS97" s="341"/>
      <c r="AT97" s="341"/>
      <c r="AU97" s="218"/>
    </row>
    <row r="98" spans="1:49" ht="15.75">
      <c r="A98" s="214" t="str">
        <f t="shared" si="4"/>
        <v>Net Commodity Revenue</v>
      </c>
      <c r="B98" s="230"/>
      <c r="C98" s="230"/>
      <c r="D98" s="230"/>
      <c r="E98" s="230"/>
      <c r="F98" s="382">
        <f>SUM(F96:F97)</f>
        <v>106474.41952972527</v>
      </c>
      <c r="G98" s="218"/>
      <c r="I98" s="214" t="str">
        <f t="shared" si="5"/>
        <v>Net Commodity Revenue</v>
      </c>
      <c r="J98" s="230"/>
      <c r="K98" s="230"/>
      <c r="L98" s="230"/>
      <c r="M98" s="230"/>
      <c r="N98" s="382">
        <f>SUM(N96:N97)</f>
        <v>177090.85465191412</v>
      </c>
      <c r="O98" s="218"/>
      <c r="Q98" s="214" t="str">
        <f t="shared" si="6"/>
        <v>Net Commodity Revenue</v>
      </c>
      <c r="R98" s="281"/>
      <c r="S98" s="281"/>
      <c r="T98" s="281"/>
      <c r="U98" s="281"/>
      <c r="V98" s="277">
        <f>SUM(V96:V97)</f>
        <v>188978.21708570738</v>
      </c>
      <c r="W98" s="218"/>
      <c r="Y98" s="214" t="str">
        <f t="shared" si="7"/>
        <v>Net Commodity Revenue</v>
      </c>
      <c r="Z98" s="230"/>
      <c r="AA98" s="230"/>
      <c r="AB98" s="230"/>
      <c r="AC98" s="230"/>
      <c r="AD98" s="382">
        <f>SUM(AD96:AD97)</f>
        <v>32512.873335492586</v>
      </c>
      <c r="AE98" s="218"/>
      <c r="AG98" s="280" t="s">
        <v>153</v>
      </c>
      <c r="AH98" s="281"/>
      <c r="AI98" s="281"/>
      <c r="AJ98" s="281"/>
      <c r="AK98" s="281"/>
      <c r="AL98" s="277">
        <f>SUM(AL96:AL97)</f>
        <v>72972.8741753254</v>
      </c>
      <c r="AM98" s="218"/>
      <c r="AO98" s="221"/>
      <c r="AP98" s="341"/>
      <c r="AQ98" s="341"/>
      <c r="AR98" s="341"/>
      <c r="AS98" s="341"/>
      <c r="AT98" s="341"/>
      <c r="AU98" s="218"/>
    </row>
    <row r="99" spans="1:49" ht="15">
      <c r="A99" s="229"/>
      <c r="B99" s="230"/>
      <c r="C99" s="230"/>
      <c r="D99" s="230"/>
      <c r="E99" s="230"/>
      <c r="F99" s="230"/>
      <c r="G99" s="218"/>
      <c r="I99" s="229"/>
      <c r="J99" s="230"/>
      <c r="K99" s="230"/>
      <c r="L99" s="230"/>
      <c r="M99" s="230"/>
      <c r="N99" s="230"/>
      <c r="O99" s="218"/>
      <c r="Q99" s="281"/>
      <c r="R99" s="281"/>
      <c r="S99" s="281"/>
      <c r="T99" s="281"/>
      <c r="U99" s="281"/>
      <c r="V99" s="281"/>
      <c r="W99" s="218"/>
      <c r="Y99" s="229"/>
      <c r="Z99" s="230"/>
      <c r="AA99" s="230"/>
      <c r="AB99" s="230"/>
      <c r="AC99" s="230"/>
      <c r="AD99" s="230"/>
      <c r="AE99" s="218"/>
      <c r="AG99" s="229"/>
      <c r="AH99" s="281"/>
      <c r="AI99" s="281"/>
      <c r="AJ99" s="281"/>
      <c r="AK99" s="281"/>
      <c r="AL99" s="281"/>
      <c r="AM99" s="218"/>
      <c r="AO99" s="221"/>
      <c r="AP99" s="341"/>
      <c r="AQ99" s="341"/>
      <c r="AR99" s="341"/>
      <c r="AS99" s="341"/>
      <c r="AT99" s="341"/>
      <c r="AU99" s="218"/>
    </row>
    <row r="100" spans="1:49" ht="15">
      <c r="A100" s="221"/>
      <c r="B100" s="217"/>
      <c r="C100" s="217"/>
      <c r="D100" s="217"/>
      <c r="E100" s="217"/>
      <c r="F100" s="256"/>
      <c r="G100" s="218"/>
      <c r="I100" s="221"/>
      <c r="J100" s="217"/>
      <c r="K100" s="217"/>
      <c r="L100" s="217"/>
      <c r="M100" s="217"/>
      <c r="N100" s="256"/>
      <c r="O100" s="218"/>
      <c r="Q100" s="221"/>
      <c r="R100" s="341"/>
      <c r="S100" s="341"/>
      <c r="T100" s="341"/>
      <c r="U100" s="341"/>
      <c r="V100" s="351"/>
      <c r="W100" s="218"/>
      <c r="Y100" s="221"/>
      <c r="Z100" s="217"/>
      <c r="AA100" s="217"/>
      <c r="AB100" s="217"/>
      <c r="AC100" s="217"/>
      <c r="AD100" s="256"/>
      <c r="AE100" s="218"/>
      <c r="AG100" s="221" t="s">
        <v>117</v>
      </c>
      <c r="AH100" s="341"/>
      <c r="AI100" s="341"/>
      <c r="AJ100" s="341"/>
      <c r="AK100" s="341"/>
      <c r="AL100" s="256">
        <f>AL98-AL94</f>
        <v>-151173.1058246746</v>
      </c>
      <c r="AM100" s="218"/>
      <c r="AO100" s="221"/>
      <c r="AP100" s="341"/>
      <c r="AQ100" s="341"/>
      <c r="AR100" s="341"/>
      <c r="AS100" s="341"/>
      <c r="AT100" s="341"/>
      <c r="AU100" s="218"/>
    </row>
    <row r="101" spans="1:49" ht="15.75">
      <c r="A101" s="214"/>
      <c r="B101" s="217"/>
      <c r="C101" s="253"/>
      <c r="D101" s="217"/>
      <c r="E101" s="254"/>
      <c r="F101" s="228"/>
      <c r="G101" s="218"/>
      <c r="I101" s="214"/>
      <c r="J101" s="217"/>
      <c r="K101" s="253"/>
      <c r="L101" s="217"/>
      <c r="M101" s="254"/>
      <c r="N101" s="228"/>
      <c r="O101" s="218"/>
      <c r="Q101" s="214"/>
      <c r="R101" s="341"/>
      <c r="S101" s="353"/>
      <c r="T101" s="341"/>
      <c r="U101" s="354"/>
      <c r="V101" s="348"/>
      <c r="W101" s="218"/>
      <c r="Y101" s="214"/>
      <c r="Z101" s="217"/>
      <c r="AA101" s="253"/>
      <c r="AB101" s="217"/>
      <c r="AC101" s="254"/>
      <c r="AD101" s="228"/>
      <c r="AE101" s="218"/>
      <c r="AG101" s="214" t="s">
        <v>151</v>
      </c>
      <c r="AH101" s="341"/>
      <c r="AI101" s="253">
        <v>35317</v>
      </c>
      <c r="AJ101" s="341"/>
      <c r="AK101" s="354">
        <f>AU119</f>
        <v>-0.77500000000000002</v>
      </c>
      <c r="AL101" s="228">
        <f>AK101*AI101</f>
        <v>-27370.674999999999</v>
      </c>
      <c r="AM101" s="218"/>
      <c r="AO101" s="214" t="s">
        <v>116</v>
      </c>
      <c r="AP101" s="341"/>
      <c r="AQ101" s="341"/>
      <c r="AR101" s="341"/>
      <c r="AS101" s="341"/>
      <c r="AT101" s="348">
        <v>223798</v>
      </c>
      <c r="AU101" s="218"/>
      <c r="AW101" s="257"/>
    </row>
    <row r="102" spans="1:49" ht="15.75">
      <c r="A102" s="214"/>
      <c r="B102" s="217"/>
      <c r="C102" s="217"/>
      <c r="D102" s="217"/>
      <c r="E102" s="217"/>
      <c r="F102" s="256"/>
      <c r="G102" s="218"/>
      <c r="I102" s="214"/>
      <c r="J102" s="217"/>
      <c r="K102" s="217"/>
      <c r="L102" s="217"/>
      <c r="M102" s="217"/>
      <c r="N102" s="256"/>
      <c r="O102" s="218"/>
      <c r="Q102" s="214"/>
      <c r="R102" s="341"/>
      <c r="S102" s="341"/>
      <c r="T102" s="341"/>
      <c r="U102" s="341"/>
      <c r="V102" s="256"/>
      <c r="W102" s="218"/>
      <c r="Y102" s="214"/>
      <c r="Z102" s="217"/>
      <c r="AA102" s="217"/>
      <c r="AB102" s="217"/>
      <c r="AC102" s="217"/>
      <c r="AD102" s="256"/>
      <c r="AE102" s="218"/>
      <c r="AG102" s="214" t="s">
        <v>148</v>
      </c>
      <c r="AH102" s="341"/>
      <c r="AI102" s="341"/>
      <c r="AJ102" s="341"/>
      <c r="AK102" s="341"/>
      <c r="AL102" s="278">
        <v>4826.2600380142394</v>
      </c>
      <c r="AM102" s="218"/>
      <c r="AO102" s="221"/>
      <c r="AP102" s="341"/>
      <c r="AQ102" s="341"/>
      <c r="AR102" s="341"/>
      <c r="AS102" s="341"/>
      <c r="AT102" s="348"/>
      <c r="AU102" s="218"/>
    </row>
    <row r="103" spans="1:49" ht="15">
      <c r="A103" s="229" t="s">
        <v>154</v>
      </c>
      <c r="B103" s="230"/>
      <c r="C103" s="230"/>
      <c r="D103" s="230"/>
      <c r="E103" s="230"/>
      <c r="F103" s="382">
        <f>+F98-F94</f>
        <v>-253857.52047027473</v>
      </c>
      <c r="G103" s="218" t="s">
        <v>239</v>
      </c>
      <c r="I103" s="229" t="s">
        <v>154</v>
      </c>
      <c r="J103" s="230"/>
      <c r="K103" s="230"/>
      <c r="L103" s="230"/>
      <c r="M103" s="230"/>
      <c r="N103" s="382">
        <f>+N98-N94</f>
        <v>-125642.44534808586</v>
      </c>
      <c r="O103" s="218" t="s">
        <v>239</v>
      </c>
      <c r="Q103" s="281" t="s">
        <v>154</v>
      </c>
      <c r="R103" s="281"/>
      <c r="S103" s="281"/>
      <c r="T103" s="281"/>
      <c r="U103" s="281"/>
      <c r="V103" s="277">
        <f>+V98-V94</f>
        <v>100923.98708570738</v>
      </c>
      <c r="W103" s="218"/>
      <c r="Y103" s="229" t="s">
        <v>154</v>
      </c>
      <c r="Z103" s="230"/>
      <c r="AA103" s="230"/>
      <c r="AB103" s="230"/>
      <c r="AC103" s="230"/>
      <c r="AD103" s="382">
        <f>+AD98-AD94</f>
        <v>-123622.60666450739</v>
      </c>
      <c r="AE103" s="218"/>
      <c r="AG103" s="229" t="s">
        <v>154</v>
      </c>
      <c r="AH103" s="281"/>
      <c r="AI103" s="281"/>
      <c r="AJ103" s="281"/>
      <c r="AK103" s="281"/>
      <c r="AL103" s="277">
        <f>SUM(AL100:AL102)</f>
        <v>-173717.52078666035</v>
      </c>
      <c r="AM103" s="218"/>
      <c r="AO103" s="221" t="s">
        <v>117</v>
      </c>
      <c r="AP103" s="341"/>
      <c r="AQ103" s="341"/>
      <c r="AR103" s="341"/>
      <c r="AS103" s="341"/>
      <c r="AT103" s="346">
        <f>AT101-AT94</f>
        <v>-229295.49</v>
      </c>
      <c r="AU103" s="218"/>
    </row>
    <row r="104" spans="1:49" ht="17.25">
      <c r="A104" s="229"/>
      <c r="B104" s="230"/>
      <c r="C104" s="230"/>
      <c r="D104" s="230"/>
      <c r="E104" s="230"/>
      <c r="F104" s="230"/>
      <c r="G104" s="218"/>
      <c r="I104" s="229"/>
      <c r="J104" s="230"/>
      <c r="K104" s="230"/>
      <c r="L104" s="230"/>
      <c r="M104" s="230"/>
      <c r="N104" s="230"/>
      <c r="O104" s="218"/>
      <c r="Q104" s="281"/>
      <c r="R104" s="281"/>
      <c r="S104" s="281"/>
      <c r="T104" s="281"/>
      <c r="U104" s="281"/>
      <c r="V104" s="281"/>
      <c r="W104" s="218"/>
      <c r="Y104" s="229"/>
      <c r="Z104" s="230"/>
      <c r="AA104" s="230"/>
      <c r="AB104" s="230"/>
      <c r="AC104" s="230"/>
      <c r="AD104" s="230"/>
      <c r="AE104" s="218"/>
      <c r="AG104" s="229"/>
      <c r="AH104" s="281"/>
      <c r="AI104" s="281"/>
      <c r="AJ104" s="281"/>
      <c r="AK104" s="281"/>
      <c r="AL104" s="281"/>
      <c r="AM104" s="218"/>
      <c r="AO104" s="221"/>
      <c r="AP104" s="341"/>
      <c r="AQ104" s="356"/>
      <c r="AR104" s="341"/>
      <c r="AS104" s="341"/>
      <c r="AT104" s="355"/>
      <c r="AU104" s="218"/>
    </row>
    <row r="105" spans="1:49" ht="15">
      <c r="A105" s="221" t="s">
        <v>118</v>
      </c>
      <c r="B105" s="217"/>
      <c r="C105" s="217"/>
      <c r="D105" s="217"/>
      <c r="E105" s="217"/>
      <c r="F105" s="226">
        <f>+C94</f>
        <v>223813</v>
      </c>
      <c r="G105" s="218"/>
      <c r="I105" s="221" t="s">
        <v>118</v>
      </c>
      <c r="J105" s="217"/>
      <c r="K105" s="217"/>
      <c r="L105" s="217"/>
      <c r="M105" s="217"/>
      <c r="N105" s="226">
        <f>+K94</f>
        <v>224019</v>
      </c>
      <c r="O105" s="218"/>
      <c r="Q105" s="221" t="s">
        <v>118</v>
      </c>
      <c r="R105" s="341"/>
      <c r="S105" s="341"/>
      <c r="T105" s="341"/>
      <c r="U105" s="341"/>
      <c r="V105" s="346">
        <f>+S94</f>
        <v>221875</v>
      </c>
      <c r="W105" s="218"/>
      <c r="Y105" s="221" t="s">
        <v>118</v>
      </c>
      <c r="Z105" s="217"/>
      <c r="AA105" s="217"/>
      <c r="AB105" s="217"/>
      <c r="AC105" s="217"/>
      <c r="AD105" s="226">
        <f>+AA94</f>
        <v>216960</v>
      </c>
      <c r="AE105" s="218"/>
      <c r="AG105" s="221" t="s">
        <v>118</v>
      </c>
      <c r="AH105" s="341"/>
      <c r="AI105" s="341"/>
      <c r="AJ105" s="341"/>
      <c r="AK105" s="341"/>
      <c r="AL105" s="346">
        <v>212715</v>
      </c>
      <c r="AM105" s="218"/>
      <c r="AO105" s="221" t="s">
        <v>118</v>
      </c>
      <c r="AP105" s="341"/>
      <c r="AQ105" s="341"/>
      <c r="AR105" s="341"/>
      <c r="AS105" s="341"/>
      <c r="AT105" s="346">
        <f>+AQ94</f>
        <v>209147</v>
      </c>
      <c r="AU105" s="218"/>
    </row>
    <row r="106" spans="1:49" ht="15">
      <c r="A106" s="221"/>
      <c r="B106" s="217"/>
      <c r="C106" s="217"/>
      <c r="D106" s="217"/>
      <c r="E106" s="217"/>
      <c r="F106" s="217"/>
      <c r="G106" s="218"/>
      <c r="I106" s="221"/>
      <c r="J106" s="217"/>
      <c r="K106" s="217"/>
      <c r="L106" s="217"/>
      <c r="M106" s="217"/>
      <c r="N106" s="217"/>
      <c r="O106" s="218"/>
      <c r="Q106" s="221"/>
      <c r="R106" s="341"/>
      <c r="S106" s="341"/>
      <c r="T106" s="341"/>
      <c r="U106" s="341"/>
      <c r="V106" s="341"/>
      <c r="W106" s="218"/>
      <c r="Y106" s="221"/>
      <c r="Z106" s="217"/>
      <c r="AA106" s="217"/>
      <c r="AB106" s="217"/>
      <c r="AC106" s="217"/>
      <c r="AD106" s="217"/>
      <c r="AE106" s="218"/>
      <c r="AG106" s="221"/>
      <c r="AH106" s="341"/>
      <c r="AI106" s="341"/>
      <c r="AJ106" s="341"/>
      <c r="AK106" s="341"/>
      <c r="AL106" s="341"/>
      <c r="AM106" s="218"/>
      <c r="AO106" s="221"/>
      <c r="AP106" s="341"/>
      <c r="AQ106" s="341"/>
      <c r="AR106" s="341"/>
      <c r="AS106" s="341"/>
      <c r="AT106" s="341"/>
      <c r="AU106" s="218"/>
    </row>
    <row r="107" spans="1:49" ht="15">
      <c r="A107" s="221" t="s">
        <v>119</v>
      </c>
      <c r="B107" s="217"/>
      <c r="C107" s="217"/>
      <c r="D107" s="217"/>
      <c r="E107" s="217"/>
      <c r="F107" s="235"/>
      <c r="G107" s="236">
        <f>F103/F105</f>
        <v>-1.1342393894468807</v>
      </c>
      <c r="I107" s="221" t="s">
        <v>119</v>
      </c>
      <c r="J107" s="217"/>
      <c r="K107" s="217"/>
      <c r="L107" s="217"/>
      <c r="M107" s="217"/>
      <c r="N107" s="235"/>
      <c r="O107" s="236">
        <f>N103/N105</f>
        <v>-0.56085620125117008</v>
      </c>
      <c r="Q107" s="221" t="s">
        <v>119</v>
      </c>
      <c r="R107" s="341"/>
      <c r="S107" s="341"/>
      <c r="T107" s="341"/>
      <c r="U107" s="341"/>
      <c r="V107" s="357"/>
      <c r="W107" s="236">
        <f>V103/V105</f>
        <v>0.45486867418910371</v>
      </c>
      <c r="Y107" s="221" t="s">
        <v>119</v>
      </c>
      <c r="Z107" s="217"/>
      <c r="AA107" s="217"/>
      <c r="AB107" s="217"/>
      <c r="AC107" s="217"/>
      <c r="AD107" s="235"/>
      <c r="AE107" s="236">
        <f>AD103/AD105</f>
        <v>-0.56979446287107016</v>
      </c>
      <c r="AG107" s="221" t="s">
        <v>119</v>
      </c>
      <c r="AH107" s="341"/>
      <c r="AI107" s="341"/>
      <c r="AJ107" s="341"/>
      <c r="AK107" s="341"/>
      <c r="AL107" s="235"/>
      <c r="AM107" s="236">
        <f>AL103/AL105</f>
        <v>-0.81666793966885431</v>
      </c>
      <c r="AO107" s="221" t="s">
        <v>119</v>
      </c>
      <c r="AP107" s="341"/>
      <c r="AQ107" s="341"/>
      <c r="AR107" s="341"/>
      <c r="AS107" s="341"/>
      <c r="AT107" s="357"/>
      <c r="AU107" s="236">
        <f>ROUND(AT103/AT105,2)</f>
        <v>-1.1000000000000001</v>
      </c>
    </row>
    <row r="108" spans="1:49" ht="15">
      <c r="A108" s="221"/>
      <c r="B108" s="217"/>
      <c r="C108" s="217"/>
      <c r="D108" s="217"/>
      <c r="E108" s="217"/>
      <c r="F108" s="217"/>
      <c r="G108" s="236"/>
      <c r="I108" s="221"/>
      <c r="J108" s="217"/>
      <c r="K108" s="217"/>
      <c r="L108" s="217"/>
      <c r="M108" s="217"/>
      <c r="N108" s="217"/>
      <c r="O108" s="236"/>
      <c r="Q108" s="221"/>
      <c r="R108" s="341"/>
      <c r="S108" s="341"/>
      <c r="T108" s="341"/>
      <c r="U108" s="341"/>
      <c r="V108" s="341"/>
      <c r="W108" s="236"/>
      <c r="Y108" s="221"/>
      <c r="Z108" s="217"/>
      <c r="AA108" s="217"/>
      <c r="AB108" s="217"/>
      <c r="AC108" s="217"/>
      <c r="AD108" s="217"/>
      <c r="AE108" s="236"/>
      <c r="AG108" s="221"/>
      <c r="AH108" s="341"/>
      <c r="AI108" s="341"/>
      <c r="AJ108" s="341"/>
      <c r="AK108" s="341"/>
      <c r="AL108" s="341"/>
      <c r="AM108" s="236"/>
      <c r="AO108" s="221"/>
      <c r="AP108" s="341"/>
      <c r="AQ108" s="341"/>
      <c r="AR108" s="341"/>
      <c r="AS108" s="341"/>
      <c r="AT108" s="341"/>
      <c r="AU108" s="236"/>
    </row>
    <row r="109" spans="1:49" ht="15">
      <c r="A109" s="221"/>
      <c r="B109" s="217"/>
      <c r="C109" s="217"/>
      <c r="D109" s="217"/>
      <c r="E109" s="217"/>
      <c r="F109" s="217"/>
      <c r="G109" s="236"/>
      <c r="I109" s="221"/>
      <c r="J109" s="217"/>
      <c r="K109" s="217"/>
      <c r="L109" s="217"/>
      <c r="M109" s="217"/>
      <c r="N109" s="217"/>
      <c r="O109" s="236"/>
      <c r="Q109" s="221"/>
      <c r="R109" s="341"/>
      <c r="S109" s="341"/>
      <c r="T109" s="341"/>
      <c r="U109" s="341"/>
      <c r="V109" s="341"/>
      <c r="W109" s="236"/>
      <c r="Y109" s="221"/>
      <c r="Z109" s="217"/>
      <c r="AA109" s="217"/>
      <c r="AB109" s="217"/>
      <c r="AC109" s="217"/>
      <c r="AD109" s="217"/>
      <c r="AE109" s="236"/>
      <c r="AG109" s="221"/>
      <c r="AH109" s="341"/>
      <c r="AI109" s="341"/>
      <c r="AJ109" s="341"/>
      <c r="AK109" s="341"/>
      <c r="AL109" s="341"/>
      <c r="AM109" s="236"/>
      <c r="AO109" s="221"/>
      <c r="AP109" s="341"/>
      <c r="AQ109" s="341"/>
      <c r="AR109" s="341"/>
      <c r="AS109" s="341"/>
      <c r="AT109" s="341"/>
      <c r="AU109" s="236"/>
    </row>
    <row r="110" spans="1:49" ht="15.75">
      <c r="A110" s="237" t="str">
        <f>+A71</f>
        <v>Projected Revenue Oct. 2022 - Sep. 2023 (based on most recent 12 months)</v>
      </c>
      <c r="B110" s="215"/>
      <c r="C110" s="217"/>
      <c r="D110" s="217"/>
      <c r="E110" s="217"/>
      <c r="F110" s="238">
        <f>F96</f>
        <v>212948.83905945055</v>
      </c>
      <c r="G110" s="236"/>
      <c r="I110" s="237" t="str">
        <f>+I71</f>
        <v>Projected Revenue Oct. 2022 - Sep. 2023 (based on most recent 12 months)</v>
      </c>
      <c r="J110" s="215"/>
      <c r="K110" s="217"/>
      <c r="L110" s="217"/>
      <c r="M110" s="217"/>
      <c r="N110" s="238">
        <f>N96</f>
        <v>354181.70930382825</v>
      </c>
      <c r="O110" s="236"/>
      <c r="Q110" s="237" t="str">
        <f>+Q71</f>
        <v>Projected Revenue Oct. 2021 - Sep. 2022 (based on most recent 12 months)</v>
      </c>
      <c r="R110" s="339"/>
      <c r="S110" s="341"/>
      <c r="T110" s="341"/>
      <c r="U110" s="341"/>
      <c r="V110" s="358">
        <f>V96</f>
        <v>377956.43417141476</v>
      </c>
      <c r="W110" s="236"/>
      <c r="Y110" s="237" t="str">
        <f>+Y71</f>
        <v>Projected Revenue Oct. 2020 - Sep. 2021 (based on most recent 12 months)</v>
      </c>
      <c r="Z110" s="215"/>
      <c r="AA110" s="217"/>
      <c r="AB110" s="217"/>
      <c r="AC110" s="217"/>
      <c r="AD110" s="238">
        <f>AD96</f>
        <v>65025.746670985172</v>
      </c>
      <c r="AE110" s="236"/>
      <c r="AG110" s="237" t="s">
        <v>130</v>
      </c>
      <c r="AH110" s="339"/>
      <c r="AI110" s="341"/>
      <c r="AJ110" s="341"/>
      <c r="AK110" s="341"/>
      <c r="AL110" s="238">
        <f>AL96</f>
        <v>145945.7483506508</v>
      </c>
      <c r="AM110" s="236"/>
      <c r="AO110" s="237" t="s">
        <v>120</v>
      </c>
      <c r="AP110" s="339"/>
      <c r="AQ110" s="341"/>
      <c r="AR110" s="341"/>
      <c r="AS110" s="341"/>
      <c r="AT110" s="358">
        <v>85285</v>
      </c>
      <c r="AU110" s="236"/>
    </row>
    <row r="111" spans="1:49" ht="17.25">
      <c r="A111" s="214" t="s">
        <v>150</v>
      </c>
      <c r="B111" s="230"/>
      <c r="C111" s="230"/>
      <c r="D111" s="230"/>
      <c r="E111" s="230"/>
      <c r="F111" s="279">
        <f>F110*50%</f>
        <v>106474.41952972527</v>
      </c>
      <c r="G111" s="236"/>
      <c r="I111" s="214" t="s">
        <v>150</v>
      </c>
      <c r="J111" s="230"/>
      <c r="K111" s="230"/>
      <c r="L111" s="230"/>
      <c r="M111" s="230"/>
      <c r="N111" s="279">
        <f>N110*50%</f>
        <v>177090.85465191412</v>
      </c>
      <c r="O111" s="236"/>
      <c r="Q111" s="214" t="s">
        <v>150</v>
      </c>
      <c r="R111" s="281"/>
      <c r="S111" s="281"/>
      <c r="T111" s="281"/>
      <c r="U111" s="281"/>
      <c r="V111" s="279">
        <f>V110*50%</f>
        <v>188978.21708570738</v>
      </c>
      <c r="W111" s="236"/>
      <c r="Y111" s="214" t="s">
        <v>150</v>
      </c>
      <c r="Z111" s="230"/>
      <c r="AA111" s="230"/>
      <c r="AB111" s="230"/>
      <c r="AC111" s="230"/>
      <c r="AD111" s="279">
        <f>AD110*50%</f>
        <v>32512.873335492586</v>
      </c>
      <c r="AE111" s="236"/>
      <c r="AG111" s="214" t="s">
        <v>150</v>
      </c>
      <c r="AH111" s="281"/>
      <c r="AI111" s="281"/>
      <c r="AJ111" s="281"/>
      <c r="AK111" s="281"/>
      <c r="AL111" s="279">
        <f>AL110*50%</f>
        <v>72972.8741753254</v>
      </c>
      <c r="AM111" s="236"/>
      <c r="AO111" s="221" t="s">
        <v>118</v>
      </c>
      <c r="AP111" s="341"/>
      <c r="AQ111" s="341"/>
      <c r="AR111" s="341"/>
      <c r="AS111" s="341"/>
      <c r="AT111" s="359">
        <v>105335</v>
      </c>
      <c r="AU111" s="236"/>
    </row>
    <row r="112" spans="1:49" ht="17.25">
      <c r="A112" s="229" t="s">
        <v>152</v>
      </c>
      <c r="B112" s="230"/>
      <c r="C112" s="230"/>
      <c r="D112" s="230"/>
      <c r="E112" s="230"/>
      <c r="F112" s="382">
        <f>F110-F111</f>
        <v>106474.41952972527</v>
      </c>
      <c r="G112" s="236"/>
      <c r="I112" s="229" t="s">
        <v>152</v>
      </c>
      <c r="J112" s="230"/>
      <c r="K112" s="230"/>
      <c r="L112" s="230"/>
      <c r="M112" s="230"/>
      <c r="N112" s="382">
        <f>N110-N111</f>
        <v>177090.85465191412</v>
      </c>
      <c r="O112" s="236"/>
      <c r="Q112" s="281" t="s">
        <v>152</v>
      </c>
      <c r="R112" s="281"/>
      <c r="S112" s="281"/>
      <c r="T112" s="281"/>
      <c r="U112" s="281"/>
      <c r="V112" s="277">
        <f>V110-V111</f>
        <v>188978.21708570738</v>
      </c>
      <c r="W112" s="236"/>
      <c r="Y112" s="229" t="s">
        <v>152</v>
      </c>
      <c r="Z112" s="230"/>
      <c r="AA112" s="230"/>
      <c r="AB112" s="230"/>
      <c r="AC112" s="230"/>
      <c r="AD112" s="382">
        <f>AD110-AD111</f>
        <v>32512.873335492586</v>
      </c>
      <c r="AE112" s="236"/>
      <c r="AG112" s="229" t="s">
        <v>152</v>
      </c>
      <c r="AH112" s="281"/>
      <c r="AI112" s="281"/>
      <c r="AJ112" s="281"/>
      <c r="AK112" s="281"/>
      <c r="AL112" s="277">
        <f>AL110-AL111</f>
        <v>72972.8741753254</v>
      </c>
      <c r="AM112" s="236"/>
      <c r="AO112" s="221" t="s">
        <v>121</v>
      </c>
      <c r="AP112" s="341"/>
      <c r="AQ112" s="341"/>
      <c r="AR112" s="341"/>
      <c r="AS112" s="341"/>
      <c r="AT112" s="341"/>
      <c r="AU112" s="360">
        <f>ROUND(+AT110/AT111,2)</f>
        <v>0.81</v>
      </c>
    </row>
    <row r="113" spans="1:47" ht="17.25">
      <c r="A113" s="221" t="s">
        <v>118</v>
      </c>
      <c r="B113" s="217"/>
      <c r="C113" s="217"/>
      <c r="D113" s="217"/>
      <c r="E113" s="217"/>
      <c r="F113" s="239">
        <f>+F105</f>
        <v>223813</v>
      </c>
      <c r="G113" s="236"/>
      <c r="I113" s="221" t="s">
        <v>118</v>
      </c>
      <c r="J113" s="217"/>
      <c r="K113" s="217"/>
      <c r="L113" s="217"/>
      <c r="M113" s="217"/>
      <c r="N113" s="239">
        <f>+N105</f>
        <v>224019</v>
      </c>
      <c r="O113" s="236"/>
      <c r="Q113" s="221" t="s">
        <v>118</v>
      </c>
      <c r="R113" s="341"/>
      <c r="S113" s="341"/>
      <c r="T113" s="341"/>
      <c r="U113" s="341"/>
      <c r="V113" s="359">
        <f>+V105</f>
        <v>221875</v>
      </c>
      <c r="W113" s="236"/>
      <c r="Y113" s="221" t="s">
        <v>118</v>
      </c>
      <c r="Z113" s="217"/>
      <c r="AA113" s="217"/>
      <c r="AB113" s="217"/>
      <c r="AC113" s="217"/>
      <c r="AD113" s="239">
        <f>+AD105</f>
        <v>216960</v>
      </c>
      <c r="AE113" s="236"/>
      <c r="AG113" s="221" t="s">
        <v>118</v>
      </c>
      <c r="AH113" s="341"/>
      <c r="AI113" s="341"/>
      <c r="AJ113" s="341"/>
      <c r="AK113" s="341"/>
      <c r="AL113" s="359">
        <f>+AL105</f>
        <v>212715</v>
      </c>
      <c r="AM113" s="236"/>
      <c r="AO113" s="214" t="s">
        <v>122</v>
      </c>
      <c r="AP113" s="339"/>
      <c r="AQ113" s="341"/>
      <c r="AR113" s="341"/>
      <c r="AS113" s="341"/>
      <c r="AT113" s="341"/>
      <c r="AU113" s="244">
        <f>SUM(AU107:AU112)</f>
        <v>-0.29000000000000004</v>
      </c>
    </row>
    <row r="114" spans="1:47" ht="17.25">
      <c r="A114" s="221" t="s">
        <v>121</v>
      </c>
      <c r="B114" s="217"/>
      <c r="C114" s="217"/>
      <c r="D114" s="217"/>
      <c r="E114" s="217"/>
      <c r="F114" s="217"/>
      <c r="G114" s="360">
        <f>ROUND(+F110/F113,2)</f>
        <v>0.95</v>
      </c>
      <c r="I114" s="221" t="s">
        <v>121</v>
      </c>
      <c r="J114" s="217"/>
      <c r="K114" s="217"/>
      <c r="L114" s="217"/>
      <c r="M114" s="217"/>
      <c r="N114" s="217"/>
      <c r="O114" s="360">
        <f>ROUND(+N110/N113,2)</f>
        <v>1.58</v>
      </c>
      <c r="Q114" s="221" t="s">
        <v>121</v>
      </c>
      <c r="R114" s="341"/>
      <c r="S114" s="341"/>
      <c r="T114" s="341"/>
      <c r="U114" s="341"/>
      <c r="V114" s="341"/>
      <c r="W114" s="360">
        <f>ROUND(+V110/V113,2)</f>
        <v>1.7</v>
      </c>
      <c r="Y114" s="221" t="s">
        <v>121</v>
      </c>
      <c r="Z114" s="217"/>
      <c r="AA114" s="217"/>
      <c r="AB114" s="217"/>
      <c r="AC114" s="217"/>
      <c r="AD114" s="217"/>
      <c r="AE114" s="360">
        <f>ROUND(+AD110/AD113,2)</f>
        <v>0.3</v>
      </c>
      <c r="AG114" s="221" t="s">
        <v>121</v>
      </c>
      <c r="AH114" s="341"/>
      <c r="AI114" s="341"/>
      <c r="AJ114" s="341"/>
      <c r="AK114" s="341"/>
      <c r="AL114" s="341"/>
      <c r="AM114" s="360">
        <f>ROUND(+AL110/AL113,2)</f>
        <v>0.69</v>
      </c>
      <c r="AO114" s="214"/>
      <c r="AP114" s="339"/>
      <c r="AQ114" s="341"/>
      <c r="AR114" s="341"/>
      <c r="AS114" s="341"/>
      <c r="AT114" s="341"/>
      <c r="AU114" s="244"/>
    </row>
    <row r="115" spans="1:47" ht="18">
      <c r="A115" s="214" t="str">
        <f>+A76</f>
        <v>Residential Commodity Rebate (charge)</v>
      </c>
      <c r="B115" s="215"/>
      <c r="C115" s="217"/>
      <c r="D115" s="217"/>
      <c r="E115" s="217"/>
      <c r="F115" s="217"/>
      <c r="G115" s="361">
        <f>SUM(G107:G114)</f>
        <v>-0.18423938944688079</v>
      </c>
      <c r="I115" s="214" t="str">
        <f>+I76</f>
        <v>Residential Commodity Rebate (charge)</v>
      </c>
      <c r="J115" s="215"/>
      <c r="K115" s="217"/>
      <c r="L115" s="217"/>
      <c r="M115" s="217"/>
      <c r="N115" s="217"/>
      <c r="O115" s="361">
        <f>SUM(O107:O114)</f>
        <v>1.0191437987488299</v>
      </c>
      <c r="Q115" s="214" t="str">
        <f>+Q76</f>
        <v>Residential Commodity Rebate (charge)</v>
      </c>
      <c r="R115" s="339"/>
      <c r="S115" s="341"/>
      <c r="T115" s="341"/>
      <c r="U115" s="341"/>
      <c r="V115" s="341"/>
      <c r="W115" s="361">
        <f>SUM(W107:W114)</f>
        <v>2.1548686741891037</v>
      </c>
      <c r="Y115" s="214" t="str">
        <f>+Y76</f>
        <v>Residential Commodity Rebate (charge)</v>
      </c>
      <c r="Z115" s="215"/>
      <c r="AA115" s="217"/>
      <c r="AB115" s="217"/>
      <c r="AC115" s="217"/>
      <c r="AD115" s="217"/>
      <c r="AE115" s="361">
        <f>SUM(AE107:AE114)</f>
        <v>-0.26979446287107017</v>
      </c>
      <c r="AG115" s="214" t="s">
        <v>122</v>
      </c>
      <c r="AH115" s="339"/>
      <c r="AI115" s="341"/>
      <c r="AJ115" s="341"/>
      <c r="AK115" s="341"/>
      <c r="AL115" s="341"/>
      <c r="AM115" s="361">
        <f>SUM(AM107:AM114)</f>
        <v>-0.12666793966885437</v>
      </c>
      <c r="AO115" s="229" t="s">
        <v>123</v>
      </c>
      <c r="AP115" s="339"/>
      <c r="AQ115" s="341"/>
      <c r="AR115" s="341"/>
      <c r="AS115" s="362">
        <f>+AQ94/12*0.5</f>
        <v>8714.4583333333339</v>
      </c>
      <c r="AT115" s="341"/>
      <c r="AU115" s="244">
        <f>ROUND(-AS115/AQ94*2,2)</f>
        <v>-0.08</v>
      </c>
    </row>
    <row r="116" spans="1:47" ht="15.75">
      <c r="A116" s="214"/>
      <c r="B116" s="215"/>
      <c r="C116" s="217"/>
      <c r="D116" s="217"/>
      <c r="E116" s="217"/>
      <c r="F116" s="217"/>
      <c r="G116" s="244"/>
      <c r="I116" s="214"/>
      <c r="J116" s="215"/>
      <c r="K116" s="217"/>
      <c r="L116" s="217"/>
      <c r="M116" s="217"/>
      <c r="N116" s="217"/>
      <c r="O116" s="244"/>
      <c r="Q116" s="214"/>
      <c r="R116" s="339"/>
      <c r="S116" s="341"/>
      <c r="T116" s="341"/>
      <c r="U116" s="341"/>
      <c r="V116" s="341"/>
      <c r="W116" s="244"/>
      <c r="Y116" s="214"/>
      <c r="Z116" s="215"/>
      <c r="AA116" s="217"/>
      <c r="AB116" s="217"/>
      <c r="AC116" s="217"/>
      <c r="AD116" s="217"/>
      <c r="AE116" s="244"/>
      <c r="AG116" s="214"/>
      <c r="AH116" s="339"/>
      <c r="AI116" s="341"/>
      <c r="AJ116" s="341"/>
      <c r="AK116" s="341"/>
      <c r="AL116" s="341"/>
      <c r="AM116" s="244"/>
      <c r="AO116" s="214"/>
      <c r="AP116" s="339"/>
      <c r="AQ116" s="341"/>
      <c r="AR116" s="341"/>
      <c r="AS116" s="341"/>
      <c r="AT116" s="341"/>
      <c r="AU116" s="244"/>
    </row>
    <row r="117" spans="1:47" ht="20.25">
      <c r="A117" s="229"/>
      <c r="B117" s="217"/>
      <c r="C117" s="217"/>
      <c r="D117" s="217"/>
      <c r="E117" s="245"/>
      <c r="F117" s="217"/>
      <c r="G117" s="364"/>
      <c r="I117" s="229"/>
      <c r="J117" s="217"/>
      <c r="K117" s="217"/>
      <c r="L117" s="217"/>
      <c r="M117" s="245"/>
      <c r="N117" s="217"/>
      <c r="O117" s="364"/>
      <c r="Q117" s="229"/>
      <c r="R117" s="341"/>
      <c r="S117" s="341"/>
      <c r="T117" s="341"/>
      <c r="U117" s="363"/>
      <c r="V117" s="341"/>
      <c r="W117" s="364"/>
      <c r="Y117" s="229"/>
      <c r="Z117" s="217"/>
      <c r="AA117" s="217"/>
      <c r="AB117" s="217"/>
      <c r="AC117" s="245"/>
      <c r="AD117" s="217"/>
      <c r="AE117" s="364"/>
      <c r="AG117" s="229"/>
      <c r="AH117" s="341"/>
      <c r="AI117" s="341"/>
      <c r="AJ117" s="341"/>
      <c r="AK117" s="245"/>
      <c r="AL117" s="341"/>
      <c r="AM117" s="364"/>
      <c r="AO117" s="229" t="s">
        <v>124</v>
      </c>
      <c r="AP117" s="341"/>
      <c r="AQ117" s="341"/>
      <c r="AR117" s="341"/>
      <c r="AS117" s="363">
        <v>0.5</v>
      </c>
      <c r="AT117" s="341"/>
      <c r="AU117" s="364">
        <f>-AS117*AU112</f>
        <v>-0.40500000000000003</v>
      </c>
    </row>
    <row r="118" spans="1:47" ht="20.25">
      <c r="A118" s="229"/>
      <c r="B118" s="217"/>
      <c r="C118" s="217"/>
      <c r="D118" s="217"/>
      <c r="E118" s="248"/>
      <c r="F118" s="217"/>
      <c r="G118" s="364"/>
      <c r="I118" s="229"/>
      <c r="J118" s="217"/>
      <c r="K118" s="217"/>
      <c r="L118" s="217"/>
      <c r="M118" s="248"/>
      <c r="N118" s="217"/>
      <c r="O118" s="364"/>
      <c r="Q118" s="229"/>
      <c r="R118" s="341"/>
      <c r="S118" s="341"/>
      <c r="T118" s="341"/>
      <c r="U118" s="365"/>
      <c r="V118" s="341"/>
      <c r="W118" s="364"/>
      <c r="Y118" s="229"/>
      <c r="Z118" s="217"/>
      <c r="AA118" s="217"/>
      <c r="AB118" s="217"/>
      <c r="AC118" s="248"/>
      <c r="AD118" s="217"/>
      <c r="AE118" s="364"/>
      <c r="AG118" s="229"/>
      <c r="AH118" s="341"/>
      <c r="AI118" s="341"/>
      <c r="AJ118" s="341"/>
      <c r="AK118" s="248"/>
      <c r="AL118" s="341"/>
      <c r="AM118" s="364"/>
      <c r="AO118" s="229"/>
      <c r="AP118" s="341"/>
      <c r="AQ118" s="341"/>
      <c r="AR118" s="341"/>
      <c r="AS118" s="365"/>
      <c r="AT118" s="341"/>
      <c r="AU118" s="364"/>
    </row>
    <row r="119" spans="1:47" ht="18">
      <c r="A119" s="214"/>
      <c r="B119" s="217"/>
      <c r="C119" s="217"/>
      <c r="D119" s="217"/>
      <c r="E119" s="248"/>
      <c r="F119" s="217"/>
      <c r="G119" s="361"/>
      <c r="I119" s="214"/>
      <c r="J119" s="217"/>
      <c r="K119" s="217"/>
      <c r="L119" s="217"/>
      <c r="M119" s="248"/>
      <c r="N119" s="217"/>
      <c r="O119" s="361"/>
      <c r="Q119" s="214"/>
      <c r="R119" s="341"/>
      <c r="S119" s="341"/>
      <c r="T119" s="341"/>
      <c r="U119" s="365"/>
      <c r="V119" s="341"/>
      <c r="W119" s="361"/>
      <c r="Y119" s="214"/>
      <c r="Z119" s="217"/>
      <c r="AA119" s="217"/>
      <c r="AB119" s="217"/>
      <c r="AC119" s="248"/>
      <c r="AD119" s="217"/>
      <c r="AE119" s="361"/>
      <c r="AG119" s="214"/>
      <c r="AH119" s="341"/>
      <c r="AI119" s="341"/>
      <c r="AJ119" s="341"/>
      <c r="AK119" s="248"/>
      <c r="AL119" s="341"/>
      <c r="AM119" s="361"/>
      <c r="AO119" s="214" t="s">
        <v>146</v>
      </c>
      <c r="AP119" s="341"/>
      <c r="AQ119" s="341"/>
      <c r="AR119" s="341"/>
      <c r="AS119" s="365"/>
      <c r="AT119" s="341"/>
      <c r="AU119" s="361">
        <f>+AU113+AU117+AU115</f>
        <v>-0.77500000000000002</v>
      </c>
    </row>
    <row r="120" spans="1:47" ht="13.5" thickBot="1">
      <c r="A120" s="250"/>
      <c r="B120" s="251"/>
      <c r="C120" s="251"/>
      <c r="D120" s="251"/>
      <c r="E120" s="251"/>
      <c r="F120" s="251"/>
      <c r="G120" s="252"/>
      <c r="I120" s="250"/>
      <c r="J120" s="251"/>
      <c r="K120" s="251"/>
      <c r="L120" s="251"/>
      <c r="M120" s="251"/>
      <c r="N120" s="251"/>
      <c r="O120" s="252"/>
      <c r="Q120" s="250"/>
      <c r="R120" s="251"/>
      <c r="S120" s="251"/>
      <c r="T120" s="251"/>
      <c r="U120" s="251"/>
      <c r="V120" s="251"/>
      <c r="W120" s="252"/>
      <c r="Y120" s="250"/>
      <c r="Z120" s="251"/>
      <c r="AA120" s="251"/>
      <c r="AB120" s="251"/>
      <c r="AC120" s="251"/>
      <c r="AD120" s="251"/>
      <c r="AE120" s="252"/>
      <c r="AG120" s="250"/>
      <c r="AH120" s="251"/>
      <c r="AI120" s="251"/>
      <c r="AJ120" s="251"/>
      <c r="AK120" s="251"/>
      <c r="AL120" s="251"/>
      <c r="AM120" s="252"/>
      <c r="AO120" s="250"/>
      <c r="AP120" s="251"/>
      <c r="AQ120" s="251"/>
      <c r="AR120" s="251"/>
      <c r="AS120" s="251"/>
      <c r="AT120" s="251"/>
      <c r="AU120" s="252"/>
    </row>
    <row r="126" spans="1:47" ht="81" customHeight="1">
      <c r="I126" s="521" t="s">
        <v>249</v>
      </c>
      <c r="J126" s="522"/>
      <c r="K126" s="522"/>
      <c r="L126" s="522"/>
      <c r="M126" s="522"/>
      <c r="N126" s="522"/>
      <c r="O126" s="522"/>
      <c r="Q126" s="521" t="s">
        <v>249</v>
      </c>
      <c r="R126" s="522"/>
      <c r="S126" s="522"/>
      <c r="T126" s="522"/>
      <c r="U126" s="522"/>
      <c r="V126" s="522"/>
      <c r="W126" s="522"/>
    </row>
  </sheetData>
  <mergeCells count="25">
    <mergeCell ref="AO87:AU87"/>
    <mergeCell ref="Q4:S4"/>
    <mergeCell ref="Q6:W6"/>
    <mergeCell ref="Q48:W48"/>
    <mergeCell ref="Q87:W87"/>
    <mergeCell ref="Y4:AA4"/>
    <mergeCell ref="AG4:AI4"/>
    <mergeCell ref="Y6:AE6"/>
    <mergeCell ref="AG6:AM6"/>
    <mergeCell ref="AO6:AU6"/>
    <mergeCell ref="Y48:AE48"/>
    <mergeCell ref="AG48:AM48"/>
    <mergeCell ref="AO48:AU48"/>
    <mergeCell ref="A4:C4"/>
    <mergeCell ref="A6:G6"/>
    <mergeCell ref="Q126:W126"/>
    <mergeCell ref="Y87:AE87"/>
    <mergeCell ref="AG87:AM87"/>
    <mergeCell ref="I4:K4"/>
    <mergeCell ref="I6:O6"/>
    <mergeCell ref="I48:O48"/>
    <mergeCell ref="I87:O87"/>
    <mergeCell ref="I126:O126"/>
    <mergeCell ref="A87:G87"/>
    <mergeCell ref="A48:G4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C72" activePane="bottomRight" state="frozen"/>
      <selection pane="topRight" activeCell="C1" sqref="C1"/>
      <selection pane="bottomLeft" activeCell="A7" sqref="A7"/>
      <selection pane="bottomRight" activeCell="D105" sqref="D105"/>
    </sheetView>
  </sheetViews>
  <sheetFormatPr defaultRowHeight="12.75"/>
  <cols>
    <col min="2" max="2" width="21.85546875" customWidth="1"/>
    <col min="3" max="3" width="14" bestFit="1" customWidth="1"/>
    <col min="4" max="4" width="12.28515625" bestFit="1" customWidth="1"/>
    <col min="5" max="5" width="13.28515625" customWidth="1"/>
    <col min="6" max="6" width="5.28515625" customWidth="1"/>
    <col min="7" max="7" width="13" bestFit="1" customWidth="1"/>
    <col min="8" max="8" width="12.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1.285156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67" t="s">
        <v>80</v>
      </c>
      <c r="B1" s="55"/>
      <c r="C1" s="55"/>
      <c r="D1" s="55"/>
      <c r="E1" s="55"/>
      <c r="F1" s="55"/>
      <c r="G1" s="55"/>
      <c r="H1" s="55"/>
      <c r="I1" s="55"/>
      <c r="J1" s="55"/>
    </row>
    <row r="2" spans="1:24" ht="15.75">
      <c r="A2" s="68"/>
      <c r="B2" s="55"/>
      <c r="C2" s="55"/>
      <c r="D2" s="55"/>
      <c r="E2" s="55"/>
      <c r="F2" s="55"/>
      <c r="G2" s="55"/>
      <c r="H2" s="55"/>
      <c r="I2" s="55"/>
      <c r="J2" s="55"/>
    </row>
    <row r="3" spans="1:24" ht="15">
      <c r="A3" s="56" t="s">
        <v>81</v>
      </c>
      <c r="B3" s="55"/>
      <c r="C3" s="55"/>
      <c r="D3" s="55"/>
      <c r="E3" s="55"/>
      <c r="F3" s="55"/>
      <c r="G3" s="55"/>
      <c r="H3" s="55"/>
      <c r="I3" s="55"/>
      <c r="J3" s="55"/>
      <c r="R3" s="13" t="s">
        <v>82</v>
      </c>
      <c r="S3" s="13" t="s">
        <v>31</v>
      </c>
      <c r="V3" s="98" t="s">
        <v>194</v>
      </c>
      <c r="X3" s="98" t="s">
        <v>195</v>
      </c>
    </row>
    <row r="4" spans="1:24" ht="15">
      <c r="A4" s="55"/>
      <c r="B4" s="55"/>
      <c r="C4" s="527" t="s">
        <v>83</v>
      </c>
      <c r="D4" s="527"/>
      <c r="E4" s="527"/>
      <c r="F4" s="55"/>
      <c r="G4" s="527" t="s">
        <v>84</v>
      </c>
      <c r="H4" s="527"/>
      <c r="I4" s="527"/>
      <c r="J4" s="527"/>
      <c r="L4" s="13" t="s">
        <v>43</v>
      </c>
      <c r="N4" s="13" t="s">
        <v>82</v>
      </c>
      <c r="O4" s="13" t="s">
        <v>31</v>
      </c>
      <c r="R4" s="13" t="s">
        <v>15</v>
      </c>
      <c r="S4" s="13" t="s">
        <v>15</v>
      </c>
      <c r="V4" s="13" t="s">
        <v>43</v>
      </c>
      <c r="X4" s="13" t="s">
        <v>43</v>
      </c>
    </row>
    <row r="5" spans="1:24" ht="15">
      <c r="A5" s="55"/>
      <c r="B5" s="55"/>
      <c r="C5" s="13" t="s">
        <v>82</v>
      </c>
      <c r="D5" s="13" t="s">
        <v>31</v>
      </c>
      <c r="E5" s="55"/>
      <c r="F5" s="55"/>
      <c r="G5" s="13" t="s">
        <v>82</v>
      </c>
      <c r="H5" s="13" t="s">
        <v>31</v>
      </c>
      <c r="I5" s="13"/>
      <c r="J5" s="55"/>
      <c r="L5" s="13" t="s">
        <v>85</v>
      </c>
      <c r="N5" s="13" t="s">
        <v>15</v>
      </c>
      <c r="O5" s="13" t="s">
        <v>15</v>
      </c>
      <c r="P5" s="13" t="s">
        <v>71</v>
      </c>
      <c r="R5" s="13" t="s">
        <v>43</v>
      </c>
      <c r="S5" s="13" t="s">
        <v>43</v>
      </c>
      <c r="T5" s="13" t="s">
        <v>43</v>
      </c>
      <c r="V5" s="13" t="s">
        <v>85</v>
      </c>
      <c r="X5" s="13" t="s">
        <v>85</v>
      </c>
    </row>
    <row r="6" spans="1:24" ht="15">
      <c r="A6" s="56"/>
      <c r="B6" s="56"/>
      <c r="C6" s="14" t="s">
        <v>15</v>
      </c>
      <c r="D6" s="14" t="s">
        <v>15</v>
      </c>
      <c r="E6" s="14" t="s">
        <v>71</v>
      </c>
      <c r="F6" s="56"/>
      <c r="G6" s="14" t="s">
        <v>15</v>
      </c>
      <c r="H6" s="14" t="s">
        <v>15</v>
      </c>
      <c r="I6" s="14"/>
      <c r="J6" s="14" t="s">
        <v>71</v>
      </c>
      <c r="L6" s="14" t="s">
        <v>86</v>
      </c>
      <c r="M6" s="14"/>
      <c r="N6" s="14" t="s">
        <v>87</v>
      </c>
      <c r="O6" s="14" t="s">
        <v>87</v>
      </c>
      <c r="P6" s="14" t="s">
        <v>87</v>
      </c>
      <c r="R6" s="56" t="s">
        <v>88</v>
      </c>
      <c r="S6" s="56" t="s">
        <v>88</v>
      </c>
      <c r="T6" s="56" t="s">
        <v>88</v>
      </c>
      <c r="V6" s="14" t="s">
        <v>86</v>
      </c>
      <c r="X6" s="14" t="s">
        <v>86</v>
      </c>
    </row>
    <row r="7" spans="1:24">
      <c r="A7" s="283" t="s">
        <v>265</v>
      </c>
      <c r="C7" s="87">
        <f>+'KC Tonnage - Enspire'!T3+'KC Tonnage - Enspire'!T4</f>
        <v>3679.1899999999996</v>
      </c>
      <c r="D7" s="87">
        <f>+'SC Tonnage - Enspire'!R3+'SC Tonnage - Enspire'!R4</f>
        <v>3424.65</v>
      </c>
      <c r="E7" s="87">
        <f t="shared" ref="E7:E30" si="0">+D7+C7</f>
        <v>7103.84</v>
      </c>
      <c r="F7" s="11"/>
      <c r="G7" s="136">
        <f>+'Prices - Recy. Acct. Analysis'!M75</f>
        <v>367198.41860331129</v>
      </c>
      <c r="H7" s="136">
        <f>+'Prices - Recy. Acct. Analysis'!M172</f>
        <v>339143.71357886272</v>
      </c>
      <c r="I7" s="136"/>
      <c r="J7" s="136">
        <f>+H7+G7</f>
        <v>706342.13218217401</v>
      </c>
      <c r="K7" s="11"/>
      <c r="L7" s="137">
        <f t="shared" ref="L7:L30" si="1">+J7/E7</f>
        <v>99.431030566872849</v>
      </c>
      <c r="M7" s="11"/>
      <c r="N7" s="57">
        <f>+'Customer Counts - Enspire'!D6+'Customer Counts - Enspire'!F6+'Customer Counts - Enspire'!O6+'Customer Counts - Enspire'!Q6</f>
        <v>131208</v>
      </c>
      <c r="O7" s="130">
        <f>+'Customer Counts - Enspire'!G6+'Customer Counts - Enspire'!H6+'Customer Counts - Enspire'!R6+'Customer Counts - Enspire'!S6</f>
        <v>144507</v>
      </c>
      <c r="P7" s="57">
        <f>+O7+N7</f>
        <v>275715</v>
      </c>
      <c r="Q7" s="11"/>
      <c r="R7" s="87">
        <f t="shared" ref="R7:R12" si="2">+C7*2000/N7</f>
        <v>56.081793793061394</v>
      </c>
      <c r="S7" s="87">
        <f t="shared" ref="S7:T9" si="3">+D7*2000/O7</f>
        <v>47.397703917457285</v>
      </c>
      <c r="T7" s="87">
        <f t="shared" si="3"/>
        <v>51.530312097637051</v>
      </c>
      <c r="V7" s="208">
        <f>+G7/C7</f>
        <v>99.804146728848295</v>
      </c>
      <c r="W7" s="208"/>
      <c r="X7" s="208">
        <f>+H7/D7</f>
        <v>99.030182231428824</v>
      </c>
    </row>
    <row r="8" spans="1:24">
      <c r="A8" t="s">
        <v>47</v>
      </c>
      <c r="C8" s="87">
        <f>+'KC Tonnage - Enspire'!T7+'KC Tonnage - Enspire'!T8</f>
        <v>4357.8600000000006</v>
      </c>
      <c r="D8" s="87">
        <f>+'SC Tonnage - Enspire'!R7+'SC Tonnage - Enspire'!R8</f>
        <v>3983.2599999999998</v>
      </c>
      <c r="E8" s="87">
        <f t="shared" si="0"/>
        <v>8341.1200000000008</v>
      </c>
      <c r="F8" s="11"/>
      <c r="G8" s="136">
        <f>+'Prices - Recy. Acct. Analysis'!M79</f>
        <v>398293.57720255252</v>
      </c>
      <c r="H8" s="136">
        <f>+'Prices - Recy. Acct. Analysis'!M176</f>
        <v>361568.36953007238</v>
      </c>
      <c r="I8" s="136"/>
      <c r="J8" s="136">
        <f t="shared" ref="J8:J30" si="4">+H8+G8</f>
        <v>759861.9467326249</v>
      </c>
      <c r="K8" s="11"/>
      <c r="L8" s="137">
        <f t="shared" si="1"/>
        <v>91.098311345793476</v>
      </c>
      <c r="M8" s="11"/>
      <c r="N8" s="57">
        <f>+'Customer Counts - Enspire'!D7+'Customer Counts - Enspire'!F7+'Customer Counts - Enspire'!O7+'Customer Counts - Enspire'!Q7</f>
        <v>131362</v>
      </c>
      <c r="O8" s="130">
        <f>+'Customer Counts - Enspire'!G7+'Customer Counts - Enspire'!H7+'Customer Counts - Enspire'!R7+'Customer Counts - Enspire'!S7</f>
        <v>144535</v>
      </c>
      <c r="P8" s="57">
        <f t="shared" ref="P8:P29" si="5">+O8+N8</f>
        <v>275897</v>
      </c>
      <c r="Q8" s="11"/>
      <c r="R8" s="87">
        <f t="shared" si="2"/>
        <v>66.348868013580812</v>
      </c>
      <c r="S8" s="87">
        <f t="shared" si="3"/>
        <v>55.118275850140101</v>
      </c>
      <c r="T8" s="87">
        <f t="shared" si="3"/>
        <v>60.465463560676639</v>
      </c>
      <c r="V8" s="208">
        <f t="shared" ref="V8:V13" si="6">+G8/C8</f>
        <v>91.396597688441688</v>
      </c>
      <c r="W8" s="208"/>
      <c r="X8" s="208">
        <f t="shared" ref="X8:X13" si="7">+H8/D8</f>
        <v>90.771973089899333</v>
      </c>
    </row>
    <row r="9" spans="1:24">
      <c r="A9" t="s">
        <v>64</v>
      </c>
      <c r="C9" s="87">
        <f>+'KC Tonnage - Enspire'!T11+'KC Tonnage - Enspire'!T12</f>
        <v>3593.9500000000007</v>
      </c>
      <c r="D9" s="87">
        <f>+'SC Tonnage - Enspire'!R11+'SC Tonnage - Enspire'!R12</f>
        <v>3118.39</v>
      </c>
      <c r="E9" s="87">
        <f t="shared" si="0"/>
        <v>6712.34</v>
      </c>
      <c r="F9" s="11"/>
      <c r="G9" s="136">
        <f>+'Prices - Recy. Acct. Analysis'!M83</f>
        <v>243863.69104646333</v>
      </c>
      <c r="H9" s="136">
        <f>+'Prices - Recy. Acct. Analysis'!M180</f>
        <v>209054.27105152787</v>
      </c>
      <c r="I9" s="136"/>
      <c r="J9" s="136">
        <f t="shared" si="4"/>
        <v>452917.9620979912</v>
      </c>
      <c r="K9" s="11"/>
      <c r="L9" s="137">
        <f t="shared" si="1"/>
        <v>67.475420210834258</v>
      </c>
      <c r="M9" s="11"/>
      <c r="N9" s="57">
        <f>+'Customer Counts - Enspire'!D8+'Customer Counts - Enspire'!F8+'Customer Counts - Enspire'!O8+'Customer Counts - Enspire'!Q8</f>
        <v>131390</v>
      </c>
      <c r="O9" s="130">
        <f>+'Customer Counts - Enspire'!G8+'Customer Counts - Enspire'!H8+'Customer Counts - Enspire'!R8+'Customer Counts - Enspire'!S8</f>
        <v>145526</v>
      </c>
      <c r="P9" s="57">
        <f t="shared" si="5"/>
        <v>276916</v>
      </c>
      <c r="Q9" s="11"/>
      <c r="R9" s="87">
        <f t="shared" si="2"/>
        <v>54.706598675698316</v>
      </c>
      <c r="S9" s="87">
        <f t="shared" si="3"/>
        <v>42.85680909253329</v>
      </c>
      <c r="T9" s="87">
        <f t="shared" si="3"/>
        <v>48.479250025278425</v>
      </c>
      <c r="V9" s="208">
        <f t="shared" si="6"/>
        <v>67.853946506340733</v>
      </c>
      <c r="W9" s="208"/>
      <c r="X9" s="208">
        <f t="shared" si="7"/>
        <v>67.039167984609975</v>
      </c>
    </row>
    <row r="10" spans="1:24">
      <c r="A10" s="283" t="s">
        <v>266</v>
      </c>
      <c r="C10" s="87">
        <f>+'KC Tonnage - Enspire'!T15+'KC Tonnage - Enspire'!T16</f>
        <v>4765.7800000000007</v>
      </c>
      <c r="D10" s="87">
        <f>+'SC Tonnage - Enspire'!R15+'SC Tonnage - Enspire'!R16</f>
        <v>4357.5899999999992</v>
      </c>
      <c r="E10" s="87">
        <f t="shared" si="0"/>
        <v>9123.369999999999</v>
      </c>
      <c r="F10" s="11"/>
      <c r="G10" s="136">
        <f>+'Prices - Recy. Acct. Analysis'!M87</f>
        <v>300558.39328294306</v>
      </c>
      <c r="H10" s="136">
        <f>+'Prices - Recy. Acct. Analysis'!M184</f>
        <v>272499.84468454233</v>
      </c>
      <c r="I10" s="136"/>
      <c r="J10" s="136">
        <f t="shared" si="4"/>
        <v>573058.23796748533</v>
      </c>
      <c r="K10" s="11"/>
      <c r="L10" s="137">
        <f t="shared" si="1"/>
        <v>62.812122929080523</v>
      </c>
      <c r="M10" s="11"/>
      <c r="N10" s="57">
        <f>+'Customer Counts - Enspire'!D9+'Customer Counts - Enspire'!F9+'Customer Counts - Enspire'!O9+'Customer Counts - Enspire'!Q9</f>
        <v>131357</v>
      </c>
      <c r="O10" s="130">
        <f>+'Customer Counts - Enspire'!G9+'Customer Counts - Enspire'!H9+'Customer Counts - Enspire'!R9+'Customer Counts - Enspire'!S9</f>
        <v>145530</v>
      </c>
      <c r="P10" s="57">
        <f t="shared" si="5"/>
        <v>276887</v>
      </c>
      <c r="Q10" s="11"/>
      <c r="R10" s="87">
        <f t="shared" si="2"/>
        <v>72.562254010064194</v>
      </c>
      <c r="S10" s="87">
        <f t="shared" ref="S10:T12" si="8">+D10*2000/O10</f>
        <v>59.88579674293959</v>
      </c>
      <c r="T10" s="87">
        <f t="shared" si="8"/>
        <v>65.899590807802454</v>
      </c>
      <c r="V10" s="208">
        <f t="shared" si="6"/>
        <v>63.065939527830288</v>
      </c>
      <c r="W10" s="208"/>
      <c r="X10" s="208">
        <f t="shared" si="7"/>
        <v>62.534530482340557</v>
      </c>
    </row>
    <row r="11" spans="1:24">
      <c r="A11" t="s">
        <v>75</v>
      </c>
      <c r="C11" s="87">
        <f>+'KC Tonnage - Enspire'!T19+'KC Tonnage - Enspire'!T20</f>
        <v>3559.0000000000005</v>
      </c>
      <c r="D11" s="87">
        <f>+'SC Tonnage - Enspire'!R19+'SC Tonnage - Enspire'!R20</f>
        <v>3279.61</v>
      </c>
      <c r="E11" s="87">
        <f t="shared" si="0"/>
        <v>6838.6100000000006</v>
      </c>
      <c r="F11" s="11"/>
      <c r="G11" s="136">
        <f>+'Prices - Recy. Acct. Analysis'!M91</f>
        <v>240782.50700167051</v>
      </c>
      <c r="H11" s="136">
        <f>+'Prices - Recy. Acct. Analysis'!M188</f>
        <v>220487.38852293033</v>
      </c>
      <c r="I11" s="136"/>
      <c r="J11" s="136">
        <f t="shared" si="4"/>
        <v>461269.89552460087</v>
      </c>
      <c r="K11" s="11"/>
      <c r="L11" s="137">
        <f t="shared" si="1"/>
        <v>67.450826341113299</v>
      </c>
      <c r="M11" s="11"/>
      <c r="N11" s="57">
        <f>+'Customer Counts - Enspire'!D10+'Customer Counts - Enspire'!F10+'Customer Counts - Enspire'!O10+'Customer Counts - Enspire'!Q10</f>
        <v>131562</v>
      </c>
      <c r="O11" s="130">
        <f>+'Customer Counts - Enspire'!G10+'Customer Counts - Enspire'!H10+'Customer Counts - Enspire'!R10+'Customer Counts - Enspire'!S10</f>
        <v>145902</v>
      </c>
      <c r="P11" s="57">
        <f t="shared" si="5"/>
        <v>277464</v>
      </c>
      <c r="Q11" s="11"/>
      <c r="R11" s="87">
        <f t="shared" si="2"/>
        <v>54.103768565391228</v>
      </c>
      <c r="S11" s="87">
        <f t="shared" si="8"/>
        <v>44.95634055736042</v>
      </c>
      <c r="T11" s="87">
        <f t="shared" si="8"/>
        <v>49.293674134302115</v>
      </c>
      <c r="V11" s="208">
        <f t="shared" si="6"/>
        <v>67.654539758828463</v>
      </c>
      <c r="W11" s="208"/>
      <c r="X11" s="208">
        <f t="shared" si="7"/>
        <v>67.229758575846006</v>
      </c>
    </row>
    <row r="12" spans="1:24">
      <c r="A12" t="s">
        <v>76</v>
      </c>
      <c r="C12" s="87">
        <f>+'KC Tonnage - Enspire'!T23+'KC Tonnage - Enspire'!T24</f>
        <v>4145.63</v>
      </c>
      <c r="D12" s="87">
        <f>+'SC Tonnage - Enspire'!R23+'SC Tonnage - Enspire'!R24</f>
        <v>3771.49</v>
      </c>
      <c r="E12" s="87">
        <f t="shared" si="0"/>
        <v>7917.12</v>
      </c>
      <c r="F12" s="11"/>
      <c r="G12" s="136">
        <f>+'Prices - Recy. Acct. Analysis'!M95</f>
        <v>270197.69154976588</v>
      </c>
      <c r="H12" s="136">
        <f>+'Prices - Recy. Acct. Analysis'!M192</f>
        <v>242747.24912715692</v>
      </c>
      <c r="I12" s="136"/>
      <c r="J12" s="136">
        <f t="shared" si="4"/>
        <v>512944.94067692279</v>
      </c>
      <c r="K12" s="11"/>
      <c r="L12" s="137">
        <f t="shared" si="1"/>
        <v>64.789335096212113</v>
      </c>
      <c r="M12" s="11"/>
      <c r="N12" s="57">
        <f>+'Customer Counts - Enspire'!D11+'Customer Counts - Enspire'!F11+'Customer Counts - Enspire'!O11+'Customer Counts - Enspire'!Q11</f>
        <v>131529</v>
      </c>
      <c r="O12" s="130">
        <f>+'Customer Counts - Enspire'!G11+'Customer Counts - Enspire'!H11+'Customer Counts - Enspire'!R11+'Customer Counts - Enspire'!S11</f>
        <v>146118</v>
      </c>
      <c r="P12" s="57">
        <f t="shared" si="5"/>
        <v>277647</v>
      </c>
      <c r="Q12" s="11"/>
      <c r="R12" s="87">
        <f t="shared" si="2"/>
        <v>63.037505036912009</v>
      </c>
      <c r="S12" s="87">
        <f t="shared" si="8"/>
        <v>51.622524261213542</v>
      </c>
      <c r="T12" s="87">
        <f t="shared" si="8"/>
        <v>57.030113777566477</v>
      </c>
      <c r="V12" s="208">
        <f t="shared" si="6"/>
        <v>65.176509131245638</v>
      </c>
      <c r="W12" s="208"/>
      <c r="X12" s="208">
        <f t="shared" si="7"/>
        <v>64.363752555928016</v>
      </c>
    </row>
    <row r="13" spans="1:24">
      <c r="A13" t="s">
        <v>77</v>
      </c>
      <c r="C13" s="87">
        <f>+'KC Tonnage - Enspire'!T27+'KC Tonnage - Enspire'!T28</f>
        <v>3508.0399999999995</v>
      </c>
      <c r="D13" s="87">
        <f>+'SC Tonnage - Enspire'!R27+'SC Tonnage - Enspire'!R28</f>
        <v>3372.05</v>
      </c>
      <c r="E13" s="87">
        <f t="shared" si="0"/>
        <v>6880.09</v>
      </c>
      <c r="F13" s="11"/>
      <c r="G13" s="136">
        <f>+'Prices - Recy. Acct. Analysis'!M99</f>
        <v>230271.97231096114</v>
      </c>
      <c r="H13" s="136">
        <f>+'Prices - Recy. Acct. Analysis'!M196</f>
        <v>217926.31881480868</v>
      </c>
      <c r="I13" s="136"/>
      <c r="J13" s="136">
        <f t="shared" si="4"/>
        <v>448198.29112576984</v>
      </c>
      <c r="K13" s="11"/>
      <c r="L13" s="137">
        <f t="shared" si="1"/>
        <v>65.144248276660605</v>
      </c>
      <c r="M13" s="11"/>
      <c r="N13" s="57">
        <f>+'Customer Counts - Enspire'!D12+'Customer Counts - Enspire'!F12+'Customer Counts - Enspire'!O12+'Customer Counts - Enspire'!Q12</f>
        <v>131473</v>
      </c>
      <c r="O13" s="130">
        <f>+'Customer Counts - Enspire'!G12+'Customer Counts - Enspire'!H12+'Customer Counts - Enspire'!R12+'Customer Counts - Enspire'!S12</f>
        <v>146152</v>
      </c>
      <c r="P13" s="57">
        <f t="shared" si="5"/>
        <v>277625</v>
      </c>
      <c r="Q13" s="11"/>
      <c r="R13" s="87">
        <f t="shared" ref="R13:T14" si="9">+C13*2000/N13</f>
        <v>53.365177641036553</v>
      </c>
      <c r="S13" s="87">
        <f t="shared" si="9"/>
        <v>46.144424982210303</v>
      </c>
      <c r="T13" s="87">
        <f t="shared" si="9"/>
        <v>49.563908149482216</v>
      </c>
      <c r="V13" s="208">
        <f t="shared" si="6"/>
        <v>65.641204863958549</v>
      </c>
      <c r="W13" s="208"/>
      <c r="X13" s="208">
        <f t="shared" si="7"/>
        <v>64.627250134134627</v>
      </c>
    </row>
    <row r="14" spans="1:24">
      <c r="A14" t="s">
        <v>52</v>
      </c>
      <c r="C14" s="87">
        <f>+'KC Tonnage - Enspire'!T31+'KC Tonnage - Enspire'!T32</f>
        <v>3914.1799999999994</v>
      </c>
      <c r="D14" s="87">
        <f>+'SC Tonnage - Enspire'!R31+'SC Tonnage - Enspire'!R32</f>
        <v>3797.1000000000004</v>
      </c>
      <c r="E14" s="87">
        <f t="shared" si="0"/>
        <v>7711.28</v>
      </c>
      <c r="F14" s="11"/>
      <c r="G14" s="136">
        <f>+'Prices - Recy. Acct. Analysis'!M103</f>
        <v>232190.82878040682</v>
      </c>
      <c r="H14" s="136">
        <f>+'Prices - Recy. Acct. Analysis'!M200</f>
        <v>217340.78577686026</v>
      </c>
      <c r="I14" s="136"/>
      <c r="J14" s="136">
        <f t="shared" si="4"/>
        <v>449531.61455726705</v>
      </c>
      <c r="K14" s="11"/>
      <c r="L14" s="137">
        <f t="shared" si="1"/>
        <v>58.295330289817912</v>
      </c>
      <c r="M14" s="11"/>
      <c r="N14" s="57">
        <f>+'Customer Counts - Enspire'!D13+'Customer Counts - Enspire'!F13+'Customer Counts - Enspire'!O13+'Customer Counts - Enspire'!Q13</f>
        <v>131687</v>
      </c>
      <c r="O14" s="130">
        <f>+'Customer Counts - Enspire'!G13+'Customer Counts - Enspire'!H13+'Customer Counts - Enspire'!R13+'Customer Counts - Enspire'!S13</f>
        <v>146429</v>
      </c>
      <c r="P14" s="57">
        <f t="shared" si="5"/>
        <v>278116</v>
      </c>
      <c r="Q14" s="11"/>
      <c r="R14" s="87">
        <f t="shared" si="9"/>
        <v>59.446718354886961</v>
      </c>
      <c r="S14" s="87">
        <f t="shared" si="9"/>
        <v>51.862677475090322</v>
      </c>
      <c r="T14" s="87">
        <f t="shared" si="9"/>
        <v>55.453695580261474</v>
      </c>
      <c r="V14" s="208">
        <f>+G14/C14</f>
        <v>59.320426955430477</v>
      </c>
      <c r="W14" s="208"/>
      <c r="X14" s="208">
        <f>+H14/D14</f>
        <v>57.238625734602785</v>
      </c>
    </row>
    <row r="15" spans="1:24">
      <c r="A15" t="s">
        <v>59</v>
      </c>
      <c r="C15" s="87">
        <f>+'KC Tonnage - Enspire'!T35+'KC Tonnage - Enspire'!T36</f>
        <v>4014.58</v>
      </c>
      <c r="D15" s="87">
        <f>+'SC Tonnage - Enspire'!R35+'SC Tonnage - Enspire'!R36</f>
        <v>3921.97</v>
      </c>
      <c r="E15" s="87">
        <f t="shared" si="0"/>
        <v>7936.5499999999993</v>
      </c>
      <c r="F15" s="11"/>
      <c r="G15" s="136">
        <f>+'Prices - Recy. Acct. Analysis'!M107</f>
        <v>259616.95620620751</v>
      </c>
      <c r="H15" s="136">
        <f>+'Prices - Recy. Acct. Analysis'!M204</f>
        <v>249679.17945299865</v>
      </c>
      <c r="I15" s="136"/>
      <c r="J15" s="136">
        <f t="shared" si="4"/>
        <v>509296.13565920619</v>
      </c>
      <c r="K15" s="11"/>
      <c r="L15" s="137">
        <f t="shared" si="1"/>
        <v>64.170972986903152</v>
      </c>
      <c r="M15" s="11"/>
      <c r="N15" s="57">
        <f>+'Customer Counts - Enspire'!D14+'Customer Counts - Enspire'!F14+'Customer Counts - Enspire'!O14+'Customer Counts - Enspire'!Q14</f>
        <v>131724</v>
      </c>
      <c r="O15" s="130">
        <f>+'Customer Counts - Enspire'!G14+'Customer Counts - Enspire'!H14+'Customer Counts - Enspire'!R14+'Customer Counts - Enspire'!S14</f>
        <v>146449</v>
      </c>
      <c r="P15" s="57">
        <f t="shared" si="5"/>
        <v>278173</v>
      </c>
      <c r="Q15" s="11"/>
      <c r="R15" s="87">
        <f t="shared" ref="R15" si="10">+C15*2000/N15</f>
        <v>60.954419847560047</v>
      </c>
      <c r="S15" s="87">
        <f t="shared" ref="S15" si="11">+D15*2000/O15</f>
        <v>53.560898333208151</v>
      </c>
      <c r="T15" s="87">
        <f t="shared" ref="T15" si="12">+E15*2000/P15</f>
        <v>57.061972225916961</v>
      </c>
      <c r="V15" s="208">
        <f>+G15/C15</f>
        <v>64.668522287812806</v>
      </c>
      <c r="W15" s="208"/>
      <c r="X15" s="208">
        <f>+H15/D15</f>
        <v>63.661674988079632</v>
      </c>
    </row>
    <row r="16" spans="1:24">
      <c r="A16" t="s">
        <v>60</v>
      </c>
      <c r="C16" s="87">
        <f>+'KC Tonnage - Enspire'!T39+'KC Tonnage - Enspire'!T40</f>
        <v>3559.24</v>
      </c>
      <c r="D16" s="87">
        <f>+'SC Tonnage - Enspire'!R39+'SC Tonnage - Enspire'!R40</f>
        <v>3324.6200000000003</v>
      </c>
      <c r="E16" s="87">
        <f t="shared" si="0"/>
        <v>6883.8600000000006</v>
      </c>
      <c r="F16" s="11"/>
      <c r="G16" s="136">
        <f>+'Prices - Recy. Acct. Analysis'!M111</f>
        <v>292068.52658007323</v>
      </c>
      <c r="H16" s="136">
        <f>+'Prices - Recy. Acct. Analysis'!M208</f>
        <v>271178.1668995035</v>
      </c>
      <c r="I16" s="136"/>
      <c r="J16" s="136">
        <f t="shared" si="4"/>
        <v>563246.69347957673</v>
      </c>
      <c r="K16" s="11"/>
      <c r="L16" s="137">
        <f t="shared" si="1"/>
        <v>81.821346378278562</v>
      </c>
      <c r="M16" s="11"/>
      <c r="N16" s="57">
        <f>+'Customer Counts - Enspire'!D15+'Customer Counts - Enspire'!F15+'Customer Counts - Enspire'!O15+'Customer Counts - Enspire'!Q15</f>
        <v>131830</v>
      </c>
      <c r="O16" s="130">
        <f>+'Customer Counts - Enspire'!G15+'Customer Counts - Enspire'!H15+'Customer Counts - Enspire'!R15+'Customer Counts - Enspire'!S15</f>
        <v>146612</v>
      </c>
      <c r="P16" s="57">
        <f t="shared" si="5"/>
        <v>278442</v>
      </c>
      <c r="Q16" s="11"/>
      <c r="R16" s="87">
        <f t="shared" ref="R16" si="13">+C16*2000/N16</f>
        <v>53.997420920882952</v>
      </c>
      <c r="S16" s="87">
        <f t="shared" ref="S16" si="14">+D16*2000/O16</f>
        <v>45.352631435353182</v>
      </c>
      <c r="T16" s="87">
        <f t="shared" ref="T16" si="15">+E16*2000/P16</f>
        <v>49.445557782231134</v>
      </c>
      <c r="V16" s="208">
        <f>+G16/C16</f>
        <v>82.059239214010077</v>
      </c>
      <c r="X16" s="208">
        <f>+H16/D16</f>
        <v>81.56666533303158</v>
      </c>
    </row>
    <row r="17" spans="1:27">
      <c r="A17" t="s">
        <v>61</v>
      </c>
      <c r="C17" s="87">
        <f>+'KC Tonnage - Enspire'!T43+'KC Tonnage - Enspire'!T44</f>
        <v>3875.5200000000004</v>
      </c>
      <c r="D17" s="87">
        <f>+'SC Tonnage - Enspire'!R43+'SC Tonnage - Enspire'!R44</f>
        <v>3616.05</v>
      </c>
      <c r="E17" s="87">
        <f t="shared" si="0"/>
        <v>7491.5700000000006</v>
      </c>
      <c r="F17" s="11"/>
      <c r="G17" s="136">
        <f>+'Prices - Recy. Acct. Analysis'!M115</f>
        <v>230085.50633378772</v>
      </c>
      <c r="H17" s="136">
        <f>+'Prices - Recy. Acct. Analysis'!M212</f>
        <v>209423.88138148407</v>
      </c>
      <c r="I17" s="136"/>
      <c r="J17" s="136">
        <f t="shared" si="4"/>
        <v>439509.38771527179</v>
      </c>
      <c r="K17" s="11"/>
      <c r="L17" s="137">
        <f t="shared" si="1"/>
        <v>58.667193620999569</v>
      </c>
      <c r="M17" s="11"/>
      <c r="N17" s="57">
        <f>+'Customer Counts - Enspire'!D16+'Customer Counts - Enspire'!F16+'Customer Counts - Enspire'!O16+'Customer Counts - Enspire'!Q16</f>
        <v>131993</v>
      </c>
      <c r="O17" s="130">
        <f>+'Customer Counts - Enspire'!G16+'Customer Counts - Enspire'!H16+'Customer Counts - Enspire'!R16+'Customer Counts - Enspire'!S16</f>
        <v>147043</v>
      </c>
      <c r="P17" s="57">
        <f t="shared" si="5"/>
        <v>279036</v>
      </c>
      <c r="Q17" s="11"/>
      <c r="R17" s="87">
        <f t="shared" ref="R17" si="16">+C17*2000/N17</f>
        <v>58.723114104535853</v>
      </c>
      <c r="S17" s="87">
        <f t="shared" ref="S17" si="17">+D17*2000/O17</f>
        <v>49.183572152363595</v>
      </c>
      <c r="T17" s="87">
        <f t="shared" ref="T17" si="18">+E17*2000/P17</f>
        <v>53.696082225949347</v>
      </c>
      <c r="V17" s="208">
        <f>+G17/C17</f>
        <v>59.368937931887253</v>
      </c>
      <c r="X17" s="208">
        <f>+H17/D17</f>
        <v>57.915095582606455</v>
      </c>
    </row>
    <row r="18" spans="1:27" s="22" customFormat="1">
      <c r="A18" s="22" t="s">
        <v>62</v>
      </c>
      <c r="C18" s="131">
        <f>+'KC Tonnage - Enspire'!T47+'KC Tonnage - Enspire'!T48</f>
        <v>3681.75</v>
      </c>
      <c r="D18" s="131">
        <f>+'SC Tonnage - Enspire'!R47+'SC Tonnage - Enspire'!R48</f>
        <v>3443.1468975833004</v>
      </c>
      <c r="E18" s="131">
        <f t="shared" si="0"/>
        <v>7124.8968975833004</v>
      </c>
      <c r="F18" s="132"/>
      <c r="G18" s="147">
        <f>+'Prices - Recy. Acct. Analysis'!M119</f>
        <v>109487.49505274049</v>
      </c>
      <c r="H18" s="147">
        <f>+'Prices - Recy. Acct. Analysis'!M216</f>
        <v>99489.212749021826</v>
      </c>
      <c r="I18" s="147"/>
      <c r="J18" s="147">
        <f t="shared" si="4"/>
        <v>208976.70780176233</v>
      </c>
      <c r="K18" s="132"/>
      <c r="L18" s="433">
        <f t="shared" si="1"/>
        <v>29.330488680144313</v>
      </c>
      <c r="M18" s="132"/>
      <c r="N18" s="434">
        <f>+'Customer Counts - Enspire'!D17+'Customer Counts - Enspire'!F17+'Customer Counts - Enspire'!O17+'Customer Counts - Enspire'!Q17</f>
        <v>132045</v>
      </c>
      <c r="O18" s="135">
        <f>+'Customer Counts - Enspire'!G17+'Customer Counts - Enspire'!H17+'Customer Counts - Enspire'!R17+'Customer Counts - Enspire'!S17</f>
        <v>146873</v>
      </c>
      <c r="P18" s="434">
        <f t="shared" si="5"/>
        <v>278918</v>
      </c>
      <c r="Q18" s="132"/>
      <c r="R18" s="131">
        <f t="shared" ref="R18" si="19">+C18*2000/N18</f>
        <v>55.765080086334201</v>
      </c>
      <c r="S18" s="131">
        <f t="shared" ref="S18" si="20">+D18*2000/O18</f>
        <v>46.886043011081689</v>
      </c>
      <c r="T18" s="131">
        <f t="shared" ref="T18" si="21">+E18*2000/P18</f>
        <v>51.089545297064369</v>
      </c>
      <c r="V18" s="435">
        <f>+G18/C18</f>
        <v>29.737895037072178</v>
      </c>
      <c r="X18" s="435">
        <f>+H18/D18</f>
        <v>28.894849888296083</v>
      </c>
    </row>
    <row r="19" spans="1:27" ht="15">
      <c r="A19" t="s">
        <v>46</v>
      </c>
      <c r="C19" s="87">
        <f>+'KC Tonnage - Enspire'!T51+'KC Tonnage - Enspire'!T52</f>
        <v>3601.9076643573926</v>
      </c>
      <c r="D19" s="87">
        <f>+'SC Tonnage - Enspire'!R51+'SC Tonnage - Enspire'!R52</f>
        <v>3325.9916960419532</v>
      </c>
      <c r="E19" s="87">
        <f t="shared" si="0"/>
        <v>6927.8993603993458</v>
      </c>
      <c r="F19" s="138"/>
      <c r="G19" s="147">
        <f>+'Prices - Recy. Acct. Analysis'!M123</f>
        <v>47639.841161581484</v>
      </c>
      <c r="H19" s="147">
        <f>+'Prices - Recy. Acct. Analysis'!M220</f>
        <v>41719.529228843763</v>
      </c>
      <c r="I19" s="139"/>
      <c r="J19" s="136">
        <f t="shared" si="4"/>
        <v>89359.370390425247</v>
      </c>
      <c r="K19" s="11"/>
      <c r="L19" s="137">
        <f t="shared" si="1"/>
        <v>12.898479862628127</v>
      </c>
      <c r="M19" s="11"/>
      <c r="N19" s="57">
        <f>+'Customer Counts - Enspire'!D18+'Customer Counts - Enspire'!F18+'Customer Counts - Enspire'!O18+'Customer Counts - Enspire'!Q18</f>
        <v>132003</v>
      </c>
      <c r="O19" s="130">
        <f>+'Customer Counts - Enspire'!G18+'Customer Counts - Enspire'!H18+'Customer Counts - Enspire'!R18+'Customer Counts - Enspire'!S18</f>
        <v>146913</v>
      </c>
      <c r="P19" s="57">
        <f t="shared" si="5"/>
        <v>278916</v>
      </c>
      <c r="Q19" s="11"/>
      <c r="R19" s="87">
        <f t="shared" ref="R19:R21" si="22">+C19*2000/N19</f>
        <v>54.573118252727475</v>
      </c>
      <c r="S19" s="87">
        <f t="shared" ref="S19:S21" si="23">+D19*2000/O19</f>
        <v>45.278385112848468</v>
      </c>
      <c r="T19" s="87">
        <f t="shared" ref="T19:T21" si="24">+E19*2000/P19</f>
        <v>49.677317618202942</v>
      </c>
      <c r="V19" s="208">
        <f t="shared" ref="V19:V21" si="25">+G19/C19</f>
        <v>13.226280516016724</v>
      </c>
      <c r="X19" s="208">
        <f t="shared" ref="X19:X21" si="26">+H19/D19</f>
        <v>12.543485685334533</v>
      </c>
    </row>
    <row r="20" spans="1:27" ht="15">
      <c r="A20" t="s">
        <v>47</v>
      </c>
      <c r="C20" s="87">
        <f>+'KC Tonnage - Enspire'!T55+'KC Tonnage - Enspire'!T56</f>
        <v>3710.197582858983</v>
      </c>
      <c r="D20" s="87">
        <f>+'SC Tonnage - Enspire'!R55+'SC Tonnage - Enspire'!R56</f>
        <v>3421.5194772171103</v>
      </c>
      <c r="E20" s="87">
        <f t="shared" si="0"/>
        <v>7131.7170600760928</v>
      </c>
      <c r="F20" s="138"/>
      <c r="G20" s="136">
        <f>+'Prices - Recy. Acct. Analysis'!M127</f>
        <v>70616.408062329006</v>
      </c>
      <c r="H20" s="136">
        <f>+'Prices - Recy. Acct. Analysis'!M224</f>
        <v>64752.896072104988</v>
      </c>
      <c r="I20" s="139"/>
      <c r="J20" s="136">
        <f t="shared" si="4"/>
        <v>135369.304134434</v>
      </c>
      <c r="K20" s="11"/>
      <c r="L20" s="137">
        <f t="shared" si="1"/>
        <v>18.98130604370747</v>
      </c>
      <c r="M20" s="11"/>
      <c r="N20" s="57">
        <f>+'Customer Counts - Enspire'!D19+'Customer Counts - Enspire'!F19+'Customer Counts - Enspire'!O19+'Customer Counts - Enspire'!Q19</f>
        <v>131910</v>
      </c>
      <c r="O20" s="130">
        <f>+'Customer Counts - Enspire'!G19+'Customer Counts - Enspire'!H19+'Customer Counts - Enspire'!R19+'Customer Counts - Enspire'!S19</f>
        <v>146963</v>
      </c>
      <c r="P20" s="57">
        <f t="shared" si="5"/>
        <v>278873</v>
      </c>
      <c r="Q20" s="11"/>
      <c r="R20" s="87">
        <f t="shared" si="22"/>
        <v>56.253469530118764</v>
      </c>
      <c r="S20" s="87">
        <f t="shared" si="23"/>
        <v>46.563005344435133</v>
      </c>
      <c r="T20" s="87">
        <f t="shared" si="24"/>
        <v>51.146701617410741</v>
      </c>
      <c r="V20" s="208">
        <f t="shared" si="25"/>
        <v>19.0330586135291</v>
      </c>
      <c r="X20" s="208">
        <f t="shared" si="26"/>
        <v>18.925187041393578</v>
      </c>
    </row>
    <row r="21" spans="1:27">
      <c r="A21" t="s">
        <v>64</v>
      </c>
      <c r="C21" s="87">
        <f>+'KC Tonnage - Enspire'!T59+'KC Tonnage - Enspire'!T60</f>
        <v>3912.968944291471</v>
      </c>
      <c r="D21" s="87">
        <f>+'SC Tonnage - Enspire'!R59+'SC Tonnage - Enspire'!R60</f>
        <v>3288.0912763500928</v>
      </c>
      <c r="E21" s="87">
        <f t="shared" si="0"/>
        <v>7201.0602206415642</v>
      </c>
      <c r="F21" s="11"/>
      <c r="G21" s="136">
        <f>+'Prices - Recy. Acct. Analysis'!M131</f>
        <v>104874.07679090457</v>
      </c>
      <c r="H21" s="136">
        <f>+'Prices - Recy. Acct. Analysis'!M228</f>
        <v>88126.315828423511</v>
      </c>
      <c r="I21" s="136"/>
      <c r="J21" s="136">
        <f t="shared" si="4"/>
        <v>193000.39261932808</v>
      </c>
      <c r="K21" s="11"/>
      <c r="L21" s="137">
        <f t="shared" si="1"/>
        <v>26.801663464235421</v>
      </c>
      <c r="M21" s="11"/>
      <c r="N21" s="57">
        <f>+'Customer Counts - Enspire'!D20+'Customer Counts - Enspire'!F20+'Customer Counts - Enspire'!O20+'Customer Counts - Enspire'!Q20</f>
        <v>131841</v>
      </c>
      <c r="O21" s="130">
        <f>+'Customer Counts - Enspire'!G20+'Customer Counts - Enspire'!H20+'Customer Counts - Enspire'!R20+'Customer Counts - Enspire'!S20</f>
        <v>147015</v>
      </c>
      <c r="P21" s="57">
        <f t="shared" si="5"/>
        <v>278856</v>
      </c>
      <c r="Q21" s="11"/>
      <c r="R21" s="87">
        <f t="shared" si="22"/>
        <v>59.35890875056274</v>
      </c>
      <c r="S21" s="87">
        <f t="shared" si="23"/>
        <v>44.731371307010747</v>
      </c>
      <c r="T21" s="87">
        <f t="shared" si="24"/>
        <v>51.647159972470128</v>
      </c>
      <c r="V21" s="208">
        <f t="shared" si="25"/>
        <v>26.801663464235421</v>
      </c>
      <c r="X21" s="208">
        <f t="shared" si="26"/>
        <v>26.801663464235425</v>
      </c>
    </row>
    <row r="22" spans="1:27" ht="15">
      <c r="A22" s="283" t="s">
        <v>267</v>
      </c>
      <c r="C22" s="87">
        <f>+'KC Tonnage - Enspire'!T63+'KC Tonnage - Enspire'!T64</f>
        <v>4330.6201377920825</v>
      </c>
      <c r="D22" s="87">
        <f>+'SC Tonnage - Enspire'!R63+'SC Tonnage - Enspire'!R64</f>
        <v>4089.1160553816876</v>
      </c>
      <c r="E22" s="87">
        <f t="shared" si="0"/>
        <v>8419.7361931737705</v>
      </c>
      <c r="F22" s="138"/>
      <c r="G22" s="136">
        <f>+'Prices - Recy. Acct. Analysis'!M135</f>
        <v>157776.86065256436</v>
      </c>
      <c r="H22" s="136">
        <f>+'Prices - Recy. Acct. Analysis'!M232</f>
        <v>148978.17715110234</v>
      </c>
      <c r="I22" s="139"/>
      <c r="J22" s="136">
        <f t="shared" si="4"/>
        <v>306755.03780366667</v>
      </c>
      <c r="K22" s="11"/>
      <c r="L22" s="137">
        <f t="shared" si="1"/>
        <v>36.432856180501915</v>
      </c>
      <c r="M22" s="11"/>
      <c r="N22" s="57">
        <f>+'Customer Counts - Enspire'!D21+'Customer Counts - Enspire'!F21+'Customer Counts - Enspire'!O21+'Customer Counts - Enspire'!Q21</f>
        <v>131788</v>
      </c>
      <c r="O22" s="130">
        <f>+'Customer Counts - Enspire'!G21+'Customer Counts - Enspire'!H21+'Customer Counts - Enspire'!R21+'Customer Counts - Enspire'!S21</f>
        <v>147080</v>
      </c>
      <c r="P22" s="57">
        <f t="shared" si="5"/>
        <v>278868</v>
      </c>
      <c r="Q22" s="11"/>
      <c r="R22" s="87">
        <f t="shared" ref="R22" si="27">+C22*2000/N22</f>
        <v>65.721008556045803</v>
      </c>
      <c r="S22" s="87">
        <f t="shared" ref="S22" si="28">+D22*2000/O22</f>
        <v>55.603971381312043</v>
      </c>
      <c r="T22" s="87">
        <f t="shared" ref="T22" si="29">+E22*2000/P22</f>
        <v>60.385101145873818</v>
      </c>
      <c r="V22" s="208">
        <f t="shared" ref="V22" si="30">+G22/C22</f>
        <v>36.432856180501922</v>
      </c>
      <c r="X22" s="208">
        <f t="shared" ref="X22" si="31">+H22/D22</f>
        <v>36.432856180501915</v>
      </c>
    </row>
    <row r="23" spans="1:27" ht="15">
      <c r="A23" t="s">
        <v>75</v>
      </c>
      <c r="C23" s="87">
        <f>+'KC Tonnage - Enspire'!T67+'KC Tonnage - Enspire'!T68</f>
        <v>3431.645219382327</v>
      </c>
      <c r="D23" s="87">
        <f>+'SC Tonnage - Enspire'!R67+'SC Tonnage - Enspire'!R68</f>
        <v>3028.3948775187814</v>
      </c>
      <c r="E23" s="87">
        <f t="shared" si="0"/>
        <v>6460.040096901108</v>
      </c>
      <c r="F23" s="138"/>
      <c r="G23" s="136">
        <f>+'Prices - Recy. Acct. Analysis'!M139</f>
        <v>152147.89765318035</v>
      </c>
      <c r="H23" s="136">
        <f>+'Prices - Recy. Acct. Analysis'!M236</f>
        <v>134269.09963643548</v>
      </c>
      <c r="I23" s="139"/>
      <c r="J23" s="136">
        <f t="shared" si="4"/>
        <v>286416.9972896158</v>
      </c>
      <c r="K23" s="11"/>
      <c r="L23" s="137">
        <f t="shared" si="1"/>
        <v>44.336721288620254</v>
      </c>
      <c r="M23" s="11"/>
      <c r="N23" s="57">
        <f>+'Customer Counts - Enspire'!D22+'Customer Counts - Enspire'!F22+'Customer Counts - Enspire'!O22+'Customer Counts - Enspire'!Q22</f>
        <v>131788</v>
      </c>
      <c r="O23" s="130">
        <f>+'Customer Counts - Enspire'!G22+'Customer Counts - Enspire'!H22+'Customer Counts - Enspire'!R22+'Customer Counts - Enspire'!S22</f>
        <v>147141</v>
      </c>
      <c r="P23" s="57">
        <f t="shared" si="5"/>
        <v>278929</v>
      </c>
      <c r="Q23" s="11"/>
      <c r="R23" s="87">
        <f t="shared" ref="R23" si="32">+C23*2000/N23</f>
        <v>52.078265386565199</v>
      </c>
      <c r="S23" s="87">
        <f t="shared" ref="S23" si="33">+D23*2000/O23</f>
        <v>41.163168355778218</v>
      </c>
      <c r="T23" s="87">
        <f t="shared" ref="T23" si="34">+E23*2000/P23</f>
        <v>46.320318768583455</v>
      </c>
      <c r="V23" s="208">
        <f t="shared" ref="V23" si="35">+G23/C23</f>
        <v>44.336721288620254</v>
      </c>
      <c r="X23" s="208">
        <f t="shared" ref="X23" si="36">+H23/D23</f>
        <v>44.336721288620254</v>
      </c>
    </row>
    <row r="24" spans="1:27">
      <c r="A24" t="s">
        <v>76</v>
      </c>
      <c r="C24" s="87">
        <f>+'KC Tonnage - Enspire'!T71+'KC Tonnage - Enspire'!T72</f>
        <v>3773.3503771420005</v>
      </c>
      <c r="D24" s="87">
        <f>+'SC Tonnage - Enspire'!R71+'SC Tonnage - Enspire'!R72</f>
        <v>3447.0754518260001</v>
      </c>
      <c r="E24" s="87">
        <f t="shared" si="0"/>
        <v>7220.4258289680001</v>
      </c>
      <c r="F24" s="11"/>
      <c r="G24" s="136">
        <f>+'Prices - Recy. Acct. Analysis'!M143</f>
        <v>180772.02264310842</v>
      </c>
      <c r="H24" s="136">
        <f>+'Prices - Recy. Acct. Analysis'!M240</f>
        <v>165140.98595369927</v>
      </c>
      <c r="I24" s="136"/>
      <c r="J24" s="136">
        <f t="shared" si="4"/>
        <v>345913.00859680772</v>
      </c>
      <c r="K24" s="11"/>
      <c r="L24" s="137">
        <f t="shared" si="1"/>
        <v>47.907563458241121</v>
      </c>
      <c r="M24" s="11"/>
      <c r="N24" s="57">
        <f>+'Customer Counts - Enspire'!D23+'Customer Counts - Enspire'!F23+'Customer Counts - Enspire'!O23+'Customer Counts - Enspire'!Q23</f>
        <v>131892</v>
      </c>
      <c r="O24" s="130">
        <f>+'Customer Counts - Enspire'!G23+'Customer Counts - Enspire'!H23+'Customer Counts - Enspire'!R23+'Customer Counts - Enspire'!S23</f>
        <v>147633</v>
      </c>
      <c r="P24" s="57">
        <f t="shared" si="5"/>
        <v>279525</v>
      </c>
      <c r="Q24" s="11"/>
      <c r="R24" s="87">
        <f t="shared" ref="R24" si="37">+C24*2000/N24</f>
        <v>57.218790785521492</v>
      </c>
      <c r="S24" s="87">
        <f t="shared" ref="S24" si="38">+D24*2000/O24</f>
        <v>46.697898868491464</v>
      </c>
      <c r="T24" s="87">
        <f t="shared" ref="T24" si="39">+E24*2000/P24</f>
        <v>51.662111288564525</v>
      </c>
      <c r="V24" s="208">
        <f t="shared" ref="V24" si="40">+G24/C24</f>
        <v>47.907563458241107</v>
      </c>
      <c r="X24" s="208">
        <f t="shared" ref="X24" si="41">+H24/D24</f>
        <v>47.907563458241121</v>
      </c>
    </row>
    <row r="25" spans="1:27">
      <c r="A25" t="s">
        <v>77</v>
      </c>
      <c r="C25" s="87">
        <f>+'KC Tonnage - Enspire'!T75+'KC Tonnage - Enspire'!T76</f>
        <v>3505.1899999999996</v>
      </c>
      <c r="D25" s="87">
        <f>+'SC Tonnage - Enspire'!R75+'SC Tonnage - Enspire'!R76</f>
        <v>2976.65</v>
      </c>
      <c r="E25" s="87">
        <f t="shared" si="0"/>
        <v>6481.84</v>
      </c>
      <c r="F25" s="11"/>
      <c r="G25" s="136">
        <f>+'Prices - Recy. Acct. Analysis'!M147</f>
        <v>176783.20050318362</v>
      </c>
      <c r="H25" s="136">
        <f>+'Prices - Recy. Acct. Analysis'!M244</f>
        <v>150126.44500805996</v>
      </c>
      <c r="I25" s="136"/>
      <c r="J25" s="136">
        <f t="shared" si="4"/>
        <v>326909.64551124361</v>
      </c>
      <c r="K25" s="11"/>
      <c r="L25" s="137">
        <f t="shared" si="1"/>
        <v>50.434698405274368</v>
      </c>
      <c r="M25" s="11"/>
      <c r="N25" s="57">
        <f>+'Customer Counts - Enspire'!D24+'Customer Counts - Enspire'!F24+'Customer Counts - Enspire'!O24+'Customer Counts - Enspire'!Q24</f>
        <v>131909</v>
      </c>
      <c r="O25" s="130">
        <f>+'Customer Counts - Enspire'!G24+'Customer Counts - Enspire'!H24+'Customer Counts - Enspire'!R24+'Customer Counts - Enspire'!S24</f>
        <v>147679</v>
      </c>
      <c r="P25" s="57">
        <f t="shared" si="5"/>
        <v>279588</v>
      </c>
      <c r="Q25" s="11"/>
      <c r="R25" s="87">
        <f t="shared" ref="R25" si="42">+C25*2000/N25</f>
        <v>53.145577633065216</v>
      </c>
      <c r="S25" s="87">
        <f t="shared" ref="S25" si="43">+D25*2000/O25</f>
        <v>40.312434401641397</v>
      </c>
      <c r="T25" s="87">
        <f t="shared" ref="T25" si="44">+E25*2000/P25</f>
        <v>46.367082993547648</v>
      </c>
      <c r="V25" s="208">
        <f t="shared" ref="V25" si="45">+G25/C25</f>
        <v>50.434698405274361</v>
      </c>
      <c r="X25" s="208">
        <f t="shared" ref="X25" si="46">+H25/D25</f>
        <v>50.434698405274375</v>
      </c>
    </row>
    <row r="26" spans="1:27">
      <c r="A26" t="s">
        <v>52</v>
      </c>
      <c r="C26" s="87">
        <f>+'KC Tonnage - Enspire'!T79+'KC Tonnage - Enspire'!T80</f>
        <v>4298.8182052306001</v>
      </c>
      <c r="D26" s="87">
        <f>+'SC Tonnage - Enspire'!R79+'SC Tonnage - Enspire'!R80</f>
        <v>3628.6104441553994</v>
      </c>
      <c r="E26" s="87">
        <f t="shared" si="0"/>
        <v>7927.428649386</v>
      </c>
      <c r="F26" s="11"/>
      <c r="G26" s="136">
        <f>+'Prices - Recy. Acct. Analysis'!M151</f>
        <v>214341.99684544472</v>
      </c>
      <c r="H26" s="136">
        <f>+'Prices - Recy. Acct. Analysis'!M248</f>
        <v>180924.98245870418</v>
      </c>
      <c r="I26" s="136"/>
      <c r="J26" s="136">
        <f t="shared" si="4"/>
        <v>395266.97930414893</v>
      </c>
      <c r="K26" s="11"/>
      <c r="L26" s="137">
        <f t="shared" si="1"/>
        <v>49.860679519930258</v>
      </c>
      <c r="M26" s="11"/>
      <c r="N26" s="57">
        <f>+'Customer Counts - Enspire'!D25+'Customer Counts - Enspire'!F25+'Customer Counts - Enspire'!O25+'Customer Counts - Enspire'!Q25</f>
        <v>132018</v>
      </c>
      <c r="O26" s="130">
        <f>+'Customer Counts - Enspire'!G25+'Customer Counts - Enspire'!H25+'Customer Counts - Enspire'!R25+'Customer Counts - Enspire'!S25</f>
        <v>148096</v>
      </c>
      <c r="P26" s="57">
        <f t="shared" si="5"/>
        <v>280114</v>
      </c>
      <c r="Q26" s="11"/>
      <c r="R26" s="87">
        <f t="shared" ref="R26" si="47">+C26*2000/N26</f>
        <v>65.124728525361689</v>
      </c>
      <c r="S26" s="87">
        <f t="shared" ref="S26" si="48">+D26*2000/O26</f>
        <v>49.003490224656971</v>
      </c>
      <c r="T26" s="87">
        <f t="shared" ref="T26" si="49">+E26*2000/P26</f>
        <v>56.6014454785266</v>
      </c>
      <c r="V26" s="208">
        <f t="shared" ref="V26" si="50">+G26/C26</f>
        <v>49.860679519930258</v>
      </c>
      <c r="X26" s="208">
        <f t="shared" ref="X26" si="51">+H26/D26</f>
        <v>49.860679519930265</v>
      </c>
    </row>
    <row r="27" spans="1:27">
      <c r="A27" t="s">
        <v>59</v>
      </c>
      <c r="C27" s="87">
        <f>+'KC Tonnage - Enspire'!T83+'KC Tonnage - Enspire'!T84</f>
        <v>4317.7207129043445</v>
      </c>
      <c r="D27" s="87">
        <f>+'SC Tonnage - Enspire'!R83+'SC Tonnage - Enspire'!R84</f>
        <v>3463.8168585060994</v>
      </c>
      <c r="E27" s="87">
        <f t="shared" si="0"/>
        <v>7781.5375714104439</v>
      </c>
      <c r="F27" s="11"/>
      <c r="G27" s="136">
        <f>+'Prices - Recy. Acct. Analysis'!M155</f>
        <v>204159.0938117422</v>
      </c>
      <c r="H27" s="136">
        <f>+'Prices - Recy. Acct. Analysis'!M252</f>
        <v>163783.10640818594</v>
      </c>
      <c r="I27" s="136"/>
      <c r="J27" s="136">
        <f t="shared" si="4"/>
        <v>367942.20021992817</v>
      </c>
      <c r="K27" s="11"/>
      <c r="L27" s="137">
        <f t="shared" si="1"/>
        <v>47.283997133388738</v>
      </c>
      <c r="M27" s="11"/>
      <c r="N27" s="57">
        <f>+'Customer Counts - Enspire'!D26+'Customer Counts - Enspire'!F26+'Customer Counts - Enspire'!O26+'Customer Counts - Enspire'!Q26</f>
        <v>132080</v>
      </c>
      <c r="O27" s="130">
        <f>+'Customer Counts - Enspire'!G26+'Customer Counts - Enspire'!H26+'Customer Counts - Enspire'!R26+'Customer Counts - Enspire'!S26</f>
        <v>148151</v>
      </c>
      <c r="P27" s="57">
        <f t="shared" si="5"/>
        <v>280231</v>
      </c>
      <c r="Q27" s="11"/>
      <c r="R27" s="87">
        <f t="shared" ref="R27" si="52">+C27*2000/N27</f>
        <v>65.380386325020353</v>
      </c>
      <c r="S27" s="87">
        <f t="shared" ref="S27" si="53">+D27*2000/O27</f>
        <v>46.760627447753969</v>
      </c>
      <c r="T27" s="87">
        <f t="shared" ref="T27" si="54">+E27*2000/P27</f>
        <v>55.536593534694191</v>
      </c>
      <c r="V27" s="208">
        <f t="shared" ref="V27" si="55">+G27/C27</f>
        <v>47.283997133388738</v>
      </c>
      <c r="X27" s="208">
        <f t="shared" ref="X27" si="56">+H27/D27</f>
        <v>47.283997133388723</v>
      </c>
    </row>
    <row r="28" spans="1:27">
      <c r="A28" t="s">
        <v>60</v>
      </c>
      <c r="C28" s="87">
        <f>+'KC Tonnage - Enspire'!T87+'KC Tonnage - Enspire'!T88</f>
        <v>3842.062295096855</v>
      </c>
      <c r="D28" s="87">
        <f>+'SC Tonnage - Enspire'!R87+'SC Tonnage - Enspire'!R88</f>
        <v>3228.5545125511157</v>
      </c>
      <c r="E28" s="87">
        <f t="shared" si="0"/>
        <v>7070.6168076479707</v>
      </c>
      <c r="F28" s="11"/>
      <c r="G28" s="136">
        <f>+'Prices - Recy. Acct. Analysis'!M159</f>
        <v>135524.3822392968</v>
      </c>
      <c r="H28" s="136">
        <f>+'Prices - Recy. Acct. Analysis'!M256</f>
        <v>113883.59225663044</v>
      </c>
      <c r="I28" s="136"/>
      <c r="J28" s="136">
        <f t="shared" si="4"/>
        <v>249407.97449592722</v>
      </c>
      <c r="K28" s="11"/>
      <c r="L28" s="137">
        <f t="shared" si="1"/>
        <v>35.273863834079336</v>
      </c>
      <c r="M28" s="11"/>
      <c r="N28" s="57">
        <f>+'Customer Counts - Enspire'!D27+'Customer Counts - Enspire'!F27+'Customer Counts - Enspire'!O27+'Customer Counts - Enspire'!Q27</f>
        <v>132129</v>
      </c>
      <c r="O28" s="130">
        <f>+'Customer Counts - Enspire'!G27+'Customer Counts - Enspire'!H27+'Customer Counts - Enspire'!R27+'Customer Counts - Enspire'!S27</f>
        <v>148182</v>
      </c>
      <c r="P28" s="57">
        <f t="shared" si="5"/>
        <v>280311</v>
      </c>
      <c r="Q28" s="11"/>
      <c r="R28" s="87">
        <f t="shared" ref="R28" si="57">+C28*2000/N28</f>
        <v>58.156230579159079</v>
      </c>
      <c r="S28" s="87">
        <f t="shared" ref="S28" si="58">+D28*2000/O28</f>
        <v>43.575528911083879</v>
      </c>
      <c r="T28" s="87">
        <f t="shared" ref="T28" si="59">+E28*2000/P28</f>
        <v>50.448372041396667</v>
      </c>
      <c r="V28" s="208">
        <f t="shared" ref="V28" si="60">+G28/C28</f>
        <v>35.273863834079336</v>
      </c>
      <c r="X28" s="208">
        <f t="shared" ref="X28" si="61">+H28/D28</f>
        <v>35.273863834079336</v>
      </c>
    </row>
    <row r="29" spans="1:27">
      <c r="A29" t="s">
        <v>61</v>
      </c>
      <c r="C29" s="87">
        <f>+'KC Tonnage - Enspire'!T91+'KC Tonnage - Enspire'!T92</f>
        <v>4208.0864783786528</v>
      </c>
      <c r="D29" s="87">
        <f>+'SC Tonnage - Enspire'!R91+'SC Tonnage - Enspire'!R92</f>
        <v>3416.6793387286043</v>
      </c>
      <c r="E29" s="374">
        <f t="shared" si="0"/>
        <v>7624.7658171072571</v>
      </c>
      <c r="F29" s="89"/>
      <c r="G29" s="383">
        <f>+'Prices - Recy. Acct. Analysis'!M163</f>
        <v>164363.68578481022</v>
      </c>
      <c r="H29" s="383">
        <f>+'Prices - Recy. Acct. Analysis'!M260</f>
        <v>131052.11432684108</v>
      </c>
      <c r="I29" s="377"/>
      <c r="J29" s="383">
        <f t="shared" si="4"/>
        <v>295415.8001116513</v>
      </c>
      <c r="K29" s="89"/>
      <c r="L29" s="384">
        <f t="shared" si="1"/>
        <v>38.744245685401054</v>
      </c>
      <c r="M29" s="89"/>
      <c r="N29" s="376">
        <f>+'Customer Counts - Enspire'!D28+'Customer Counts - Enspire'!F28+'Customer Counts - Enspire'!O28+'Customer Counts - Enspire'!Q28</f>
        <v>132271</v>
      </c>
      <c r="O29" s="373">
        <f>+'Customer Counts - Enspire'!G28+'Customer Counts - Enspire'!H28+'Customer Counts - Enspire'!R28+'Customer Counts - Enspire'!S28</f>
        <v>148475</v>
      </c>
      <c r="P29" s="376">
        <f t="shared" si="5"/>
        <v>280746</v>
      </c>
      <c r="Q29" s="89"/>
      <c r="R29" s="374">
        <f t="shared" ref="R29:R30" si="62">+C29*2000/N29</f>
        <v>63.62825529978079</v>
      </c>
      <c r="S29" s="374">
        <f t="shared" ref="S29:S30" si="63">+D29*2000/O29</f>
        <v>46.023631435980526</v>
      </c>
      <c r="T29" s="374">
        <f t="shared" ref="T29:T30" si="64">+E29*2000/P29</f>
        <v>54.317894588754655</v>
      </c>
      <c r="U29" s="283"/>
      <c r="V29" s="384">
        <f t="shared" ref="V29:V31" si="65">+G29/C29</f>
        <v>39.059008561092696</v>
      </c>
      <c r="W29" s="283"/>
      <c r="X29" s="384">
        <f t="shared" ref="X29:X31" si="66">+H29/D29</f>
        <v>38.356574127792591</v>
      </c>
    </row>
    <row r="30" spans="1:27" s="54" customFormat="1" ht="16.5">
      <c r="A30" s="75" t="s">
        <v>62</v>
      </c>
      <c r="C30" s="73">
        <f>+'KC Tonnage - Enspire'!T95+'KC Tonnage - Enspire'!T96</f>
        <v>3829.7489083509631</v>
      </c>
      <c r="D30" s="73">
        <f>+'SC Tonnage - Enspire'!R95+'SC Tonnage - Enspire'!R96</f>
        <v>3199.8507749038586</v>
      </c>
      <c r="E30" s="73">
        <f t="shared" si="0"/>
        <v>7029.5996832548217</v>
      </c>
      <c r="F30" s="141"/>
      <c r="G30" s="261">
        <f>+'Prices - Recy. Acct. Analysis'!M167</f>
        <v>170310.51886097502</v>
      </c>
      <c r="H30" s="261">
        <f>+'Prices - Recy. Acct. Analysis'!M264</f>
        <v>139145.82379779738</v>
      </c>
      <c r="I30" s="141"/>
      <c r="J30" s="261">
        <f t="shared" si="4"/>
        <v>309456.34265877237</v>
      </c>
      <c r="K30" s="141"/>
      <c r="L30" s="390">
        <f t="shared" si="1"/>
        <v>44.021901189612116</v>
      </c>
      <c r="M30" s="171"/>
      <c r="N30" s="391">
        <f>+'Customer Counts - Enspire'!D29+'Customer Counts - Enspire'!F29+'Customer Counts - Enspire'!O29+'Customer Counts - Enspire'!Q29</f>
        <v>132270</v>
      </c>
      <c r="O30" s="100">
        <f>+'Customer Counts - Enspire'!G29+'Customer Counts - Enspire'!H29+'Customer Counts - Enspire'!R29+'Customer Counts - Enspire'!S29</f>
        <v>148526</v>
      </c>
      <c r="P30" s="391">
        <f>+O30+N30</f>
        <v>280796</v>
      </c>
      <c r="Q30" s="171"/>
      <c r="R30" s="73">
        <f t="shared" si="62"/>
        <v>57.908050326619232</v>
      </c>
      <c r="S30" s="73">
        <f t="shared" si="63"/>
        <v>43.088089289469302</v>
      </c>
      <c r="T30" s="73">
        <f t="shared" si="64"/>
        <v>50.069087047214502</v>
      </c>
      <c r="U30" s="283"/>
      <c r="V30" s="390">
        <f t="shared" si="65"/>
        <v>44.470413840866755</v>
      </c>
      <c r="W30" s="187"/>
      <c r="X30" s="390">
        <f t="shared" si="66"/>
        <v>43.48509777052903</v>
      </c>
      <c r="Y30"/>
      <c r="Z30"/>
      <c r="AA30"/>
    </row>
    <row r="31" spans="1:27" ht="15">
      <c r="C31" s="143">
        <f>SUM(C7:C30)</f>
        <v>93417.036525785676</v>
      </c>
      <c r="D31" s="143">
        <f>SUM(D7:D30)</f>
        <v>83924.277660763983</v>
      </c>
      <c r="E31" s="143">
        <f>SUM(E7:E30)</f>
        <v>177341.31418654969</v>
      </c>
      <c r="F31" s="143"/>
      <c r="G31" s="144">
        <f>SUM(G7:G30)</f>
        <v>4953925.5489600049</v>
      </c>
      <c r="H31" s="144">
        <f>SUM(H7:H30)</f>
        <v>4432441.4496965986</v>
      </c>
      <c r="I31" s="144"/>
      <c r="J31" s="144">
        <f>SUM(J7:J30)</f>
        <v>9386366.9986566007</v>
      </c>
      <c r="K31" s="11"/>
      <c r="L31" s="145">
        <f>+J31/E31</f>
        <v>52.928258943558127</v>
      </c>
      <c r="M31" s="11"/>
      <c r="N31" s="146">
        <f>SUM(N7:N30)</f>
        <v>3163059</v>
      </c>
      <c r="O31" s="146">
        <f>SUM(O7:O30)</f>
        <v>3523530</v>
      </c>
      <c r="P31" s="146">
        <f>SUM(P7:P30)</f>
        <v>6686589</v>
      </c>
      <c r="Q31" s="11"/>
      <c r="R31" s="143">
        <f>+C31*2000/N31</f>
        <v>59.067527052632066</v>
      </c>
      <c r="S31" s="143">
        <f>+D31*2000/O31</f>
        <v>47.636476863125317</v>
      </c>
      <c r="T31" s="143">
        <f>+E31*2000/P31</f>
        <v>53.043880575447268</v>
      </c>
      <c r="V31" s="285">
        <f t="shared" si="65"/>
        <v>53.030215185562916</v>
      </c>
      <c r="W31" s="286"/>
      <c r="X31" s="285">
        <f t="shared" si="66"/>
        <v>52.814770329192122</v>
      </c>
    </row>
    <row r="32" spans="1:27">
      <c r="C32" s="268">
        <f>+C31/E31</f>
        <v>0.52676409303879412</v>
      </c>
      <c r="D32" s="268">
        <f>+D31/E31</f>
        <v>0.47323590696120571</v>
      </c>
      <c r="E32" s="11"/>
      <c r="F32" s="11"/>
      <c r="G32" s="268">
        <f>+G31/J31</f>
        <v>0.52777880405369004</v>
      </c>
      <c r="H32" s="268">
        <f>+H31/J31</f>
        <v>0.47222119594631023</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56" t="s">
        <v>89</v>
      </c>
      <c r="C34" s="11"/>
      <c r="D34" s="11"/>
      <c r="E34" s="11"/>
      <c r="F34" s="11"/>
      <c r="G34" s="11"/>
      <c r="H34" s="11"/>
      <c r="I34" s="11"/>
      <c r="J34" s="11"/>
      <c r="K34" s="11"/>
      <c r="L34" s="11"/>
      <c r="M34" s="11"/>
      <c r="N34" s="11"/>
      <c r="O34" s="11"/>
      <c r="P34" s="11"/>
      <c r="Q34" s="11"/>
      <c r="R34" s="11"/>
      <c r="S34" s="11"/>
      <c r="T34" s="11"/>
    </row>
    <row r="35" spans="1:27">
      <c r="A35" t="str">
        <f>+A7</f>
        <v>Oct., 2021</v>
      </c>
      <c r="C35" s="87">
        <f>+'KC Tonnage - Enspire'!V3+'KC Tonnage - Enspire'!V4</f>
        <v>878.17000000000007</v>
      </c>
      <c r="D35" s="87">
        <f>+'SC Tonnage - Enspire'!T3+'SC Tonnage - Enspire'!T4</f>
        <v>2294.2300000000005</v>
      </c>
      <c r="E35" s="87">
        <f t="shared" ref="E35:E58" si="67">+D35+C35</f>
        <v>3172.4000000000005</v>
      </c>
      <c r="F35" s="11"/>
      <c r="G35" s="136">
        <f t="shared" ref="G35:H45" si="68">+C35/C7*G7</f>
        <v>87645.007532872711</v>
      </c>
      <c r="H35" s="136">
        <f t="shared" si="68"/>
        <v>227198.01498081099</v>
      </c>
      <c r="I35" s="136"/>
      <c r="J35" s="136">
        <f>+H35+G35</f>
        <v>314843.02251368371</v>
      </c>
      <c r="K35" s="11"/>
      <c r="L35" s="137">
        <f t="shared" ref="L35:L58" si="69">+J35/E35</f>
        <v>99.24442772465126</v>
      </c>
      <c r="M35" s="11"/>
      <c r="N35" s="57">
        <f>+'Customer Counts - Enspire'!D6+'Customer Counts - Enspire'!F6</f>
        <v>40146</v>
      </c>
      <c r="O35" s="130">
        <f>+'Customer Counts - Enspire'!G6+'Customer Counts - Enspire'!H6</f>
        <v>99122</v>
      </c>
      <c r="P35" s="57">
        <f>+O35+N35</f>
        <v>139268</v>
      </c>
      <c r="Q35" s="11"/>
      <c r="R35" s="87">
        <f t="shared" ref="R35:R42" si="70">+C35*2000/N35</f>
        <v>43.74881681861207</v>
      </c>
      <c r="S35" s="87">
        <f t="shared" ref="S35:T37" si="71">+D35*2000/O35</f>
        <v>46.291035289844849</v>
      </c>
      <c r="T35" s="87">
        <f t="shared" si="71"/>
        <v>45.558204325473199</v>
      </c>
      <c r="V35" s="208">
        <f>+G35/C35</f>
        <v>99.804146728848295</v>
      </c>
      <c r="X35" s="208">
        <f>+H35/D35</f>
        <v>99.030182231428824</v>
      </c>
      <c r="Z35" s="87"/>
      <c r="AA35" s="87"/>
    </row>
    <row r="36" spans="1:27">
      <c r="A36" t="str">
        <f t="shared" ref="A36:A58" si="72">+A8</f>
        <v>Nov</v>
      </c>
      <c r="C36" s="87">
        <f>+'KC Tonnage - Enspire'!V7+'KC Tonnage - Enspire'!V8</f>
        <v>1080.1400000000001</v>
      </c>
      <c r="D36" s="87">
        <f>+'SC Tonnage - Enspire'!T7+'SC Tonnage - Enspire'!T8</f>
        <v>2630.15</v>
      </c>
      <c r="E36" s="87">
        <f t="shared" si="67"/>
        <v>3710.29</v>
      </c>
      <c r="F36" s="11"/>
      <c r="G36" s="136">
        <f t="shared" si="68"/>
        <v>98721.121027193411</v>
      </c>
      <c r="H36" s="136">
        <f t="shared" si="68"/>
        <v>238743.90502239874</v>
      </c>
      <c r="I36" s="136"/>
      <c r="J36" s="136">
        <f t="shared" ref="J36:J58" si="73">+H36+G36</f>
        <v>337465.02604959218</v>
      </c>
      <c r="K36" s="11"/>
      <c r="L36" s="137">
        <f t="shared" si="69"/>
        <v>90.953813866191638</v>
      </c>
      <c r="M36" s="11"/>
      <c r="N36" s="57">
        <f>+'Customer Counts - Enspire'!D7+'Customer Counts - Enspire'!F7</f>
        <v>40120</v>
      </c>
      <c r="O36" s="130">
        <f>+'Customer Counts - Enspire'!G7+'Customer Counts - Enspire'!H7</f>
        <v>99117</v>
      </c>
      <c r="P36" s="57">
        <f t="shared" ref="P36:P58" si="74">+O36+N36</f>
        <v>139237</v>
      </c>
      <c r="Q36" s="11"/>
      <c r="R36" s="87">
        <f t="shared" si="70"/>
        <v>53.845463609172484</v>
      </c>
      <c r="S36" s="87">
        <f t="shared" si="71"/>
        <v>53.071622426021776</v>
      </c>
      <c r="T36" s="87">
        <f t="shared" si="71"/>
        <v>53.294598418523812</v>
      </c>
      <c r="V36" s="208">
        <f t="shared" ref="V36:V51" si="75">+G36/C36</f>
        <v>91.396597688441688</v>
      </c>
      <c r="X36" s="208">
        <f t="shared" ref="X36:X51" si="76">+H36/D36</f>
        <v>90.771973089899333</v>
      </c>
      <c r="Z36" s="87"/>
      <c r="AA36" s="87"/>
    </row>
    <row r="37" spans="1:27">
      <c r="A37" t="str">
        <f t="shared" si="72"/>
        <v>Dec</v>
      </c>
      <c r="C37" s="87">
        <f>+'KC Tonnage - Enspire'!V11+'KC Tonnage - Enspire'!V12</f>
        <v>910.21999999999991</v>
      </c>
      <c r="D37" s="87">
        <f>+'SC Tonnage - Enspire'!T11+'SC Tonnage - Enspire'!T12</f>
        <v>2086.9299999999998</v>
      </c>
      <c r="E37" s="87">
        <f t="shared" si="67"/>
        <v>2997.1499999999996</v>
      </c>
      <c r="F37" s="11"/>
      <c r="G37" s="136">
        <f t="shared" si="68"/>
        <v>61762.019189001454</v>
      </c>
      <c r="H37" s="136">
        <f t="shared" si="68"/>
        <v>139906.05084212206</v>
      </c>
      <c r="I37" s="136"/>
      <c r="J37" s="136">
        <f t="shared" si="73"/>
        <v>201668.07003112353</v>
      </c>
      <c r="K37" s="11"/>
      <c r="L37" s="137">
        <f t="shared" si="69"/>
        <v>67.28661229205197</v>
      </c>
      <c r="M37" s="11"/>
      <c r="N37" s="57">
        <f>+'Customer Counts - Enspire'!D8+'Customer Counts - Enspire'!F8</f>
        <v>40164</v>
      </c>
      <c r="O37" s="130">
        <f>+'Customer Counts - Enspire'!G8+'Customer Counts - Enspire'!H8</f>
        <v>92545</v>
      </c>
      <c r="P37" s="57">
        <f t="shared" si="74"/>
        <v>132709</v>
      </c>
      <c r="Q37" s="11"/>
      <c r="R37" s="87">
        <f t="shared" si="70"/>
        <v>45.325166816054171</v>
      </c>
      <c r="S37" s="87">
        <f t="shared" si="71"/>
        <v>45.100869847101407</v>
      </c>
      <c r="T37" s="87">
        <f t="shared" si="71"/>
        <v>45.168752684444904</v>
      </c>
      <c r="V37" s="208">
        <f t="shared" si="75"/>
        <v>67.853946506340733</v>
      </c>
      <c r="X37" s="208">
        <f t="shared" si="76"/>
        <v>67.039167984609961</v>
      </c>
      <c r="Z37" s="87"/>
      <c r="AA37" s="87"/>
    </row>
    <row r="38" spans="1:27">
      <c r="A38" t="str">
        <f t="shared" si="72"/>
        <v>Jan., 2022</v>
      </c>
      <c r="B38" s="22"/>
      <c r="C38" s="87">
        <f>+'KC Tonnage - Enspire'!V15+'KC Tonnage - Enspire'!V16</f>
        <v>1162.78</v>
      </c>
      <c r="D38" s="87">
        <f>+'SC Tonnage - Enspire'!T15+'SC Tonnage - Enspire'!T16</f>
        <v>2642.9199999999996</v>
      </c>
      <c r="E38" s="131">
        <f t="shared" si="67"/>
        <v>3805.7</v>
      </c>
      <c r="F38" s="132"/>
      <c r="G38" s="136">
        <f t="shared" si="68"/>
        <v>73331.813164170497</v>
      </c>
      <c r="H38" s="136">
        <f t="shared" si="68"/>
        <v>165273.76130238749</v>
      </c>
      <c r="I38" s="136"/>
      <c r="J38" s="147">
        <f t="shared" si="73"/>
        <v>238605.574466558</v>
      </c>
      <c r="K38" s="11"/>
      <c r="L38" s="137">
        <f t="shared" si="69"/>
        <v>62.696895306135012</v>
      </c>
      <c r="M38" s="11"/>
      <c r="N38" s="57">
        <f>+'Customer Counts - Enspire'!D9+'Customer Counts - Enspire'!F9</f>
        <v>40104</v>
      </c>
      <c r="O38" s="130">
        <f>+'Customer Counts - Enspire'!G9+'Customer Counts - Enspire'!H9</f>
        <v>92455</v>
      </c>
      <c r="P38" s="57">
        <f t="shared" si="74"/>
        <v>132559</v>
      </c>
      <c r="Q38" s="11"/>
      <c r="R38" s="87">
        <f t="shared" si="70"/>
        <v>57.988230600438861</v>
      </c>
      <c r="S38" s="87">
        <f t="shared" ref="S38:T42" si="77">+D38*2000/O38</f>
        <v>57.172029636039142</v>
      </c>
      <c r="T38" s="87">
        <f t="shared" si="77"/>
        <v>57.41896061376444</v>
      </c>
      <c r="V38" s="208">
        <f t="shared" si="75"/>
        <v>63.065939527830288</v>
      </c>
      <c r="X38" s="208">
        <f t="shared" si="76"/>
        <v>62.534530482340557</v>
      </c>
      <c r="Z38" s="87"/>
      <c r="AA38" s="87"/>
    </row>
    <row r="39" spans="1:27">
      <c r="A39" t="str">
        <f t="shared" si="72"/>
        <v>Feb</v>
      </c>
      <c r="B39" s="22"/>
      <c r="C39" s="87">
        <f>+'KC Tonnage - Enspire'!V19+'KC Tonnage - Enspire'!V20</f>
        <v>871.59999999999991</v>
      </c>
      <c r="D39" s="87">
        <f>+'SC Tonnage - Enspire'!T19+'SC Tonnage - Enspire'!T20</f>
        <v>2004.33</v>
      </c>
      <c r="E39" s="131">
        <f t="shared" si="67"/>
        <v>2875.93</v>
      </c>
      <c r="F39" s="132"/>
      <c r="G39" s="136">
        <f t="shared" si="68"/>
        <v>58967.696853794878</v>
      </c>
      <c r="H39" s="136">
        <f t="shared" si="68"/>
        <v>134750.62200632543</v>
      </c>
      <c r="I39" s="136"/>
      <c r="J39" s="147">
        <f t="shared" si="73"/>
        <v>193718.31886012031</v>
      </c>
      <c r="K39" s="11"/>
      <c r="L39" s="137">
        <f t="shared" si="69"/>
        <v>67.358495811831418</v>
      </c>
      <c r="M39" s="11"/>
      <c r="N39" s="57">
        <f>+'Customer Counts - Enspire'!D10+'Customer Counts - Enspire'!F10</f>
        <v>40205</v>
      </c>
      <c r="O39" s="130">
        <f>+'Customer Counts - Enspire'!G10+'Customer Counts - Enspire'!H10</f>
        <v>92763</v>
      </c>
      <c r="P39" s="57">
        <f t="shared" si="74"/>
        <v>132968</v>
      </c>
      <c r="Q39" s="11"/>
      <c r="R39" s="87">
        <f t="shared" si="70"/>
        <v>43.357791319487617</v>
      </c>
      <c r="S39" s="87">
        <f t="shared" si="77"/>
        <v>43.213996959994823</v>
      </c>
      <c r="T39" s="87">
        <f t="shared" si="77"/>
        <v>43.257475482822933</v>
      </c>
      <c r="V39" s="208">
        <f t="shared" si="75"/>
        <v>67.654539758828463</v>
      </c>
      <c r="X39" s="208">
        <f t="shared" si="76"/>
        <v>67.229758575846006</v>
      </c>
      <c r="Z39" s="87"/>
      <c r="AA39" s="87"/>
    </row>
    <row r="40" spans="1:27">
      <c r="A40" t="str">
        <f t="shared" si="72"/>
        <v>Mar</v>
      </c>
      <c r="B40" s="22"/>
      <c r="C40" s="87">
        <f>+'KC Tonnage - Enspire'!V23+'KC Tonnage - Enspire'!V24</f>
        <v>1021.2200000000001</v>
      </c>
      <c r="D40" s="87">
        <f>+'SC Tonnage - Enspire'!T23+'SC Tonnage - Enspire'!T24</f>
        <v>2301.88</v>
      </c>
      <c r="E40" s="131">
        <f t="shared" si="67"/>
        <v>3323.1000000000004</v>
      </c>
      <c r="F40" s="132"/>
      <c r="G40" s="136">
        <f t="shared" si="68"/>
        <v>66559.554655010681</v>
      </c>
      <c r="H40" s="136">
        <f t="shared" si="68"/>
        <v>148157.63473343957</v>
      </c>
      <c r="I40" s="136"/>
      <c r="J40" s="147">
        <f t="shared" si="73"/>
        <v>214717.18938845024</v>
      </c>
      <c r="K40" s="11"/>
      <c r="L40" s="137">
        <f t="shared" si="69"/>
        <v>64.613520323929521</v>
      </c>
      <c r="M40" s="11"/>
      <c r="N40" s="57">
        <f>+'Customer Counts - Enspire'!D11+'Customer Counts - Enspire'!F11</f>
        <v>40179</v>
      </c>
      <c r="O40" s="130">
        <f>+'Customer Counts - Enspire'!G11+'Customer Counts - Enspire'!H11</f>
        <v>92888</v>
      </c>
      <c r="P40" s="57">
        <f t="shared" si="74"/>
        <v>133067</v>
      </c>
      <c r="Q40" s="11"/>
      <c r="R40" s="87">
        <f t="shared" si="70"/>
        <v>50.833519998008917</v>
      </c>
      <c r="S40" s="87">
        <f t="shared" si="77"/>
        <v>49.562483851520113</v>
      </c>
      <c r="T40" s="87">
        <f t="shared" si="77"/>
        <v>49.946267669670171</v>
      </c>
      <c r="V40" s="208">
        <f t="shared" si="75"/>
        <v>65.176509131245638</v>
      </c>
      <c r="X40" s="208">
        <f t="shared" si="76"/>
        <v>64.363752555928002</v>
      </c>
      <c r="Z40" s="87"/>
      <c r="AA40" s="87"/>
    </row>
    <row r="41" spans="1:27">
      <c r="A41" t="str">
        <f t="shared" si="72"/>
        <v>Apr</v>
      </c>
      <c r="B41" s="22"/>
      <c r="C41" s="87">
        <f>+'KC Tonnage - Enspire'!V27+'KC Tonnage - Enspire'!V28</f>
        <v>856.96</v>
      </c>
      <c r="D41" s="87">
        <f>+'SC Tonnage - Enspire'!T27+'SC Tonnage - Enspire'!T28</f>
        <v>2066.7600000000002</v>
      </c>
      <c r="E41" s="131">
        <f t="shared" si="67"/>
        <v>2923.7200000000003</v>
      </c>
      <c r="F41" s="132"/>
      <c r="G41" s="136">
        <f t="shared" si="68"/>
        <v>56251.886920217927</v>
      </c>
      <c r="H41" s="136">
        <f t="shared" si="68"/>
        <v>133569.0154872241</v>
      </c>
      <c r="I41" s="136"/>
      <c r="J41" s="147">
        <f t="shared" si="73"/>
        <v>189820.90240744202</v>
      </c>
      <c r="K41" s="11"/>
      <c r="L41" s="137">
        <f t="shared" si="69"/>
        <v>64.924446392760586</v>
      </c>
      <c r="M41" s="11"/>
      <c r="N41" s="57">
        <f>+'Customer Counts - Enspire'!D12+'Customer Counts - Enspire'!F12</f>
        <v>40146</v>
      </c>
      <c r="O41" s="130">
        <f>+'Customer Counts - Enspire'!G12+'Customer Counts - Enspire'!H12</f>
        <v>92789</v>
      </c>
      <c r="P41" s="57">
        <f t="shared" si="74"/>
        <v>132935</v>
      </c>
      <c r="Q41" s="11"/>
      <c r="R41" s="87">
        <f t="shared" si="70"/>
        <v>42.692173566482339</v>
      </c>
      <c r="S41" s="87">
        <f t="shared" si="77"/>
        <v>44.547521796764705</v>
      </c>
      <c r="T41" s="87">
        <f t="shared" ref="T41:T42" si="78">+E41*2000/P41</f>
        <v>43.987211795238281</v>
      </c>
      <c r="V41" s="208">
        <f t="shared" si="75"/>
        <v>65.641204863958549</v>
      </c>
      <c r="X41" s="208">
        <f t="shared" si="76"/>
        <v>64.627250134134627</v>
      </c>
      <c r="Z41" s="87"/>
      <c r="AA41" s="131"/>
    </row>
    <row r="42" spans="1:27">
      <c r="A42" t="str">
        <f t="shared" si="72"/>
        <v>May</v>
      </c>
      <c r="B42" s="22"/>
      <c r="C42" s="87">
        <f>+'KC Tonnage - Enspire'!V31+'KC Tonnage - Enspire'!V32</f>
        <v>958.34000000000015</v>
      </c>
      <c r="D42" s="87">
        <f>+'SC Tonnage - Enspire'!T31+'SC Tonnage - Enspire'!T32</f>
        <v>2280.29</v>
      </c>
      <c r="E42" s="131">
        <f t="shared" si="67"/>
        <v>3238.63</v>
      </c>
      <c r="F42" s="132"/>
      <c r="G42" s="136">
        <f t="shared" si="68"/>
        <v>56849.13796846725</v>
      </c>
      <c r="H42" s="136">
        <f t="shared" si="68"/>
        <v>130520.66587635738</v>
      </c>
      <c r="I42" s="136"/>
      <c r="J42" s="147">
        <f t="shared" si="73"/>
        <v>187369.80384482464</v>
      </c>
      <c r="K42" s="11"/>
      <c r="L42" s="137">
        <f t="shared" si="69"/>
        <v>57.85464960332753</v>
      </c>
      <c r="M42" s="11"/>
      <c r="N42" s="57">
        <f>+'Customer Counts - Enspire'!D13+'Customer Counts - Enspire'!F13</f>
        <v>40276</v>
      </c>
      <c r="O42" s="130">
        <f>+'Customer Counts - Enspire'!G13+'Customer Counts - Enspire'!H13</f>
        <v>92954</v>
      </c>
      <c r="P42" s="57">
        <f t="shared" si="74"/>
        <v>133230</v>
      </c>
      <c r="Q42" s="11"/>
      <c r="R42" s="87">
        <f t="shared" si="70"/>
        <v>47.588638395073993</v>
      </c>
      <c r="S42" s="87">
        <f t="shared" si="77"/>
        <v>49.062762226477609</v>
      </c>
      <c r="T42" s="87">
        <f t="shared" si="78"/>
        <v>48.617128274412671</v>
      </c>
      <c r="V42" s="208">
        <f t="shared" si="75"/>
        <v>59.320426955430477</v>
      </c>
      <c r="X42" s="208">
        <f t="shared" si="76"/>
        <v>57.238625734602785</v>
      </c>
      <c r="Z42" s="87"/>
      <c r="AA42" s="131"/>
    </row>
    <row r="43" spans="1:27">
      <c r="A43" t="str">
        <f t="shared" si="72"/>
        <v>Jun</v>
      </c>
      <c r="B43" s="22"/>
      <c r="C43" s="87">
        <f>+'KC Tonnage - Enspire'!V35+'KC Tonnage - Enspire'!V36</f>
        <v>1014.67</v>
      </c>
      <c r="D43" s="87">
        <f>+'SC Tonnage - Enspire'!T35+'SC Tonnage - Enspire'!T36</f>
        <v>2313.1400000000003</v>
      </c>
      <c r="E43" s="131">
        <f t="shared" si="67"/>
        <v>3327.8100000000004</v>
      </c>
      <c r="F43" s="132"/>
      <c r="G43" s="136">
        <f t="shared" si="68"/>
        <v>65617.209509775013</v>
      </c>
      <c r="H43" s="136">
        <f t="shared" si="68"/>
        <v>147258.36688192654</v>
      </c>
      <c r="I43" s="136"/>
      <c r="J43" s="147">
        <f t="shared" si="73"/>
        <v>212875.57639170156</v>
      </c>
      <c r="K43" s="11"/>
      <c r="L43" s="137">
        <f t="shared" si="69"/>
        <v>63.968669002046852</v>
      </c>
      <c r="M43" s="11"/>
      <c r="N43" s="57">
        <f>+'Customer Counts - Enspire'!D14+'Customer Counts - Enspire'!F14</f>
        <v>40333</v>
      </c>
      <c r="O43" s="130">
        <f>+'Customer Counts - Enspire'!G14+'Customer Counts - Enspire'!H14</f>
        <v>93004</v>
      </c>
      <c r="P43" s="57">
        <f>+O43+N43</f>
        <v>133337</v>
      </c>
      <c r="Q43" s="11"/>
      <c r="R43" s="87">
        <f t="shared" ref="R43:R45" si="79">+C43*2000/N43</f>
        <v>50.314630699427269</v>
      </c>
      <c r="S43" s="87">
        <f t="shared" ref="S43:S45" si="80">+D43*2000/O43</f>
        <v>49.742806760999535</v>
      </c>
      <c r="T43" s="87">
        <f t="shared" ref="T43" si="81">+E43*2000/P43</f>
        <v>49.915777316123815</v>
      </c>
      <c r="V43" s="208">
        <f t="shared" si="75"/>
        <v>64.668522287812806</v>
      </c>
      <c r="X43" s="208">
        <f t="shared" si="76"/>
        <v>63.661674988079632</v>
      </c>
      <c r="Z43" s="131"/>
      <c r="AA43" s="131"/>
    </row>
    <row r="44" spans="1:27" ht="15">
      <c r="A44" t="str">
        <f t="shared" si="72"/>
        <v>Jul</v>
      </c>
      <c r="B44" s="22"/>
      <c r="C44" s="87">
        <f>+'KC Tonnage - Enspire'!V39+'KC Tonnage - Enspire'!V40</f>
        <v>893.97000000000014</v>
      </c>
      <c r="D44" s="87">
        <f>+'SC Tonnage - Enspire'!T39+'SC Tonnage - Enspire'!T40</f>
        <v>2045.56</v>
      </c>
      <c r="E44" s="131">
        <f t="shared" si="67"/>
        <v>2939.53</v>
      </c>
      <c r="F44" s="148"/>
      <c r="G44" s="136">
        <f t="shared" si="68"/>
        <v>73358.498080148609</v>
      </c>
      <c r="H44" s="136">
        <f t="shared" si="68"/>
        <v>166849.50793863609</v>
      </c>
      <c r="I44" s="136"/>
      <c r="J44" s="147">
        <f t="shared" si="73"/>
        <v>240208.00601878471</v>
      </c>
      <c r="K44" s="11"/>
      <c r="L44" s="137">
        <f t="shared" si="69"/>
        <v>81.716466924571165</v>
      </c>
      <c r="M44" s="11"/>
      <c r="N44" s="57">
        <f>+'Customer Counts - Enspire'!D15+'Customer Counts - Enspire'!F15</f>
        <v>40420</v>
      </c>
      <c r="O44" s="130">
        <f>+'Customer Counts - Enspire'!G15+'Customer Counts - Enspire'!H15</f>
        <v>93134</v>
      </c>
      <c r="P44" s="57">
        <f>+O44+N44</f>
        <v>133554</v>
      </c>
      <c r="Q44" s="11"/>
      <c r="R44" s="87">
        <f t="shared" si="79"/>
        <v>44.234042553191493</v>
      </c>
      <c r="S44" s="87">
        <f t="shared" si="80"/>
        <v>43.927244615285503</v>
      </c>
      <c r="T44" s="87">
        <f t="shared" ref="T44" si="82">+E44*2000/P44</f>
        <v>44.020096739895472</v>
      </c>
      <c r="V44" s="208">
        <f t="shared" si="75"/>
        <v>82.059239214010091</v>
      </c>
      <c r="X44" s="208">
        <f t="shared" si="76"/>
        <v>81.566665333031594</v>
      </c>
      <c r="Z44" s="131"/>
      <c r="AA44" s="131"/>
    </row>
    <row r="45" spans="1:27" ht="15">
      <c r="A45" t="str">
        <f t="shared" si="72"/>
        <v>Aug</v>
      </c>
      <c r="B45" s="22"/>
      <c r="C45" s="87">
        <f>+'KC Tonnage - Enspire'!V43+'KC Tonnage - Enspire'!V44</f>
        <v>965.28999999999985</v>
      </c>
      <c r="D45" s="87">
        <f>+'SC Tonnage - Enspire'!T43+'SC Tonnage - Enspire'!T44</f>
        <v>2173.4700000000003</v>
      </c>
      <c r="E45" s="131">
        <f t="shared" si="67"/>
        <v>3138.76</v>
      </c>
      <c r="F45" s="148"/>
      <c r="G45" s="136">
        <f t="shared" si="68"/>
        <v>57308.242096271439</v>
      </c>
      <c r="H45" s="136">
        <f t="shared" si="68"/>
        <v>125876.72279592765</v>
      </c>
      <c r="I45" s="136"/>
      <c r="J45" s="147">
        <f t="shared" si="73"/>
        <v>183184.96489219909</v>
      </c>
      <c r="K45" s="11"/>
      <c r="L45" s="137">
        <f t="shared" si="69"/>
        <v>58.362208289961345</v>
      </c>
      <c r="M45" s="11"/>
      <c r="N45" s="57">
        <f>+'Customer Counts - Enspire'!D16+'Customer Counts - Enspire'!F16</f>
        <v>40443</v>
      </c>
      <c r="O45" s="130">
        <f>+'Customer Counts - Enspire'!G16+'Customer Counts - Enspire'!H16</f>
        <v>93308</v>
      </c>
      <c r="P45" s="57">
        <f t="shared" si="74"/>
        <v>133751</v>
      </c>
      <c r="Q45" s="11"/>
      <c r="R45" s="87">
        <f t="shared" si="79"/>
        <v>47.735825730039807</v>
      </c>
      <c r="S45" s="87">
        <f t="shared" si="80"/>
        <v>46.587002186307721</v>
      </c>
      <c r="T45" s="87">
        <f t="shared" ref="T45" si="83">+E45*2000/P45</f>
        <v>46.934378060724782</v>
      </c>
      <c r="V45" s="208">
        <f t="shared" si="75"/>
        <v>59.368937931887253</v>
      </c>
      <c r="X45" s="208">
        <f t="shared" si="76"/>
        <v>57.915095582606448</v>
      </c>
      <c r="Z45" s="131"/>
      <c r="AA45" s="131"/>
    </row>
    <row r="46" spans="1:27" s="22" customFormat="1">
      <c r="A46" s="22" t="str">
        <f t="shared" si="72"/>
        <v>Sep</v>
      </c>
      <c r="C46" s="131">
        <f>+'KC Tonnage - Enspire'!V47+'KC Tonnage - Enspire'!V48</f>
        <v>894.5200000000001</v>
      </c>
      <c r="D46" s="131">
        <f>+'SC Tonnage - Enspire'!T47+'SC Tonnage - Enspire'!T48</f>
        <v>2137.0736266010276</v>
      </c>
      <c r="E46" s="131">
        <f t="shared" si="67"/>
        <v>3031.5936266010276</v>
      </c>
      <c r="F46" s="132"/>
      <c r="G46" s="147">
        <f t="shared" ref="G46" si="84">+C46/C18*G18</f>
        <v>26601.141868561808</v>
      </c>
      <c r="H46" s="147">
        <f t="shared" ref="H46" si="85">+D46/D18*H18</f>
        <v>61750.421640873203</v>
      </c>
      <c r="I46" s="147"/>
      <c r="J46" s="147">
        <f t="shared" si="73"/>
        <v>88351.563509435015</v>
      </c>
      <c r="K46" s="132"/>
      <c r="L46" s="433">
        <f t="shared" si="69"/>
        <v>29.143603791149712</v>
      </c>
      <c r="M46" s="132"/>
      <c r="N46" s="434">
        <f>+'Customer Counts - Enspire'!D17+'Customer Counts - Enspire'!F17</f>
        <v>40479</v>
      </c>
      <c r="O46" s="135">
        <f>+'Customer Counts - Enspire'!G17+'Customer Counts - Enspire'!H17</f>
        <v>93404</v>
      </c>
      <c r="P46" s="434">
        <f t="shared" si="74"/>
        <v>133883</v>
      </c>
      <c r="Q46" s="132"/>
      <c r="R46" s="131">
        <f t="shared" ref="R46" si="86">+C46*2000/N46</f>
        <v>44.196743990711241</v>
      </c>
      <c r="S46" s="131">
        <f t="shared" ref="S46" si="87">+D46*2000/O46</f>
        <v>45.759788158987362</v>
      </c>
      <c r="T46" s="131">
        <f t="shared" ref="T46" si="88">+E46*2000/P46</f>
        <v>45.287207884511517</v>
      </c>
      <c r="V46" s="435">
        <f t="shared" si="75"/>
        <v>29.737895037072178</v>
      </c>
      <c r="X46" s="435">
        <f t="shared" si="76"/>
        <v>28.894849888296079</v>
      </c>
      <c r="Z46" s="131"/>
      <c r="AA46" s="131"/>
    </row>
    <row r="47" spans="1:27" ht="15">
      <c r="A47" t="str">
        <f t="shared" si="72"/>
        <v>Oct</v>
      </c>
      <c r="B47" s="22"/>
      <c r="C47" s="87">
        <f>+'KC Tonnage - Enspire'!V51+'KC Tonnage - Enspire'!V52</f>
        <v>921.39546680774606</v>
      </c>
      <c r="D47" s="87">
        <f>+'SC Tonnage - Enspire'!T51+'SC Tonnage - Enspire'!T52</f>
        <v>2022.2155579454206</v>
      </c>
      <c r="E47" s="131">
        <f t="shared" si="67"/>
        <v>2943.6110247531669</v>
      </c>
      <c r="F47" s="148"/>
      <c r="G47" s="136">
        <f t="shared" ref="G47:G58" si="89">+C47/C19*G19</f>
        <v>12186.634910185425</v>
      </c>
      <c r="H47" s="136">
        <f t="shared" ref="H47:H58" si="90">+D47/D19*H19</f>
        <v>25365.631903749167</v>
      </c>
      <c r="I47" s="139"/>
      <c r="J47" s="147">
        <f t="shared" si="73"/>
        <v>37552.266813934591</v>
      </c>
      <c r="K47" s="11"/>
      <c r="L47" s="137">
        <f t="shared" si="69"/>
        <v>12.757210955575726</v>
      </c>
      <c r="M47" s="11"/>
      <c r="N47" s="57">
        <f>+'Customer Counts - Enspire'!D18+'Customer Counts - Enspire'!F18</f>
        <v>40319</v>
      </c>
      <c r="O47" s="130">
        <f>+'Customer Counts - Enspire'!G18+'Customer Counts - Enspire'!H18</f>
        <v>93420</v>
      </c>
      <c r="P47" s="57">
        <f t="shared" si="74"/>
        <v>133739</v>
      </c>
      <c r="Q47" s="11"/>
      <c r="R47" s="87">
        <f t="shared" ref="R47:R58" si="91">+C47*2000/N47</f>
        <v>45.705273781976047</v>
      </c>
      <c r="S47" s="87">
        <f t="shared" ref="S47:S58" si="92">+D47*2000/O47</f>
        <v>43.29298989392894</v>
      </c>
      <c r="T47" s="87">
        <f t="shared" ref="T47:T49" si="93">+E47*2000/P47</f>
        <v>44.020233809930787</v>
      </c>
      <c r="V47" s="208">
        <f t="shared" si="75"/>
        <v>13.226280516016724</v>
      </c>
      <c r="X47" s="208">
        <f t="shared" si="76"/>
        <v>12.543485685334531</v>
      </c>
      <c r="Z47" s="131"/>
      <c r="AA47" s="131"/>
    </row>
    <row r="48" spans="1:27" ht="15">
      <c r="A48" t="str">
        <f t="shared" si="72"/>
        <v>Nov</v>
      </c>
      <c r="B48" s="22"/>
      <c r="C48" s="87">
        <f>+'KC Tonnage - Enspire'!V55+'KC Tonnage - Enspire'!V56</f>
        <v>903.69526941295646</v>
      </c>
      <c r="D48" s="87">
        <f>+'SC Tonnage - Enspire'!T55+'SC Tonnage - Enspire'!T56</f>
        <v>2088.6500865151679</v>
      </c>
      <c r="E48" s="131">
        <f t="shared" si="67"/>
        <v>2992.3453559281243</v>
      </c>
      <c r="F48" s="148"/>
      <c r="G48" s="136">
        <f t="shared" si="89"/>
        <v>17200.085031505772</v>
      </c>
      <c r="H48" s="136">
        <f t="shared" si="90"/>
        <v>39528.093551322432</v>
      </c>
      <c r="I48" s="139"/>
      <c r="J48" s="147">
        <f t="shared" si="73"/>
        <v>56728.178582828201</v>
      </c>
      <c r="K48" s="11"/>
      <c r="L48" s="137">
        <f t="shared" si="69"/>
        <v>18.957764507510543</v>
      </c>
      <c r="M48" s="11"/>
      <c r="N48" s="57">
        <f>+'Customer Counts - Enspire'!D19+'Customer Counts - Enspire'!F19</f>
        <v>40281</v>
      </c>
      <c r="O48" s="130">
        <f>+'Customer Counts - Enspire'!G19+'Customer Counts - Enspire'!H19</f>
        <v>93478</v>
      </c>
      <c r="P48" s="57">
        <f t="shared" si="74"/>
        <v>133759</v>
      </c>
      <c r="Q48" s="11"/>
      <c r="R48" s="87">
        <f t="shared" si="91"/>
        <v>44.869554847841734</v>
      </c>
      <c r="S48" s="87">
        <f t="shared" si="92"/>
        <v>44.687521909222873</v>
      </c>
      <c r="T48" s="87">
        <f t="shared" si="93"/>
        <v>44.742340417140149</v>
      </c>
      <c r="V48" s="208">
        <f t="shared" si="75"/>
        <v>19.0330586135291</v>
      </c>
      <c r="X48" s="208">
        <f t="shared" si="76"/>
        <v>18.925187041393578</v>
      </c>
      <c r="Z48" s="131"/>
      <c r="AA48" s="131"/>
    </row>
    <row r="49" spans="1:27">
      <c r="A49" t="str">
        <f t="shared" si="72"/>
        <v>Dec</v>
      </c>
      <c r="B49" s="22"/>
      <c r="C49" s="87">
        <f>+'KC Tonnage - Enspire'!V59+'KC Tonnage - Enspire'!V60</f>
        <v>922.82542153568704</v>
      </c>
      <c r="D49" s="87">
        <f>+'SC Tonnage - Enspire'!T59+'SC Tonnage - Enspire'!T60</f>
        <v>2031.7072608608735</v>
      </c>
      <c r="E49" s="131">
        <f t="shared" si="67"/>
        <v>2954.5326823965606</v>
      </c>
      <c r="F49" s="132"/>
      <c r="G49" s="136">
        <f t="shared" si="89"/>
        <v>24733.256384240674</v>
      </c>
      <c r="H49" s="136">
        <f t="shared" si="90"/>
        <v>54453.134263436703</v>
      </c>
      <c r="I49" s="136"/>
      <c r="J49" s="147">
        <f t="shared" si="73"/>
        <v>79186.390647677385</v>
      </c>
      <c r="K49" s="11"/>
      <c r="L49" s="137">
        <f t="shared" si="69"/>
        <v>26.801663464235425</v>
      </c>
      <c r="M49" s="11"/>
      <c r="N49" s="57">
        <f>+'Customer Counts - Enspire'!D20+'Customer Counts - Enspire'!F20</f>
        <v>40238</v>
      </c>
      <c r="O49" s="130">
        <f>+'Customer Counts - Enspire'!G20+'Customer Counts - Enspire'!H20</f>
        <v>93500</v>
      </c>
      <c r="P49" s="57">
        <f t="shared" si="74"/>
        <v>133738</v>
      </c>
      <c r="Q49" s="11"/>
      <c r="R49" s="87">
        <f t="shared" si="91"/>
        <v>45.868354368293012</v>
      </c>
      <c r="S49" s="87">
        <f t="shared" si="92"/>
        <v>43.458978841943818</v>
      </c>
      <c r="T49" s="87">
        <f t="shared" si="93"/>
        <v>44.183892123354028</v>
      </c>
      <c r="V49" s="208">
        <f t="shared" si="75"/>
        <v>26.801663464235421</v>
      </c>
      <c r="X49" s="208">
        <f t="shared" si="76"/>
        <v>26.801663464235425</v>
      </c>
      <c r="Z49" s="131"/>
      <c r="AA49" s="131"/>
    </row>
    <row r="50" spans="1:27" ht="15">
      <c r="A50" t="str">
        <f t="shared" si="72"/>
        <v>Jan. 2023</v>
      </c>
      <c r="B50" s="22"/>
      <c r="C50" s="87">
        <f>+'KC Tonnage - Enspire'!V63+'KC Tonnage - Enspire'!V64</f>
        <v>1048.0525921408439</v>
      </c>
      <c r="D50" s="87">
        <f>+'SC Tonnage - Enspire'!T63+'SC Tonnage - Enspire'!T64</f>
        <v>2483.7024461313804</v>
      </c>
      <c r="E50" s="131">
        <f t="shared" si="67"/>
        <v>3531.7550382722243</v>
      </c>
      <c r="F50" s="148"/>
      <c r="G50" s="136">
        <f t="shared" si="89"/>
        <v>38183.549359069606</v>
      </c>
      <c r="H50" s="136">
        <f t="shared" si="90"/>
        <v>90488.374015065405</v>
      </c>
      <c r="I50" s="139"/>
      <c r="J50" s="147">
        <f t="shared" si="73"/>
        <v>128671.92337413502</v>
      </c>
      <c r="K50" s="11"/>
      <c r="L50" s="137">
        <f t="shared" si="69"/>
        <v>36.432856180501922</v>
      </c>
      <c r="M50" s="11"/>
      <c r="N50" s="57">
        <f>+'Customer Counts - Enspire'!D21+'Customer Counts - Enspire'!F21</f>
        <v>40204</v>
      </c>
      <c r="O50" s="130">
        <f>+'Customer Counts - Enspire'!G21+'Customer Counts - Enspire'!H21</f>
        <v>93565</v>
      </c>
      <c r="P50" s="57">
        <f t="shared" si="74"/>
        <v>133769</v>
      </c>
      <c r="Q50" s="11"/>
      <c r="R50" s="87">
        <f t="shared" si="91"/>
        <v>52.136732272452683</v>
      </c>
      <c r="S50" s="87">
        <f t="shared" si="92"/>
        <v>53.090417274223917</v>
      </c>
      <c r="T50" s="87">
        <f t="shared" ref="T50" si="94">+E50*2000/P50</f>
        <v>52.803789192895579</v>
      </c>
      <c r="V50" s="208">
        <f t="shared" si="75"/>
        <v>36.432856180501922</v>
      </c>
      <c r="X50" s="208">
        <f t="shared" si="76"/>
        <v>36.432856180501922</v>
      </c>
      <c r="Z50" s="87"/>
      <c r="AA50" s="131"/>
    </row>
    <row r="51" spans="1:27" ht="15">
      <c r="A51" t="str">
        <f t="shared" si="72"/>
        <v>Feb</v>
      </c>
      <c r="B51" s="22"/>
      <c r="C51" s="87">
        <f>+'KC Tonnage - Enspire'!V67+'KC Tonnage - Enspire'!V68</f>
        <v>841.23206774879225</v>
      </c>
      <c r="D51" s="87">
        <f>+'SC Tonnage - Enspire'!T67+'SC Tonnage - Enspire'!T68</f>
        <v>1864.8280729588471</v>
      </c>
      <c r="E51" s="131">
        <f t="shared" si="67"/>
        <v>2706.0601407076392</v>
      </c>
      <c r="F51" s="148"/>
      <c r="G51" s="136">
        <f t="shared" si="89"/>
        <v>37297.471726827913</v>
      </c>
      <c r="H51" s="136">
        <f t="shared" si="90"/>
        <v>82680.362521971198</v>
      </c>
      <c r="I51" s="139"/>
      <c r="J51" s="147">
        <f t="shared" si="73"/>
        <v>119977.8342487991</v>
      </c>
      <c r="K51" s="11"/>
      <c r="L51" s="137">
        <f t="shared" si="69"/>
        <v>44.336721288620254</v>
      </c>
      <c r="M51" s="11"/>
      <c r="N51" s="57">
        <f>+'Customer Counts - Enspire'!D22+'Customer Counts - Enspire'!F22</f>
        <v>40174</v>
      </c>
      <c r="O51" s="130">
        <f>+'Customer Counts - Enspire'!G22+'Customer Counts - Enspire'!H22</f>
        <v>93586</v>
      </c>
      <c r="P51" s="57">
        <f t="shared" si="74"/>
        <v>133760</v>
      </c>
      <c r="Q51" s="11"/>
      <c r="R51" s="87">
        <f t="shared" si="91"/>
        <v>41.879427876178234</v>
      </c>
      <c r="S51" s="87">
        <f t="shared" si="92"/>
        <v>39.852714571813031</v>
      </c>
      <c r="T51" s="87">
        <f t="shared" ref="T51" si="95">+E51*2000/P51</f>
        <v>40.461425548858237</v>
      </c>
      <c r="V51" s="208">
        <f t="shared" si="75"/>
        <v>44.336721288620254</v>
      </c>
      <c r="X51" s="208">
        <f t="shared" si="76"/>
        <v>44.336721288620254</v>
      </c>
      <c r="Z51" s="87"/>
      <c r="AA51" s="131"/>
    </row>
    <row r="52" spans="1:27">
      <c r="A52" t="str">
        <f>+A24</f>
        <v>Mar</v>
      </c>
      <c r="B52" s="22"/>
      <c r="C52" s="87">
        <f>+'KC Tonnage - Enspire'!V71+'KC Tonnage - Enspire'!V72</f>
        <v>889.75043996999989</v>
      </c>
      <c r="D52" s="87">
        <f>+'SC Tonnage - Enspire'!T71+'SC Tonnage - Enspire'!T72</f>
        <v>2128.4573749330002</v>
      </c>
      <c r="E52" s="131">
        <f t="shared" si="67"/>
        <v>3018.2078149030003</v>
      </c>
      <c r="F52" s="132"/>
      <c r="G52" s="136">
        <f t="shared" si="89"/>
        <v>42625.775664860717</v>
      </c>
      <c r="H52" s="136">
        <f t="shared" si="90"/>
        <v>101969.20675776401</v>
      </c>
      <c r="I52" s="136"/>
      <c r="J52" s="147">
        <f t="shared" si="73"/>
        <v>144594.98242262471</v>
      </c>
      <c r="K52" s="11"/>
      <c r="L52" s="137">
        <f t="shared" si="69"/>
        <v>47.907563458241107</v>
      </c>
      <c r="M52" s="11"/>
      <c r="N52" s="57">
        <f>+'Customer Counts - Enspire'!D23+'Customer Counts - Enspire'!F23</f>
        <v>40308</v>
      </c>
      <c r="O52" s="130">
        <f>+'Customer Counts - Enspire'!G23+'Customer Counts - Enspire'!H23</f>
        <v>93916</v>
      </c>
      <c r="P52" s="57">
        <f t="shared" si="74"/>
        <v>134224</v>
      </c>
      <c r="Q52" s="11"/>
      <c r="R52" s="87">
        <f t="shared" si="91"/>
        <v>44.147585589461144</v>
      </c>
      <c r="S52" s="87">
        <f t="shared" si="92"/>
        <v>45.326831954789391</v>
      </c>
      <c r="T52" s="87">
        <f t="shared" ref="T52" si="96">+E52*2000/P52</f>
        <v>44.97269959028192</v>
      </c>
      <c r="V52" s="208">
        <f t="shared" ref="V52" si="97">+G52/C52</f>
        <v>47.907563458241107</v>
      </c>
      <c r="X52" s="208">
        <f t="shared" ref="X52" si="98">+H52/D52</f>
        <v>47.907563458241114</v>
      </c>
      <c r="Z52" s="87"/>
      <c r="AA52" s="131"/>
    </row>
    <row r="53" spans="1:27" ht="15">
      <c r="A53" t="str">
        <f t="shared" si="72"/>
        <v>Apr</v>
      </c>
      <c r="B53" s="22"/>
      <c r="C53" s="87">
        <f>+'KC Tonnage - Enspire'!V75+'KC Tonnage - Enspire'!V76</f>
        <v>869.86</v>
      </c>
      <c r="D53" s="87">
        <f>+'SC Tonnage - Enspire'!T75+'SC Tonnage - Enspire'!T76</f>
        <v>1822.4499999999998</v>
      </c>
      <c r="E53" s="131">
        <f t="shared" si="67"/>
        <v>2692.31</v>
      </c>
      <c r="F53" s="148"/>
      <c r="G53" s="136">
        <f t="shared" si="89"/>
        <v>43871.126754811958</v>
      </c>
      <c r="H53" s="136">
        <f t="shared" si="90"/>
        <v>91914.716108692257</v>
      </c>
      <c r="I53" s="139"/>
      <c r="J53" s="147">
        <f t="shared" si="73"/>
        <v>135785.84286350422</v>
      </c>
      <c r="K53" s="11"/>
      <c r="L53" s="137">
        <f t="shared" si="69"/>
        <v>50.434698405274368</v>
      </c>
      <c r="M53" s="11"/>
      <c r="N53" s="57">
        <f>+'Customer Counts - Enspire'!D24+'Customer Counts - Enspire'!F24</f>
        <v>40299</v>
      </c>
      <c r="O53" s="130">
        <f>+'Customer Counts - Enspire'!G24+'Customer Counts - Enspire'!H24</f>
        <v>93880</v>
      </c>
      <c r="P53" s="57">
        <f t="shared" si="74"/>
        <v>134179</v>
      </c>
      <c r="Q53" s="11"/>
      <c r="R53" s="87">
        <f t="shared" si="91"/>
        <v>43.170301992605275</v>
      </c>
      <c r="S53" s="87">
        <f t="shared" si="92"/>
        <v>38.825095867064334</v>
      </c>
      <c r="T53" s="87">
        <f t="shared" ref="T53" si="99">+E53*2000/P53</f>
        <v>40.13012468419052</v>
      </c>
      <c r="V53" s="208">
        <f t="shared" ref="V53" si="100">+G53/C53</f>
        <v>50.434698405274361</v>
      </c>
      <c r="X53" s="208">
        <f t="shared" ref="X53" si="101">+H53/D53</f>
        <v>50.434698405274368</v>
      </c>
      <c r="Z53" s="87"/>
      <c r="AA53" s="131"/>
    </row>
    <row r="54" spans="1:27" ht="15">
      <c r="A54" t="str">
        <f t="shared" si="72"/>
        <v>May</v>
      </c>
      <c r="B54" s="22"/>
      <c r="C54" s="87">
        <f>+'KC Tonnage - Enspire'!V79+'KC Tonnage - Enspire'!V80</f>
        <v>1130.4336386478137</v>
      </c>
      <c r="D54" s="87">
        <f>+'SC Tonnage - Enspire'!T79+'SC Tonnage - Enspire'!T80</f>
        <v>2178.5201628968098</v>
      </c>
      <c r="E54" s="131">
        <f t="shared" si="67"/>
        <v>3308.9538015446233</v>
      </c>
      <c r="F54" s="148"/>
      <c r="G54" s="136">
        <f t="shared" si="89"/>
        <v>56364.189375167291</v>
      </c>
      <c r="H54" s="136">
        <f t="shared" si="90"/>
        <v>108622.49566990411</v>
      </c>
      <c r="I54" s="139"/>
      <c r="J54" s="147">
        <f t="shared" si="73"/>
        <v>164986.68504507141</v>
      </c>
      <c r="K54" s="11"/>
      <c r="L54" s="137">
        <f t="shared" si="69"/>
        <v>49.860679519930272</v>
      </c>
      <c r="M54" s="11"/>
      <c r="N54" s="57">
        <f>+'Customer Counts - Enspire'!D25+'Customer Counts - Enspire'!F25</f>
        <v>40364</v>
      </c>
      <c r="O54" s="130">
        <f>+'Customer Counts - Enspire'!G25+'Customer Counts - Enspire'!H25</f>
        <v>94164</v>
      </c>
      <c r="P54" s="57">
        <f t="shared" si="74"/>
        <v>134528</v>
      </c>
      <c r="Q54" s="11"/>
      <c r="R54" s="87">
        <f t="shared" si="91"/>
        <v>56.01197297828827</v>
      </c>
      <c r="S54" s="87">
        <f t="shared" si="92"/>
        <v>46.270765109740658</v>
      </c>
      <c r="T54" s="87">
        <f t="shared" ref="T54" si="102">+E54*2000/P54</f>
        <v>49.193532967778062</v>
      </c>
      <c r="V54" s="208">
        <f t="shared" ref="V54" si="103">+G54/C54</f>
        <v>49.860679519930258</v>
      </c>
      <c r="X54" s="208">
        <f t="shared" ref="X54" si="104">+H54/D54</f>
        <v>49.860679519930265</v>
      </c>
      <c r="Z54" s="87"/>
      <c r="AA54" s="131"/>
    </row>
    <row r="55" spans="1:27" ht="15">
      <c r="A55" t="str">
        <f t="shared" si="72"/>
        <v>Jun</v>
      </c>
      <c r="B55" s="22"/>
      <c r="C55" s="87">
        <f>+'KC Tonnage - Enspire'!V83+'KC Tonnage - Enspire'!V84</f>
        <v>1127.6606681559404</v>
      </c>
      <c r="D55" s="87">
        <f>+'SC Tonnage - Enspire'!T83+'SC Tonnage - Enspire'!T84</f>
        <v>2139.9517637037161</v>
      </c>
      <c r="E55" s="131">
        <f t="shared" si="67"/>
        <v>3267.6124318596567</v>
      </c>
      <c r="F55" s="148"/>
      <c r="G55" s="136">
        <f t="shared" si="89"/>
        <v>53320.303800520713</v>
      </c>
      <c r="H55" s="136">
        <f t="shared" si="90"/>
        <v>101185.47306055666</v>
      </c>
      <c r="I55" s="139"/>
      <c r="J55" s="147">
        <f t="shared" si="73"/>
        <v>154505.77686107738</v>
      </c>
      <c r="K55" s="11"/>
      <c r="L55" s="137">
        <f t="shared" si="69"/>
        <v>47.283997133388731</v>
      </c>
      <c r="M55" s="11"/>
      <c r="N55" s="57">
        <f>+'Customer Counts - Enspire'!D26+'Customer Counts - Enspire'!F26</f>
        <v>40401</v>
      </c>
      <c r="O55" s="130">
        <f>+'Customer Counts - Enspire'!G26+'Customer Counts - Enspire'!H26</f>
        <v>94216</v>
      </c>
      <c r="P55" s="57">
        <f t="shared" si="74"/>
        <v>134617</v>
      </c>
      <c r="Q55" s="11"/>
      <c r="R55" s="87">
        <f t="shared" si="91"/>
        <v>55.823403784853852</v>
      </c>
      <c r="S55" s="87">
        <f t="shared" si="92"/>
        <v>45.426504281729557</v>
      </c>
      <c r="T55" s="87">
        <f t="shared" ref="T55" si="105">+E55*2000/P55</f>
        <v>48.546802140289216</v>
      </c>
      <c r="V55" s="208">
        <f t="shared" ref="V55" si="106">+G55/C55</f>
        <v>47.283997133388738</v>
      </c>
      <c r="X55" s="208">
        <f t="shared" ref="X55" si="107">+H55/D55</f>
        <v>47.283997133388723</v>
      </c>
      <c r="Z55" s="87"/>
      <c r="AA55" s="131"/>
    </row>
    <row r="56" spans="1:27" ht="15">
      <c r="A56" t="str">
        <f t="shared" si="72"/>
        <v>Jul</v>
      </c>
      <c r="B56" s="22"/>
      <c r="C56" s="87">
        <f>+'KC Tonnage - Enspire'!V87+'KC Tonnage - Enspire'!V88</f>
        <v>1020.3314825267003</v>
      </c>
      <c r="D56" s="87">
        <f>+'SC Tonnage - Enspire'!T87+'SC Tonnage - Enspire'!T88</f>
        <v>1941.1962758739758</v>
      </c>
      <c r="E56" s="131">
        <f t="shared" si="67"/>
        <v>2961.5277584006762</v>
      </c>
      <c r="F56" s="148"/>
      <c r="G56" s="136">
        <f t="shared" si="89"/>
        <v>35991.033780271129</v>
      </c>
      <c r="H56" s="136">
        <f t="shared" si="90"/>
        <v>68473.493110400523</v>
      </c>
      <c r="I56" s="139"/>
      <c r="J56" s="147">
        <f t="shared" si="73"/>
        <v>104464.52689067165</v>
      </c>
      <c r="K56" s="11"/>
      <c r="L56" s="137">
        <f t="shared" si="69"/>
        <v>35.273863834079336</v>
      </c>
      <c r="M56" s="11"/>
      <c r="N56" s="57">
        <f>+'Customer Counts - Enspire'!D27+'Customer Counts - Enspire'!F27</f>
        <v>40407</v>
      </c>
      <c r="O56" s="130">
        <f>+'Customer Counts - Enspire'!G27+'Customer Counts - Enspire'!H27</f>
        <v>94210</v>
      </c>
      <c r="P56" s="57">
        <f t="shared" si="74"/>
        <v>134617</v>
      </c>
      <c r="Q56" s="11"/>
      <c r="R56" s="87">
        <f t="shared" si="91"/>
        <v>50.502709061632899</v>
      </c>
      <c r="S56" s="87">
        <f t="shared" si="92"/>
        <v>41.209983565947901</v>
      </c>
      <c r="T56" s="87">
        <f t="shared" ref="T56" si="108">+E56*2000/P56</f>
        <v>43.999312990197019</v>
      </c>
      <c r="V56" s="208">
        <f t="shared" ref="V56" si="109">+G56/C56</f>
        <v>35.273863834079343</v>
      </c>
      <c r="X56" s="208">
        <f t="shared" ref="X56" si="110">+H56/D56</f>
        <v>35.273863834079336</v>
      </c>
      <c r="Z56" s="87"/>
      <c r="AA56" s="131"/>
    </row>
    <row r="57" spans="1:27" ht="15">
      <c r="A57" t="str">
        <f t="shared" si="72"/>
        <v>Aug</v>
      </c>
      <c r="B57" s="22"/>
      <c r="C57" s="87">
        <f>+'KC Tonnage - Enspire'!V91+'KC Tonnage - Enspire'!V92</f>
        <v>1030.5240359004661</v>
      </c>
      <c r="D57" s="87">
        <f>+'SC Tonnage - Enspire'!T91+'SC Tonnage - Enspire'!T92</f>
        <v>2076.7372469394136</v>
      </c>
      <c r="E57" s="385">
        <f t="shared" si="67"/>
        <v>3107.2612828398796</v>
      </c>
      <c r="F57" s="379"/>
      <c r="G57" s="383">
        <f t="shared" si="89"/>
        <v>40251.247140648098</v>
      </c>
      <c r="H57" s="383">
        <f t="shared" si="90"/>
        <v>79656.52615617952</v>
      </c>
      <c r="I57" s="378"/>
      <c r="J57" s="386">
        <f t="shared" si="73"/>
        <v>119907.77329682763</v>
      </c>
      <c r="K57" s="89"/>
      <c r="L57" s="384">
        <f t="shared" si="69"/>
        <v>38.589536695555253</v>
      </c>
      <c r="M57" s="89"/>
      <c r="N57" s="376">
        <f>+'Customer Counts - Enspire'!D28+'Customer Counts - Enspire'!F28</f>
        <v>40491</v>
      </c>
      <c r="O57" s="373">
        <f>+'Customer Counts - Enspire'!G28+'Customer Counts - Enspire'!H28</f>
        <v>94416</v>
      </c>
      <c r="P57" s="376">
        <f t="shared" si="74"/>
        <v>134907</v>
      </c>
      <c r="Q57" s="283"/>
      <c r="R57" s="374">
        <f t="shared" si="91"/>
        <v>50.90138726632911</v>
      </c>
      <c r="S57" s="374">
        <f t="shared" si="92"/>
        <v>43.991214347979444</v>
      </c>
      <c r="T57" s="374">
        <f t="shared" ref="T57:T58" si="111">+E57*2000/P57</f>
        <v>46.065234314600133</v>
      </c>
      <c r="U57" s="283"/>
      <c r="V57" s="384">
        <f t="shared" ref="V57:V58" si="112">+G57/C57</f>
        <v>39.059008561092696</v>
      </c>
      <c r="W57" s="283"/>
      <c r="X57" s="384">
        <f t="shared" ref="X57:X58" si="113">+H57/D57</f>
        <v>38.356574127792591</v>
      </c>
      <c r="Z57" s="87"/>
      <c r="AA57" s="131"/>
    </row>
    <row r="58" spans="1:27" ht="15">
      <c r="A58" t="str">
        <f t="shared" si="72"/>
        <v>Sep</v>
      </c>
      <c r="B58" s="22"/>
      <c r="C58" s="73">
        <f>+'KC Tonnage - Enspire'!V95+'KC Tonnage - Enspire'!V96</f>
        <v>887.11640236552125</v>
      </c>
      <c r="D58" s="73">
        <f>+'SC Tonnage - Enspire'!T95+'SC Tonnage - Enspire'!T96</f>
        <v>1981.072657006461</v>
      </c>
      <c r="E58" s="160">
        <f t="shared" si="67"/>
        <v>2868.1890593719822</v>
      </c>
      <c r="F58" s="379"/>
      <c r="G58" s="261">
        <f t="shared" si="89"/>
        <v>39450.433538215599</v>
      </c>
      <c r="H58" s="261">
        <f t="shared" si="90"/>
        <v>86147.138180447684</v>
      </c>
      <c r="I58" s="378"/>
      <c r="J58" s="392">
        <f t="shared" si="73"/>
        <v>125597.57171866328</v>
      </c>
      <c r="K58" s="89"/>
      <c r="L58" s="390">
        <f t="shared" si="69"/>
        <v>43.789851058899195</v>
      </c>
      <c r="M58" s="283"/>
      <c r="N58" s="391">
        <f>+'Customer Counts - Enspire'!D29+'Customer Counts - Enspire'!F29</f>
        <v>40496</v>
      </c>
      <c r="O58" s="100">
        <f>+'Customer Counts - Enspire'!G29+'Customer Counts - Enspire'!H29</f>
        <v>94434</v>
      </c>
      <c r="P58" s="391">
        <f t="shared" si="74"/>
        <v>134930</v>
      </c>
      <c r="Q58" s="283"/>
      <c r="R58" s="73">
        <f t="shared" si="91"/>
        <v>43.81254456566186</v>
      </c>
      <c r="S58" s="73">
        <f t="shared" si="92"/>
        <v>41.956766779051208</v>
      </c>
      <c r="T58" s="73">
        <f t="shared" si="111"/>
        <v>42.513733926806232</v>
      </c>
      <c r="U58" s="187"/>
      <c r="V58" s="390">
        <f t="shared" si="112"/>
        <v>44.470413840866755</v>
      </c>
      <c r="W58" s="187"/>
      <c r="X58" s="390">
        <f t="shared" si="113"/>
        <v>43.48509777052903</v>
      </c>
      <c r="Z58" s="73"/>
      <c r="AA58" s="73"/>
    </row>
    <row r="59" spans="1:27" ht="15">
      <c r="C59" s="143">
        <f>SUM(C35:C58)</f>
        <v>23100.757485212467</v>
      </c>
      <c r="D59" s="143">
        <f t="shared" ref="D59:P59" si="114">SUM(D35:D58)</f>
        <v>51736.222532366075</v>
      </c>
      <c r="E59" s="143">
        <f t="shared" si="114"/>
        <v>74836.980017578579</v>
      </c>
      <c r="F59" s="143"/>
      <c r="G59" s="144">
        <f t="shared" si="114"/>
        <v>1224448.4363318109</v>
      </c>
      <c r="H59" s="144">
        <f t="shared" si="114"/>
        <v>2750339.3348079189</v>
      </c>
      <c r="I59" s="143"/>
      <c r="J59" s="144">
        <f t="shared" si="114"/>
        <v>3974787.7711397293</v>
      </c>
      <c r="K59" s="143"/>
      <c r="L59" s="145">
        <f>+J59/E59</f>
        <v>53.112615851228696</v>
      </c>
      <c r="M59" s="143"/>
      <c r="N59" s="146">
        <f t="shared" si="114"/>
        <v>966997</v>
      </c>
      <c r="O59" s="146">
        <f t="shared" si="114"/>
        <v>2254268</v>
      </c>
      <c r="P59" s="146">
        <f t="shared" si="114"/>
        <v>3221265</v>
      </c>
      <c r="Q59" s="11"/>
      <c r="R59" s="143">
        <f>+C59*2000/N59</f>
        <v>47.778343645766157</v>
      </c>
      <c r="S59" s="143">
        <f>+D59*2000/O59</f>
        <v>45.900684862994176</v>
      </c>
      <c r="T59" s="143">
        <f>+E59*2000/P59</f>
        <v>46.464342435396389</v>
      </c>
      <c r="V59" s="285">
        <f t="shared" ref="V59" si="115">+G59/C59</f>
        <v>53.004687708427717</v>
      </c>
      <c r="W59" s="286"/>
      <c r="X59" s="285">
        <f t="shared" ref="X59" si="116">+H59/D59</f>
        <v>53.160806881239004</v>
      </c>
      <c r="Y59" s="284"/>
    </row>
    <row r="60" spans="1:27" ht="15">
      <c r="C60" s="268">
        <f>+C59/E59</f>
        <v>0.30868104885828229</v>
      </c>
      <c r="D60" s="268">
        <f>+D59/E59</f>
        <v>0.69131895114171726</v>
      </c>
      <c r="E60" s="86">
        <f>+D60+C60</f>
        <v>0.99999999999999956</v>
      </c>
      <c r="F60" s="11"/>
      <c r="G60" s="268">
        <f>+G59/J59</f>
        <v>0.30805378974503411</v>
      </c>
      <c r="H60" s="268">
        <f>+H59/J59</f>
        <v>0.69194621025496605</v>
      </c>
      <c r="I60" s="11"/>
      <c r="J60" s="86">
        <f>+H60+G60</f>
        <v>1.0000000000000002</v>
      </c>
      <c r="K60" s="11"/>
      <c r="L60" s="11"/>
      <c r="M60" s="11"/>
      <c r="N60" s="268">
        <f>+N59/P59</f>
        <v>0.30019169487763347</v>
      </c>
      <c r="O60" s="268">
        <f>+O59/P59</f>
        <v>0.69980830512236647</v>
      </c>
      <c r="P60" s="86">
        <f>+O60+N60</f>
        <v>1</v>
      </c>
      <c r="Q60" s="11"/>
      <c r="R60" s="11"/>
      <c r="S60" s="11"/>
      <c r="T60" s="11"/>
      <c r="V60" s="286"/>
      <c r="W60" s="287"/>
      <c r="X60" s="287"/>
      <c r="Y60" s="284"/>
    </row>
    <row r="61" spans="1:27" s="54" customFormat="1" ht="16.5">
      <c r="A61" s="69" t="s">
        <v>272</v>
      </c>
      <c r="C61" s="155">
        <f>+C66/24*24</f>
        <v>24584</v>
      </c>
      <c r="D61" s="150">
        <f>+D66/24*24</f>
        <v>59436</v>
      </c>
      <c r="E61" s="151">
        <f>+D61+C61</f>
        <v>84020</v>
      </c>
      <c r="F61" s="89"/>
      <c r="G61" s="152">
        <f>+G66/24*24</f>
        <v>1664000</v>
      </c>
      <c r="H61" s="152">
        <f>+H66/24*24</f>
        <v>4004000</v>
      </c>
      <c r="I61" s="152"/>
      <c r="J61" s="153">
        <f>+H61+G61</f>
        <v>5668000</v>
      </c>
      <c r="K61" s="89"/>
      <c r="L61" s="154">
        <f>+J61/E61</f>
        <v>67.460128540823618</v>
      </c>
      <c r="M61" s="89"/>
      <c r="N61" s="155">
        <f>+N66/24*24</f>
        <v>964416</v>
      </c>
      <c r="O61" s="155">
        <f>+O66/24*24</f>
        <v>2461176</v>
      </c>
      <c r="P61" s="155">
        <f>+O61+N61</f>
        <v>3425592</v>
      </c>
      <c r="Q61" s="89"/>
      <c r="R61" s="151">
        <f>+C61*2000/N61</f>
        <v>50.982148782268233</v>
      </c>
      <c r="S61" s="151">
        <f>+D61*2000/O61</f>
        <v>48.298862007430593</v>
      </c>
      <c r="T61" s="151">
        <f>+E61*2000/P61</f>
        <v>49.054294848890351</v>
      </c>
      <c r="V61" s="285">
        <f t="shared" ref="V61" si="117">+G61/C61</f>
        <v>67.686300032541496</v>
      </c>
      <c r="W61" s="286"/>
      <c r="X61" s="285">
        <f t="shared" ref="X61" si="118">+H61/D61</f>
        <v>67.366579177602802</v>
      </c>
    </row>
    <row r="62" spans="1:27">
      <c r="A62" s="70"/>
      <c r="C62" s="268">
        <f>+C61/E61</f>
        <v>0.29259700071411571</v>
      </c>
      <c r="D62" s="268">
        <f>+D61/E61</f>
        <v>0.70740299928588435</v>
      </c>
      <c r="E62" s="86">
        <f>+D62+C62</f>
        <v>1</v>
      </c>
      <c r="F62" s="11"/>
      <c r="G62" s="268">
        <f>+G61/J61</f>
        <v>0.29357798165137616</v>
      </c>
      <c r="H62" s="268">
        <f>+H61/J61</f>
        <v>0.70642201834862384</v>
      </c>
      <c r="I62" s="11"/>
      <c r="J62" s="86">
        <f>+H62+G62</f>
        <v>1</v>
      </c>
      <c r="K62" s="11"/>
      <c r="L62" s="11"/>
      <c r="M62" s="11"/>
      <c r="N62" s="11"/>
      <c r="O62" s="11"/>
      <c r="P62" s="11"/>
      <c r="Q62" s="11"/>
      <c r="R62" s="11"/>
      <c r="S62" s="11"/>
      <c r="T62" s="11"/>
    </row>
    <row r="63" spans="1:27" s="55" customFormat="1" ht="16.5">
      <c r="A63" s="55" t="s">
        <v>90</v>
      </c>
      <c r="C63" s="143">
        <f>+C59-C61</f>
        <v>-1483.2425147875329</v>
      </c>
      <c r="D63" s="143">
        <f>+D59-D61</f>
        <v>-7699.777467633925</v>
      </c>
      <c r="E63" s="143">
        <f>+E59-E61</f>
        <v>-9183.0199824214214</v>
      </c>
      <c r="F63" s="143"/>
      <c r="G63" s="144">
        <f>+G59-G61</f>
        <v>-439551.5636681891</v>
      </c>
      <c r="H63" s="144">
        <f>+H59-H61</f>
        <v>-1253660.6651920811</v>
      </c>
      <c r="I63" s="144"/>
      <c r="J63" s="144">
        <f>+J59-J61</f>
        <v>-1693212.2288602707</v>
      </c>
      <c r="K63" s="143"/>
      <c r="L63" s="143">
        <f>+L59-L61</f>
        <v>-14.347512689594922</v>
      </c>
      <c r="M63" s="143"/>
      <c r="N63" s="146">
        <f>+N59-N61</f>
        <v>2581</v>
      </c>
      <c r="O63" s="146">
        <f>+O59-O61</f>
        <v>-206908</v>
      </c>
      <c r="P63" s="146">
        <f>+P59-P61</f>
        <v>-204327</v>
      </c>
      <c r="Q63" s="143"/>
      <c r="R63" s="143">
        <f>+R59-R61</f>
        <v>-3.2038051365020763</v>
      </c>
      <c r="S63" s="143">
        <f>+S59-S61</f>
        <v>-2.3981771444364171</v>
      </c>
      <c r="T63" s="143">
        <f>+T59-T61</f>
        <v>-2.5899524134939611</v>
      </c>
    </row>
    <row r="64" spans="1:27">
      <c r="C64" s="133">
        <f>+C63/C61</f>
        <v>-6.0333652570270617E-2</v>
      </c>
      <c r="D64" s="133">
        <f>+D63/D61</f>
        <v>-0.12954736973608461</v>
      </c>
      <c r="E64" s="133">
        <f>+E63/E61</f>
        <v>-0.1092956436850919</v>
      </c>
      <c r="F64" s="133"/>
      <c r="G64" s="133">
        <f>+G63/G61</f>
        <v>-0.26415358393520982</v>
      </c>
      <c r="H64" s="133">
        <f>+H63/H61</f>
        <v>-0.3131020642337865</v>
      </c>
      <c r="I64" s="133"/>
      <c r="J64" s="133">
        <f>+J63/J61</f>
        <v>-0.29873186818282826</v>
      </c>
      <c r="K64" s="11"/>
      <c r="L64" s="133">
        <f>+L63/L61</f>
        <v>-0.212681371944207</v>
      </c>
      <c r="M64" s="133"/>
      <c r="N64" s="133">
        <f>+N63/N61</f>
        <v>2.6762310040480456E-3</v>
      </c>
      <c r="O64" s="133">
        <f>+O63/O61</f>
        <v>-8.406875412404477E-2</v>
      </c>
      <c r="P64" s="133">
        <f>+P63/P61</f>
        <v>-5.9647208424120558E-2</v>
      </c>
      <c r="Q64" s="133"/>
      <c r="R64" s="133">
        <f>+R63/R61</f>
        <v>-6.2841704655971081E-2</v>
      </c>
      <c r="S64" s="133">
        <f>+S63/S61</f>
        <v>-4.9652870580417958E-2</v>
      </c>
      <c r="T64" s="133">
        <f>+T63/T61</f>
        <v>-5.2797668817219742E-2</v>
      </c>
      <c r="V64" s="410"/>
      <c r="W64" s="410"/>
      <c r="X64" s="410"/>
    </row>
    <row r="65" spans="1:20">
      <c r="C65" s="11"/>
      <c r="D65" s="11"/>
      <c r="E65" s="11"/>
      <c r="F65" s="11"/>
      <c r="G65" s="11"/>
      <c r="H65" s="11"/>
      <c r="I65" s="11"/>
      <c r="J65" s="11"/>
      <c r="K65" s="11"/>
      <c r="L65" s="11"/>
      <c r="M65" s="11"/>
      <c r="N65" s="11"/>
      <c r="O65" s="11"/>
      <c r="P65" s="11"/>
      <c r="Q65" s="11"/>
      <c r="R65" s="11"/>
      <c r="S65" s="11"/>
      <c r="T65" s="11"/>
    </row>
    <row r="66" spans="1:20" s="54" customFormat="1" ht="16.5">
      <c r="A66" s="69" t="s">
        <v>273</v>
      </c>
      <c r="C66" s="150">
        <f>+'KC 2022-2023 Budget vs. Actual'!D12</f>
        <v>24584</v>
      </c>
      <c r="D66" s="150">
        <f>+'SC 2022-2023 Budget vs. Actual'!D11</f>
        <v>59436</v>
      </c>
      <c r="E66" s="151">
        <f>+D66+C66</f>
        <v>84020</v>
      </c>
      <c r="F66" s="89"/>
      <c r="G66" s="152">
        <f>+'KC 2022-2023 Budget vs. Actual'!D16</f>
        <v>1664000</v>
      </c>
      <c r="H66" s="152">
        <f>+'SC 2022-2023 Budget vs. Actual'!D15</f>
        <v>4004000</v>
      </c>
      <c r="I66" s="152"/>
      <c r="J66" s="153">
        <f>+H66+G66</f>
        <v>5668000</v>
      </c>
      <c r="K66" s="89"/>
      <c r="L66" s="154">
        <f>+J66/E66</f>
        <v>67.460128540823618</v>
      </c>
      <c r="M66" s="89"/>
      <c r="N66" s="155">
        <f>+'KC 2022-2023 Budget vs. Actual'!D8*24</f>
        <v>964416</v>
      </c>
      <c r="O66" s="155">
        <f>+'SC 2022-2023 Budget vs. Actual'!D7*24</f>
        <v>2461176</v>
      </c>
      <c r="P66" s="155">
        <f>+O66+N66</f>
        <v>3425592</v>
      </c>
      <c r="Q66" s="89"/>
      <c r="R66" s="151">
        <f>+R61</f>
        <v>50.982148782268233</v>
      </c>
      <c r="S66" s="151">
        <f>+S61</f>
        <v>48.298862007430593</v>
      </c>
      <c r="T66" s="151">
        <f>+T61</f>
        <v>49.054294848890351</v>
      </c>
    </row>
    <row r="67" spans="1:20" s="54" customFormat="1" ht="16.5">
      <c r="A67" s="69"/>
      <c r="C67" s="268"/>
      <c r="D67" s="268"/>
      <c r="E67" s="86"/>
      <c r="F67" s="89"/>
      <c r="G67" s="500"/>
      <c r="H67" s="500"/>
      <c r="I67" s="11"/>
      <c r="J67" s="86"/>
      <c r="K67" s="89"/>
      <c r="L67" s="154"/>
      <c r="M67" s="89"/>
      <c r="N67" s="155"/>
      <c r="O67" s="155"/>
      <c r="P67" s="155"/>
      <c r="Q67" s="89"/>
      <c r="R67" s="151"/>
      <c r="S67" s="151"/>
      <c r="T67" s="151"/>
    </row>
    <row r="68" spans="1:20" s="54" customFormat="1" ht="16.5">
      <c r="A68" s="77"/>
      <c r="C68" s="150"/>
      <c r="D68" s="150"/>
      <c r="E68" s="151"/>
      <c r="F68" s="89"/>
      <c r="G68" s="156">
        <f>+G63*0.5</f>
        <v>-219775.78183409455</v>
      </c>
      <c r="H68" s="156">
        <f>+H63*0.5</f>
        <v>-626830.33259604056</v>
      </c>
      <c r="I68" s="152"/>
      <c r="J68" s="157"/>
      <c r="K68" s="89"/>
      <c r="L68" s="154"/>
      <c r="M68" s="89"/>
      <c r="N68" s="155"/>
      <c r="O68" s="155"/>
      <c r="P68" s="155"/>
      <c r="Q68" s="89"/>
      <c r="R68" s="151"/>
      <c r="S68" s="151"/>
      <c r="T68" s="151"/>
    </row>
    <row r="69" spans="1:20" s="54" customFormat="1" ht="16.5">
      <c r="A69" s="69"/>
      <c r="C69" s="150"/>
      <c r="D69" s="150"/>
      <c r="E69" s="151"/>
      <c r="F69" s="89"/>
      <c r="G69" s="156"/>
      <c r="H69" s="156"/>
      <c r="I69" s="156"/>
      <c r="J69" s="156"/>
      <c r="K69" s="89"/>
      <c r="L69" s="154"/>
      <c r="M69" s="89"/>
      <c r="N69" s="155"/>
      <c r="O69" s="155"/>
      <c r="P69" s="155"/>
      <c r="Q69" s="89"/>
      <c r="R69" s="151"/>
      <c r="S69" s="151"/>
      <c r="T69" s="151"/>
    </row>
    <row r="70" spans="1:20" ht="15">
      <c r="A70" s="56" t="s">
        <v>91</v>
      </c>
      <c r="C70" s="11"/>
      <c r="D70" s="11"/>
      <c r="E70" s="11"/>
      <c r="F70" s="11"/>
      <c r="G70" s="11"/>
      <c r="H70" s="134"/>
      <c r="I70" s="11"/>
      <c r="J70" s="11"/>
      <c r="K70" s="11"/>
      <c r="L70" s="11"/>
      <c r="M70" s="11"/>
      <c r="N70" s="11"/>
      <c r="O70" s="11"/>
      <c r="P70" s="11"/>
      <c r="Q70" s="11"/>
      <c r="R70" s="530" t="s">
        <v>143</v>
      </c>
      <c r="S70" s="530"/>
      <c r="T70" s="11"/>
    </row>
    <row r="71" spans="1:20" ht="15">
      <c r="A71" s="56"/>
      <c r="C71" s="528" t="s">
        <v>96</v>
      </c>
      <c r="D71" s="528"/>
      <c r="E71" s="528"/>
      <c r="F71" s="11"/>
      <c r="G71" s="529" t="s">
        <v>100</v>
      </c>
      <c r="H71" s="529"/>
      <c r="I71" s="11"/>
      <c r="J71" s="11"/>
      <c r="K71" s="11"/>
      <c r="L71" s="11"/>
      <c r="M71" s="11"/>
      <c r="N71" s="158" t="s">
        <v>71</v>
      </c>
      <c r="O71" s="158" t="s">
        <v>71</v>
      </c>
      <c r="P71" s="158" t="s">
        <v>43</v>
      </c>
      <c r="Q71" s="11"/>
      <c r="R71" s="158" t="s">
        <v>104</v>
      </c>
      <c r="S71" s="158" t="s">
        <v>104</v>
      </c>
      <c r="T71" s="11"/>
    </row>
    <row r="72" spans="1:20" ht="15">
      <c r="A72" s="56"/>
      <c r="C72" s="98"/>
      <c r="D72" s="158" t="s">
        <v>14</v>
      </c>
      <c r="E72" s="158"/>
      <c r="F72" s="11"/>
      <c r="G72" s="158" t="s">
        <v>99</v>
      </c>
      <c r="H72" s="11"/>
      <c r="I72" s="11"/>
      <c r="J72" s="158" t="s">
        <v>99</v>
      </c>
      <c r="K72" s="11"/>
      <c r="L72" s="158" t="s">
        <v>14</v>
      </c>
      <c r="M72" s="11"/>
      <c r="N72" s="158" t="s">
        <v>82</v>
      </c>
      <c r="O72" s="158" t="s">
        <v>31</v>
      </c>
      <c r="P72" s="158" t="s">
        <v>85</v>
      </c>
      <c r="Q72" s="11"/>
      <c r="R72" s="158" t="s">
        <v>137</v>
      </c>
      <c r="S72" s="158" t="s">
        <v>137</v>
      </c>
      <c r="T72" s="11"/>
    </row>
    <row r="73" spans="1:20" ht="15">
      <c r="A73" s="56"/>
      <c r="C73" s="159" t="s">
        <v>16</v>
      </c>
      <c r="D73" s="159" t="s">
        <v>17</v>
      </c>
      <c r="E73" s="159" t="s">
        <v>71</v>
      </c>
      <c r="F73" s="11"/>
      <c r="G73" s="159" t="s">
        <v>72</v>
      </c>
      <c r="H73" s="159" t="s">
        <v>71</v>
      </c>
      <c r="I73" s="159"/>
      <c r="J73" s="159" t="s">
        <v>72</v>
      </c>
      <c r="K73" s="11"/>
      <c r="L73" s="159" t="s">
        <v>17</v>
      </c>
      <c r="M73" s="11"/>
      <c r="N73" s="159" t="s">
        <v>15</v>
      </c>
      <c r="O73" s="159" t="s">
        <v>15</v>
      </c>
      <c r="P73" s="159" t="s">
        <v>86</v>
      </c>
      <c r="Q73" s="11"/>
      <c r="R73" s="271" t="s">
        <v>138</v>
      </c>
      <c r="S73" s="271" t="s">
        <v>139</v>
      </c>
      <c r="T73" s="11"/>
    </row>
    <row r="74" spans="1:20">
      <c r="A74" t="str">
        <f t="shared" ref="A74:A97" si="119">+A35</f>
        <v>Oct., 2021</v>
      </c>
      <c r="C74" s="92">
        <f>+'KC Tonnage - Enspire'!R3+'KC Tonnage - Enspire'!S3</f>
        <v>398.08</v>
      </c>
      <c r="D74" s="92">
        <f>+'KC Tonnage - Enspire'!P3+'KC Tonnage - Enspire'!Q3</f>
        <v>388.34000000000003</v>
      </c>
      <c r="E74" s="87">
        <f t="shared" ref="E74:E97" si="120">+D74+C74</f>
        <v>786.42000000000007</v>
      </c>
      <c r="F74" s="11"/>
      <c r="G74" s="87">
        <f>+'SC Tonnage - Enspire'!T3</f>
        <v>2037.1300000000003</v>
      </c>
      <c r="H74" s="87">
        <f t="shared" ref="H74:H97" si="121">+G74+E74</f>
        <v>2823.55</v>
      </c>
      <c r="I74" s="87"/>
      <c r="J74" s="136">
        <f t="shared" ref="J74:J79" si="122">+C74/E74*N74</f>
        <v>39730.034729819934</v>
      </c>
      <c r="K74" s="11"/>
      <c r="L74" s="136">
        <f t="shared" ref="L74:L79" si="123">+N74-J74</f>
        <v>38757.942340680951</v>
      </c>
      <c r="M74" s="11"/>
      <c r="N74" s="136">
        <f t="shared" ref="N74:N79" si="124">+E74/C7*G7</f>
        <v>78487.977070500885</v>
      </c>
      <c r="O74" s="136">
        <f t="shared" ref="O74:O79" si="125">+G74/D7*H7</f>
        <v>201737.35512911063</v>
      </c>
      <c r="P74" s="137">
        <f t="shared" ref="P74:P79" si="126">(O74+N74)/H74</f>
        <v>99.245748153782117</v>
      </c>
      <c r="Q74" s="136"/>
      <c r="R74" s="268">
        <f t="shared" ref="R74:R79" si="127">(C74+G74)/H74</f>
        <v>0.86246391953392021</v>
      </c>
      <c r="S74" s="86">
        <f t="shared" ref="S74:S80" si="128">1-R74</f>
        <v>0.13753608046607979</v>
      </c>
      <c r="T74" s="92"/>
    </row>
    <row r="75" spans="1:20">
      <c r="A75" t="str">
        <f t="shared" si="119"/>
        <v>Nov</v>
      </c>
      <c r="C75" s="92">
        <f>+'KC Tonnage - Enspire'!R7+'KC Tonnage - Enspire'!S7</f>
        <v>490.18</v>
      </c>
      <c r="D75" s="92">
        <f>+'KC Tonnage - Enspire'!P7+'KC Tonnage - Enspire'!Q7</f>
        <v>484.13</v>
      </c>
      <c r="E75" s="87">
        <f t="shared" si="120"/>
        <v>974.31</v>
      </c>
      <c r="F75" s="11"/>
      <c r="G75" s="87">
        <f>+'SC Tonnage - Enspire'!T7</f>
        <v>2312.67</v>
      </c>
      <c r="H75" s="87">
        <f t="shared" si="121"/>
        <v>3286.98</v>
      </c>
      <c r="I75" s="87"/>
      <c r="J75" s="136">
        <f t="shared" si="122"/>
        <v>44800.784254920349</v>
      </c>
      <c r="K75" s="11"/>
      <c r="L75" s="136">
        <f t="shared" si="123"/>
        <v>44247.83483890527</v>
      </c>
      <c r="M75" s="11"/>
      <c r="N75" s="136">
        <f t="shared" si="124"/>
        <v>89048.619093825619</v>
      </c>
      <c r="O75" s="136">
        <f t="shared" si="125"/>
        <v>209925.61900581748</v>
      </c>
      <c r="P75" s="137">
        <f t="shared" si="126"/>
        <v>90.957121156697966</v>
      </c>
      <c r="Q75" s="136"/>
      <c r="R75" s="268">
        <f t="shared" si="127"/>
        <v>0.85271282453802577</v>
      </c>
      <c r="S75" s="86">
        <f t="shared" si="128"/>
        <v>0.14728717546197423</v>
      </c>
      <c r="T75" s="92"/>
    </row>
    <row r="76" spans="1:20">
      <c r="A76" t="str">
        <f t="shared" si="119"/>
        <v>Dec</v>
      </c>
      <c r="C76" s="92">
        <f>+'KC Tonnage - Enspire'!R11+'KC Tonnage - Enspire'!S11</f>
        <v>371.24</v>
      </c>
      <c r="D76" s="92">
        <f>+'KC Tonnage - Enspire'!P11+'KC Tonnage - Enspire'!Q11</f>
        <v>448.34999999999997</v>
      </c>
      <c r="E76" s="87">
        <f t="shared" si="120"/>
        <v>819.58999999999992</v>
      </c>
      <c r="F76" s="11"/>
      <c r="G76" s="87">
        <f>+'SC Tonnage - Enspire'!T11</f>
        <v>1842.4199999999998</v>
      </c>
      <c r="H76" s="87">
        <f t="shared" si="121"/>
        <v>2662.0099999999998</v>
      </c>
      <c r="I76" s="87"/>
      <c r="J76" s="136">
        <f t="shared" si="122"/>
        <v>25190.099101013937</v>
      </c>
      <c r="K76" s="11"/>
      <c r="L76" s="136">
        <f t="shared" si="123"/>
        <v>30422.316916117863</v>
      </c>
      <c r="M76" s="11"/>
      <c r="N76" s="136">
        <f t="shared" si="124"/>
        <v>55612.4160171318</v>
      </c>
      <c r="O76" s="136">
        <f t="shared" si="125"/>
        <v>123514.3038782051</v>
      </c>
      <c r="P76" s="137">
        <f t="shared" si="126"/>
        <v>67.290025167199559</v>
      </c>
      <c r="Q76" s="136"/>
      <c r="R76" s="268">
        <f t="shared" si="127"/>
        <v>0.8315746372102284</v>
      </c>
      <c r="S76" s="86">
        <f t="shared" si="128"/>
        <v>0.1684253627897716</v>
      </c>
      <c r="T76" s="92"/>
    </row>
    <row r="77" spans="1:20">
      <c r="A77" t="str">
        <f t="shared" si="119"/>
        <v>Jan., 2022</v>
      </c>
      <c r="C77" s="92">
        <f>+'KC Tonnage - Enspire'!R15+'KC Tonnage - Enspire'!S15</f>
        <v>537.46</v>
      </c>
      <c r="D77" s="92">
        <f>+'KC Tonnage - Enspire'!P15+'KC Tonnage - Enspire'!Q15</f>
        <v>504.53</v>
      </c>
      <c r="E77" s="87">
        <f t="shared" si="120"/>
        <v>1041.99</v>
      </c>
      <c r="F77" s="11"/>
      <c r="G77" s="87">
        <f>+'SC Tonnage - Enspire'!T15</f>
        <v>2317.4199999999996</v>
      </c>
      <c r="H77" s="131">
        <f t="shared" si="121"/>
        <v>3359.41</v>
      </c>
      <c r="I77" s="131"/>
      <c r="J77" s="136">
        <f t="shared" si="122"/>
        <v>33895.419858627669</v>
      </c>
      <c r="K77" s="11"/>
      <c r="L77" s="136">
        <f t="shared" si="123"/>
        <v>31818.65846997621</v>
      </c>
      <c r="M77" s="11"/>
      <c r="N77" s="136">
        <f t="shared" si="124"/>
        <v>65714.078328603879</v>
      </c>
      <c r="O77" s="136">
        <f t="shared" si="125"/>
        <v>144918.77163038563</v>
      </c>
      <c r="P77" s="137">
        <f t="shared" si="126"/>
        <v>62.699357910760973</v>
      </c>
      <c r="Q77" s="136"/>
      <c r="R77" s="268">
        <f t="shared" si="127"/>
        <v>0.84981589029025928</v>
      </c>
      <c r="S77" s="86">
        <f t="shared" si="128"/>
        <v>0.15018410970974072</v>
      </c>
      <c r="T77" s="92"/>
    </row>
    <row r="78" spans="1:20">
      <c r="A78" t="str">
        <f t="shared" si="119"/>
        <v>Feb</v>
      </c>
      <c r="C78" s="92">
        <f>+'KC Tonnage - Enspire'!R19+'KC Tonnage - Enspire'!S19</f>
        <v>388.04</v>
      </c>
      <c r="D78" s="92">
        <f>+'KC Tonnage - Enspire'!P19+'KC Tonnage - Enspire'!Q19</f>
        <v>394.9</v>
      </c>
      <c r="E78" s="87">
        <f t="shared" si="120"/>
        <v>782.94</v>
      </c>
      <c r="F78" s="11"/>
      <c r="G78" s="87">
        <f>+'SC Tonnage - Enspire'!T19</f>
        <v>1734.7</v>
      </c>
      <c r="H78" s="131">
        <f t="shared" si="121"/>
        <v>2517.6400000000003</v>
      </c>
      <c r="I78" s="131"/>
      <c r="J78" s="136">
        <f t="shared" si="122"/>
        <v>26252.667608015796</v>
      </c>
      <c r="K78" s="11"/>
      <c r="L78" s="136">
        <f t="shared" si="123"/>
        <v>26716.777750761361</v>
      </c>
      <c r="M78" s="11"/>
      <c r="N78" s="136">
        <f t="shared" si="124"/>
        <v>52969.445358777157</v>
      </c>
      <c r="O78" s="136">
        <f t="shared" si="125"/>
        <v>116623.46220152007</v>
      </c>
      <c r="P78" s="137">
        <f t="shared" si="126"/>
        <v>67.361857755794006</v>
      </c>
      <c r="Q78" s="136"/>
      <c r="R78" s="268">
        <f t="shared" si="127"/>
        <v>0.84314675648623316</v>
      </c>
      <c r="S78" s="86">
        <f t="shared" si="128"/>
        <v>0.15685324351376684</v>
      </c>
      <c r="T78" s="92"/>
    </row>
    <row r="79" spans="1:20">
      <c r="A79" t="str">
        <f t="shared" si="119"/>
        <v>Mar</v>
      </c>
      <c r="C79" s="92">
        <f>+'KC Tonnage - Enspire'!R23+'KC Tonnage - Enspire'!S23</f>
        <v>437.79</v>
      </c>
      <c r="D79" s="92">
        <f>+'KC Tonnage - Enspire'!P23+'KC Tonnage - Enspire'!Q23</f>
        <v>476.05</v>
      </c>
      <c r="E79" s="87">
        <f t="shared" si="120"/>
        <v>913.84</v>
      </c>
      <c r="F79" s="11"/>
      <c r="G79" s="87">
        <f>+'SC Tonnage - Enspire'!T23</f>
        <v>1998.86</v>
      </c>
      <c r="H79" s="131">
        <f t="shared" si="121"/>
        <v>2912.7</v>
      </c>
      <c r="I79" s="131"/>
      <c r="J79" s="136">
        <f t="shared" si="122"/>
        <v>28533.623932568033</v>
      </c>
      <c r="K79" s="11"/>
      <c r="L79" s="136">
        <f t="shared" si="123"/>
        <v>31027.277171929487</v>
      </c>
      <c r="M79" s="11"/>
      <c r="N79" s="136">
        <f t="shared" si="124"/>
        <v>59560.90110449752</v>
      </c>
      <c r="O79" s="136">
        <f t="shared" si="125"/>
        <v>128654.13043394226</v>
      </c>
      <c r="P79" s="137">
        <f t="shared" si="126"/>
        <v>64.618749455295713</v>
      </c>
      <c r="Q79" s="136"/>
      <c r="R79" s="268">
        <f t="shared" si="127"/>
        <v>0.83656057953101937</v>
      </c>
      <c r="S79" s="86">
        <f t="shared" si="128"/>
        <v>0.16343942046898063</v>
      </c>
      <c r="T79" s="92"/>
    </row>
    <row r="80" spans="1:20">
      <c r="A80" t="str">
        <f t="shared" si="119"/>
        <v>Apr</v>
      </c>
      <c r="C80" s="92">
        <f>+'KC Tonnage - Enspire'!R27+'KC Tonnage - Enspire'!S27</f>
        <v>382.75</v>
      </c>
      <c r="D80" s="92">
        <f>+'KC Tonnage - Enspire'!P27+'KC Tonnage - Enspire'!Q27</f>
        <v>382.41999999999996</v>
      </c>
      <c r="E80" s="87">
        <f t="shared" si="120"/>
        <v>765.17</v>
      </c>
      <c r="F80" s="11"/>
      <c r="G80" s="87">
        <f>+'SC Tonnage - Enspire'!T27</f>
        <v>1806.0400000000002</v>
      </c>
      <c r="H80" s="131">
        <f t="shared" si="121"/>
        <v>2571.21</v>
      </c>
      <c r="I80" s="131"/>
      <c r="J80" s="136">
        <f t="shared" ref="J80:J92" si="129">+C80/E80*N80</f>
        <v>25124.171161680133</v>
      </c>
      <c r="K80" s="11"/>
      <c r="L80" s="136">
        <f t="shared" ref="L80:L84" si="130">+N80-J80</f>
        <v>25102.50956407503</v>
      </c>
      <c r="M80" s="11"/>
      <c r="N80" s="136">
        <f t="shared" ref="N80:N84" si="131">+E80/C13*G13</f>
        <v>50226.680725755163</v>
      </c>
      <c r="O80" s="136">
        <f t="shared" ref="O80:O84" si="132">+G80/D13*H13</f>
        <v>116719.39883225251</v>
      </c>
      <c r="P80" s="137">
        <f t="shared" ref="P80:P85" si="133">(O80+N80)/H80</f>
        <v>64.928994348189249</v>
      </c>
      <c r="Q80" s="136"/>
      <c r="R80" s="268">
        <f t="shared" ref="R80:R85" si="134">(C80+G80)/H80</f>
        <v>0.85126846893097019</v>
      </c>
      <c r="S80" s="86">
        <f t="shared" si="128"/>
        <v>0.14873153106902981</v>
      </c>
      <c r="T80" s="92"/>
    </row>
    <row r="81" spans="1:20">
      <c r="A81" t="str">
        <f t="shared" si="119"/>
        <v>May</v>
      </c>
      <c r="C81" s="92">
        <f>+'KC Tonnage - Enspire'!R31+'KC Tonnage - Enspire'!S31</f>
        <v>443.22</v>
      </c>
      <c r="D81" s="92">
        <f>+'KC Tonnage - Enspire'!P31+'KC Tonnage - Enspire'!Q31</f>
        <v>414.81000000000006</v>
      </c>
      <c r="E81" s="87">
        <f t="shared" si="120"/>
        <v>858.03000000000009</v>
      </c>
      <c r="F81" s="11"/>
      <c r="G81" s="87">
        <f>+'SC Tonnage - Enspire'!T31</f>
        <v>1981.75</v>
      </c>
      <c r="H81" s="131">
        <f t="shared" si="121"/>
        <v>2839.78</v>
      </c>
      <c r="I81" s="131"/>
      <c r="J81" s="136">
        <f t="shared" si="129"/>
        <v>26291.999635185897</v>
      </c>
      <c r="K81" s="11"/>
      <c r="L81" s="136">
        <f t="shared" si="130"/>
        <v>24606.706305382122</v>
      </c>
      <c r="M81" s="11"/>
      <c r="N81" s="136">
        <f t="shared" si="131"/>
        <v>50898.705940568019</v>
      </c>
      <c r="O81" s="136">
        <f t="shared" si="132"/>
        <v>113432.64654954908</v>
      </c>
      <c r="P81" s="137">
        <f t="shared" si="133"/>
        <v>57.867634989371389</v>
      </c>
      <c r="Q81" s="136"/>
      <c r="R81" s="268">
        <f t="shared" si="134"/>
        <v>0.85392882547239579</v>
      </c>
      <c r="S81" s="86">
        <f>1-R81</f>
        <v>0.14607117452760421</v>
      </c>
      <c r="T81" s="92"/>
    </row>
    <row r="82" spans="1:20">
      <c r="A82" t="str">
        <f t="shared" si="119"/>
        <v>Jun</v>
      </c>
      <c r="C82" s="92">
        <f>+'KC Tonnage - Enspire'!R35+'KC Tonnage - Enspire'!S35</f>
        <v>440.66999999999996</v>
      </c>
      <c r="D82" s="92">
        <f>+'KC Tonnage - Enspire'!P35+'KC Tonnage - Enspire'!Q35</f>
        <v>473.39</v>
      </c>
      <c r="E82" s="87">
        <f t="shared" si="120"/>
        <v>914.06</v>
      </c>
      <c r="F82" s="11"/>
      <c r="G82" s="87">
        <f>+'SC Tonnage - Enspire'!T35</f>
        <v>2018.5900000000001</v>
      </c>
      <c r="H82" s="131">
        <f t="shared" si="121"/>
        <v>2932.65</v>
      </c>
      <c r="I82" s="131"/>
      <c r="J82" s="136">
        <f t="shared" si="129"/>
        <v>28497.477716570465</v>
      </c>
      <c r="K82" s="11"/>
      <c r="L82" s="136">
        <f t="shared" si="130"/>
        <v>30613.4317658277</v>
      </c>
      <c r="M82" s="11"/>
      <c r="N82" s="136">
        <f t="shared" si="131"/>
        <v>59110.909482398165</v>
      </c>
      <c r="O82" s="136">
        <f t="shared" si="132"/>
        <v>128506.82051418767</v>
      </c>
      <c r="P82" s="137">
        <f t="shared" si="133"/>
        <v>63.975493153491158</v>
      </c>
      <c r="Q82" s="136"/>
      <c r="R82" s="268">
        <f t="shared" si="134"/>
        <v>0.83857944180178345</v>
      </c>
      <c r="S82" s="86">
        <f>1-R82</f>
        <v>0.16142055819821655</v>
      </c>
      <c r="T82" s="92"/>
    </row>
    <row r="83" spans="1:20">
      <c r="A83" t="str">
        <f t="shared" si="119"/>
        <v>Jul</v>
      </c>
      <c r="C83" s="92">
        <f>+'KC Tonnage - Enspire'!R39+'KC Tonnage - Enspire'!S39</f>
        <v>395.58000000000004</v>
      </c>
      <c r="D83" s="92">
        <f>+'KC Tonnage - Enspire'!P39+'KC Tonnage - Enspire'!Q39</f>
        <v>408.01</v>
      </c>
      <c r="E83" s="87">
        <f t="shared" si="120"/>
        <v>803.59</v>
      </c>
      <c r="F83" s="11"/>
      <c r="G83" s="87">
        <f>+'SC Tonnage - Enspire'!T39</f>
        <v>1791.19</v>
      </c>
      <c r="H83" s="131">
        <f t="shared" si="121"/>
        <v>2594.7800000000002</v>
      </c>
      <c r="I83" s="131"/>
      <c r="J83" s="136">
        <f t="shared" si="129"/>
        <v>32460.993848278111</v>
      </c>
      <c r="K83" s="11"/>
      <c r="L83" s="136">
        <f t="shared" si="130"/>
        <v>33480.990191708246</v>
      </c>
      <c r="M83" s="11"/>
      <c r="N83" s="136">
        <f t="shared" si="131"/>
        <v>65941.984039986361</v>
      </c>
      <c r="O83" s="136">
        <f t="shared" si="132"/>
        <v>146101.39527787286</v>
      </c>
      <c r="P83" s="137">
        <f t="shared" si="133"/>
        <v>81.719212926667851</v>
      </c>
      <c r="Q83" s="136"/>
      <c r="R83" s="268">
        <f t="shared" si="134"/>
        <v>0.8427573821287353</v>
      </c>
      <c r="S83" s="86">
        <f>1-R83</f>
        <v>0.1572426178712647</v>
      </c>
      <c r="T83" s="92"/>
    </row>
    <row r="84" spans="1:20">
      <c r="A84" t="str">
        <f t="shared" si="119"/>
        <v>Aug</v>
      </c>
      <c r="C84" s="92">
        <f>+'KC Tonnage - Enspire'!R43+'KC Tonnage - Enspire'!S43</f>
        <v>431.28</v>
      </c>
      <c r="D84" s="92">
        <f>+'KC Tonnage - Enspire'!P43+'KC Tonnage - Enspire'!Q43</f>
        <v>426.84</v>
      </c>
      <c r="E84" s="87">
        <f t="shared" si="120"/>
        <v>858.11999999999989</v>
      </c>
      <c r="F84" s="11"/>
      <c r="G84" s="87">
        <f>+'SC Tonnage - Enspire'!T43</f>
        <v>1877.66</v>
      </c>
      <c r="H84" s="131">
        <f t="shared" si="121"/>
        <v>2735.7799999999997</v>
      </c>
      <c r="I84" s="131"/>
      <c r="J84" s="136">
        <f t="shared" si="129"/>
        <v>25604.635551264335</v>
      </c>
      <c r="K84" s="11"/>
      <c r="L84" s="136">
        <f t="shared" si="130"/>
        <v>25341.037466846756</v>
      </c>
      <c r="M84" s="11"/>
      <c r="N84" s="136">
        <f t="shared" si="131"/>
        <v>50945.673018111091</v>
      </c>
      <c r="O84" s="136">
        <f t="shared" si="132"/>
        <v>108744.85837163684</v>
      </c>
      <c r="P84" s="137">
        <f t="shared" si="133"/>
        <v>58.371115875453413</v>
      </c>
      <c r="Q84" s="136"/>
      <c r="R84" s="268">
        <f t="shared" si="134"/>
        <v>0.84397868249639962</v>
      </c>
      <c r="S84" s="86">
        <f>1-R84</f>
        <v>0.15602131750360038</v>
      </c>
      <c r="T84" s="92"/>
    </row>
    <row r="85" spans="1:20" s="418" customFormat="1">
      <c r="A85" s="418" t="str">
        <f t="shared" si="119"/>
        <v>Sep</v>
      </c>
      <c r="C85" s="424">
        <f>+'KC Tonnage - Enspire'!R47+'KC Tonnage - Enspire'!S47</f>
        <v>387.72</v>
      </c>
      <c r="D85" s="424">
        <f>+'KC Tonnage - Enspire'!P47+'KC Tonnage - Enspire'!Q47</f>
        <v>405.08000000000004</v>
      </c>
      <c r="E85" s="419">
        <f t="shared" si="120"/>
        <v>792.80000000000007</v>
      </c>
      <c r="F85" s="420"/>
      <c r="G85" s="419">
        <f>+'SC Tonnage - Enspire'!T47</f>
        <v>1875.3403633351002</v>
      </c>
      <c r="H85" s="419">
        <f t="shared" si="121"/>
        <v>2668.1403633351001</v>
      </c>
      <c r="I85" s="419"/>
      <c r="J85" s="421">
        <f t="shared" ref="J85" si="135">+C85/E85*N85</f>
        <v>11529.976663773625</v>
      </c>
      <c r="K85" s="420"/>
      <c r="L85" s="421">
        <f t="shared" ref="L85" si="136">+N85-J85</f>
        <v>12046.226521617198</v>
      </c>
      <c r="M85" s="420"/>
      <c r="N85" s="421">
        <f t="shared" ref="N85" si="137">+E85/C18*G18</f>
        <v>23576.203185390823</v>
      </c>
      <c r="O85" s="421">
        <f t="shared" ref="O85" si="138">+G85/D18*H18</f>
        <v>54187.678288030351</v>
      </c>
      <c r="P85" s="422">
        <f t="shared" si="133"/>
        <v>29.145348776260978</v>
      </c>
      <c r="Q85" s="421"/>
      <c r="R85" s="425">
        <f t="shared" si="134"/>
        <v>0.84817890184245726</v>
      </c>
      <c r="S85" s="426">
        <f>1-R85</f>
        <v>0.15182109815754274</v>
      </c>
      <c r="T85" s="424"/>
    </row>
    <row r="86" spans="1:20" ht="15">
      <c r="A86" t="str">
        <f t="shared" si="119"/>
        <v>Oct</v>
      </c>
      <c r="C86" s="92">
        <f>+'KC Tonnage - Enspire'!R51+'KC Tonnage - Enspire'!S51</f>
        <v>415.59156509829609</v>
      </c>
      <c r="D86" s="92">
        <f>+'KC Tonnage - Enspire'!P51+'KC Tonnage - Enspire'!Q51</f>
        <v>413.26995604438804</v>
      </c>
      <c r="E86" s="87">
        <f t="shared" si="120"/>
        <v>828.86152114268407</v>
      </c>
      <c r="F86" s="11"/>
      <c r="G86" s="87">
        <f>+'SC Tonnage - Enspire'!T51</f>
        <v>1760.066987646675</v>
      </c>
      <c r="H86" s="131">
        <f t="shared" si="121"/>
        <v>2588.9285087893591</v>
      </c>
      <c r="I86" s="149"/>
      <c r="J86" s="136">
        <f t="shared" si="129"/>
        <v>5496.7306200804887</v>
      </c>
      <c r="K86" s="11"/>
      <c r="L86" s="136">
        <f t="shared" ref="L86:L91" si="139">+N86-J86</f>
        <v>5466.0243674849771</v>
      </c>
      <c r="M86" s="11"/>
      <c r="N86" s="136">
        <f t="shared" ref="N86:N89" si="140">+E86/C19*G19</f>
        <v>10962.754987565466</v>
      </c>
      <c r="O86" s="136">
        <f t="shared" ref="O86:O89" si="141">+G86/D19*H19</f>
        <v>22077.375064775937</v>
      </c>
      <c r="P86" s="137">
        <f t="shared" ref="P86:P89" si="142">(O86+N86)/H86</f>
        <v>12.762086685735369</v>
      </c>
      <c r="Q86" s="136"/>
      <c r="R86" s="268">
        <f t="shared" ref="R86:R89" si="143">(C86+G86)/H86</f>
        <v>0.84037027108267182</v>
      </c>
      <c r="S86" s="86">
        <f t="shared" ref="S86:S89" si="144">1-R86</f>
        <v>0.15962972891732818</v>
      </c>
      <c r="T86" s="92"/>
    </row>
    <row r="87" spans="1:20" ht="15">
      <c r="A87" t="str">
        <f t="shared" si="119"/>
        <v>Nov</v>
      </c>
      <c r="C87" s="92">
        <f>+'KC Tonnage - Enspire'!R55+'KC Tonnage - Enspire'!S55</f>
        <v>397.49788608319687</v>
      </c>
      <c r="D87" s="92">
        <f>+'KC Tonnage - Enspire'!P55+'KC Tonnage - Enspire'!Q55</f>
        <v>413.84090477791</v>
      </c>
      <c r="E87" s="87">
        <f t="shared" si="120"/>
        <v>811.33879086110687</v>
      </c>
      <c r="F87" s="11"/>
      <c r="G87" s="87">
        <f>+'SC Tonnage - Enspire'!T55</f>
        <v>1817.5657099236412</v>
      </c>
      <c r="H87" s="131">
        <f t="shared" si="121"/>
        <v>2628.9045007847481</v>
      </c>
      <c r="I87" s="149"/>
      <c r="J87" s="136">
        <f t="shared" si="129"/>
        <v>7565.6005645753985</v>
      </c>
      <c r="K87" s="11"/>
      <c r="L87" s="136">
        <f t="shared" si="139"/>
        <v>7876.6581973138755</v>
      </c>
      <c r="M87" s="11"/>
      <c r="N87" s="136">
        <f t="shared" si="140"/>
        <v>15442.258761889274</v>
      </c>
      <c r="O87" s="136">
        <f t="shared" si="141"/>
        <v>34397.771020328211</v>
      </c>
      <c r="P87" s="137">
        <f t="shared" si="142"/>
        <v>18.958478623829755</v>
      </c>
      <c r="Q87" s="136"/>
      <c r="R87" s="268">
        <f t="shared" si="143"/>
        <v>0.84258047233957134</v>
      </c>
      <c r="S87" s="86">
        <f t="shared" si="144"/>
        <v>0.15741952766042866</v>
      </c>
      <c r="T87" s="92"/>
    </row>
    <row r="88" spans="1:20">
      <c r="A88" t="str">
        <f t="shared" si="119"/>
        <v>Dec</v>
      </c>
      <c r="C88" s="92">
        <f>+'KC Tonnage - Enspire'!R59+'KC Tonnage - Enspire'!S59</f>
        <v>410.2753026132749</v>
      </c>
      <c r="D88" s="92">
        <f>+'KC Tonnage - Enspire'!P59+'KC Tonnage - Enspire'!Q59</f>
        <v>414.73039728416103</v>
      </c>
      <c r="E88" s="87">
        <f t="shared" si="120"/>
        <v>825.00569989743599</v>
      </c>
      <c r="F88" s="11"/>
      <c r="G88" s="87">
        <f>+'SC Tonnage - Enspire'!T59</f>
        <v>1776.8357602440108</v>
      </c>
      <c r="H88" s="131">
        <f t="shared" si="121"/>
        <v>2601.841460141447</v>
      </c>
      <c r="I88" s="131"/>
      <c r="J88" s="136">
        <f t="shared" si="129"/>
        <v>10996.060588328341</v>
      </c>
      <c r="K88" s="11"/>
      <c r="L88" s="136">
        <f t="shared" si="139"/>
        <v>11115.464536398742</v>
      </c>
      <c r="M88" s="11"/>
      <c r="N88" s="136">
        <f t="shared" si="140"/>
        <v>22111.525124727083</v>
      </c>
      <c r="O88" s="136">
        <f t="shared" si="141"/>
        <v>47622.154077278879</v>
      </c>
      <c r="P88" s="137">
        <f t="shared" si="142"/>
        <v>26.801663464235425</v>
      </c>
      <c r="Q88" s="136"/>
      <c r="R88" s="268">
        <f t="shared" si="143"/>
        <v>0.84060120355618628</v>
      </c>
      <c r="S88" s="86">
        <f t="shared" si="144"/>
        <v>0.15939879644381372</v>
      </c>
      <c r="T88" s="92"/>
    </row>
    <row r="89" spans="1:20" ht="15">
      <c r="A89" t="str">
        <f t="shared" si="119"/>
        <v>Jan. 2023</v>
      </c>
      <c r="C89" s="92">
        <f>+'KC Tonnage - Enspire'!R63+'KC Tonnage - Enspire'!S63</f>
        <v>475.4563508064864</v>
      </c>
      <c r="D89" s="92">
        <f>+'KC Tonnage - Enspire'!P63+'KC Tonnage - Enspire'!Q63</f>
        <v>466.62847110134499</v>
      </c>
      <c r="E89" s="87">
        <f t="shared" si="120"/>
        <v>942.08482190783138</v>
      </c>
      <c r="F89" s="11"/>
      <c r="G89" s="87">
        <f>+'SC Tonnage - Enspire'!T63</f>
        <v>2173.4503390005166</v>
      </c>
      <c r="H89" s="131">
        <f t="shared" si="121"/>
        <v>3115.5351609083482</v>
      </c>
      <c r="I89" s="149"/>
      <c r="J89" s="136">
        <f t="shared" si="129"/>
        <v>17322.232849038985</v>
      </c>
      <c r="K89" s="11"/>
      <c r="L89" s="136">
        <f t="shared" si="139"/>
        <v>17000.607977362801</v>
      </c>
      <c r="M89" s="11"/>
      <c r="N89" s="136">
        <f t="shared" si="140"/>
        <v>34322.840826401785</v>
      </c>
      <c r="O89" s="136">
        <f t="shared" si="141"/>
        <v>79185.003616268965</v>
      </c>
      <c r="P89" s="137">
        <f t="shared" si="142"/>
        <v>36.432856180501922</v>
      </c>
      <c r="Q89" s="136"/>
      <c r="R89" s="268">
        <f t="shared" si="143"/>
        <v>0.85022525922471137</v>
      </c>
      <c r="S89" s="86">
        <f t="shared" si="144"/>
        <v>0.14977474077528863</v>
      </c>
      <c r="T89" s="92"/>
    </row>
    <row r="90" spans="1:20" ht="15">
      <c r="A90" t="str">
        <f t="shared" si="119"/>
        <v>Feb</v>
      </c>
      <c r="C90" s="92">
        <f>+'KC Tonnage - Enspire'!R67+'KC Tonnage - Enspire'!S67</f>
        <v>364.57981893748979</v>
      </c>
      <c r="D90" s="92">
        <f>+'KC Tonnage - Enspire'!P67+'KC Tonnage - Enspire'!Q67</f>
        <v>381.78295023953399</v>
      </c>
      <c r="E90" s="87">
        <f t="shared" si="120"/>
        <v>746.36276917702378</v>
      </c>
      <c r="F90" s="11"/>
      <c r="G90" s="87">
        <f>+'SC Tonnage - Enspire'!T67</f>
        <v>1632.9050120110105</v>
      </c>
      <c r="H90" s="131">
        <f t="shared" si="121"/>
        <v>2379.2677811880344</v>
      </c>
      <c r="I90" s="149"/>
      <c r="J90" s="136">
        <f t="shared" si="129"/>
        <v>16164.273819687121</v>
      </c>
      <c r="K90" s="11"/>
      <c r="L90" s="136">
        <f t="shared" si="139"/>
        <v>16927.004257517394</v>
      </c>
      <c r="M90" s="11"/>
      <c r="N90" s="136">
        <f t="shared" ref="N90" si="145">+E90/C23*G23</f>
        <v>33091.278077204515</v>
      </c>
      <c r="O90" s="136">
        <f t="shared" ref="O90" si="146">+G90/D23*H23</f>
        <v>72397.654408323287</v>
      </c>
      <c r="P90" s="137">
        <f t="shared" ref="P90" si="147">(O90+N90)/H90</f>
        <v>44.336721288620254</v>
      </c>
      <c r="Q90" s="136"/>
      <c r="R90" s="268">
        <f t="shared" ref="R90" si="148">(C90+G90)/H90</f>
        <v>0.83953762865275328</v>
      </c>
      <c r="S90" s="86">
        <f t="shared" ref="S90" si="149">1-R90</f>
        <v>0.16046237134724672</v>
      </c>
      <c r="T90" s="92"/>
    </row>
    <row r="91" spans="1:20">
      <c r="A91" t="str">
        <f t="shared" si="119"/>
        <v>Mar</v>
      </c>
      <c r="C91" s="92">
        <f>+'KC Tonnage - Enspire'!R71+'KC Tonnage - Enspire'!S71</f>
        <v>387.68292709000002</v>
      </c>
      <c r="D91" s="92">
        <f>+'KC Tonnage - Enspire'!P71+'KC Tonnage - Enspire'!Q71</f>
        <v>401.61286080000002</v>
      </c>
      <c r="E91" s="87">
        <f t="shared" si="120"/>
        <v>789.29578789000004</v>
      </c>
      <c r="F91" s="11"/>
      <c r="G91" s="87">
        <f>+'SC Tonnage - Enspire'!T71</f>
        <v>1868.4374520670003</v>
      </c>
      <c r="H91" s="131">
        <f t="shared" si="121"/>
        <v>2657.7332399570005</v>
      </c>
      <c r="I91" s="131"/>
      <c r="J91" s="136">
        <f t="shared" si="129"/>
        <v>18572.944431240838</v>
      </c>
      <c r="K91" s="11"/>
      <c r="L91" s="136">
        <f t="shared" si="139"/>
        <v>19240.293614421753</v>
      </c>
      <c r="M91" s="11"/>
      <c r="N91" s="136">
        <f t="shared" ref="N91" si="150">+E91/C24*G24</f>
        <v>37813.238045662591</v>
      </c>
      <c r="O91" s="136">
        <f t="shared" ref="O91" si="151">+G91/D24*H24</f>
        <v>89512.285802654165</v>
      </c>
      <c r="P91" s="137">
        <f t="shared" ref="P91" si="152">(O91+N91)/H91</f>
        <v>47.907563458241107</v>
      </c>
      <c r="Q91" s="136"/>
      <c r="R91" s="268">
        <f t="shared" ref="R91" si="153">(C91+G91)/H91</f>
        <v>0.84888894989081087</v>
      </c>
      <c r="S91" s="86">
        <f t="shared" ref="S91" si="154">1-R91</f>
        <v>0.15111105010918913</v>
      </c>
      <c r="T91" s="92"/>
    </row>
    <row r="92" spans="1:20">
      <c r="A92" t="str">
        <f t="shared" si="119"/>
        <v>Apr</v>
      </c>
      <c r="C92" s="92">
        <f>+'KC Tonnage - Enspire'!R75+'KC Tonnage - Enspire'!S75</f>
        <v>355.46999999999997</v>
      </c>
      <c r="D92" s="92">
        <f>+'KC Tonnage - Enspire'!P75+'KC Tonnage - Enspire'!Q75</f>
        <v>423.05</v>
      </c>
      <c r="E92" s="87">
        <f t="shared" si="120"/>
        <v>778.52</v>
      </c>
      <c r="F92" s="11"/>
      <c r="G92" s="87">
        <f>+'SC Tonnage - Enspire'!T75</f>
        <v>1597.32</v>
      </c>
      <c r="H92" s="131">
        <f t="shared" si="121"/>
        <v>2375.84</v>
      </c>
      <c r="I92" s="131"/>
      <c r="J92" s="136">
        <f t="shared" si="129"/>
        <v>17928.022242122875</v>
      </c>
      <c r="K92" s="11"/>
      <c r="L92" s="136">
        <f t="shared" ref="L92" si="155">+N92-J92</f>
        <v>21336.39916035132</v>
      </c>
      <c r="M92" s="11"/>
      <c r="N92" s="136">
        <f t="shared" ref="N92" si="156">+E92/C25*G25</f>
        <v>39264.421402474196</v>
      </c>
      <c r="O92" s="136">
        <f t="shared" ref="O92" si="157">+G92/D25*H25</f>
        <v>80560.352456712862</v>
      </c>
      <c r="P92" s="137">
        <f t="shared" ref="P92" si="158">(O92+N92)/H92</f>
        <v>50.434698405274368</v>
      </c>
      <c r="Q92" s="136"/>
      <c r="R92" s="268">
        <f t="shared" ref="R92" si="159">(C92+G92)/H92</f>
        <v>0.82193666240150842</v>
      </c>
      <c r="S92" s="86">
        <f t="shared" ref="S92" si="160">1-R92</f>
        <v>0.17806333759849158</v>
      </c>
      <c r="T92" s="92"/>
    </row>
    <row r="93" spans="1:20">
      <c r="A93" t="str">
        <f t="shared" si="119"/>
        <v>May</v>
      </c>
      <c r="C93" s="92">
        <f>+'KC Tonnage - Enspire'!R79+'KC Tonnage - Enspire'!S79</f>
        <v>445.51240630011046</v>
      </c>
      <c r="D93" s="92">
        <f>+'KC Tonnage - Enspire'!P79+'KC Tonnage - Enspire'!Q79</f>
        <v>578.74891660236995</v>
      </c>
      <c r="E93" s="87">
        <f t="shared" si="120"/>
        <v>1024.2613229024805</v>
      </c>
      <c r="F93" s="11"/>
      <c r="G93" s="87">
        <f>+'SC Tonnage - Enspire'!T79</f>
        <v>1902.6009933951689</v>
      </c>
      <c r="H93" s="131">
        <f t="shared" si="121"/>
        <v>2926.8623162976492</v>
      </c>
      <c r="I93" s="131"/>
      <c r="J93" s="136">
        <f t="shared" ref="J93:J97" si="161">+C93/E93*N93</f>
        <v>22213.551312682765</v>
      </c>
      <c r="K93" s="11"/>
      <c r="L93" s="136">
        <f t="shared" ref="L93:L94" si="162">+N93-J93</f>
        <v>28856.814253217613</v>
      </c>
      <c r="M93" s="11"/>
      <c r="N93" s="136">
        <f t="shared" ref="N93" si="163">+E93/C26*G26</f>
        <v>51070.365565900378</v>
      </c>
      <c r="O93" s="136">
        <f t="shared" ref="O93" si="164">+G93/D26*H26</f>
        <v>94864.978385977476</v>
      </c>
      <c r="P93" s="137">
        <f t="shared" ref="P93" si="165">(O93+N93)/H93</f>
        <v>49.860679519930265</v>
      </c>
      <c r="Q93" s="136"/>
      <c r="R93" s="268">
        <f t="shared" ref="R93" si="166">(C93+G93)/H93</f>
        <v>0.80226301955520019</v>
      </c>
      <c r="S93" s="86">
        <f t="shared" ref="S93" si="167">1-R93</f>
        <v>0.19773698044479981</v>
      </c>
      <c r="T93" s="92"/>
    </row>
    <row r="94" spans="1:20">
      <c r="A94" t="str">
        <f t="shared" si="119"/>
        <v>Jun</v>
      </c>
      <c r="C94" s="92">
        <f>+'KC Tonnage - Enspire'!R83+'KC Tonnage - Enspire'!S83</f>
        <v>415.05315435796746</v>
      </c>
      <c r="D94" s="92">
        <f>+'KC Tonnage - Enspire'!P83+'KC Tonnage - Enspire'!Q83</f>
        <v>610.62904419516804</v>
      </c>
      <c r="E94" s="87">
        <f t="shared" si="120"/>
        <v>1025.6821985531355</v>
      </c>
      <c r="F94" s="11"/>
      <c r="G94" s="87">
        <f>+'SC Tonnage - Enspire'!T83</f>
        <v>1879.2039875877458</v>
      </c>
      <c r="H94" s="131">
        <f t="shared" si="121"/>
        <v>2904.8861861408814</v>
      </c>
      <c r="I94" s="131"/>
      <c r="J94" s="136">
        <f t="shared" si="161"/>
        <v>19625.372160866085</v>
      </c>
      <c r="K94" s="11"/>
      <c r="L94" s="136">
        <f t="shared" si="162"/>
        <v>28872.981975288232</v>
      </c>
      <c r="M94" s="11"/>
      <c r="N94" s="136">
        <f t="shared" ref="N94" si="168">+E94/C27*G27</f>
        <v>48498.354136154318</v>
      </c>
      <c r="O94" s="136">
        <f t="shared" ref="O94" si="169">+G94/D27*H27</f>
        <v>88856.275962151645</v>
      </c>
      <c r="P94" s="137">
        <f t="shared" ref="P94" si="170">(O94+N94)/H94</f>
        <v>47.283997133388731</v>
      </c>
      <c r="Q94" s="136"/>
      <c r="R94" s="268">
        <f t="shared" ref="R94" si="171">(C94+G94)/H94</f>
        <v>0.78979243761478168</v>
      </c>
      <c r="S94" s="86">
        <f t="shared" ref="S94" si="172">1-R94</f>
        <v>0.21020756238521832</v>
      </c>
      <c r="T94" s="92"/>
    </row>
    <row r="95" spans="1:20">
      <c r="A95" t="str">
        <f t="shared" si="119"/>
        <v>Jul</v>
      </c>
      <c r="C95" s="92">
        <f>+'KC Tonnage - Enspire'!R87+'KC Tonnage - Enspire'!S87</f>
        <v>408.05320770171619</v>
      </c>
      <c r="D95" s="92">
        <f>+'KC Tonnage - Enspire'!P87+'KC Tonnage - Enspire'!Q87</f>
        <v>503.72586350871597</v>
      </c>
      <c r="E95" s="87">
        <f t="shared" si="120"/>
        <v>911.77907121043222</v>
      </c>
      <c r="F95" s="11"/>
      <c r="G95" s="87">
        <f>+'SC Tonnage - Enspire'!T87</f>
        <v>1691.5523835864492</v>
      </c>
      <c r="H95" s="131">
        <f t="shared" si="121"/>
        <v>2603.3314547968812</v>
      </c>
      <c r="I95" s="131"/>
      <c r="J95" s="136">
        <f t="shared" si="161"/>
        <v>14393.613285529629</v>
      </c>
      <c r="K95" s="11"/>
      <c r="L95" s="136">
        <f t="shared" ref="L95:L97" si="173">+N95-J95</f>
        <v>17768.357519110483</v>
      </c>
      <c r="M95" s="11"/>
      <c r="N95" s="136">
        <f t="shared" ref="N95" si="174">+E95/C28*G28</f>
        <v>32161.97080464011</v>
      </c>
      <c r="O95" s="136">
        <f t="shared" ref="O95" si="175">+G95/D28*H28</f>
        <v>59667.588446840738</v>
      </c>
      <c r="P95" s="137">
        <f t="shared" ref="P95" si="176">(O95+N95)/H95</f>
        <v>35.273863834079336</v>
      </c>
      <c r="Q95" s="136"/>
      <c r="R95" s="268">
        <f t="shared" ref="R95" si="177">(C95+G95)/H95</f>
        <v>0.80650721114264801</v>
      </c>
      <c r="S95" s="86">
        <f t="shared" ref="S95" si="178">1-R95</f>
        <v>0.19349278885735199</v>
      </c>
      <c r="T95" s="92"/>
    </row>
    <row r="96" spans="1:20">
      <c r="A96" t="str">
        <f t="shared" si="119"/>
        <v>Aug</v>
      </c>
      <c r="C96" s="92">
        <f>+'KC Tonnage - Enspire'!R91+'KC Tonnage - Enspire'!S91</f>
        <v>383.33175785072439</v>
      </c>
      <c r="D96" s="92">
        <f>+'KC Tonnage - Enspire'!P91+'KC Tonnage - Enspire'!Q91</f>
        <v>534.93953748307104</v>
      </c>
      <c r="E96" s="87">
        <f t="shared" si="120"/>
        <v>918.27129533379548</v>
      </c>
      <c r="F96" s="11"/>
      <c r="G96" s="87">
        <f>+'SC Tonnage - Enspire'!T91</f>
        <v>1814.3026515501872</v>
      </c>
      <c r="H96" s="131">
        <f t="shared" si="121"/>
        <v>2732.5739468839829</v>
      </c>
      <c r="I96" s="131"/>
      <c r="J96" s="136">
        <f t="shared" si="161"/>
        <v>14972.558411630158</v>
      </c>
      <c r="K96" s="11"/>
      <c r="L96" s="136">
        <f t="shared" si="173"/>
        <v>20894.207974218243</v>
      </c>
      <c r="M96" s="11"/>
      <c r="N96" s="136">
        <f t="shared" ref="N96:N97" si="179">+E96/C29*G29</f>
        <v>35866.766385848401</v>
      </c>
      <c r="O96" s="136">
        <f t="shared" ref="O96:O97" si="180">+G96/D29*H29</f>
        <v>69590.434144435407</v>
      </c>
      <c r="P96" s="137">
        <f t="shared" ref="P96:P97" si="181">(O96+N96)/H96</f>
        <v>38.592624602360381</v>
      </c>
      <c r="Q96" s="136"/>
      <c r="R96" s="268">
        <f t="shared" ref="R96:R97" si="182">(C96+G96)/H96</f>
        <v>0.80423602512456238</v>
      </c>
      <c r="S96" s="86">
        <f t="shared" ref="S96:S97" si="183">1-R96</f>
        <v>0.19576397487543762</v>
      </c>
      <c r="T96" s="92"/>
    </row>
    <row r="97" spans="1:20" s="54" customFormat="1" ht="16.5">
      <c r="A97" t="str">
        <f t="shared" si="119"/>
        <v>Sep</v>
      </c>
      <c r="C97" s="393">
        <f>+'KC Tonnage - Enspire'!R95+'KC Tonnage - Enspire'!S95</f>
        <v>381.19257374135782</v>
      </c>
      <c r="D97" s="393">
        <f>+'KC Tonnage - Enspire'!P95+'KC Tonnage - Enspire'!Q95</f>
        <v>395.634393907907</v>
      </c>
      <c r="E97" s="73">
        <f t="shared" si="120"/>
        <v>776.82696764926482</v>
      </c>
      <c r="F97" s="89"/>
      <c r="G97" s="73">
        <f>+'SC Tonnage - Enspire'!T95</f>
        <v>1734.5045958331068</v>
      </c>
      <c r="H97" s="160">
        <f t="shared" si="121"/>
        <v>2511.3315634823716</v>
      </c>
      <c r="I97" s="161"/>
      <c r="J97" s="139">
        <f t="shared" si="161"/>
        <v>16951.7915073433</v>
      </c>
      <c r="K97" s="138"/>
      <c r="L97" s="139">
        <f t="shared" si="173"/>
        <v>17594.025226765119</v>
      </c>
      <c r="M97" s="187"/>
      <c r="N97" s="139">
        <f t="shared" si="179"/>
        <v>34545.816734108419</v>
      </c>
      <c r="O97" s="139">
        <f t="shared" si="180"/>
        <v>75425.10193323459</v>
      </c>
      <c r="P97" s="142">
        <f t="shared" si="181"/>
        <v>43.78988432529011</v>
      </c>
      <c r="Q97" s="139"/>
      <c r="R97" s="369">
        <f t="shared" si="182"/>
        <v>0.84246031083235573</v>
      </c>
      <c r="S97" s="370">
        <f t="shared" si="183"/>
        <v>0.15753968916764427</v>
      </c>
      <c r="T97" s="129"/>
    </row>
    <row r="98" spans="1:20" ht="15">
      <c r="C98" s="143">
        <f>SUM(C74:C97)</f>
        <v>9943.706950580623</v>
      </c>
      <c r="D98" s="143">
        <f t="shared" ref="D98:O98" si="184">SUM(D74:D97)</f>
        <v>10745.443295944571</v>
      </c>
      <c r="E98" s="143">
        <f t="shared" si="184"/>
        <v>20689.150246525187</v>
      </c>
      <c r="F98" s="143"/>
      <c r="G98" s="143">
        <f t="shared" si="184"/>
        <v>45242.516236180621</v>
      </c>
      <c r="H98" s="143">
        <f t="shared" si="184"/>
        <v>65931.666482705812</v>
      </c>
      <c r="I98" s="143"/>
      <c r="J98" s="144">
        <f t="shared" si="184"/>
        <v>530114.63585484435</v>
      </c>
      <c r="K98" s="144"/>
      <c r="L98" s="144">
        <f t="shared" si="184"/>
        <v>567130.54836327885</v>
      </c>
      <c r="M98" s="144"/>
      <c r="N98" s="144">
        <f t="shared" si="184"/>
        <v>1097245.1842181229</v>
      </c>
      <c r="O98" s="144">
        <f t="shared" si="184"/>
        <v>2407223.415431493</v>
      </c>
      <c r="P98" s="145">
        <f>(O98+N98)/H98</f>
        <v>53.153041423105151</v>
      </c>
      <c r="Q98" s="144"/>
      <c r="R98" s="270">
        <f>(C98+G98)/H98</f>
        <v>0.83702151228403809</v>
      </c>
      <c r="S98" s="272">
        <f>1-R98</f>
        <v>0.16297848771596191</v>
      </c>
      <c r="T98" s="11"/>
    </row>
    <row r="99" spans="1:20" ht="15">
      <c r="B99" s="71"/>
      <c r="E99" s="133">
        <f>+E98/C59</f>
        <v>0.89560484151954645</v>
      </c>
      <c r="F99" s="11"/>
      <c r="G99" s="133">
        <f>+G98/D59</f>
        <v>0.87448433653765489</v>
      </c>
      <c r="H99" s="133">
        <f>+H98/E59</f>
        <v>0.88100383616788136</v>
      </c>
      <c r="I99" s="133"/>
      <c r="J99" s="11"/>
      <c r="K99" s="11"/>
      <c r="L99" s="11"/>
      <c r="M99" s="11"/>
      <c r="N99" s="133">
        <f>+N98/G59</f>
        <v>0.8961138351446124</v>
      </c>
      <c r="O99" s="133">
        <f>+O98/H59</f>
        <v>0.87524596873047711</v>
      </c>
      <c r="P99" s="11"/>
      <c r="Q99" s="133"/>
      <c r="R99" s="11"/>
      <c r="S99" s="11"/>
      <c r="T99" s="11"/>
    </row>
    <row r="100" spans="1:20" ht="15">
      <c r="B100" s="71"/>
      <c r="E100" s="133"/>
      <c r="F100" s="11"/>
      <c r="G100" s="133"/>
      <c r="H100" s="133"/>
      <c r="I100" s="133"/>
      <c r="J100" s="11"/>
      <c r="K100" s="11"/>
      <c r="L100" s="11"/>
      <c r="M100" s="11"/>
      <c r="N100" s="133"/>
      <c r="O100" s="133"/>
      <c r="P100" s="11"/>
      <c r="Q100" s="133"/>
      <c r="R100" s="11"/>
      <c r="S100" s="11"/>
      <c r="T100" s="11"/>
    </row>
    <row r="101" spans="1:20" ht="15">
      <c r="A101" s="71" t="s">
        <v>140</v>
      </c>
      <c r="C101" s="270">
        <f>+C98/E98</f>
        <v>0.48062423212624222</v>
      </c>
      <c r="D101" s="272">
        <f>-C101+1</f>
        <v>0.51937576787375783</v>
      </c>
      <c r="E101" s="272">
        <f>+D101+C101</f>
        <v>1</v>
      </c>
      <c r="F101" s="11"/>
      <c r="G101" s="133">
        <v>1</v>
      </c>
      <c r="H101" s="272"/>
      <c r="I101" s="11"/>
      <c r="K101" s="11"/>
      <c r="L101" s="11"/>
      <c r="M101" s="11"/>
      <c r="N101" s="11"/>
      <c r="O101" s="11"/>
      <c r="P101" s="11"/>
      <c r="Q101" s="11"/>
      <c r="R101" s="272">
        <f>+R98</f>
        <v>0.83702151228403809</v>
      </c>
      <c r="S101" s="272">
        <f>+S98</f>
        <v>0.16297848771596191</v>
      </c>
      <c r="T101" s="11"/>
    </row>
    <row r="102" spans="1:20">
      <c r="C102" s="273" t="s">
        <v>141</v>
      </c>
      <c r="D102" s="273" t="s">
        <v>142</v>
      </c>
      <c r="E102" s="274"/>
      <c r="F102" s="274"/>
      <c r="G102" s="273" t="s">
        <v>141</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56" t="s">
        <v>93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85">+A74</f>
        <v>Oct., 2021</v>
      </c>
      <c r="C105" s="92">
        <f>+'KC Tonnage - Enspire'!R4+'KC Tonnage - Enspire'!S4</f>
        <v>34.67</v>
      </c>
      <c r="D105" s="92">
        <f>+'KC Tonnage - Enspire'!P4+'KC Tonnage - Enspire'!Q4</f>
        <v>57.080000000000005</v>
      </c>
      <c r="E105" s="87">
        <f t="shared" ref="E105:E128" si="186">+D105+C105</f>
        <v>91.75</v>
      </c>
      <c r="F105" s="11"/>
      <c r="G105" s="87">
        <f t="shared" ref="G105:G128" si="187">+D35-G74</f>
        <v>257.10000000000014</v>
      </c>
      <c r="H105" s="87">
        <f t="shared" ref="H105:H127" si="188">+G105+E105</f>
        <v>348.85000000000014</v>
      </c>
      <c r="I105" s="87"/>
      <c r="J105" s="136">
        <f t="shared" ref="J105:J110" si="189">+C105/E105*N105</f>
        <v>3460.2097670891685</v>
      </c>
      <c r="K105" s="11"/>
      <c r="L105" s="136">
        <f t="shared" ref="L105:L110" si="190">+N105-J105</f>
        <v>5696.8206952826567</v>
      </c>
      <c r="M105" s="11"/>
      <c r="N105" s="136">
        <f t="shared" ref="N105:N128" si="191">+G35-N74</f>
        <v>9157.0304623718257</v>
      </c>
      <c r="O105" s="136">
        <f t="shared" ref="O105:O128" si="192">+H35-O74</f>
        <v>25460.659851700359</v>
      </c>
      <c r="P105" s="137">
        <f t="shared" ref="P105:P128" si="193">(O105+N105)/H105</f>
        <v>99.233740329861462</v>
      </c>
      <c r="Q105" s="130"/>
      <c r="R105" s="11"/>
      <c r="S105" s="92"/>
      <c r="T105" s="92"/>
    </row>
    <row r="106" spans="1:20">
      <c r="A106" t="str">
        <f t="shared" si="185"/>
        <v>Nov</v>
      </c>
      <c r="C106" s="92">
        <f>+'KC Tonnage - Enspire'!R8+'KC Tonnage - Enspire'!S8</f>
        <v>37</v>
      </c>
      <c r="D106" s="92">
        <f>+'KC Tonnage - Enspire'!P8+'KC Tonnage - Enspire'!Q8</f>
        <v>68.83</v>
      </c>
      <c r="E106" s="87">
        <f t="shared" si="186"/>
        <v>105.83</v>
      </c>
      <c r="F106" s="11"/>
      <c r="G106" s="87">
        <f t="shared" si="187"/>
        <v>317.48</v>
      </c>
      <c r="H106" s="87">
        <f t="shared" si="188"/>
        <v>423.31</v>
      </c>
      <c r="I106" s="87"/>
      <c r="J106" s="136">
        <f t="shared" si="189"/>
        <v>3381.6741144723451</v>
      </c>
      <c r="K106" s="11"/>
      <c r="L106" s="136">
        <f t="shared" si="190"/>
        <v>6290.8278188954464</v>
      </c>
      <c r="M106" s="11"/>
      <c r="N106" s="136">
        <f t="shared" si="191"/>
        <v>9672.5019333677919</v>
      </c>
      <c r="O106" s="136">
        <f t="shared" si="192"/>
        <v>28818.28601658126</v>
      </c>
      <c r="P106" s="137">
        <f t="shared" si="193"/>
        <v>90.928132928466255</v>
      </c>
      <c r="Q106" s="130"/>
      <c r="R106" s="11"/>
      <c r="S106" s="92"/>
      <c r="T106" s="92"/>
    </row>
    <row r="107" spans="1:20">
      <c r="A107" t="str">
        <f t="shared" si="185"/>
        <v>Dec</v>
      </c>
      <c r="C107" s="92">
        <f>+'KC Tonnage - Enspire'!R12+'KC Tonnage - Enspire'!S12</f>
        <v>35.79</v>
      </c>
      <c r="D107" s="92">
        <f>+'KC Tonnage - Enspire'!P12+'KC Tonnage - Enspire'!Q12</f>
        <v>54.84</v>
      </c>
      <c r="E107" s="87">
        <f t="shared" si="186"/>
        <v>90.63</v>
      </c>
      <c r="F107" s="11"/>
      <c r="G107" s="87">
        <f t="shared" si="187"/>
        <v>244.51</v>
      </c>
      <c r="H107" s="87">
        <f t="shared" si="188"/>
        <v>335.14</v>
      </c>
      <c r="I107" s="87"/>
      <c r="J107" s="136">
        <f t="shared" si="189"/>
        <v>2428.4927454619324</v>
      </c>
      <c r="K107" s="11"/>
      <c r="L107" s="136">
        <f t="shared" si="190"/>
        <v>3721.1104264077217</v>
      </c>
      <c r="M107" s="11"/>
      <c r="N107" s="136">
        <f t="shared" si="191"/>
        <v>6149.603171869654</v>
      </c>
      <c r="O107" s="136">
        <f t="shared" si="192"/>
        <v>16391.746963916958</v>
      </c>
      <c r="P107" s="137">
        <f t="shared" si="193"/>
        <v>67.259503896242208</v>
      </c>
      <c r="Q107" s="130"/>
      <c r="R107" s="11"/>
      <c r="S107" s="92"/>
      <c r="T107" s="92"/>
    </row>
    <row r="108" spans="1:20">
      <c r="A108" t="str">
        <f t="shared" si="185"/>
        <v>Jan., 2022</v>
      </c>
      <c r="C108" s="92">
        <f>+'KC Tonnage - Enspire'!R16+'KC Tonnage - Enspire'!S16</f>
        <v>48.190000000000005</v>
      </c>
      <c r="D108" s="92">
        <f>+'KC Tonnage - Enspire'!P16+'KC Tonnage - Enspire'!Q16</f>
        <v>72.599999999999994</v>
      </c>
      <c r="E108" s="87">
        <f t="shared" si="186"/>
        <v>120.78999999999999</v>
      </c>
      <c r="F108" s="11"/>
      <c r="G108" s="87">
        <f t="shared" si="187"/>
        <v>325.5</v>
      </c>
      <c r="H108" s="131">
        <f t="shared" si="188"/>
        <v>446.28999999999996</v>
      </c>
      <c r="I108" s="131"/>
      <c r="J108" s="136">
        <f t="shared" si="189"/>
        <v>3039.1476258461412</v>
      </c>
      <c r="K108" s="11"/>
      <c r="L108" s="136">
        <f t="shared" si="190"/>
        <v>4578.5872097204774</v>
      </c>
      <c r="M108" s="11"/>
      <c r="N108" s="136">
        <f t="shared" si="191"/>
        <v>7617.7348355666181</v>
      </c>
      <c r="O108" s="136">
        <f t="shared" si="192"/>
        <v>20354.989672001859</v>
      </c>
      <c r="P108" s="137">
        <f t="shared" si="193"/>
        <v>62.678358259357097</v>
      </c>
      <c r="Q108" s="135"/>
      <c r="R108" s="11"/>
      <c r="S108" s="92"/>
      <c r="T108" s="92"/>
    </row>
    <row r="109" spans="1:20">
      <c r="A109" t="str">
        <f t="shared" si="185"/>
        <v>Feb</v>
      </c>
      <c r="C109" s="92">
        <f>+'KC Tonnage - Enspire'!R20+'KC Tonnage - Enspire'!S20</f>
        <v>34.049999999999997</v>
      </c>
      <c r="D109" s="92">
        <f>+'KC Tonnage - Enspire'!P20+'KC Tonnage - Enspire'!Q20</f>
        <v>54.61</v>
      </c>
      <c r="E109" s="87">
        <f t="shared" si="186"/>
        <v>88.66</v>
      </c>
      <c r="F109" s="11"/>
      <c r="G109" s="87">
        <f t="shared" si="187"/>
        <v>269.62999999999988</v>
      </c>
      <c r="H109" s="131">
        <f t="shared" si="188"/>
        <v>358.28999999999985</v>
      </c>
      <c r="I109" s="131"/>
      <c r="J109" s="136">
        <f t="shared" si="189"/>
        <v>2303.6370787881051</v>
      </c>
      <c r="K109" s="11"/>
      <c r="L109" s="136">
        <f t="shared" si="190"/>
        <v>3694.6144162296159</v>
      </c>
      <c r="M109" s="11"/>
      <c r="N109" s="136">
        <f t="shared" si="191"/>
        <v>5998.251495017721</v>
      </c>
      <c r="O109" s="136">
        <f t="shared" si="192"/>
        <v>18127.159804805357</v>
      </c>
      <c r="P109" s="137">
        <f t="shared" si="193"/>
        <v>67.334872030542542</v>
      </c>
      <c r="Q109" s="135"/>
      <c r="R109" s="11"/>
      <c r="S109" s="92"/>
      <c r="T109" s="92"/>
    </row>
    <row r="110" spans="1:20">
      <c r="A110" t="str">
        <f t="shared" si="185"/>
        <v>Mar</v>
      </c>
      <c r="C110" s="92">
        <f>+'KC Tonnage - Enspire'!R24+'KC Tonnage - Enspire'!S24</f>
        <v>38.07</v>
      </c>
      <c r="D110" s="92">
        <f>+'KC Tonnage - Enspire'!P24+'KC Tonnage - Enspire'!Q24</f>
        <v>69.31</v>
      </c>
      <c r="E110" s="87">
        <f t="shared" si="186"/>
        <v>107.38</v>
      </c>
      <c r="F110" s="11"/>
      <c r="G110" s="87">
        <f t="shared" si="187"/>
        <v>303.02000000000021</v>
      </c>
      <c r="H110" s="131">
        <f t="shared" si="188"/>
        <v>410.4000000000002</v>
      </c>
      <c r="I110" s="131"/>
      <c r="J110" s="136">
        <f t="shared" si="189"/>
        <v>2481.2697026265232</v>
      </c>
      <c r="K110" s="11"/>
      <c r="L110" s="136">
        <f t="shared" si="190"/>
        <v>4517.3838478866383</v>
      </c>
      <c r="M110" s="11"/>
      <c r="N110" s="136">
        <f t="shared" si="191"/>
        <v>6998.6535505131615</v>
      </c>
      <c r="O110" s="136">
        <f t="shared" si="192"/>
        <v>19503.504299497305</v>
      </c>
      <c r="P110" s="137">
        <f t="shared" si="193"/>
        <v>64.576408016594669</v>
      </c>
      <c r="Q110" s="135"/>
      <c r="R110" s="11"/>
      <c r="S110" s="92"/>
      <c r="T110" s="92"/>
    </row>
    <row r="111" spans="1:20">
      <c r="A111" t="str">
        <f t="shared" si="185"/>
        <v>Apr</v>
      </c>
      <c r="C111" s="92">
        <f>+'KC Tonnage - Enspire'!R28+'KC Tonnage - Enspire'!S28</f>
        <v>35.159999999999997</v>
      </c>
      <c r="D111" s="92">
        <f>+'KC Tonnage - Enspire'!P28+'KC Tonnage - Enspire'!Q28</f>
        <v>56.63</v>
      </c>
      <c r="E111" s="87">
        <f t="shared" si="186"/>
        <v>91.789999999999992</v>
      </c>
      <c r="F111" s="11"/>
      <c r="G111" s="87">
        <f t="shared" si="187"/>
        <v>260.72000000000003</v>
      </c>
      <c r="H111" s="131">
        <f t="shared" si="188"/>
        <v>352.51</v>
      </c>
      <c r="I111" s="131"/>
      <c r="J111" s="136">
        <f>+C111/E111*N111</f>
        <v>2307.9447630167861</v>
      </c>
      <c r="K111" s="11"/>
      <c r="L111" s="136">
        <f t="shared" ref="L111:L128" si="194">+N111-J111</f>
        <v>3717.2614314459779</v>
      </c>
      <c r="M111" s="11"/>
      <c r="N111" s="136">
        <f t="shared" si="191"/>
        <v>6025.206194462764</v>
      </c>
      <c r="O111" s="136">
        <f t="shared" si="192"/>
        <v>16849.616654971585</v>
      </c>
      <c r="P111" s="137">
        <f t="shared" si="193"/>
        <v>64.89127357928669</v>
      </c>
      <c r="Q111" s="135"/>
      <c r="R111" s="11"/>
      <c r="S111" s="92"/>
      <c r="T111" s="92"/>
    </row>
    <row r="112" spans="1:20">
      <c r="A112" t="str">
        <f t="shared" si="185"/>
        <v>May</v>
      </c>
      <c r="C112" s="92">
        <f>+'KC Tonnage - Enspire'!R32+'KC Tonnage - Enspire'!S32</f>
        <v>37.39</v>
      </c>
      <c r="D112" s="92">
        <f>+'KC Tonnage - Enspire'!P32+'KC Tonnage - Enspire'!Q32</f>
        <v>62.92</v>
      </c>
      <c r="E112" s="87">
        <f t="shared" si="186"/>
        <v>100.31</v>
      </c>
      <c r="F112" s="11"/>
      <c r="G112" s="87">
        <f t="shared" si="187"/>
        <v>298.53999999999996</v>
      </c>
      <c r="H112" s="131">
        <f t="shared" si="188"/>
        <v>398.84999999999997</v>
      </c>
      <c r="I112" s="131"/>
      <c r="J112" s="136">
        <f>+C112/E112*N112</f>
        <v>2217.9907638635455</v>
      </c>
      <c r="K112" s="11"/>
      <c r="L112" s="136">
        <f t="shared" si="194"/>
        <v>3732.4412640356854</v>
      </c>
      <c r="M112" s="11"/>
      <c r="N112" s="136">
        <f t="shared" si="191"/>
        <v>5950.4320278992309</v>
      </c>
      <c r="O112" s="136">
        <f t="shared" si="192"/>
        <v>17088.019326808295</v>
      </c>
      <c r="P112" s="137">
        <f t="shared" si="193"/>
        <v>57.76219469652132</v>
      </c>
      <c r="Q112" s="135"/>
      <c r="R112" s="11"/>
      <c r="S112" s="92"/>
      <c r="T112" s="92"/>
    </row>
    <row r="113" spans="1:20">
      <c r="A113" t="str">
        <f t="shared" si="185"/>
        <v>Jun</v>
      </c>
      <c r="C113" s="92">
        <f>+'KC Tonnage - Enspire'!R36+'KC Tonnage - Enspire'!S36</f>
        <v>39.409999999999997</v>
      </c>
      <c r="D113" s="92">
        <f>+'KC Tonnage - Enspire'!P36+'KC Tonnage - Enspire'!Q36</f>
        <v>61.2</v>
      </c>
      <c r="E113" s="87">
        <f t="shared" si="186"/>
        <v>100.61</v>
      </c>
      <c r="F113" s="11"/>
      <c r="G113" s="87">
        <f t="shared" si="187"/>
        <v>294.55000000000018</v>
      </c>
      <c r="H113" s="131">
        <f t="shared" si="188"/>
        <v>395.1600000000002</v>
      </c>
      <c r="I113" s="131"/>
      <c r="J113" s="136">
        <f>+C113/E113*N113</f>
        <v>2548.5864633627034</v>
      </c>
      <c r="K113" s="11"/>
      <c r="L113" s="136">
        <f t="shared" si="194"/>
        <v>3957.713564014145</v>
      </c>
      <c r="M113" s="11"/>
      <c r="N113" s="136">
        <f t="shared" si="191"/>
        <v>6506.3000273768484</v>
      </c>
      <c r="O113" s="136">
        <f t="shared" si="192"/>
        <v>18751.546367738876</v>
      </c>
      <c r="P113" s="137">
        <f t="shared" si="193"/>
        <v>63.91802407914696</v>
      </c>
      <c r="Q113" s="135"/>
      <c r="R113" s="11"/>
      <c r="S113" s="92"/>
      <c r="T113" s="92"/>
    </row>
    <row r="114" spans="1:20">
      <c r="A114" t="str">
        <f t="shared" si="185"/>
        <v>Jul</v>
      </c>
      <c r="C114" s="92">
        <f>+'KC Tonnage - Enspire'!R40+'KC Tonnage - Enspire'!S40</f>
        <v>34.46</v>
      </c>
      <c r="D114" s="92">
        <f>+'KC Tonnage - Enspire'!P40+'KC Tonnage - Enspire'!Q40</f>
        <v>55.92</v>
      </c>
      <c r="E114" s="87">
        <f t="shared" si="186"/>
        <v>90.38</v>
      </c>
      <c r="F114" s="11"/>
      <c r="G114" s="87">
        <f t="shared" si="187"/>
        <v>254.36999999999989</v>
      </c>
      <c r="H114" s="131">
        <f t="shared" si="188"/>
        <v>344.74999999999989</v>
      </c>
      <c r="I114" s="131"/>
      <c r="J114" s="136">
        <f>+C114/E114*N114</f>
        <v>2827.7613833147943</v>
      </c>
      <c r="K114" s="11"/>
      <c r="L114" s="136">
        <f t="shared" si="194"/>
        <v>4588.7526568474541</v>
      </c>
      <c r="M114" s="11"/>
      <c r="N114" s="136">
        <f t="shared" si="191"/>
        <v>7416.5140401622484</v>
      </c>
      <c r="O114" s="136">
        <f t="shared" si="192"/>
        <v>20748.112660763232</v>
      </c>
      <c r="P114" s="137">
        <f t="shared" si="193"/>
        <v>81.695798987456101</v>
      </c>
      <c r="Q114" s="135"/>
      <c r="R114" s="11"/>
      <c r="S114" s="92"/>
      <c r="T114" s="92"/>
    </row>
    <row r="115" spans="1:20">
      <c r="A115" t="str">
        <f t="shared" si="185"/>
        <v>Aug</v>
      </c>
      <c r="C115" s="92">
        <f>+'KC Tonnage - Enspire'!R44+'KC Tonnage - Enspire'!S44</f>
        <v>39.44</v>
      </c>
      <c r="D115" s="92">
        <f>+'KC Tonnage - Enspire'!P44+'KC Tonnage - Enspire'!Q44</f>
        <v>67.72999999999999</v>
      </c>
      <c r="E115" s="87">
        <f t="shared" si="186"/>
        <v>107.16999999999999</v>
      </c>
      <c r="F115" s="11"/>
      <c r="G115" s="87">
        <f t="shared" si="187"/>
        <v>295.81000000000017</v>
      </c>
      <c r="H115" s="131">
        <f t="shared" si="188"/>
        <v>402.98000000000013</v>
      </c>
      <c r="I115" s="131"/>
      <c r="J115" s="136">
        <f>+C115/E115*N115</f>
        <v>2341.5109120336301</v>
      </c>
      <c r="K115" s="11"/>
      <c r="L115" s="136">
        <f t="shared" si="194"/>
        <v>4021.0581661267179</v>
      </c>
      <c r="M115" s="11"/>
      <c r="N115" s="136">
        <f t="shared" si="191"/>
        <v>6362.569078160348</v>
      </c>
      <c r="O115" s="136">
        <f t="shared" si="192"/>
        <v>17131.864424290805</v>
      </c>
      <c r="P115" s="137">
        <f t="shared" si="193"/>
        <v>58.301735824237298</v>
      </c>
      <c r="Q115" s="135"/>
      <c r="R115" s="11"/>
      <c r="S115" s="92"/>
      <c r="T115" s="92"/>
    </row>
    <row r="116" spans="1:20" s="418" customFormat="1">
      <c r="A116" s="418" t="str">
        <f t="shared" si="185"/>
        <v>Sep</v>
      </c>
      <c r="C116" s="424">
        <f>+'KC Tonnage - Enspire'!R48+'KC Tonnage - Enspire'!S48</f>
        <v>39.03</v>
      </c>
      <c r="D116" s="424">
        <f>+'KC Tonnage - Enspire'!P48+'KC Tonnage - Enspire'!Q48</f>
        <v>62.690000000000005</v>
      </c>
      <c r="E116" s="419">
        <f t="shared" si="186"/>
        <v>101.72</v>
      </c>
      <c r="F116" s="420"/>
      <c r="G116" s="419">
        <f t="shared" si="187"/>
        <v>261.73326326592746</v>
      </c>
      <c r="H116" s="419">
        <f t="shared" si="188"/>
        <v>363.45326326592749</v>
      </c>
      <c r="I116" s="419"/>
      <c r="J116" s="421">
        <f t="shared" ref="J116:J128" si="195">+C116/E116*N116</f>
        <v>1160.6700432969285</v>
      </c>
      <c r="K116" s="420"/>
      <c r="L116" s="421">
        <f t="shared" si="194"/>
        <v>1864.2686398740568</v>
      </c>
      <c r="M116" s="420"/>
      <c r="N116" s="421">
        <f t="shared" si="191"/>
        <v>3024.9386831709853</v>
      </c>
      <c r="O116" s="421">
        <f t="shared" si="192"/>
        <v>7562.7433528428519</v>
      </c>
      <c r="P116" s="422">
        <f t="shared" si="193"/>
        <v>29.130793711617216</v>
      </c>
      <c r="Q116" s="423"/>
      <c r="R116" s="420"/>
      <c r="S116" s="424"/>
      <c r="T116" s="424"/>
    </row>
    <row r="117" spans="1:20">
      <c r="A117" t="str">
        <f t="shared" si="185"/>
        <v>Oct</v>
      </c>
      <c r="C117" s="92">
        <f>+'KC Tonnage - Enspire'!R52+'KC Tonnage - Enspire'!S52</f>
        <v>38.546598227663942</v>
      </c>
      <c r="D117" s="92">
        <f>+'KC Tonnage - Enspire'!P52+'KC Tonnage - Enspire'!Q52</f>
        <v>53.987347437397922</v>
      </c>
      <c r="E117" s="87">
        <f t="shared" si="186"/>
        <v>92.533945665061864</v>
      </c>
      <c r="F117" s="11"/>
      <c r="G117" s="87">
        <f t="shared" si="187"/>
        <v>262.14857029874565</v>
      </c>
      <c r="H117" s="131">
        <f t="shared" si="188"/>
        <v>354.68251596380753</v>
      </c>
      <c r="I117" s="131"/>
      <c r="J117" s="136">
        <f t="shared" si="195"/>
        <v>509.82812109727683</v>
      </c>
      <c r="K117" s="11"/>
      <c r="L117" s="136">
        <f t="shared" si="194"/>
        <v>714.05180152268213</v>
      </c>
      <c r="M117" s="11"/>
      <c r="N117" s="136">
        <f t="shared" si="191"/>
        <v>1223.879922619959</v>
      </c>
      <c r="O117" s="136">
        <f t="shared" si="192"/>
        <v>3288.2568389732296</v>
      </c>
      <c r="P117" s="137">
        <f t="shared" si="193"/>
        <v>12.721621615128093</v>
      </c>
      <c r="Q117" s="135"/>
      <c r="R117" s="11"/>
      <c r="S117" s="92"/>
      <c r="T117" s="92"/>
    </row>
    <row r="118" spans="1:20">
      <c r="A118" t="str">
        <f t="shared" si="185"/>
        <v>Nov</v>
      </c>
      <c r="C118" s="92">
        <f>+'KC Tonnage - Enspire'!R56+'KC Tonnage - Enspire'!S56</f>
        <v>40.379348093172055</v>
      </c>
      <c r="D118" s="92">
        <f>+'KC Tonnage - Enspire'!P56+'KC Tonnage - Enspire'!Q56</f>
        <v>51.97713045867755</v>
      </c>
      <c r="E118" s="87">
        <f t="shared" si="186"/>
        <v>92.356478551849605</v>
      </c>
      <c r="F118" s="11"/>
      <c r="G118" s="87">
        <f t="shared" si="187"/>
        <v>271.08437659152673</v>
      </c>
      <c r="H118" s="131">
        <f t="shared" si="188"/>
        <v>363.44085514337633</v>
      </c>
      <c r="I118" s="131"/>
      <c r="J118" s="136">
        <f t="shared" si="195"/>
        <v>768.54249903343896</v>
      </c>
      <c r="K118" s="11"/>
      <c r="L118" s="136">
        <f t="shared" si="194"/>
        <v>989.28377058305944</v>
      </c>
      <c r="M118" s="11"/>
      <c r="N118" s="136">
        <f t="shared" si="191"/>
        <v>1757.8262696164984</v>
      </c>
      <c r="O118" s="136">
        <f t="shared" si="192"/>
        <v>5130.3225309942209</v>
      </c>
      <c r="P118" s="137">
        <f t="shared" si="193"/>
        <v>18.952599035387383</v>
      </c>
      <c r="Q118" s="135"/>
      <c r="R118" s="11"/>
      <c r="S118" s="92"/>
      <c r="T118" s="92"/>
    </row>
    <row r="119" spans="1:20">
      <c r="A119" t="str">
        <f t="shared" si="185"/>
        <v>Dec</v>
      </c>
      <c r="C119" s="92">
        <f>+'KC Tonnage - Enspire'!R60+'KC Tonnage - Enspire'!S60</f>
        <v>40.135733469576763</v>
      </c>
      <c r="D119" s="92">
        <f>+'KC Tonnage - Enspire'!P60+'KC Tonnage - Enspire'!Q60</f>
        <v>57.683988168674361</v>
      </c>
      <c r="E119" s="87">
        <f t="shared" si="186"/>
        <v>97.819721638251124</v>
      </c>
      <c r="F119" s="11"/>
      <c r="G119" s="87">
        <f t="shared" si="187"/>
        <v>254.8715006168627</v>
      </c>
      <c r="H119" s="131">
        <f t="shared" si="188"/>
        <v>352.69122225511381</v>
      </c>
      <c r="I119" s="131"/>
      <c r="J119" s="136">
        <f t="shared" si="195"/>
        <v>1075.7044213418453</v>
      </c>
      <c r="K119" s="11"/>
      <c r="L119" s="136">
        <f t="shared" si="194"/>
        <v>1546.0268381717465</v>
      </c>
      <c r="M119" s="11"/>
      <c r="N119" s="136">
        <f t="shared" si="191"/>
        <v>2621.7312595135918</v>
      </c>
      <c r="O119" s="136">
        <f t="shared" si="192"/>
        <v>6830.9801861578235</v>
      </c>
      <c r="P119" s="137">
        <f t="shared" si="193"/>
        <v>26.801663464235411</v>
      </c>
      <c r="Q119" s="135"/>
      <c r="R119" s="11"/>
      <c r="S119" s="92"/>
      <c r="T119" s="92"/>
    </row>
    <row r="120" spans="1:20">
      <c r="A120" t="str">
        <f t="shared" si="185"/>
        <v>Jan. 2023</v>
      </c>
      <c r="C120" s="92">
        <f>+'KC Tonnage - Enspire'!R64+'KC Tonnage - Enspire'!S64</f>
        <v>48.482566596627464</v>
      </c>
      <c r="D120" s="92">
        <f>+'KC Tonnage - Enspire'!P64+'KC Tonnage - Enspire'!Q64</f>
        <v>57.485203636385009</v>
      </c>
      <c r="E120" s="87">
        <f t="shared" si="186"/>
        <v>105.96777023301247</v>
      </c>
      <c r="F120" s="11"/>
      <c r="G120" s="87">
        <f t="shared" si="187"/>
        <v>310.25210713086381</v>
      </c>
      <c r="H120" s="131">
        <f t="shared" si="188"/>
        <v>416.21987736387626</v>
      </c>
      <c r="I120" s="131"/>
      <c r="J120" s="136">
        <f t="shared" si="195"/>
        <v>1766.3583760765371</v>
      </c>
      <c r="K120" s="11"/>
      <c r="L120" s="136">
        <f t="shared" si="194"/>
        <v>2094.3501565912838</v>
      </c>
      <c r="M120" s="11"/>
      <c r="N120" s="136">
        <f t="shared" si="191"/>
        <v>3860.7085326678207</v>
      </c>
      <c r="O120" s="136">
        <f t="shared" si="192"/>
        <v>11303.37039879644</v>
      </c>
      <c r="P120" s="137">
        <f t="shared" si="193"/>
        <v>36.432856180501943</v>
      </c>
      <c r="Q120" s="135"/>
      <c r="R120" s="11"/>
      <c r="S120" s="92"/>
      <c r="T120" s="92"/>
    </row>
    <row r="121" spans="1:20">
      <c r="A121" t="str">
        <f t="shared" si="185"/>
        <v>Feb</v>
      </c>
      <c r="C121" s="92">
        <f>+'KC Tonnage - Enspire'!R68+'KC Tonnage - Enspire'!S68</f>
        <v>42.420724347380556</v>
      </c>
      <c r="D121" s="92">
        <f>+'KC Tonnage - Enspire'!P68+'KC Tonnage - Enspire'!Q68</f>
        <v>52.448574224387883</v>
      </c>
      <c r="E121" s="87">
        <f t="shared" si="186"/>
        <v>94.869298571768439</v>
      </c>
      <c r="F121" s="11"/>
      <c r="G121" s="87">
        <f t="shared" si="187"/>
        <v>231.92306094783657</v>
      </c>
      <c r="H121" s="131">
        <f t="shared" si="188"/>
        <v>326.79235951960504</v>
      </c>
      <c r="I121" s="131"/>
      <c r="J121" s="136">
        <f t="shared" si="195"/>
        <v>1880.7958322511993</v>
      </c>
      <c r="K121" s="11"/>
      <c r="L121" s="136">
        <f t="shared" si="194"/>
        <v>2325.397817372198</v>
      </c>
      <c r="M121" s="11"/>
      <c r="N121" s="136">
        <f t="shared" si="191"/>
        <v>4206.1936496233975</v>
      </c>
      <c r="O121" s="136">
        <f t="shared" si="192"/>
        <v>10282.70811364791</v>
      </c>
      <c r="P121" s="137">
        <f t="shared" si="193"/>
        <v>44.336721288620225</v>
      </c>
      <c r="Q121" s="135"/>
      <c r="R121" s="11"/>
      <c r="S121" s="92"/>
      <c r="T121" s="92"/>
    </row>
    <row r="122" spans="1:20">
      <c r="A122" t="str">
        <f t="shared" si="185"/>
        <v>Mar</v>
      </c>
      <c r="C122" s="92">
        <f>+'KC Tonnage - Enspire'!R72+'KC Tonnage - Enspire'!S72</f>
        <v>44.497386793999993</v>
      </c>
      <c r="D122" s="92">
        <f>+'KC Tonnage - Enspire'!P72+'KC Tonnage - Enspire'!Q72</f>
        <v>55.957265286000002</v>
      </c>
      <c r="E122" s="87">
        <f t="shared" si="186"/>
        <v>100.45465207999999</v>
      </c>
      <c r="F122" s="11"/>
      <c r="G122" s="87">
        <f t="shared" si="187"/>
        <v>260.01992286599989</v>
      </c>
      <c r="H122" s="131">
        <f t="shared" si="188"/>
        <v>360.47457494599985</v>
      </c>
      <c r="I122" s="131"/>
      <c r="J122" s="136">
        <f t="shared" si="195"/>
        <v>2131.7613815594527</v>
      </c>
      <c r="K122" s="11"/>
      <c r="L122" s="136">
        <f t="shared" si="194"/>
        <v>2680.776237638674</v>
      </c>
      <c r="M122" s="11"/>
      <c r="N122" s="136">
        <f t="shared" si="191"/>
        <v>4812.5376191981268</v>
      </c>
      <c r="O122" s="136">
        <f t="shared" si="192"/>
        <v>12456.920955109847</v>
      </c>
      <c r="P122" s="137">
        <f t="shared" si="193"/>
        <v>47.907563458241093</v>
      </c>
      <c r="Q122" s="135"/>
      <c r="R122" s="11"/>
      <c r="S122" s="92"/>
      <c r="T122" s="92"/>
    </row>
    <row r="123" spans="1:20">
      <c r="A123" t="str">
        <f t="shared" si="185"/>
        <v>Apr</v>
      </c>
      <c r="C123" s="92">
        <f>+'KC Tonnage - Enspire'!R76+'KC Tonnage - Enspire'!S76</f>
        <v>36.65</v>
      </c>
      <c r="D123" s="92">
        <f>+'KC Tonnage - Enspire'!P76+'KC Tonnage - Enspire'!Q76</f>
        <v>54.69</v>
      </c>
      <c r="E123" s="87">
        <f t="shared" si="186"/>
        <v>91.34</v>
      </c>
      <c r="F123" s="11"/>
      <c r="G123" s="87">
        <f t="shared" si="187"/>
        <v>225.12999999999988</v>
      </c>
      <c r="H123" s="131">
        <f t="shared" si="188"/>
        <v>316.46999999999991</v>
      </c>
      <c r="I123" s="131"/>
      <c r="J123" s="136">
        <f t="shared" si="195"/>
        <v>1848.431696553306</v>
      </c>
      <c r="K123" s="11"/>
      <c r="L123" s="136">
        <f t="shared" si="194"/>
        <v>2758.2736557844555</v>
      </c>
      <c r="M123" s="11"/>
      <c r="N123" s="136">
        <f t="shared" si="191"/>
        <v>4606.7053523377617</v>
      </c>
      <c r="O123" s="136">
        <f t="shared" si="192"/>
        <v>11354.363651979394</v>
      </c>
      <c r="P123" s="137">
        <f t="shared" si="193"/>
        <v>50.434698405274311</v>
      </c>
      <c r="Q123" s="135"/>
      <c r="R123" s="11"/>
      <c r="S123" s="92"/>
      <c r="T123" s="92"/>
    </row>
    <row r="124" spans="1:20">
      <c r="A124" t="str">
        <f t="shared" si="185"/>
        <v>May</v>
      </c>
      <c r="C124" s="92">
        <f>+'KC Tonnage - Enspire'!R80+'KC Tonnage - Enspire'!S80</f>
        <v>43.135801382065509</v>
      </c>
      <c r="D124" s="92">
        <f>+'KC Tonnage - Enspire'!P80+'KC Tonnage - Enspire'!Q80</f>
        <v>63.036514363267656</v>
      </c>
      <c r="E124" s="87">
        <f t="shared" si="186"/>
        <v>106.17231574533317</v>
      </c>
      <c r="F124" s="11"/>
      <c r="G124" s="87">
        <f t="shared" si="187"/>
        <v>275.91916950164091</v>
      </c>
      <c r="H124" s="131">
        <f t="shared" si="188"/>
        <v>382.09148524697406</v>
      </c>
      <c r="I124" s="131"/>
      <c r="J124" s="136">
        <f t="shared" si="195"/>
        <v>2150.7803685465374</v>
      </c>
      <c r="K124" s="11"/>
      <c r="L124" s="136">
        <f t="shared" si="194"/>
        <v>3143.0434407203752</v>
      </c>
      <c r="M124" s="11"/>
      <c r="N124" s="136">
        <f t="shared" si="191"/>
        <v>5293.8238092669126</v>
      </c>
      <c r="O124" s="136">
        <f t="shared" si="192"/>
        <v>13757.517283926631</v>
      </c>
      <c r="P124" s="137">
        <f t="shared" si="193"/>
        <v>49.860679519930279</v>
      </c>
      <c r="Q124" s="135"/>
      <c r="R124" s="11"/>
      <c r="S124" s="92"/>
      <c r="T124" s="92"/>
    </row>
    <row r="125" spans="1:20">
      <c r="A125" t="str">
        <f t="shared" si="185"/>
        <v>Jun</v>
      </c>
      <c r="C125" s="92">
        <f>+'KC Tonnage - Enspire'!R84+'KC Tonnage - Enspire'!S84</f>
        <v>44.816505552614728</v>
      </c>
      <c r="D125" s="92">
        <f>+'KC Tonnage - Enspire'!P84+'KC Tonnage - Enspire'!Q84</f>
        <v>57.161964050190271</v>
      </c>
      <c r="E125" s="87">
        <f t="shared" si="186"/>
        <v>101.97846960280501</v>
      </c>
      <c r="F125" s="11"/>
      <c r="G125" s="87">
        <f t="shared" si="187"/>
        <v>260.74777611597028</v>
      </c>
      <c r="H125" s="131">
        <f t="shared" si="188"/>
        <v>362.72624571877532</v>
      </c>
      <c r="I125" s="131"/>
      <c r="J125" s="136">
        <f t="shared" si="195"/>
        <v>2119.1035200783322</v>
      </c>
      <c r="K125" s="11"/>
      <c r="L125" s="136">
        <f t="shared" si="194"/>
        <v>2702.846144288063</v>
      </c>
      <c r="M125" s="11"/>
      <c r="N125" s="136">
        <f t="shared" si="191"/>
        <v>4821.9496643663952</v>
      </c>
      <c r="O125" s="136">
        <f t="shared" si="192"/>
        <v>12329.197098405013</v>
      </c>
      <c r="P125" s="137">
        <f t="shared" si="193"/>
        <v>47.283997133388674</v>
      </c>
      <c r="Q125" s="135"/>
      <c r="R125" s="11"/>
      <c r="S125" s="92"/>
      <c r="T125" s="92"/>
    </row>
    <row r="126" spans="1:20">
      <c r="A126" t="str">
        <f t="shared" si="185"/>
        <v>Jul</v>
      </c>
      <c r="C126" s="92">
        <f>+'KC Tonnage - Enspire'!R88+'KC Tonnage - Enspire'!S88</f>
        <v>45.3494159787586</v>
      </c>
      <c r="D126" s="92">
        <f>+'KC Tonnage - Enspire'!P88+'KC Tonnage - Enspire'!Q88</f>
        <v>63.202995337509527</v>
      </c>
      <c r="E126" s="87">
        <f t="shared" si="186"/>
        <v>108.55241131626812</v>
      </c>
      <c r="F126" s="11"/>
      <c r="G126" s="87">
        <f t="shared" si="187"/>
        <v>249.64389228752657</v>
      </c>
      <c r="H126" s="131">
        <f t="shared" si="188"/>
        <v>358.19630360379472</v>
      </c>
      <c r="I126" s="131"/>
      <c r="J126" s="136">
        <f t="shared" si="195"/>
        <v>1599.6491241897543</v>
      </c>
      <c r="K126" s="11"/>
      <c r="L126" s="136">
        <f t="shared" si="194"/>
        <v>2229.4138514412648</v>
      </c>
      <c r="M126" s="11"/>
      <c r="N126" s="136">
        <f t="shared" si="191"/>
        <v>3829.0629756310191</v>
      </c>
      <c r="O126" s="136">
        <f t="shared" si="192"/>
        <v>8805.9046635597842</v>
      </c>
      <c r="P126" s="137">
        <f t="shared" si="193"/>
        <v>35.273863834079357</v>
      </c>
      <c r="Q126" s="135"/>
      <c r="R126" s="11"/>
      <c r="S126" s="92"/>
      <c r="T126" s="92"/>
    </row>
    <row r="127" spans="1:20">
      <c r="A127" t="str">
        <f t="shared" si="185"/>
        <v>Aug</v>
      </c>
      <c r="C127" s="92">
        <f>+'KC Tonnage - Enspire'!R92+'KC Tonnage - Enspire'!S92</f>
        <v>46.858573524900187</v>
      </c>
      <c r="D127" s="92">
        <f>+'KC Tonnage - Enspire'!P92+'KC Tonnage - Enspire'!Q92</f>
        <v>65.39416704177043</v>
      </c>
      <c r="E127" s="87">
        <f t="shared" si="186"/>
        <v>112.25274056667061</v>
      </c>
      <c r="F127" s="11"/>
      <c r="G127" s="87">
        <f t="shared" si="187"/>
        <v>262.43459538922639</v>
      </c>
      <c r="H127" s="131">
        <f t="shared" si="188"/>
        <v>374.68733595589697</v>
      </c>
      <c r="I127" s="131"/>
      <c r="J127" s="136">
        <f t="shared" si="195"/>
        <v>1830.2494244696647</v>
      </c>
      <c r="K127" s="11"/>
      <c r="L127" s="136">
        <f t="shared" si="194"/>
        <v>2554.2313303300325</v>
      </c>
      <c r="M127" s="11"/>
      <c r="N127" s="136">
        <f t="shared" si="191"/>
        <v>4384.480754799697</v>
      </c>
      <c r="O127" s="136">
        <f t="shared" si="192"/>
        <v>10066.092011744113</v>
      </c>
      <c r="P127" s="137">
        <f t="shared" si="193"/>
        <v>38.567016762596779</v>
      </c>
      <c r="Q127" s="135"/>
      <c r="R127" s="11"/>
      <c r="S127" s="92"/>
      <c r="T127" s="92"/>
    </row>
    <row r="128" spans="1:20" ht="15">
      <c r="A128" t="str">
        <f t="shared" si="185"/>
        <v>Sep</v>
      </c>
      <c r="C128" s="393">
        <f>+'KC Tonnage - Enspire'!R96+'KC Tonnage - Enspire'!S96</f>
        <v>46.762517020294645</v>
      </c>
      <c r="D128" s="393">
        <f>+'KC Tonnage - Enspire'!P96+'KC Tonnage - Enspire'!Q96</f>
        <v>63.526917695961863</v>
      </c>
      <c r="E128" s="73">
        <f t="shared" si="186"/>
        <v>110.28943471625651</v>
      </c>
      <c r="F128" s="11"/>
      <c r="G128" s="140">
        <f t="shared" si="187"/>
        <v>246.56806117335418</v>
      </c>
      <c r="H128" s="149">
        <f>+G128+E128</f>
        <v>356.85749588961068</v>
      </c>
      <c r="I128" s="131"/>
      <c r="J128" s="139">
        <f t="shared" si="195"/>
        <v>2079.5484841330763</v>
      </c>
      <c r="K128" s="138"/>
      <c r="L128" s="139">
        <f t="shared" si="194"/>
        <v>2825.0683199741034</v>
      </c>
      <c r="M128" s="187"/>
      <c r="N128" s="139">
        <f t="shared" si="191"/>
        <v>4904.6168041071796</v>
      </c>
      <c r="O128" s="139">
        <f t="shared" si="192"/>
        <v>10722.036247213095</v>
      </c>
      <c r="P128" s="142">
        <f t="shared" si="193"/>
        <v>43.789616951619756</v>
      </c>
      <c r="Q128" s="135"/>
      <c r="R128" s="11"/>
      <c r="S128" s="11"/>
      <c r="T128" s="11"/>
    </row>
    <row r="129" spans="1:20" ht="15">
      <c r="C129" s="143">
        <f>SUM(C105:C128)</f>
        <v>970.69517098705433</v>
      </c>
      <c r="D129" s="143">
        <f t="shared" ref="D129:O129" si="196">SUM(D105:D128)</f>
        <v>1440.9120677002227</v>
      </c>
      <c r="E129" s="143">
        <f t="shared" si="196"/>
        <v>2411.607238687277</v>
      </c>
      <c r="F129" s="143"/>
      <c r="G129" s="143">
        <f t="shared" si="196"/>
        <v>6493.7062961854808</v>
      </c>
      <c r="H129" s="143">
        <f t="shared" si="196"/>
        <v>8905.313534872761</v>
      </c>
      <c r="I129" s="143"/>
      <c r="J129" s="145">
        <f t="shared" si="196"/>
        <v>50259.648612503028</v>
      </c>
      <c r="K129" s="145"/>
      <c r="L129" s="144">
        <f t="shared" si="196"/>
        <v>76943.603501184538</v>
      </c>
      <c r="M129" s="144"/>
      <c r="N129" s="144">
        <f t="shared" si="196"/>
        <v>127203.25211368757</v>
      </c>
      <c r="O129" s="144">
        <f t="shared" si="196"/>
        <v>343115.9193764262</v>
      </c>
      <c r="P129" s="145">
        <f>(O129+N129)/H129</f>
        <v>52.813319783561525</v>
      </c>
      <c r="Q129" s="146"/>
      <c r="R129" s="11"/>
      <c r="S129" s="11"/>
      <c r="T129" s="11"/>
    </row>
    <row r="130" spans="1:20" ht="16.5">
      <c r="B130" s="71" t="s">
        <v>92</v>
      </c>
      <c r="C130" s="162">
        <f>+C129/E129</f>
        <v>0.40250964394825667</v>
      </c>
      <c r="D130" s="163">
        <f>+D129/E129</f>
        <v>0.59749035605174328</v>
      </c>
      <c r="E130" s="133">
        <f>+E129/C59</f>
        <v>0.10439515848045346</v>
      </c>
      <c r="F130" s="11"/>
      <c r="G130" s="133">
        <f>+G129/D59</f>
        <v>0.12551566346234558</v>
      </c>
      <c r="H130" s="133">
        <f>+H129/E59</f>
        <v>0.11899616383211853</v>
      </c>
      <c r="I130" s="133"/>
      <c r="J130" s="11"/>
      <c r="K130" s="11"/>
      <c r="L130" s="11"/>
      <c r="M130" s="11"/>
      <c r="N130" s="133">
        <f>+N129/G59</f>
        <v>0.10388616485538719</v>
      </c>
      <c r="O130" s="133">
        <f>+O129/H59</f>
        <v>0.124754031269523</v>
      </c>
      <c r="P130" s="11"/>
      <c r="Q130" s="133"/>
      <c r="R130" s="91"/>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87"/>
      <c r="F132" s="11"/>
      <c r="G132" s="11"/>
      <c r="H132" s="11"/>
      <c r="I132" s="11"/>
      <c r="J132" s="11"/>
      <c r="K132" s="11"/>
      <c r="L132" s="11"/>
      <c r="M132" s="11"/>
      <c r="N132" s="11"/>
      <c r="O132" s="11"/>
      <c r="P132" s="11"/>
      <c r="Q132" s="11"/>
      <c r="R132" s="11"/>
      <c r="S132" s="11"/>
      <c r="T132" s="11"/>
    </row>
    <row r="133" spans="1:20" ht="16.5">
      <c r="A133" s="69"/>
      <c r="C133" s="150"/>
      <c r="D133" s="150"/>
      <c r="E133" s="151"/>
      <c r="F133" s="11"/>
      <c r="G133" s="152"/>
      <c r="H133" s="152"/>
      <c r="I133" s="11"/>
      <c r="J133" s="11"/>
      <c r="K133" s="11"/>
      <c r="L133" s="11"/>
      <c r="M133" s="11"/>
      <c r="N133" s="155"/>
      <c r="O133" s="155"/>
      <c r="P133" s="15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87"/>
    </row>
    <row r="160" spans="5:5">
      <c r="E160" s="87"/>
    </row>
    <row r="161" spans="5:5">
      <c r="E161" s="87"/>
    </row>
    <row r="162" spans="5:5">
      <c r="E162" s="87"/>
    </row>
    <row r="163" spans="5:5">
      <c r="E163" s="87"/>
    </row>
    <row r="164" spans="5:5">
      <c r="E164" s="87"/>
    </row>
    <row r="165" spans="5:5">
      <c r="E165" s="87"/>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97"/>
  <sheetViews>
    <sheetView workbookViewId="0">
      <pane xSplit="2" ySplit="1" topLeftCell="D41" activePane="bottomRight" state="frozen"/>
      <selection pane="topRight" activeCell="C1" sqref="C1"/>
      <selection pane="bottomLeft" activeCell="A2" sqref="A2"/>
      <selection pane="bottomRight" activeCell="V43" sqref="V43"/>
    </sheetView>
  </sheetViews>
  <sheetFormatPr defaultRowHeight="12.75"/>
  <cols>
    <col min="1" max="1" width="14.42578125" bestFit="1" customWidth="1"/>
    <col min="2" max="3" width="8.5703125" bestFit="1" customWidth="1"/>
    <col min="4" max="4" width="9.2851562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56" t="s">
        <v>155</v>
      </c>
      <c r="B1" s="56" t="s">
        <v>156</v>
      </c>
      <c r="C1" s="56" t="s">
        <v>157</v>
      </c>
      <c r="D1" s="56" t="s">
        <v>158</v>
      </c>
      <c r="E1" s="56" t="s">
        <v>159</v>
      </c>
      <c r="F1" s="56" t="s">
        <v>160</v>
      </c>
      <c r="G1" s="56" t="s">
        <v>161</v>
      </c>
      <c r="H1" s="56" t="s">
        <v>162</v>
      </c>
      <c r="I1" s="56" t="s">
        <v>163</v>
      </c>
      <c r="J1" s="56" t="s">
        <v>164</v>
      </c>
      <c r="K1" s="56" t="s">
        <v>165</v>
      </c>
      <c r="L1" s="56" t="s">
        <v>166</v>
      </c>
      <c r="M1" s="56" t="s">
        <v>167</v>
      </c>
      <c r="N1" s="56" t="s">
        <v>168</v>
      </c>
      <c r="O1" s="56" t="s">
        <v>169</v>
      </c>
      <c r="P1" s="56" t="s">
        <v>170</v>
      </c>
      <c r="Q1" s="56" t="s">
        <v>171</v>
      </c>
      <c r="R1" s="56" t="s">
        <v>281</v>
      </c>
      <c r="S1" s="56" t="s">
        <v>261</v>
      </c>
      <c r="T1" s="56" t="s">
        <v>172</v>
      </c>
      <c r="U1" s="56"/>
      <c r="V1" s="14" t="s">
        <v>65</v>
      </c>
    </row>
    <row r="2" spans="1:23" ht="15">
      <c r="A2" s="56" t="s">
        <v>173</v>
      </c>
      <c r="B2" s="56"/>
      <c r="C2" s="56"/>
      <c r="D2" s="56"/>
      <c r="E2" s="56"/>
      <c r="F2" s="56"/>
      <c r="G2" s="56"/>
      <c r="H2" s="56"/>
      <c r="I2" s="56"/>
      <c r="J2" s="56"/>
      <c r="K2" s="56"/>
      <c r="L2" s="56"/>
      <c r="M2" s="56"/>
      <c r="N2" s="56"/>
      <c r="O2" s="56"/>
      <c r="P2" s="56"/>
      <c r="Q2" s="56"/>
      <c r="R2" s="56"/>
      <c r="S2" s="56"/>
      <c r="T2" s="56"/>
      <c r="U2" s="56"/>
      <c r="V2" s="14"/>
    </row>
    <row r="3" spans="1:23">
      <c r="A3" t="s">
        <v>19</v>
      </c>
      <c r="B3" t="s">
        <v>174</v>
      </c>
      <c r="C3" s="407">
        <v>13.91</v>
      </c>
      <c r="D3" s="407">
        <v>312.85000000000002</v>
      </c>
      <c r="E3" s="407">
        <v>0.05</v>
      </c>
      <c r="F3" s="407">
        <v>72.319999999999993</v>
      </c>
      <c r="G3" s="407">
        <v>385.26</v>
      </c>
      <c r="H3" s="407">
        <v>580.4</v>
      </c>
      <c r="I3" s="407">
        <v>73.97</v>
      </c>
      <c r="J3" s="407">
        <v>37.25</v>
      </c>
      <c r="K3" s="407">
        <v>28.09</v>
      </c>
      <c r="L3" s="407">
        <v>353.69</v>
      </c>
      <c r="M3" s="407">
        <v>0.34</v>
      </c>
      <c r="N3" s="407">
        <v>115.33</v>
      </c>
      <c r="O3" s="407">
        <v>66.45</v>
      </c>
      <c r="P3" s="407">
        <v>132.47999999999999</v>
      </c>
      <c r="Q3" s="407">
        <v>255.86</v>
      </c>
      <c r="R3" s="407">
        <v>344.64</v>
      </c>
      <c r="S3" s="407">
        <v>53.44</v>
      </c>
      <c r="T3" s="47">
        <f>SUM(C3:S3)</f>
        <v>2826.33</v>
      </c>
      <c r="V3" s="181">
        <f>+S3+R3+Q3+P3</f>
        <v>786.42000000000007</v>
      </c>
    </row>
    <row r="4" spans="1:23">
      <c r="A4" t="s">
        <v>175</v>
      </c>
      <c r="B4" t="s">
        <v>174</v>
      </c>
      <c r="C4" s="407">
        <v>0.02</v>
      </c>
      <c r="D4" s="407">
        <v>123.49</v>
      </c>
      <c r="E4" s="407">
        <v>1.55</v>
      </c>
      <c r="F4" s="407">
        <v>1.1399999999999999</v>
      </c>
      <c r="G4" s="407">
        <v>140.09</v>
      </c>
      <c r="H4" s="407">
        <v>251.26</v>
      </c>
      <c r="I4" s="407">
        <v>9.94</v>
      </c>
      <c r="J4" s="407">
        <v>3.28</v>
      </c>
      <c r="K4" s="407">
        <v>2.7</v>
      </c>
      <c r="L4" s="407">
        <v>177.31</v>
      </c>
      <c r="M4" s="407"/>
      <c r="N4" s="407">
        <v>1.61</v>
      </c>
      <c r="O4" s="407">
        <v>48.72</v>
      </c>
      <c r="P4" s="407">
        <v>5.0599999999999996</v>
      </c>
      <c r="Q4" s="407">
        <v>52.02</v>
      </c>
      <c r="R4" s="407">
        <v>8.5</v>
      </c>
      <c r="S4" s="407">
        <v>26.17</v>
      </c>
      <c r="T4" s="47">
        <f t="shared" ref="T4:T8" si="0">SUM(C4:S4)</f>
        <v>852.8599999999999</v>
      </c>
      <c r="V4" s="181">
        <f>+S4+R4+Q4+P4</f>
        <v>91.75</v>
      </c>
      <c r="W4" s="181"/>
    </row>
    <row r="5" spans="1:23">
      <c r="C5" s="407"/>
      <c r="D5" s="407"/>
      <c r="E5" s="407"/>
      <c r="F5" s="407"/>
      <c r="G5" s="407"/>
      <c r="H5" s="407"/>
      <c r="I5" s="407"/>
      <c r="J5" s="407"/>
      <c r="K5" s="407"/>
      <c r="L5" s="407"/>
      <c r="M5" s="407"/>
      <c r="N5" s="407"/>
      <c r="O5" s="407"/>
      <c r="P5" s="407"/>
      <c r="Q5" s="407"/>
      <c r="R5" s="407"/>
      <c r="S5" s="407"/>
      <c r="T5" s="47"/>
      <c r="V5" s="181">
        <f t="shared" ref="V5:V68" si="1">+S5+R5+Q5+P5</f>
        <v>0</v>
      </c>
    </row>
    <row r="6" spans="1:23" ht="15">
      <c r="A6" s="56" t="s">
        <v>176</v>
      </c>
      <c r="C6" s="89"/>
      <c r="D6" s="89"/>
      <c r="E6" s="89"/>
      <c r="F6" s="89"/>
      <c r="G6" s="89"/>
      <c r="H6" s="89"/>
      <c r="I6" s="89"/>
      <c r="J6" s="89"/>
      <c r="K6" s="89"/>
      <c r="L6" s="89"/>
      <c r="M6" s="89"/>
      <c r="N6" s="89"/>
      <c r="O6" s="89"/>
      <c r="P6" s="89"/>
      <c r="Q6" s="89"/>
      <c r="R6" s="89"/>
      <c r="S6" s="89"/>
      <c r="T6" s="47"/>
      <c r="V6" s="181">
        <f t="shared" si="1"/>
        <v>0</v>
      </c>
    </row>
    <row r="7" spans="1:23">
      <c r="A7" t="s">
        <v>19</v>
      </c>
      <c r="B7" t="s">
        <v>174</v>
      </c>
      <c r="C7" s="407">
        <v>15.43</v>
      </c>
      <c r="D7" s="407">
        <v>371.24</v>
      </c>
      <c r="E7" s="407">
        <v>0.05</v>
      </c>
      <c r="F7" s="407">
        <v>72.37</v>
      </c>
      <c r="G7" s="407">
        <v>447.92</v>
      </c>
      <c r="H7" s="407">
        <v>690.19</v>
      </c>
      <c r="I7" s="407">
        <v>77.5</v>
      </c>
      <c r="J7" s="407">
        <v>46.13</v>
      </c>
      <c r="K7" s="407">
        <v>30.71</v>
      </c>
      <c r="L7" s="407">
        <v>407.4</v>
      </c>
      <c r="M7" s="407">
        <v>0.56999999999999995</v>
      </c>
      <c r="N7" s="407">
        <v>144.33000000000001</v>
      </c>
      <c r="O7" s="407">
        <v>70.959999999999994</v>
      </c>
      <c r="P7" s="407">
        <v>159.46</v>
      </c>
      <c r="Q7" s="407">
        <v>324.67</v>
      </c>
      <c r="R7" s="407">
        <v>423.93</v>
      </c>
      <c r="S7" s="407">
        <v>66.25</v>
      </c>
      <c r="T7" s="47">
        <f t="shared" si="0"/>
        <v>3349.11</v>
      </c>
      <c r="U7" s="47"/>
      <c r="V7" s="181">
        <f t="shared" si="1"/>
        <v>974.31000000000006</v>
      </c>
    </row>
    <row r="8" spans="1:23">
      <c r="A8" t="s">
        <v>175</v>
      </c>
      <c r="B8" t="s">
        <v>174</v>
      </c>
      <c r="C8" s="407">
        <v>0.02</v>
      </c>
      <c r="D8" s="407">
        <v>136.51</v>
      </c>
      <c r="E8" s="407">
        <v>1.86</v>
      </c>
      <c r="F8" s="407">
        <v>1.27</v>
      </c>
      <c r="G8" s="407">
        <v>172.5</v>
      </c>
      <c r="H8" s="407">
        <v>307.02999999999997</v>
      </c>
      <c r="I8" s="407">
        <v>13.52</v>
      </c>
      <c r="J8" s="407">
        <v>4.28</v>
      </c>
      <c r="K8" s="407">
        <v>3.35</v>
      </c>
      <c r="L8" s="407">
        <v>205.62</v>
      </c>
      <c r="M8" s="407"/>
      <c r="N8" s="407">
        <v>1.76</v>
      </c>
      <c r="O8" s="407">
        <v>55.2</v>
      </c>
      <c r="P8" s="407">
        <v>5.62</v>
      </c>
      <c r="Q8" s="407">
        <v>63.21</v>
      </c>
      <c r="R8" s="407">
        <v>8.4</v>
      </c>
      <c r="S8" s="407">
        <v>28.6</v>
      </c>
      <c r="T8" s="47">
        <f t="shared" si="0"/>
        <v>1008.7500000000001</v>
      </c>
      <c r="U8" s="47"/>
      <c r="V8" s="181">
        <f t="shared" si="1"/>
        <v>105.83000000000001</v>
      </c>
      <c r="W8" s="181"/>
    </row>
    <row r="9" spans="1:23">
      <c r="C9" s="407"/>
      <c r="D9" s="407"/>
      <c r="E9" s="407"/>
      <c r="F9" s="407"/>
      <c r="G9" s="407"/>
      <c r="H9" s="407"/>
      <c r="I9" s="407"/>
      <c r="J9" s="407"/>
      <c r="K9" s="407"/>
      <c r="L9" s="407"/>
      <c r="M9" s="407"/>
      <c r="N9" s="407"/>
      <c r="O9" s="407"/>
      <c r="P9" s="407"/>
      <c r="Q9" s="407"/>
      <c r="R9" s="407"/>
      <c r="S9" s="407"/>
      <c r="T9" s="47"/>
      <c r="U9" s="47"/>
      <c r="V9" s="181">
        <f t="shared" si="1"/>
        <v>0</v>
      </c>
    </row>
    <row r="10" spans="1:23" ht="15">
      <c r="A10" s="56" t="s">
        <v>177</v>
      </c>
      <c r="C10" s="407"/>
      <c r="D10" s="407"/>
      <c r="E10" s="407"/>
      <c r="F10" s="407"/>
      <c r="G10" s="407"/>
      <c r="H10" s="407"/>
      <c r="I10" s="407"/>
      <c r="J10" s="407"/>
      <c r="K10" s="407"/>
      <c r="L10" s="407"/>
      <c r="M10" s="407"/>
      <c r="N10" s="407"/>
      <c r="O10" s="407"/>
      <c r="P10" s="407"/>
      <c r="Q10" s="407"/>
      <c r="R10" s="407"/>
      <c r="S10" s="407"/>
      <c r="T10" s="47"/>
      <c r="U10" s="47"/>
      <c r="V10" s="181">
        <f t="shared" si="1"/>
        <v>0</v>
      </c>
    </row>
    <row r="11" spans="1:23">
      <c r="A11" t="s">
        <v>19</v>
      </c>
      <c r="B11" t="s">
        <v>174</v>
      </c>
      <c r="C11" s="407">
        <v>14.68</v>
      </c>
      <c r="D11" s="407">
        <v>284.02999999999997</v>
      </c>
      <c r="E11" s="407">
        <v>0.04</v>
      </c>
      <c r="F11" s="407">
        <v>72.03</v>
      </c>
      <c r="G11" s="407">
        <v>355.58</v>
      </c>
      <c r="H11" s="407">
        <v>534.69000000000005</v>
      </c>
      <c r="I11" s="407">
        <v>102.79</v>
      </c>
      <c r="J11" s="407">
        <v>66.150000000000006</v>
      </c>
      <c r="K11" s="407">
        <v>29.11</v>
      </c>
      <c r="L11" s="407">
        <v>322.63</v>
      </c>
      <c r="M11" s="407">
        <v>0.2</v>
      </c>
      <c r="N11" s="407">
        <v>100.63</v>
      </c>
      <c r="O11" s="407">
        <v>90.63</v>
      </c>
      <c r="P11" s="407">
        <v>127.51</v>
      </c>
      <c r="Q11" s="407">
        <v>320.83999999999997</v>
      </c>
      <c r="R11" s="407">
        <v>316.13</v>
      </c>
      <c r="S11" s="407">
        <v>55.11</v>
      </c>
      <c r="T11" s="47">
        <f>SUM(C11:S11)</f>
        <v>2792.7800000000007</v>
      </c>
      <c r="U11" s="47"/>
      <c r="V11" s="181">
        <f t="shared" si="1"/>
        <v>819.58999999999992</v>
      </c>
    </row>
    <row r="12" spans="1:23">
      <c r="A12" t="s">
        <v>175</v>
      </c>
      <c r="B12" t="s">
        <v>174</v>
      </c>
      <c r="C12" s="407">
        <v>0.01</v>
      </c>
      <c r="D12" s="407">
        <v>103.04</v>
      </c>
      <c r="E12" s="407">
        <v>1.51</v>
      </c>
      <c r="F12" s="407">
        <v>1.26</v>
      </c>
      <c r="G12" s="407">
        <v>133.88999999999999</v>
      </c>
      <c r="H12" s="407">
        <v>237.45</v>
      </c>
      <c r="I12" s="407">
        <v>9.09</v>
      </c>
      <c r="J12" s="407">
        <v>3.11</v>
      </c>
      <c r="K12" s="407">
        <v>2.39</v>
      </c>
      <c r="L12" s="407">
        <v>173.2</v>
      </c>
      <c r="M12" s="407"/>
      <c r="N12" s="407">
        <v>1.47</v>
      </c>
      <c r="O12" s="407">
        <v>44.12</v>
      </c>
      <c r="P12" s="407">
        <v>5.23</v>
      </c>
      <c r="Q12" s="407">
        <v>49.61</v>
      </c>
      <c r="R12" s="407">
        <v>8.09</v>
      </c>
      <c r="S12" s="407">
        <v>27.7</v>
      </c>
      <c r="T12" s="47">
        <f t="shared" ref="T12:T16" si="2">SUM(C12:S12)</f>
        <v>801.17000000000007</v>
      </c>
      <c r="U12" s="47"/>
      <c r="V12" s="181">
        <f t="shared" si="1"/>
        <v>90.63000000000001</v>
      </c>
      <c r="W12" s="181"/>
    </row>
    <row r="13" spans="1:23">
      <c r="C13" s="89"/>
      <c r="D13" s="89"/>
      <c r="E13" s="89"/>
      <c r="F13" s="89"/>
      <c r="G13" s="89"/>
      <c r="H13" s="89"/>
      <c r="I13" s="89"/>
      <c r="J13" s="89"/>
      <c r="K13" s="89"/>
      <c r="L13" s="89"/>
      <c r="M13" s="89"/>
      <c r="N13" s="89"/>
      <c r="O13" s="89"/>
      <c r="P13" s="89"/>
      <c r="Q13" s="89"/>
      <c r="R13" s="89"/>
      <c r="S13" s="89"/>
      <c r="T13" s="47"/>
      <c r="V13" s="181">
        <f t="shared" si="1"/>
        <v>0</v>
      </c>
    </row>
    <row r="14" spans="1:23" ht="15">
      <c r="A14" s="56" t="s">
        <v>188</v>
      </c>
      <c r="C14" s="89"/>
      <c r="D14" s="89"/>
      <c r="E14" s="89"/>
      <c r="F14" s="89"/>
      <c r="G14" s="89"/>
      <c r="H14" s="89"/>
      <c r="I14" s="89"/>
      <c r="J14" s="89"/>
      <c r="K14" s="89"/>
      <c r="L14" s="89"/>
      <c r="M14" s="89"/>
      <c r="N14" s="89"/>
      <c r="O14" s="89"/>
      <c r="P14" s="89"/>
      <c r="Q14" s="89"/>
      <c r="R14" s="89"/>
      <c r="S14" s="89"/>
      <c r="T14" s="47"/>
      <c r="V14" s="181">
        <f t="shared" si="1"/>
        <v>0</v>
      </c>
    </row>
    <row r="15" spans="1:23">
      <c r="A15" t="s">
        <v>19</v>
      </c>
      <c r="B15" t="s">
        <v>174</v>
      </c>
      <c r="C15" s="407">
        <v>17.100000000000001</v>
      </c>
      <c r="D15" s="407">
        <v>365.76</v>
      </c>
      <c r="E15" s="407">
        <v>0.06</v>
      </c>
      <c r="F15" s="407">
        <v>83.86</v>
      </c>
      <c r="G15" s="407">
        <v>560.86</v>
      </c>
      <c r="H15" s="407">
        <v>746.55</v>
      </c>
      <c r="I15" s="407">
        <v>102.86</v>
      </c>
      <c r="J15" s="407">
        <v>53.89</v>
      </c>
      <c r="K15" s="407">
        <v>30.88</v>
      </c>
      <c r="L15" s="407">
        <v>442.87</v>
      </c>
      <c r="M15" s="407">
        <v>0.47</v>
      </c>
      <c r="N15" s="407">
        <v>112.88</v>
      </c>
      <c r="O15" s="407">
        <v>88.51</v>
      </c>
      <c r="P15" s="407">
        <v>155.71</v>
      </c>
      <c r="Q15" s="407">
        <v>348.82</v>
      </c>
      <c r="R15" s="407">
        <v>471.02</v>
      </c>
      <c r="S15" s="407">
        <v>66.44</v>
      </c>
      <c r="T15" s="47">
        <f t="shared" si="2"/>
        <v>3648.5400000000004</v>
      </c>
      <c r="V15" s="181">
        <f t="shared" si="1"/>
        <v>1041.99</v>
      </c>
    </row>
    <row r="16" spans="1:23">
      <c r="A16" t="s">
        <v>175</v>
      </c>
      <c r="B16" t="s">
        <v>174</v>
      </c>
      <c r="C16" s="407">
        <v>0.02</v>
      </c>
      <c r="D16" s="407">
        <v>151.59</v>
      </c>
      <c r="E16" s="407">
        <v>1.94</v>
      </c>
      <c r="F16" s="407">
        <v>1.54</v>
      </c>
      <c r="G16" s="407">
        <v>181.64</v>
      </c>
      <c r="H16" s="407">
        <v>332.42</v>
      </c>
      <c r="I16" s="407">
        <v>25.3</v>
      </c>
      <c r="J16" s="407">
        <v>4.26</v>
      </c>
      <c r="K16" s="407">
        <v>3.69</v>
      </c>
      <c r="L16" s="407">
        <v>238.52</v>
      </c>
      <c r="M16" s="407"/>
      <c r="N16" s="407">
        <v>1.64</v>
      </c>
      <c r="O16" s="407">
        <v>53.89</v>
      </c>
      <c r="P16" s="407">
        <v>6.41</v>
      </c>
      <c r="Q16" s="407">
        <v>66.19</v>
      </c>
      <c r="R16" s="407">
        <v>10.92</v>
      </c>
      <c r="S16" s="407">
        <v>37.270000000000003</v>
      </c>
      <c r="T16" s="47">
        <f t="shared" si="2"/>
        <v>1117.24</v>
      </c>
      <c r="V16" s="181">
        <f t="shared" si="1"/>
        <v>120.78999999999999</v>
      </c>
      <c r="W16" s="181"/>
    </row>
    <row r="17" spans="1:23">
      <c r="C17" s="89"/>
      <c r="D17" s="89"/>
      <c r="E17" s="89"/>
      <c r="F17" s="89"/>
      <c r="G17" s="89"/>
      <c r="H17" s="89"/>
      <c r="I17" s="89"/>
      <c r="J17" s="89"/>
      <c r="K17" s="89"/>
      <c r="L17" s="89"/>
      <c r="M17" s="89"/>
      <c r="N17" s="89"/>
      <c r="O17" s="89"/>
      <c r="P17" s="89"/>
      <c r="Q17" s="89"/>
      <c r="R17" s="89"/>
      <c r="S17" s="89"/>
      <c r="V17" s="181">
        <f t="shared" si="1"/>
        <v>0</v>
      </c>
    </row>
    <row r="18" spans="1:23" ht="15">
      <c r="A18" s="56" t="s">
        <v>189</v>
      </c>
      <c r="C18" s="89"/>
      <c r="D18" s="89"/>
      <c r="E18" s="89"/>
      <c r="F18" s="89"/>
      <c r="G18" s="89"/>
      <c r="H18" s="89"/>
      <c r="I18" s="89"/>
      <c r="J18" s="89"/>
      <c r="K18" s="89"/>
      <c r="L18" s="89"/>
      <c r="M18" s="89"/>
      <c r="N18" s="89"/>
      <c r="O18" s="89"/>
      <c r="P18" s="89"/>
      <c r="Q18" s="89"/>
      <c r="R18" s="89"/>
      <c r="S18" s="89"/>
      <c r="V18" s="181">
        <f t="shared" si="1"/>
        <v>0</v>
      </c>
    </row>
    <row r="19" spans="1:23">
      <c r="A19" t="s">
        <v>19</v>
      </c>
      <c r="B19" t="s">
        <v>174</v>
      </c>
      <c r="C19" s="407">
        <v>12.53</v>
      </c>
      <c r="D19" s="407">
        <v>272.3</v>
      </c>
      <c r="E19" s="407">
        <v>0.04</v>
      </c>
      <c r="F19" s="407">
        <v>66.17</v>
      </c>
      <c r="G19" s="407">
        <v>320.51</v>
      </c>
      <c r="H19" s="407">
        <v>565.1</v>
      </c>
      <c r="I19" s="407">
        <v>100.09</v>
      </c>
      <c r="J19" s="407">
        <v>49.4</v>
      </c>
      <c r="K19" s="407">
        <v>25.53</v>
      </c>
      <c r="L19" s="407">
        <v>339.08</v>
      </c>
      <c r="M19" s="407">
        <v>0.35</v>
      </c>
      <c r="N19" s="407">
        <v>111.65</v>
      </c>
      <c r="O19" s="407">
        <v>86.68</v>
      </c>
      <c r="P19" s="407">
        <f>121.13+0.02</f>
        <v>121.14999999999999</v>
      </c>
      <c r="Q19" s="407">
        <v>273.75</v>
      </c>
      <c r="R19" s="407">
        <v>332.97</v>
      </c>
      <c r="S19" s="407">
        <v>55.07</v>
      </c>
      <c r="T19" s="47">
        <f>SUM(C19:S19)</f>
        <v>2732.3700000000003</v>
      </c>
      <c r="V19" s="181">
        <f t="shared" si="1"/>
        <v>782.93999999999994</v>
      </c>
    </row>
    <row r="20" spans="1:23">
      <c r="A20" t="s">
        <v>175</v>
      </c>
      <c r="B20" t="s">
        <v>174</v>
      </c>
      <c r="C20" s="407">
        <v>0.02</v>
      </c>
      <c r="D20" s="407">
        <v>113.44</v>
      </c>
      <c r="E20" s="407">
        <v>1.53</v>
      </c>
      <c r="F20" s="407">
        <v>1.21</v>
      </c>
      <c r="G20" s="407">
        <v>129.15</v>
      </c>
      <c r="H20" s="407">
        <v>245.93</v>
      </c>
      <c r="I20" s="407">
        <v>18.3</v>
      </c>
      <c r="J20" s="407">
        <v>3.24</v>
      </c>
      <c r="K20" s="407">
        <v>2.31</v>
      </c>
      <c r="L20" s="407">
        <v>176.35</v>
      </c>
      <c r="M20" s="407"/>
      <c r="N20" s="407">
        <v>1.59</v>
      </c>
      <c r="O20" s="407">
        <v>44.9</v>
      </c>
      <c r="P20" s="407">
        <v>4.53</v>
      </c>
      <c r="Q20" s="407">
        <v>50.08</v>
      </c>
      <c r="R20" s="407">
        <v>7.85</v>
      </c>
      <c r="S20" s="407">
        <v>26.2</v>
      </c>
      <c r="T20" s="47">
        <f t="shared" ref="T20:T36" si="3">SUM(C20:S20)</f>
        <v>826.63</v>
      </c>
      <c r="V20" s="181">
        <f t="shared" si="1"/>
        <v>88.66</v>
      </c>
      <c r="W20" s="181"/>
    </row>
    <row r="21" spans="1:23">
      <c r="C21" s="89"/>
      <c r="D21" s="89"/>
      <c r="E21" s="89"/>
      <c r="F21" s="89"/>
      <c r="G21" s="89"/>
      <c r="H21" s="89"/>
      <c r="I21" s="89"/>
      <c r="J21" s="89"/>
      <c r="K21" s="89"/>
      <c r="L21" s="89"/>
      <c r="M21" s="89"/>
      <c r="N21" s="89"/>
      <c r="O21" s="89"/>
      <c r="P21" s="89"/>
      <c r="Q21" s="89"/>
      <c r="R21" s="89"/>
      <c r="S21" s="89"/>
      <c r="T21" s="47"/>
      <c r="V21" s="181">
        <f t="shared" si="1"/>
        <v>0</v>
      </c>
    </row>
    <row r="22" spans="1:23" ht="15">
      <c r="A22" s="56" t="s">
        <v>190</v>
      </c>
      <c r="C22" s="89"/>
      <c r="D22" s="89"/>
      <c r="E22" s="89"/>
      <c r="F22" s="89"/>
      <c r="G22" s="89"/>
      <c r="H22" s="89"/>
      <c r="I22" s="89"/>
      <c r="J22" s="89"/>
      <c r="K22" s="89"/>
      <c r="L22" s="89"/>
      <c r="M22" s="89"/>
      <c r="N22" s="89"/>
      <c r="O22" s="89"/>
      <c r="P22" s="89"/>
      <c r="Q22" s="89"/>
      <c r="R22" s="89"/>
      <c r="S22" s="89"/>
      <c r="T22" s="47"/>
      <c r="V22" s="181">
        <f t="shared" si="1"/>
        <v>0</v>
      </c>
    </row>
    <row r="23" spans="1:23">
      <c r="A23" t="s">
        <v>19</v>
      </c>
      <c r="B23" t="s">
        <v>174</v>
      </c>
      <c r="C23" s="407">
        <v>20.25</v>
      </c>
      <c r="D23" s="407">
        <v>330.5</v>
      </c>
      <c r="E23" s="407">
        <v>0.04</v>
      </c>
      <c r="F23" s="407">
        <v>67.510000000000005</v>
      </c>
      <c r="G23" s="407">
        <v>391.92</v>
      </c>
      <c r="H23" s="407">
        <v>642.25</v>
      </c>
      <c r="I23" s="407">
        <v>95.89</v>
      </c>
      <c r="J23" s="407">
        <v>59.15</v>
      </c>
      <c r="K23" s="407">
        <v>31.45</v>
      </c>
      <c r="L23" s="407">
        <v>394.82</v>
      </c>
      <c r="M23" s="407">
        <v>0.36</v>
      </c>
      <c r="N23" s="407">
        <v>130.30000000000001</v>
      </c>
      <c r="O23" s="407">
        <v>79.22</v>
      </c>
      <c r="P23" s="407">
        <v>158.94</v>
      </c>
      <c r="Q23" s="407">
        <v>317.11</v>
      </c>
      <c r="R23" s="407">
        <v>375.42</v>
      </c>
      <c r="S23" s="407">
        <v>62.37</v>
      </c>
      <c r="T23" s="47">
        <f t="shared" si="3"/>
        <v>3157.5</v>
      </c>
      <c r="V23" s="181">
        <f t="shared" si="1"/>
        <v>913.84000000000015</v>
      </c>
    </row>
    <row r="24" spans="1:23">
      <c r="A24" t="s">
        <v>175</v>
      </c>
      <c r="B24" t="s">
        <v>174</v>
      </c>
      <c r="C24" s="407">
        <v>0.02</v>
      </c>
      <c r="D24" s="407">
        <v>132.96</v>
      </c>
      <c r="E24" s="407">
        <v>1.72</v>
      </c>
      <c r="F24" s="407">
        <v>0.95</v>
      </c>
      <c r="G24" s="407">
        <v>148.37</v>
      </c>
      <c r="H24" s="407">
        <v>287.10000000000002</v>
      </c>
      <c r="I24" s="407">
        <v>23.48</v>
      </c>
      <c r="J24" s="407">
        <v>23.48</v>
      </c>
      <c r="K24" s="407">
        <v>2.85</v>
      </c>
      <c r="L24" s="407">
        <v>202.31</v>
      </c>
      <c r="M24" s="407"/>
      <c r="N24" s="407">
        <v>2.0099999999999998</v>
      </c>
      <c r="O24" s="407">
        <v>55.5</v>
      </c>
      <c r="P24" s="407">
        <v>7.25</v>
      </c>
      <c r="Q24" s="407">
        <v>62.06</v>
      </c>
      <c r="R24" s="407">
        <v>8.81</v>
      </c>
      <c r="S24" s="407">
        <v>29.26</v>
      </c>
      <c r="T24" s="47">
        <f t="shared" si="3"/>
        <v>988.12999999999988</v>
      </c>
      <c r="V24" s="181">
        <f t="shared" si="1"/>
        <v>107.38</v>
      </c>
      <c r="W24" s="181"/>
    </row>
    <row r="25" spans="1:23">
      <c r="C25" s="89"/>
      <c r="D25" s="89"/>
      <c r="E25" s="89"/>
      <c r="F25" s="89"/>
      <c r="G25" s="89"/>
      <c r="H25" s="89"/>
      <c r="I25" s="89"/>
      <c r="J25" s="89"/>
      <c r="K25" s="89"/>
      <c r="L25" s="89"/>
      <c r="M25" s="89"/>
      <c r="N25" s="89"/>
      <c r="O25" s="89"/>
      <c r="P25" s="89"/>
      <c r="Q25" s="89"/>
      <c r="R25" s="89"/>
      <c r="S25" s="89"/>
      <c r="T25" s="47"/>
      <c r="V25" s="181">
        <f t="shared" si="1"/>
        <v>0</v>
      </c>
    </row>
    <row r="26" spans="1:23" ht="15">
      <c r="A26" s="56" t="s">
        <v>191</v>
      </c>
      <c r="C26" s="89"/>
      <c r="D26" s="89"/>
      <c r="E26" s="89"/>
      <c r="F26" s="89"/>
      <c r="G26" s="89"/>
      <c r="H26" s="89"/>
      <c r="I26" s="89"/>
      <c r="J26" s="89"/>
      <c r="K26" s="89"/>
      <c r="L26" s="89"/>
      <c r="M26" s="89"/>
      <c r="N26" s="89"/>
      <c r="O26" s="89"/>
      <c r="P26" s="89"/>
      <c r="Q26" s="89"/>
      <c r="R26" s="89"/>
      <c r="S26" s="89"/>
      <c r="T26" s="47"/>
      <c r="V26" s="181">
        <f t="shared" si="1"/>
        <v>0</v>
      </c>
    </row>
    <row r="27" spans="1:23">
      <c r="A27" t="s">
        <v>19</v>
      </c>
      <c r="B27" t="s">
        <v>174</v>
      </c>
      <c r="C27" s="407">
        <v>11.35</v>
      </c>
      <c r="D27" s="407">
        <v>306.69</v>
      </c>
      <c r="E27" s="89">
        <v>0.05</v>
      </c>
      <c r="F27" s="89">
        <v>65.52</v>
      </c>
      <c r="G27" s="407">
        <v>342.5</v>
      </c>
      <c r="H27" s="89">
        <v>549.69000000000005</v>
      </c>
      <c r="I27" s="407">
        <v>84.77</v>
      </c>
      <c r="J27" s="407">
        <v>35.24</v>
      </c>
      <c r="K27" s="407">
        <v>25.3</v>
      </c>
      <c r="L27" s="89">
        <v>327.52</v>
      </c>
      <c r="M27" s="89">
        <v>0.34</v>
      </c>
      <c r="N27" s="89">
        <v>109.88</v>
      </c>
      <c r="O27" s="407">
        <v>70.56</v>
      </c>
      <c r="P27" s="407">
        <v>127.22</v>
      </c>
      <c r="Q27" s="407">
        <v>255.2</v>
      </c>
      <c r="R27" s="89">
        <v>330.43</v>
      </c>
      <c r="S27" s="89">
        <v>52.32</v>
      </c>
      <c r="T27" s="47">
        <f t="shared" si="3"/>
        <v>2694.5799999999995</v>
      </c>
      <c r="V27" s="181">
        <f t="shared" si="1"/>
        <v>765.17000000000007</v>
      </c>
    </row>
    <row r="28" spans="1:23">
      <c r="A28" t="s">
        <v>175</v>
      </c>
      <c r="B28" t="s">
        <v>174</v>
      </c>
      <c r="C28" s="407">
        <v>0.01</v>
      </c>
      <c r="D28" s="407">
        <v>117.52</v>
      </c>
      <c r="E28" s="89">
        <v>1.47</v>
      </c>
      <c r="F28" s="89">
        <v>1.06</v>
      </c>
      <c r="G28" s="407">
        <v>117.88</v>
      </c>
      <c r="H28" s="89">
        <v>241.77</v>
      </c>
      <c r="I28" s="407">
        <v>18.53</v>
      </c>
      <c r="J28" s="407">
        <v>2.95</v>
      </c>
      <c r="K28" s="407">
        <v>2.5099999999999998</v>
      </c>
      <c r="L28" s="89">
        <v>172.79</v>
      </c>
      <c r="M28" s="89"/>
      <c r="N28" s="89">
        <v>1.53</v>
      </c>
      <c r="O28" s="407">
        <v>43.65</v>
      </c>
      <c r="P28" s="407">
        <v>4.79</v>
      </c>
      <c r="Q28" s="407">
        <v>51.84</v>
      </c>
      <c r="R28" s="89">
        <v>7.39</v>
      </c>
      <c r="S28" s="89">
        <v>27.77</v>
      </c>
      <c r="T28" s="47">
        <f t="shared" si="3"/>
        <v>813.45999999999992</v>
      </c>
      <c r="V28" s="181">
        <f t="shared" si="1"/>
        <v>91.79</v>
      </c>
      <c r="W28" s="181"/>
    </row>
    <row r="29" spans="1:23">
      <c r="C29" s="89"/>
      <c r="D29" s="89"/>
      <c r="E29" s="89"/>
      <c r="F29" s="89"/>
      <c r="G29" s="89"/>
      <c r="H29" s="89"/>
      <c r="I29" s="89"/>
      <c r="J29" s="89"/>
      <c r="K29" s="89"/>
      <c r="L29" s="89"/>
      <c r="M29" s="89"/>
      <c r="N29" s="89"/>
      <c r="O29" s="89"/>
      <c r="P29" s="89"/>
      <c r="Q29" s="89"/>
      <c r="R29" s="89"/>
      <c r="S29" s="89"/>
      <c r="T29" s="47"/>
      <c r="V29" s="181"/>
    </row>
    <row r="30" spans="1:23" ht="15">
      <c r="A30" s="56" t="s">
        <v>52</v>
      </c>
      <c r="C30" s="89"/>
      <c r="D30" s="89"/>
      <c r="E30" s="89"/>
      <c r="F30" s="89"/>
      <c r="G30" s="89"/>
      <c r="H30" s="89"/>
      <c r="I30" s="89"/>
      <c r="J30" s="89"/>
      <c r="K30" s="89"/>
      <c r="L30" s="89"/>
      <c r="M30" s="89"/>
      <c r="N30" s="89"/>
      <c r="O30" s="89"/>
      <c r="P30" s="89"/>
      <c r="Q30" s="89"/>
      <c r="R30" s="89"/>
      <c r="S30" s="89"/>
      <c r="T30" s="47"/>
      <c r="V30" s="181"/>
    </row>
    <row r="31" spans="1:23">
      <c r="A31" t="s">
        <v>19</v>
      </c>
      <c r="B31" t="s">
        <v>174</v>
      </c>
      <c r="C31" s="407">
        <v>13.15</v>
      </c>
      <c r="D31" s="407">
        <v>322.76</v>
      </c>
      <c r="E31" s="89">
        <v>0.05</v>
      </c>
      <c r="F31" s="89">
        <v>66.900000000000006</v>
      </c>
      <c r="G31" s="407">
        <v>391.83</v>
      </c>
      <c r="H31" s="89">
        <v>627.02</v>
      </c>
      <c r="I31" s="407">
        <v>72.319999999999993</v>
      </c>
      <c r="J31" s="407">
        <v>50.81</v>
      </c>
      <c r="K31" s="407">
        <v>26.54</v>
      </c>
      <c r="L31" s="89">
        <v>373.26</v>
      </c>
      <c r="M31" s="89">
        <v>0.53</v>
      </c>
      <c r="N31" s="89">
        <v>128.91</v>
      </c>
      <c r="O31" s="407">
        <v>80.34</v>
      </c>
      <c r="P31" s="407">
        <v>139.46</v>
      </c>
      <c r="Q31" s="407">
        <v>275.35000000000002</v>
      </c>
      <c r="R31" s="89">
        <v>383.47</v>
      </c>
      <c r="S31" s="407">
        <v>59.75</v>
      </c>
      <c r="T31" s="47">
        <f t="shared" si="3"/>
        <v>3012.45</v>
      </c>
      <c r="V31" s="181">
        <f t="shared" si="1"/>
        <v>858.03000000000009</v>
      </c>
    </row>
    <row r="32" spans="1:23">
      <c r="A32" t="s">
        <v>175</v>
      </c>
      <c r="B32" t="s">
        <v>174</v>
      </c>
      <c r="C32" s="407">
        <v>0.02</v>
      </c>
      <c r="D32" s="407">
        <v>132.30000000000001</v>
      </c>
      <c r="E32" s="89">
        <v>1.53</v>
      </c>
      <c r="F32" s="89">
        <v>1.17</v>
      </c>
      <c r="G32" s="407">
        <v>127.59</v>
      </c>
      <c r="H32" s="89">
        <v>269.95</v>
      </c>
      <c r="I32" s="407">
        <v>20.63</v>
      </c>
      <c r="J32" s="407">
        <v>3.74</v>
      </c>
      <c r="K32" s="407">
        <v>2.8</v>
      </c>
      <c r="L32" s="89">
        <v>190.57</v>
      </c>
      <c r="M32" s="89"/>
      <c r="N32" s="89">
        <v>1.56</v>
      </c>
      <c r="O32" s="407">
        <v>49.56</v>
      </c>
      <c r="P32" s="407">
        <v>4.88</v>
      </c>
      <c r="Q32" s="407">
        <v>58.04</v>
      </c>
      <c r="R32" s="89">
        <v>8.25</v>
      </c>
      <c r="S32" s="89">
        <v>29.14</v>
      </c>
      <c r="T32" s="47">
        <f t="shared" si="3"/>
        <v>901.72999999999979</v>
      </c>
      <c r="V32" s="181">
        <f t="shared" si="1"/>
        <v>100.31</v>
      </c>
      <c r="W32" s="181"/>
    </row>
    <row r="33" spans="1:23">
      <c r="C33" s="89"/>
      <c r="D33" s="89"/>
      <c r="E33" s="89"/>
      <c r="F33" s="89"/>
      <c r="G33" s="89"/>
      <c r="H33" s="89"/>
      <c r="I33" s="89"/>
      <c r="J33" s="89"/>
      <c r="K33" s="89"/>
      <c r="L33" s="89"/>
      <c r="M33" s="89"/>
      <c r="N33" s="89"/>
      <c r="O33" s="89"/>
      <c r="P33" s="89"/>
      <c r="Q33" s="89"/>
      <c r="R33" s="89"/>
      <c r="S33" s="89"/>
      <c r="T33" s="47"/>
      <c r="V33" s="181"/>
    </row>
    <row r="34" spans="1:23" ht="15">
      <c r="A34" s="56" t="s">
        <v>196</v>
      </c>
      <c r="C34" s="89"/>
      <c r="D34" s="89"/>
      <c r="E34" s="89"/>
      <c r="F34" s="89"/>
      <c r="G34" s="89"/>
      <c r="H34" s="89"/>
      <c r="I34" s="89"/>
      <c r="J34" s="89"/>
      <c r="K34" s="89"/>
      <c r="L34" s="89"/>
      <c r="M34" s="89"/>
      <c r="N34" s="89"/>
      <c r="O34" s="89"/>
      <c r="P34" s="89"/>
      <c r="Q34" s="89"/>
      <c r="R34" s="89"/>
      <c r="S34" s="89"/>
      <c r="T34" s="47"/>
      <c r="V34" s="181"/>
    </row>
    <row r="35" spans="1:23">
      <c r="A35" t="s">
        <v>19</v>
      </c>
      <c r="B35" t="s">
        <v>174</v>
      </c>
      <c r="C35" s="407">
        <v>13.62</v>
      </c>
      <c r="D35" s="407">
        <v>326.93</v>
      </c>
      <c r="E35" s="407">
        <v>0.04</v>
      </c>
      <c r="F35" s="407">
        <v>69.09</v>
      </c>
      <c r="G35" s="407">
        <v>404.17</v>
      </c>
      <c r="H35" s="407">
        <v>643.82000000000005</v>
      </c>
      <c r="I35" s="407">
        <v>86.71</v>
      </c>
      <c r="J35" s="407">
        <v>37.36</v>
      </c>
      <c r="K35" s="407">
        <v>26.79</v>
      </c>
      <c r="L35" s="407">
        <v>369.39</v>
      </c>
      <c r="M35" s="407">
        <v>0.37</v>
      </c>
      <c r="N35" s="407">
        <v>130.16</v>
      </c>
      <c r="O35" s="407">
        <v>73.239999999999995</v>
      </c>
      <c r="P35" s="407">
        <v>142.55000000000001</v>
      </c>
      <c r="Q35" s="407">
        <v>330.84</v>
      </c>
      <c r="R35" s="407">
        <v>384.76</v>
      </c>
      <c r="S35" s="407">
        <v>55.91</v>
      </c>
      <c r="T35" s="47">
        <f t="shared" si="3"/>
        <v>3095.75</v>
      </c>
      <c r="V35" s="181">
        <f t="shared" si="1"/>
        <v>914.06</v>
      </c>
    </row>
    <row r="36" spans="1:23" ht="12" customHeight="1">
      <c r="A36" t="s">
        <v>175</v>
      </c>
      <c r="B36" t="s">
        <v>174</v>
      </c>
      <c r="C36" s="407">
        <v>0.01</v>
      </c>
      <c r="D36" s="407">
        <v>137.1</v>
      </c>
      <c r="E36" s="407">
        <v>1.72</v>
      </c>
      <c r="F36" s="407">
        <v>1.24</v>
      </c>
      <c r="G36" s="407">
        <v>132.16999999999999</v>
      </c>
      <c r="H36" s="407">
        <v>267.37</v>
      </c>
      <c r="I36" s="407">
        <v>21.18</v>
      </c>
      <c r="J36" s="407">
        <v>3.29</v>
      </c>
      <c r="K36" s="407">
        <v>2.98</v>
      </c>
      <c r="L36" s="407">
        <v>199.55</v>
      </c>
      <c r="M36" s="407"/>
      <c r="N36" s="407">
        <v>1.84</v>
      </c>
      <c r="O36" s="407">
        <v>49.77</v>
      </c>
      <c r="P36" s="407">
        <v>4.2</v>
      </c>
      <c r="Q36" s="407">
        <f>54.97+2.03</f>
        <v>57</v>
      </c>
      <c r="R36" s="407">
        <v>9.0399999999999991</v>
      </c>
      <c r="S36" s="407">
        <v>30.37</v>
      </c>
      <c r="T36" s="47">
        <f t="shared" si="3"/>
        <v>918.82999999999993</v>
      </c>
      <c r="V36" s="181">
        <f t="shared" si="1"/>
        <v>100.61</v>
      </c>
      <c r="W36" s="181"/>
    </row>
    <row r="37" spans="1:23">
      <c r="C37" s="89"/>
      <c r="D37" s="89"/>
      <c r="E37" s="89"/>
      <c r="F37" s="89"/>
      <c r="G37" s="89"/>
      <c r="H37" s="89"/>
      <c r="I37" s="89"/>
      <c r="J37" s="89"/>
      <c r="K37" s="89"/>
      <c r="L37" s="89"/>
      <c r="M37" s="89"/>
      <c r="N37" s="89"/>
      <c r="O37" s="89"/>
      <c r="P37" s="89"/>
      <c r="Q37" s="89"/>
      <c r="R37" s="89"/>
      <c r="S37" s="89"/>
      <c r="V37" s="181">
        <f t="shared" si="1"/>
        <v>0</v>
      </c>
    </row>
    <row r="38" spans="1:23" ht="15">
      <c r="A38" s="56" t="s">
        <v>197</v>
      </c>
      <c r="C38" s="89"/>
      <c r="D38" s="89"/>
      <c r="E38" s="89"/>
      <c r="F38" s="89"/>
      <c r="G38" s="89"/>
      <c r="H38" s="89"/>
      <c r="I38" s="89"/>
      <c r="J38" s="89"/>
      <c r="K38" s="89"/>
      <c r="L38" s="89"/>
      <c r="M38" s="89"/>
      <c r="N38" s="89"/>
      <c r="O38" s="89"/>
      <c r="P38" s="89"/>
      <c r="Q38" s="89"/>
      <c r="R38" s="89"/>
      <c r="S38" s="89"/>
      <c r="T38" s="47"/>
      <c r="V38" s="181">
        <f t="shared" si="1"/>
        <v>0</v>
      </c>
    </row>
    <row r="39" spans="1:23">
      <c r="A39" t="s">
        <v>19</v>
      </c>
      <c r="B39" t="s">
        <v>174</v>
      </c>
      <c r="C39" s="407">
        <v>14.61</v>
      </c>
      <c r="D39" s="407">
        <v>295.61</v>
      </c>
      <c r="E39" s="407">
        <v>0.04</v>
      </c>
      <c r="F39" s="407">
        <v>65.27</v>
      </c>
      <c r="G39" s="407">
        <v>348.42</v>
      </c>
      <c r="H39" s="407">
        <v>544.01</v>
      </c>
      <c r="I39" s="407">
        <v>76.11</v>
      </c>
      <c r="J39" s="407">
        <v>46.66</v>
      </c>
      <c r="K39" s="407">
        <v>22.16</v>
      </c>
      <c r="L39" s="407">
        <v>326.14999999999998</v>
      </c>
      <c r="M39" s="407">
        <v>0.33</v>
      </c>
      <c r="N39" s="407">
        <v>110.03</v>
      </c>
      <c r="O39" s="407">
        <v>98.43</v>
      </c>
      <c r="P39" s="407">
        <v>125.68</v>
      </c>
      <c r="Q39" s="407">
        <v>282.33</v>
      </c>
      <c r="R39" s="407">
        <v>339.49</v>
      </c>
      <c r="S39" s="407">
        <v>56.09</v>
      </c>
      <c r="T39" s="47">
        <f t="shared" ref="T39:T40" si="4">SUM(C39:S39)</f>
        <v>2751.42</v>
      </c>
      <c r="V39" s="181">
        <f t="shared" si="1"/>
        <v>803.59000000000015</v>
      </c>
    </row>
    <row r="40" spans="1:23">
      <c r="A40" t="s">
        <v>175</v>
      </c>
      <c r="B40" t="s">
        <v>174</v>
      </c>
      <c r="C40" s="407">
        <v>0.03</v>
      </c>
      <c r="D40" s="407">
        <v>123.18</v>
      </c>
      <c r="E40" s="407">
        <v>1.45</v>
      </c>
      <c r="F40" s="407">
        <v>1.18</v>
      </c>
      <c r="G40" s="407">
        <v>112.07</v>
      </c>
      <c r="H40" s="407">
        <v>237.22</v>
      </c>
      <c r="I40" s="407">
        <v>15.33</v>
      </c>
      <c r="J40" s="407">
        <v>3.27</v>
      </c>
      <c r="K40" s="407">
        <v>2.37</v>
      </c>
      <c r="L40" s="407">
        <v>175.1</v>
      </c>
      <c r="M40" s="407"/>
      <c r="N40" s="407">
        <v>1.47</v>
      </c>
      <c r="O40" s="407">
        <v>44.77</v>
      </c>
      <c r="P40" s="407">
        <v>4.6399999999999997</v>
      </c>
      <c r="Q40" s="407">
        <f>48.77+2.51</f>
        <v>51.28</v>
      </c>
      <c r="R40" s="407">
        <v>7.21</v>
      </c>
      <c r="S40" s="407">
        <v>27.25</v>
      </c>
      <c r="T40" s="47">
        <f t="shared" si="4"/>
        <v>807.81999999999994</v>
      </c>
      <c r="V40" s="181">
        <f t="shared" si="1"/>
        <v>90.38000000000001</v>
      </c>
      <c r="W40" s="181"/>
    </row>
    <row r="41" spans="1:23">
      <c r="C41" s="89"/>
      <c r="D41" s="89"/>
      <c r="E41" s="89"/>
      <c r="F41" s="89"/>
      <c r="G41" s="89"/>
      <c r="H41" s="89"/>
      <c r="I41" s="89"/>
      <c r="J41" s="89"/>
      <c r="K41" s="89"/>
      <c r="L41" s="89"/>
      <c r="M41" s="89"/>
      <c r="N41" s="89"/>
      <c r="O41" s="89"/>
      <c r="P41" s="89"/>
      <c r="Q41" s="89"/>
      <c r="R41" s="89"/>
      <c r="S41" s="89"/>
      <c r="V41" s="181">
        <f t="shared" si="1"/>
        <v>0</v>
      </c>
    </row>
    <row r="42" spans="1:23" ht="15">
      <c r="A42" s="56" t="s">
        <v>198</v>
      </c>
      <c r="C42" s="89"/>
      <c r="D42" s="89"/>
      <c r="E42" s="89"/>
      <c r="F42" s="89"/>
      <c r="G42" s="89"/>
      <c r="H42" s="89"/>
      <c r="I42" s="89"/>
      <c r="J42" s="89"/>
      <c r="K42" s="89"/>
      <c r="L42" s="89"/>
      <c r="M42" s="89"/>
      <c r="N42" s="89"/>
      <c r="O42" s="89"/>
      <c r="P42" s="89"/>
      <c r="Q42" s="89"/>
      <c r="R42" s="89"/>
      <c r="S42" s="89"/>
      <c r="T42" s="47"/>
      <c r="V42" s="181">
        <f t="shared" si="1"/>
        <v>0</v>
      </c>
    </row>
    <row r="43" spans="1:23">
      <c r="A43" t="s">
        <v>19</v>
      </c>
      <c r="B43" t="s">
        <v>174</v>
      </c>
      <c r="C43" s="407">
        <v>12.65</v>
      </c>
      <c r="D43" s="407">
        <v>315.8</v>
      </c>
      <c r="E43" s="407">
        <v>0.05</v>
      </c>
      <c r="F43" s="407">
        <v>64</v>
      </c>
      <c r="G43" s="407">
        <v>348.72</v>
      </c>
      <c r="H43" s="407">
        <v>617.1</v>
      </c>
      <c r="I43" s="407">
        <v>107.8</v>
      </c>
      <c r="J43" s="407">
        <v>62.41</v>
      </c>
      <c r="K43" s="407">
        <v>36.15</v>
      </c>
      <c r="L43" s="407">
        <v>362.83</v>
      </c>
      <c r="M43" s="407">
        <v>0.33</v>
      </c>
      <c r="N43" s="407">
        <v>121.63</v>
      </c>
      <c r="O43" s="407">
        <v>71.34</v>
      </c>
      <c r="P43" s="407">
        <v>155.75</v>
      </c>
      <c r="Q43" s="407">
        <v>271.08999999999997</v>
      </c>
      <c r="R43" s="407">
        <v>372.64</v>
      </c>
      <c r="S43" s="407">
        <v>58.64</v>
      </c>
      <c r="T43" s="47">
        <f t="shared" ref="T43:T44" si="5">SUM(C43:S43)</f>
        <v>2978.9300000000003</v>
      </c>
      <c r="V43" s="181">
        <f t="shared" si="1"/>
        <v>858.11999999999989</v>
      </c>
    </row>
    <row r="44" spans="1:23">
      <c r="A44" t="s">
        <v>175</v>
      </c>
      <c r="B44" t="s">
        <v>174</v>
      </c>
      <c r="C44" s="407">
        <v>0.01</v>
      </c>
      <c r="D44" s="407">
        <v>130.93</v>
      </c>
      <c r="E44" s="407">
        <v>1.59</v>
      </c>
      <c r="F44" s="407">
        <v>1.1299999999999999</v>
      </c>
      <c r="G44" s="407">
        <v>123.63</v>
      </c>
      <c r="H44" s="407">
        <v>267.14999999999998</v>
      </c>
      <c r="I44" s="407">
        <v>18.16</v>
      </c>
      <c r="J44" s="407">
        <v>3.55</v>
      </c>
      <c r="K44" s="407">
        <v>2.78</v>
      </c>
      <c r="L44" s="407">
        <v>193.48</v>
      </c>
      <c r="M44" s="407"/>
      <c r="N44" s="407">
        <v>1.35</v>
      </c>
      <c r="O44" s="407">
        <v>45.66</v>
      </c>
      <c r="P44" s="407">
        <v>5.28</v>
      </c>
      <c r="Q44" s="407">
        <f>59.48+2.97</f>
        <v>62.449999999999996</v>
      </c>
      <c r="R44" s="407">
        <v>8.75</v>
      </c>
      <c r="S44" s="407">
        <v>30.69</v>
      </c>
      <c r="T44" s="47">
        <f t="shared" si="5"/>
        <v>896.58999999999992</v>
      </c>
      <c r="V44" s="181">
        <f t="shared" si="1"/>
        <v>107.16999999999999</v>
      </c>
      <c r="W44" s="181"/>
    </row>
    <row r="45" spans="1:23">
      <c r="C45" s="89"/>
      <c r="D45" s="89"/>
      <c r="E45" s="89"/>
      <c r="F45" s="89"/>
      <c r="G45" s="89"/>
      <c r="H45" s="89"/>
      <c r="I45" s="89"/>
      <c r="J45" s="89"/>
      <c r="K45" s="89"/>
      <c r="L45" s="89"/>
      <c r="M45" s="89"/>
      <c r="N45" s="89"/>
      <c r="O45" s="89"/>
      <c r="P45" s="89"/>
      <c r="Q45" s="89"/>
      <c r="R45" s="89"/>
      <c r="S45" s="89"/>
      <c r="V45" s="181">
        <f t="shared" si="1"/>
        <v>0</v>
      </c>
    </row>
    <row r="46" spans="1:23" ht="15">
      <c r="A46" s="56" t="s">
        <v>199</v>
      </c>
      <c r="C46" s="89"/>
      <c r="D46" s="89"/>
      <c r="E46" s="89"/>
      <c r="F46" s="89"/>
      <c r="G46" s="89"/>
      <c r="H46" s="89"/>
      <c r="I46" s="89"/>
      <c r="J46" s="89"/>
      <c r="K46" s="89"/>
      <c r="L46" s="89"/>
      <c r="M46" s="89"/>
      <c r="N46" s="89"/>
      <c r="O46" s="89"/>
      <c r="P46" s="89"/>
      <c r="Q46" s="89"/>
      <c r="R46" s="89"/>
      <c r="S46" s="89"/>
      <c r="T46" s="47"/>
      <c r="V46" s="181">
        <f t="shared" si="1"/>
        <v>0</v>
      </c>
    </row>
    <row r="47" spans="1:23" s="22" customFormat="1">
      <c r="A47" s="22" t="s">
        <v>19</v>
      </c>
      <c r="B47" s="22" t="s">
        <v>174</v>
      </c>
      <c r="C47" s="429">
        <v>18.73</v>
      </c>
      <c r="D47" s="429">
        <v>310.93</v>
      </c>
      <c r="E47" s="429">
        <v>0.05</v>
      </c>
      <c r="F47" s="429">
        <v>74.8</v>
      </c>
      <c r="G47" s="429">
        <v>381.72</v>
      </c>
      <c r="H47" s="429">
        <v>580.46</v>
      </c>
      <c r="I47" s="429">
        <v>71.48</v>
      </c>
      <c r="J47" s="429">
        <v>38.619999999999997</v>
      </c>
      <c r="K47" s="429">
        <v>25.41</v>
      </c>
      <c r="L47" s="429">
        <v>348.19</v>
      </c>
      <c r="M47" s="429">
        <v>0.33</v>
      </c>
      <c r="N47" s="429">
        <v>112.09</v>
      </c>
      <c r="O47" s="429">
        <v>65.319999999999993</v>
      </c>
      <c r="P47" s="429">
        <v>131.6</v>
      </c>
      <c r="Q47" s="429">
        <v>273.48</v>
      </c>
      <c r="R47" s="429">
        <v>332.24</v>
      </c>
      <c r="S47" s="429">
        <v>55.48</v>
      </c>
      <c r="T47" s="430">
        <f t="shared" ref="T47:T48" si="6">SUM(C47:S47)</f>
        <v>2820.93</v>
      </c>
      <c r="V47" s="431">
        <f t="shared" si="1"/>
        <v>792.80000000000007</v>
      </c>
    </row>
    <row r="48" spans="1:23" s="22" customFormat="1">
      <c r="A48" s="22" t="s">
        <v>175</v>
      </c>
      <c r="B48" s="22" t="s">
        <v>174</v>
      </c>
      <c r="C48" s="429">
        <v>7.0000000000000007E-2</v>
      </c>
      <c r="D48" s="429">
        <v>126.34</v>
      </c>
      <c r="E48" s="429">
        <v>1.49</v>
      </c>
      <c r="F48" s="429">
        <v>1.39</v>
      </c>
      <c r="G48" s="429">
        <v>120.77</v>
      </c>
      <c r="H48" s="429">
        <v>250.55</v>
      </c>
      <c r="I48" s="429">
        <v>19.02</v>
      </c>
      <c r="J48" s="429">
        <v>2.95</v>
      </c>
      <c r="K48" s="429">
        <v>2.63</v>
      </c>
      <c r="L48" s="429">
        <v>185.95</v>
      </c>
      <c r="M48" s="429"/>
      <c r="N48" s="429">
        <v>1.63</v>
      </c>
      <c r="O48" s="429">
        <v>46.31</v>
      </c>
      <c r="P48" s="429">
        <v>5.88</v>
      </c>
      <c r="Q48" s="429">
        <f>54.03+2.78</f>
        <v>56.81</v>
      </c>
      <c r="R48" s="429">
        <v>7.87</v>
      </c>
      <c r="S48" s="429">
        <v>31.16</v>
      </c>
      <c r="T48" s="430">
        <f t="shared" si="6"/>
        <v>860.82000000000016</v>
      </c>
      <c r="V48" s="431">
        <f t="shared" si="1"/>
        <v>101.72</v>
      </c>
      <c r="W48" s="431"/>
    </row>
    <row r="49" spans="1:23">
      <c r="C49" s="89"/>
      <c r="D49" s="89"/>
      <c r="E49" s="89"/>
      <c r="F49" s="89"/>
      <c r="G49" s="89"/>
      <c r="H49" s="89"/>
      <c r="I49" s="89"/>
      <c r="J49" s="89"/>
      <c r="K49" s="89"/>
      <c r="L49" s="89"/>
      <c r="M49" s="89"/>
      <c r="N49" s="89"/>
      <c r="O49" s="89"/>
      <c r="P49" s="89"/>
      <c r="Q49" s="89"/>
      <c r="R49" s="89"/>
      <c r="S49" s="89"/>
      <c r="V49" s="181">
        <f t="shared" si="1"/>
        <v>0</v>
      </c>
    </row>
    <row r="50" spans="1:23" ht="15">
      <c r="A50" s="56" t="s">
        <v>200</v>
      </c>
      <c r="C50" s="89"/>
      <c r="D50" s="89"/>
      <c r="E50" s="89"/>
      <c r="F50" s="89"/>
      <c r="G50" s="89"/>
      <c r="H50" s="89"/>
      <c r="I50" s="89"/>
      <c r="J50" s="89"/>
      <c r="K50" s="89"/>
      <c r="L50" s="89"/>
      <c r="M50" s="89"/>
      <c r="N50" s="89"/>
      <c r="O50" s="89"/>
      <c r="P50" s="89"/>
      <c r="Q50" s="89"/>
      <c r="R50" s="89"/>
      <c r="S50" s="89"/>
      <c r="T50" s="47"/>
      <c r="V50" s="181">
        <f t="shared" si="1"/>
        <v>0</v>
      </c>
    </row>
    <row r="51" spans="1:23">
      <c r="A51" t="s">
        <v>19</v>
      </c>
      <c r="B51" t="s">
        <v>174</v>
      </c>
      <c r="C51" s="407">
        <v>12.6437811522558</v>
      </c>
      <c r="D51" s="407">
        <v>287.32243790987729</v>
      </c>
      <c r="E51" s="407">
        <v>4.5430483693581498E-2</v>
      </c>
      <c r="F51" s="407">
        <v>64.354883875331893</v>
      </c>
      <c r="G51" s="407">
        <v>360.20453581552999</v>
      </c>
      <c r="H51" s="407">
        <v>570.29011877543303</v>
      </c>
      <c r="I51" s="407">
        <v>74.054366411992802</v>
      </c>
      <c r="J51" s="407">
        <v>35.173114526055798</v>
      </c>
      <c r="K51" s="407">
        <v>24.522385657009</v>
      </c>
      <c r="L51" s="407">
        <v>335.51281776977697</v>
      </c>
      <c r="M51" s="407">
        <v>0.49506657526958198</v>
      </c>
      <c r="N51" s="407">
        <v>113.232149271715</v>
      </c>
      <c r="O51" s="407">
        <v>72.7741906776224</v>
      </c>
      <c r="P51" s="407">
        <v>123.360929725069</v>
      </c>
      <c r="Q51" s="407">
        <v>289.90902631931903</v>
      </c>
      <c r="R51" s="407">
        <v>362.03379198731199</v>
      </c>
      <c r="S51" s="407">
        <v>53.557773110984101</v>
      </c>
      <c r="T51" s="47">
        <f t="shared" ref="T51:T52" si="7">SUM(C51:S51)</f>
        <v>2779.486800044247</v>
      </c>
      <c r="V51" s="181">
        <f t="shared" si="1"/>
        <v>828.86152114268418</v>
      </c>
    </row>
    <row r="52" spans="1:23">
      <c r="A52" t="s">
        <v>175</v>
      </c>
      <c r="B52" t="s">
        <v>174</v>
      </c>
      <c r="C52" s="407">
        <v>9.7346061857741001E-2</v>
      </c>
      <c r="D52" s="407">
        <v>119.63655061762699</v>
      </c>
      <c r="E52" s="407">
        <v>1.5085434526078201</v>
      </c>
      <c r="F52" s="407">
        <v>1.2998864484499499</v>
      </c>
      <c r="G52" s="407">
        <v>119.244990133423</v>
      </c>
      <c r="H52" s="407">
        <v>241.97317104551001</v>
      </c>
      <c r="I52" s="407">
        <v>19.5908236595521</v>
      </c>
      <c r="J52" s="407">
        <v>3.1061311508070002</v>
      </c>
      <c r="K52" s="407">
        <v>2.6517210128875601</v>
      </c>
      <c r="L52" s="407">
        <v>180.68062499195801</v>
      </c>
      <c r="M52" s="407">
        <v>0</v>
      </c>
      <c r="N52" s="407">
        <v>1.48861150126399</v>
      </c>
      <c r="O52" s="407">
        <v>38.608518572139502</v>
      </c>
      <c r="P52" s="407">
        <v>4.5606191797567197</v>
      </c>
      <c r="Q52" s="407">
        <v>49.426728257641201</v>
      </c>
      <c r="R52" s="407">
        <v>7.2194964304365401</v>
      </c>
      <c r="S52" s="407">
        <v>31.3271017972274</v>
      </c>
      <c r="T52" s="47">
        <f t="shared" si="7"/>
        <v>822.42086431314556</v>
      </c>
      <c r="V52" s="181">
        <f t="shared" si="1"/>
        <v>92.53394566506185</v>
      </c>
      <c r="W52" s="181"/>
    </row>
    <row r="53" spans="1:23">
      <c r="C53" s="89"/>
      <c r="D53" s="89"/>
      <c r="E53" s="89"/>
      <c r="F53" s="89"/>
      <c r="G53" s="89"/>
      <c r="H53" s="89"/>
      <c r="I53" s="89"/>
      <c r="J53" s="89"/>
      <c r="K53" s="89"/>
      <c r="L53" s="89"/>
      <c r="M53" s="89"/>
      <c r="N53" s="89"/>
      <c r="O53" s="89"/>
      <c r="P53" s="89"/>
      <c r="Q53" s="89"/>
      <c r="R53" s="89"/>
      <c r="S53" s="89"/>
      <c r="V53" s="181">
        <f t="shared" si="1"/>
        <v>0</v>
      </c>
    </row>
    <row r="54" spans="1:23" ht="15">
      <c r="A54" s="56" t="s">
        <v>201</v>
      </c>
      <c r="C54" s="89"/>
      <c r="D54" s="89"/>
      <c r="E54" s="89"/>
      <c r="F54" s="89"/>
      <c r="G54" s="89"/>
      <c r="H54" s="89"/>
      <c r="I54" s="89"/>
      <c r="J54" s="89"/>
      <c r="K54" s="89"/>
      <c r="L54" s="89"/>
      <c r="M54" s="89"/>
      <c r="N54" s="89"/>
      <c r="O54" s="89"/>
      <c r="P54" s="89"/>
      <c r="Q54" s="89"/>
      <c r="R54" s="89"/>
      <c r="S54" s="89"/>
      <c r="T54" s="47"/>
      <c r="V54" s="181">
        <f t="shared" si="1"/>
        <v>0</v>
      </c>
    </row>
    <row r="55" spans="1:23">
      <c r="A55" t="s">
        <v>19</v>
      </c>
      <c r="B55" t="s">
        <v>174</v>
      </c>
      <c r="C55" s="407">
        <v>13.3576921326763</v>
      </c>
      <c r="D55" s="407">
        <v>321.83221316162013</v>
      </c>
      <c r="E55" s="407">
        <v>4.2436565753719499E-2</v>
      </c>
      <c r="F55" s="407">
        <v>68.649555957511396</v>
      </c>
      <c r="G55" s="407">
        <v>375.73253024523802</v>
      </c>
      <c r="H55" s="407">
        <v>570.43327264000595</v>
      </c>
      <c r="I55" s="407">
        <v>91.100545115719399</v>
      </c>
      <c r="J55" s="407">
        <v>46.113700805838697</v>
      </c>
      <c r="K55" s="407">
        <v>26.0763958131711</v>
      </c>
      <c r="L55" s="407">
        <v>341.34826558082398</v>
      </c>
      <c r="M55" s="407">
        <v>0.35134417952854302</v>
      </c>
      <c r="N55" s="407">
        <v>109.340105532877</v>
      </c>
      <c r="O55" s="407">
        <v>77.572149606861203</v>
      </c>
      <c r="P55" s="407">
        <v>128.03904622499101</v>
      </c>
      <c r="Q55" s="407">
        <v>285.80185855291899</v>
      </c>
      <c r="R55" s="407">
        <v>338.59485670970298</v>
      </c>
      <c r="S55" s="407">
        <v>58.903029373493901</v>
      </c>
      <c r="T55" s="47">
        <f t="shared" ref="T55:T56" si="8">SUM(C55:S55)</f>
        <v>2853.2889981987323</v>
      </c>
      <c r="V55" s="181">
        <f t="shared" si="1"/>
        <v>811.33879086110687</v>
      </c>
    </row>
    <row r="56" spans="1:23">
      <c r="A56" t="s">
        <v>175</v>
      </c>
      <c r="B56" t="s">
        <v>174</v>
      </c>
      <c r="C56" s="407">
        <v>9.0983247908974094E-2</v>
      </c>
      <c r="D56" s="407">
        <v>123.924949575093</v>
      </c>
      <c r="E56" s="407">
        <v>1.2235876458989099</v>
      </c>
      <c r="F56" s="407">
        <v>1.12743632799747</v>
      </c>
      <c r="G56" s="407">
        <v>126.134876131635</v>
      </c>
      <c r="H56" s="407">
        <v>251.344897354023</v>
      </c>
      <c r="I56" s="407">
        <v>17.1374929795161</v>
      </c>
      <c r="J56" s="407">
        <v>3.6491246501412502</v>
      </c>
      <c r="K56" s="407">
        <v>2.28907565371015</v>
      </c>
      <c r="L56" s="407">
        <v>188.01845421878099</v>
      </c>
      <c r="M56" s="407">
        <v>0</v>
      </c>
      <c r="N56" s="407">
        <v>1.5604039921063599</v>
      </c>
      <c r="O56" s="407">
        <v>48.050824331589702</v>
      </c>
      <c r="P56" s="407">
        <v>4.8214850653018502</v>
      </c>
      <c r="Q56" s="407">
        <v>47.1556453933757</v>
      </c>
      <c r="R56" s="407">
        <v>7.8524850657524503</v>
      </c>
      <c r="S56" s="407">
        <v>32.526863027419601</v>
      </c>
      <c r="T56" s="47">
        <f t="shared" si="8"/>
        <v>856.90858466025065</v>
      </c>
      <c r="V56" s="181">
        <f t="shared" si="1"/>
        <v>92.356478551849619</v>
      </c>
      <c r="W56" s="181"/>
    </row>
    <row r="57" spans="1:23">
      <c r="C57" s="89"/>
      <c r="D57" s="89"/>
      <c r="E57" s="89"/>
      <c r="F57" s="89"/>
      <c r="G57" s="89"/>
      <c r="H57" s="89"/>
      <c r="I57" s="89"/>
      <c r="J57" s="89"/>
      <c r="K57" s="89"/>
      <c r="L57" s="89"/>
      <c r="M57" s="89"/>
      <c r="N57" s="89"/>
      <c r="O57" s="89"/>
      <c r="P57" s="89"/>
      <c r="Q57" s="89"/>
      <c r="R57" s="89"/>
      <c r="S57" s="89"/>
      <c r="V57" s="181">
        <f t="shared" si="1"/>
        <v>0</v>
      </c>
    </row>
    <row r="58" spans="1:23" ht="15">
      <c r="A58" s="56" t="s">
        <v>187</v>
      </c>
      <c r="C58" s="89"/>
      <c r="D58" s="89"/>
      <c r="E58" s="89"/>
      <c r="F58" s="89"/>
      <c r="G58" s="89"/>
      <c r="H58" s="89"/>
      <c r="I58" s="89"/>
      <c r="J58" s="89"/>
      <c r="K58" s="89"/>
      <c r="L58" s="89"/>
      <c r="M58" s="89"/>
      <c r="N58" s="89"/>
      <c r="O58" s="89"/>
      <c r="P58" s="89"/>
      <c r="Q58" s="89"/>
      <c r="R58" s="89"/>
      <c r="S58" s="89"/>
      <c r="T58" s="47"/>
      <c r="V58" s="181">
        <f t="shared" si="1"/>
        <v>0</v>
      </c>
    </row>
    <row r="59" spans="1:23">
      <c r="A59" t="s">
        <v>19</v>
      </c>
      <c r="B59" t="s">
        <v>174</v>
      </c>
      <c r="C59" s="407">
        <v>14.238335746236899</v>
      </c>
      <c r="D59" s="407">
        <v>309.98294231713049</v>
      </c>
      <c r="E59" s="407">
        <v>3.8631972826176197E-2</v>
      </c>
      <c r="F59" s="407">
        <v>72.777974325036993</v>
      </c>
      <c r="G59" s="407">
        <v>444.49353367825302</v>
      </c>
      <c r="H59" s="407">
        <v>615.478152404502</v>
      </c>
      <c r="I59" s="407">
        <v>78.259337454103402</v>
      </c>
      <c r="J59" s="407">
        <v>34.4848809711984</v>
      </c>
      <c r="K59" s="407">
        <v>30.165817975999399</v>
      </c>
      <c r="L59" s="407">
        <v>344.65178134417903</v>
      </c>
      <c r="M59" s="407">
        <v>0.40807796583052802</v>
      </c>
      <c r="N59" s="407">
        <v>118.928084299719</v>
      </c>
      <c r="O59" s="407">
        <v>104.10711606546903</v>
      </c>
      <c r="P59" s="407">
        <v>121.197552598787</v>
      </c>
      <c r="Q59" s="407">
        <v>293.53284468537402</v>
      </c>
      <c r="R59" s="407">
        <v>359.16076210759701</v>
      </c>
      <c r="S59" s="407">
        <v>51.114540505677901</v>
      </c>
      <c r="T59" s="47">
        <f t="shared" ref="T59:T60" si="9">SUM(C59:S59)</f>
        <v>2993.0203664179198</v>
      </c>
      <c r="V59" s="181">
        <f t="shared" si="1"/>
        <v>825.00569989743587</v>
      </c>
    </row>
    <row r="60" spans="1:23">
      <c r="A60" t="s">
        <v>175</v>
      </c>
      <c r="B60" t="s">
        <v>174</v>
      </c>
      <c r="C60" s="407">
        <v>0.10178109882174401</v>
      </c>
      <c r="D60" s="407">
        <v>145.75523910776701</v>
      </c>
      <c r="E60" s="407">
        <v>1.5099772827058899</v>
      </c>
      <c r="F60" s="407">
        <v>1.28551219921586</v>
      </c>
      <c r="G60" s="407">
        <v>132.32342333872199</v>
      </c>
      <c r="H60" s="407">
        <v>264.81506899280402</v>
      </c>
      <c r="I60" s="407">
        <v>19.788048080928899</v>
      </c>
      <c r="J60" s="407">
        <v>2.8870352083442898</v>
      </c>
      <c r="K60" s="407">
        <v>3.0059694312433298</v>
      </c>
      <c r="L60" s="407">
        <v>199.948434252336</v>
      </c>
      <c r="M60" s="407">
        <v>0</v>
      </c>
      <c r="N60" s="407">
        <v>1.5592663514841101</v>
      </c>
      <c r="O60" s="407">
        <v>49.149100890927002</v>
      </c>
      <c r="P60" s="407">
        <v>4.3179884976730598</v>
      </c>
      <c r="Q60" s="407">
        <v>53.365999671001298</v>
      </c>
      <c r="R60" s="407">
        <v>7.4284399242425598</v>
      </c>
      <c r="S60" s="407">
        <v>32.707293545334203</v>
      </c>
      <c r="T60" s="47">
        <f t="shared" si="9"/>
        <v>919.94857787355124</v>
      </c>
      <c r="V60" s="181">
        <f t="shared" si="1"/>
        <v>97.819721638251124</v>
      </c>
      <c r="W60" s="181"/>
    </row>
    <row r="61" spans="1:23">
      <c r="C61" s="89"/>
      <c r="D61" s="89"/>
      <c r="E61" s="89"/>
      <c r="F61" s="89"/>
      <c r="G61" s="89"/>
      <c r="H61" s="89"/>
      <c r="I61" s="89"/>
      <c r="J61" s="89"/>
      <c r="K61" s="89"/>
      <c r="L61" s="89"/>
      <c r="M61" s="89"/>
      <c r="N61" s="89"/>
      <c r="O61" s="89"/>
      <c r="P61" s="89"/>
      <c r="Q61" s="89"/>
      <c r="R61" s="89"/>
      <c r="S61" s="89"/>
      <c r="V61" s="181">
        <f t="shared" si="1"/>
        <v>0</v>
      </c>
    </row>
    <row r="62" spans="1:23" ht="15">
      <c r="A62" s="56" t="s">
        <v>202</v>
      </c>
      <c r="C62" s="89"/>
      <c r="D62" s="89"/>
      <c r="E62" s="89"/>
      <c r="F62" s="89"/>
      <c r="G62" s="89"/>
      <c r="H62" s="89"/>
      <c r="I62" s="89"/>
      <c r="J62" s="89"/>
      <c r="K62" s="89"/>
      <c r="L62" s="89"/>
      <c r="M62" s="89"/>
      <c r="N62" s="89"/>
      <c r="O62" s="89"/>
      <c r="P62" s="89"/>
      <c r="Q62" s="89"/>
      <c r="R62" s="89"/>
      <c r="S62" s="89"/>
      <c r="T62" s="47"/>
      <c r="V62" s="181">
        <f t="shared" si="1"/>
        <v>0</v>
      </c>
    </row>
    <row r="63" spans="1:23">
      <c r="A63" t="s">
        <v>19</v>
      </c>
      <c r="B63" t="s">
        <v>174</v>
      </c>
      <c r="C63" s="407">
        <v>14.356580678391801</v>
      </c>
      <c r="D63" s="407">
        <v>343.0286574225575</v>
      </c>
      <c r="E63" s="407">
        <v>4.7942404378577802E-2</v>
      </c>
      <c r="F63" s="407">
        <v>81.409111081606895</v>
      </c>
      <c r="G63" s="407">
        <v>413.90226685327741</v>
      </c>
      <c r="H63" s="407">
        <v>670.77266669204687</v>
      </c>
      <c r="I63" s="407">
        <v>122.02923092648599</v>
      </c>
      <c r="J63" s="407">
        <v>73.1832636592559</v>
      </c>
      <c r="K63" s="407">
        <v>37.905186537441701</v>
      </c>
      <c r="L63" s="407">
        <v>411.247569234899</v>
      </c>
      <c r="M63" s="407">
        <v>0.40707852366495101</v>
      </c>
      <c r="N63" s="407">
        <v>137.833548761305</v>
      </c>
      <c r="O63" s="407">
        <v>87.764672878260697</v>
      </c>
      <c r="P63" s="407">
        <v>147.26560624915501</v>
      </c>
      <c r="Q63" s="407">
        <v>319.36286485219</v>
      </c>
      <c r="R63" s="407">
        <v>405.37276196251202</v>
      </c>
      <c r="S63" s="407">
        <v>70.083588843974397</v>
      </c>
      <c r="T63" s="47">
        <f t="shared" ref="T63:T64" si="10">SUM(C63:S63)</f>
        <v>3335.9725975614037</v>
      </c>
      <c r="V63" s="181">
        <f t="shared" si="1"/>
        <v>942.08482190783138</v>
      </c>
    </row>
    <row r="64" spans="1:23">
      <c r="A64" t="s">
        <v>175</v>
      </c>
      <c r="B64" t="s">
        <v>174</v>
      </c>
      <c r="C64" s="407">
        <v>0.13222695762633499</v>
      </c>
      <c r="D64" s="407">
        <v>140.449573120086</v>
      </c>
      <c r="E64" s="407">
        <v>1.8142528792091499</v>
      </c>
      <c r="F64" s="407">
        <v>1.55769622875082</v>
      </c>
      <c r="G64" s="407">
        <v>135.54467358680799</v>
      </c>
      <c r="H64" s="407">
        <v>300.09159298573098</v>
      </c>
      <c r="I64" s="407">
        <v>20.4684750633877</v>
      </c>
      <c r="J64" s="407">
        <v>3.90353822788716</v>
      </c>
      <c r="K64" s="407">
        <v>3.2380201575183598</v>
      </c>
      <c r="L64" s="407">
        <v>228.02552093366899</v>
      </c>
      <c r="M64" s="407">
        <v>0</v>
      </c>
      <c r="N64" s="407">
        <v>1.6501257290842899</v>
      </c>
      <c r="O64" s="407">
        <v>51.804074127908798</v>
      </c>
      <c r="P64" s="407">
        <v>4.4992863178034099</v>
      </c>
      <c r="Q64" s="407">
        <v>52.985917318581599</v>
      </c>
      <c r="R64" s="407">
        <v>9.6338317987763595</v>
      </c>
      <c r="S64" s="407">
        <v>38.848734797851101</v>
      </c>
      <c r="T64" s="47">
        <f t="shared" si="10"/>
        <v>994.64754023067906</v>
      </c>
      <c r="V64" s="181">
        <f t="shared" si="1"/>
        <v>105.96777023301247</v>
      </c>
      <c r="W64" s="181"/>
    </row>
    <row r="65" spans="1:23">
      <c r="C65" s="89"/>
      <c r="D65" s="89"/>
      <c r="E65" s="89"/>
      <c r="F65" s="89"/>
      <c r="G65" s="89"/>
      <c r="H65" s="89"/>
      <c r="I65" s="89"/>
      <c r="J65" s="89"/>
      <c r="K65" s="89"/>
      <c r="L65" s="89"/>
      <c r="M65" s="89"/>
      <c r="N65" s="89"/>
      <c r="O65" s="89"/>
      <c r="P65" s="89"/>
      <c r="Q65" s="89"/>
      <c r="R65" s="89"/>
      <c r="S65" s="89"/>
      <c r="V65" s="181">
        <f t="shared" si="1"/>
        <v>0</v>
      </c>
    </row>
    <row r="66" spans="1:23" ht="15">
      <c r="A66" s="56" t="s">
        <v>203</v>
      </c>
      <c r="C66" s="89"/>
      <c r="D66" s="89"/>
      <c r="E66" s="89"/>
      <c r="F66" s="89"/>
      <c r="G66" s="89"/>
      <c r="H66" s="89"/>
      <c r="I66" s="89"/>
      <c r="J66" s="89"/>
      <c r="K66" s="89"/>
      <c r="L66" s="89"/>
      <c r="M66" s="89"/>
      <c r="N66" s="89"/>
      <c r="O66" s="89"/>
      <c r="P66" s="89"/>
      <c r="Q66" s="89"/>
      <c r="R66" s="89"/>
      <c r="S66" s="89"/>
      <c r="T66" s="47"/>
      <c r="V66" s="181">
        <f t="shared" si="1"/>
        <v>0</v>
      </c>
    </row>
    <row r="67" spans="1:23">
      <c r="A67" t="s">
        <v>19</v>
      </c>
      <c r="B67" t="s">
        <v>174</v>
      </c>
      <c r="C67" s="407">
        <v>12.564885682076</v>
      </c>
      <c r="D67" s="407">
        <v>280.20350467158227</v>
      </c>
      <c r="E67" s="407">
        <v>3.9127707774902598E-2</v>
      </c>
      <c r="F67" s="407">
        <v>63.601560235296397</v>
      </c>
      <c r="G67" s="407">
        <v>394.86092472883701</v>
      </c>
      <c r="H67" s="407">
        <v>521.53186087341442</v>
      </c>
      <c r="I67" s="407">
        <v>69.042129921636999</v>
      </c>
      <c r="J67" s="407">
        <v>43.781979562955797</v>
      </c>
      <c r="K67" s="407">
        <v>24.551306962621702</v>
      </c>
      <c r="L67" s="407">
        <v>313.55210713712</v>
      </c>
      <c r="M67" s="407">
        <v>0.32394922022644601</v>
      </c>
      <c r="N67" s="407">
        <v>106.546886645567</v>
      </c>
      <c r="O67" s="407">
        <v>65.448340275242998</v>
      </c>
      <c r="P67" s="407">
        <v>152.78572011437601</v>
      </c>
      <c r="Q67" s="407">
        <v>228.99723012515801</v>
      </c>
      <c r="R67" s="407">
        <v>313.58425439221298</v>
      </c>
      <c r="S67" s="407">
        <v>50.9955645452768</v>
      </c>
      <c r="T67" s="47">
        <f t="shared" ref="T67:T68" si="11">SUM(C67:S67)</f>
        <v>2642.4113328013764</v>
      </c>
      <c r="V67" s="181">
        <f t="shared" si="1"/>
        <v>746.36276917702378</v>
      </c>
    </row>
    <row r="68" spans="1:23">
      <c r="A68" t="s">
        <v>175</v>
      </c>
      <c r="B68" t="s">
        <v>174</v>
      </c>
      <c r="C68" s="407">
        <v>9.2649108975512207E-2</v>
      </c>
      <c r="D68" s="407">
        <v>111.73750386574</v>
      </c>
      <c r="E68" s="407">
        <v>1.3396833639506101</v>
      </c>
      <c r="F68" s="407">
        <v>1.2880418397251701</v>
      </c>
      <c r="G68" s="407">
        <v>107.56986433159101</v>
      </c>
      <c r="H68" s="407">
        <v>230.73397773737</v>
      </c>
      <c r="I68" s="407">
        <v>15.3101608614918</v>
      </c>
      <c r="J68" s="407">
        <v>2.85294895956716</v>
      </c>
      <c r="K68" s="407">
        <v>2.08405336721844</v>
      </c>
      <c r="L68" s="407">
        <v>178.600335401514</v>
      </c>
      <c r="M68" s="407">
        <v>0</v>
      </c>
      <c r="N68" s="407">
        <v>1.49460793662691</v>
      </c>
      <c r="O68" s="407">
        <v>41.2607612354116</v>
      </c>
      <c r="P68" s="407">
        <v>4.7858714177389796</v>
      </c>
      <c r="Q68" s="407">
        <v>47.662702806648902</v>
      </c>
      <c r="R68" s="407">
        <v>7.2261121219064499</v>
      </c>
      <c r="S68" s="407">
        <v>35.194612225474103</v>
      </c>
      <c r="T68" s="47">
        <f t="shared" si="11"/>
        <v>789.23388658095064</v>
      </c>
      <c r="V68" s="181">
        <f t="shared" si="1"/>
        <v>94.869298571768439</v>
      </c>
      <c r="W68" s="181"/>
    </row>
    <row r="69" spans="1:23">
      <c r="C69" s="89"/>
      <c r="D69" s="89"/>
      <c r="E69" s="89"/>
      <c r="F69" s="89"/>
      <c r="G69" s="89"/>
      <c r="H69" s="89"/>
      <c r="I69" s="89"/>
      <c r="J69" s="89"/>
      <c r="K69" s="89"/>
      <c r="L69" s="89"/>
      <c r="M69" s="89"/>
      <c r="N69" s="89"/>
      <c r="O69" s="89"/>
      <c r="P69" s="89"/>
      <c r="Q69" s="89"/>
      <c r="R69" s="89"/>
      <c r="S69" s="89"/>
      <c r="V69" s="181">
        <f t="shared" ref="V69:V92" si="12">+S69+R69+Q69+P69</f>
        <v>0</v>
      </c>
    </row>
    <row r="70" spans="1:23" ht="15">
      <c r="A70" s="56" t="s">
        <v>190</v>
      </c>
      <c r="C70" s="89"/>
      <c r="D70" s="89"/>
      <c r="E70" s="89"/>
      <c r="F70" s="89"/>
      <c r="G70" s="89"/>
      <c r="H70" s="89"/>
      <c r="I70" s="89"/>
      <c r="J70" s="89"/>
      <c r="K70" s="89"/>
      <c r="L70" s="89"/>
      <c r="M70" s="89"/>
      <c r="N70" s="89"/>
      <c r="O70" s="89"/>
      <c r="P70" s="89"/>
      <c r="Q70" s="89"/>
      <c r="R70" s="89"/>
      <c r="S70" s="89"/>
      <c r="T70" s="47"/>
      <c r="V70" s="181">
        <f t="shared" si="12"/>
        <v>0</v>
      </c>
    </row>
    <row r="71" spans="1:23">
      <c r="A71" t="s">
        <v>19</v>
      </c>
      <c r="B71" t="s">
        <v>174</v>
      </c>
      <c r="C71" s="407">
        <v>18.928596670000001</v>
      </c>
      <c r="D71" s="407">
        <v>321.93880506400001</v>
      </c>
      <c r="E71" s="407">
        <v>4.7089233000000001E-2</v>
      </c>
      <c r="F71" s="407">
        <v>79.192186750000005</v>
      </c>
      <c r="G71" s="407">
        <v>397.01630690000002</v>
      </c>
      <c r="H71" s="407">
        <v>579.39990441999998</v>
      </c>
      <c r="I71" s="407">
        <v>90.85016435</v>
      </c>
      <c r="J71" s="407">
        <v>35.004038190000003</v>
      </c>
      <c r="K71" s="407">
        <v>30.811358729999998</v>
      </c>
      <c r="L71" s="407">
        <v>357.48412869999999</v>
      </c>
      <c r="M71" s="407">
        <v>0.32174725199999998</v>
      </c>
      <c r="N71" s="407">
        <v>111.66572720000001</v>
      </c>
      <c r="O71" s="407">
        <v>64.027716040000001</v>
      </c>
      <c r="P71" s="407">
        <v>156.20208389999999</v>
      </c>
      <c r="Q71" s="407">
        <v>245.4107769</v>
      </c>
      <c r="R71" s="407">
        <v>331.4708488</v>
      </c>
      <c r="S71" s="407">
        <v>56.212078290000001</v>
      </c>
      <c r="T71" s="47">
        <f t="shared" ref="T71:T72" si="13">SUM(C71:S71)</f>
        <v>2875.9835573890005</v>
      </c>
      <c r="V71" s="181">
        <f t="shared" si="12"/>
        <v>789.29578788999993</v>
      </c>
    </row>
    <row r="72" spans="1:23">
      <c r="A72" t="s">
        <v>175</v>
      </c>
      <c r="B72" t="s">
        <v>174</v>
      </c>
      <c r="C72" s="407">
        <v>9.2397099999999996E-2</v>
      </c>
      <c r="D72" s="407">
        <v>132.78795339999999</v>
      </c>
      <c r="E72" s="407">
        <v>1.540640676</v>
      </c>
      <c r="F72" s="407">
        <v>1.5208596969999999</v>
      </c>
      <c r="G72" s="407">
        <v>130.3758235</v>
      </c>
      <c r="H72" s="407">
        <v>257.825355</v>
      </c>
      <c r="I72" s="407">
        <v>17.52189388</v>
      </c>
      <c r="J72" s="407">
        <v>3.3585320599999999</v>
      </c>
      <c r="K72" s="407">
        <v>2.8623693979999998</v>
      </c>
      <c r="L72" s="407">
        <v>197.63018600000001</v>
      </c>
      <c r="M72" s="407">
        <v>0</v>
      </c>
      <c r="N72" s="407">
        <v>1.484448692</v>
      </c>
      <c r="O72" s="407">
        <v>49.911708269999998</v>
      </c>
      <c r="P72" s="407">
        <v>4.6701489260000004</v>
      </c>
      <c r="Q72" s="407">
        <v>51.287116359999999</v>
      </c>
      <c r="R72" s="407">
        <v>7.4460506540000004</v>
      </c>
      <c r="S72" s="407">
        <v>37.051336139999997</v>
      </c>
      <c r="T72" s="47">
        <f t="shared" si="13"/>
        <v>897.36681975300007</v>
      </c>
      <c r="V72" s="181">
        <f t="shared" si="12"/>
        <v>100.45465207999999</v>
      </c>
      <c r="W72" s="181"/>
    </row>
    <row r="73" spans="1:23">
      <c r="C73" s="89"/>
      <c r="D73" s="89"/>
      <c r="E73" s="89"/>
      <c r="F73" s="89"/>
      <c r="G73" s="89"/>
      <c r="H73" s="89"/>
      <c r="I73" s="89"/>
      <c r="J73" s="89"/>
      <c r="K73" s="89"/>
      <c r="L73" s="89"/>
      <c r="M73" s="89"/>
      <c r="N73" s="89"/>
      <c r="O73" s="89"/>
      <c r="P73" s="89"/>
      <c r="Q73" s="89"/>
      <c r="R73" s="89"/>
      <c r="S73" s="89"/>
      <c r="V73" s="181">
        <f t="shared" si="12"/>
        <v>0</v>
      </c>
    </row>
    <row r="74" spans="1:23" ht="15">
      <c r="A74" s="56" t="s">
        <v>191</v>
      </c>
      <c r="C74" s="89"/>
      <c r="D74" s="89"/>
      <c r="E74" s="89"/>
      <c r="F74" s="89"/>
      <c r="G74" s="89"/>
      <c r="H74" s="89"/>
      <c r="I74" s="89"/>
      <c r="J74" s="89"/>
      <c r="K74" s="89"/>
      <c r="L74" s="89"/>
      <c r="M74" s="89"/>
      <c r="N74" s="89"/>
      <c r="O74" s="89"/>
      <c r="P74" s="89"/>
      <c r="Q74" s="89"/>
      <c r="R74" s="89"/>
      <c r="S74" s="89"/>
      <c r="T74" s="47"/>
      <c r="V74" s="181">
        <f t="shared" si="12"/>
        <v>0</v>
      </c>
    </row>
    <row r="75" spans="1:23">
      <c r="A75" t="s">
        <v>19</v>
      </c>
      <c r="B75" t="s">
        <v>174</v>
      </c>
      <c r="C75" s="407">
        <v>21.35</v>
      </c>
      <c r="D75" s="407">
        <v>288.60000000000002</v>
      </c>
      <c r="E75" s="407">
        <v>0</v>
      </c>
      <c r="F75" s="407">
        <v>64.069999999999993</v>
      </c>
      <c r="G75" s="407">
        <v>457.53</v>
      </c>
      <c r="H75" s="407">
        <v>497.21</v>
      </c>
      <c r="I75" s="407">
        <v>74.09</v>
      </c>
      <c r="J75" s="407">
        <v>37.57</v>
      </c>
      <c r="K75" s="407">
        <v>29.8</v>
      </c>
      <c r="L75" s="407">
        <v>291.58999999999997</v>
      </c>
      <c r="M75" s="407">
        <v>0.18</v>
      </c>
      <c r="N75" s="407">
        <v>100.54</v>
      </c>
      <c r="O75" s="407">
        <v>67.23</v>
      </c>
      <c r="P75" s="407">
        <v>187.72</v>
      </c>
      <c r="Q75" s="407">
        <v>235.33</v>
      </c>
      <c r="R75" s="407">
        <v>304.32</v>
      </c>
      <c r="S75" s="407">
        <v>51.15</v>
      </c>
      <c r="T75" s="47">
        <f t="shared" ref="T75:T76" si="14">SUM(C75:S75)</f>
        <v>2708.2799999999997</v>
      </c>
      <c r="V75" s="181">
        <f t="shared" si="12"/>
        <v>778.52</v>
      </c>
    </row>
    <row r="76" spans="1:23">
      <c r="A76" t="s">
        <v>175</v>
      </c>
      <c r="B76" t="s">
        <v>174</v>
      </c>
      <c r="C76" s="407">
        <v>0.09</v>
      </c>
      <c r="D76" s="407">
        <v>112.89</v>
      </c>
      <c r="E76" s="407">
        <v>1.48</v>
      </c>
      <c r="F76" s="407">
        <v>1.32</v>
      </c>
      <c r="G76" s="407">
        <v>116.67</v>
      </c>
      <c r="H76" s="407">
        <v>224.27</v>
      </c>
      <c r="I76" s="407">
        <v>19.260000000000002</v>
      </c>
      <c r="J76" s="407">
        <v>2.94</v>
      </c>
      <c r="K76" s="407">
        <v>2.46</v>
      </c>
      <c r="L76" s="407">
        <v>172.93</v>
      </c>
      <c r="M76" s="407">
        <v>0</v>
      </c>
      <c r="N76" s="407">
        <v>1.43</v>
      </c>
      <c r="O76" s="407">
        <v>49.83</v>
      </c>
      <c r="P76" s="407">
        <v>4.62</v>
      </c>
      <c r="Q76" s="407">
        <v>50.07</v>
      </c>
      <c r="R76" s="407">
        <v>6.69</v>
      </c>
      <c r="S76" s="407">
        <v>29.96</v>
      </c>
      <c r="T76" s="47">
        <f t="shared" si="14"/>
        <v>796.91000000000008</v>
      </c>
      <c r="V76" s="181">
        <f t="shared" si="12"/>
        <v>91.34</v>
      </c>
      <c r="W76" s="181"/>
    </row>
    <row r="77" spans="1:23">
      <c r="C77" s="89"/>
      <c r="D77" s="89"/>
      <c r="E77" s="89"/>
      <c r="F77" s="89"/>
      <c r="G77" s="89"/>
      <c r="H77" s="89"/>
      <c r="I77" s="89"/>
      <c r="J77" s="89"/>
      <c r="K77" s="89"/>
      <c r="L77" s="89"/>
      <c r="M77" s="89"/>
      <c r="N77" s="89"/>
      <c r="O77" s="89"/>
      <c r="P77" s="89"/>
      <c r="Q77" s="89"/>
      <c r="R77" s="89"/>
      <c r="S77" s="89"/>
      <c r="V77" s="181">
        <f t="shared" si="12"/>
        <v>0</v>
      </c>
    </row>
    <row r="78" spans="1:23" ht="15">
      <c r="A78" s="56" t="s">
        <v>52</v>
      </c>
      <c r="C78" s="89"/>
      <c r="D78" s="89"/>
      <c r="E78" s="89"/>
      <c r="F78" s="89"/>
      <c r="G78" s="89"/>
      <c r="H78" s="89"/>
      <c r="I78" s="89"/>
      <c r="J78" s="89"/>
      <c r="K78" s="89"/>
      <c r="L78" s="89"/>
      <c r="M78" s="89"/>
      <c r="N78" s="89"/>
      <c r="O78" s="89"/>
      <c r="P78" s="89"/>
      <c r="Q78" s="89"/>
      <c r="R78" s="89"/>
      <c r="S78" s="89"/>
      <c r="T78" s="47"/>
      <c r="V78" s="181">
        <f t="shared" si="12"/>
        <v>0</v>
      </c>
    </row>
    <row r="79" spans="1:23">
      <c r="A79" t="s">
        <v>19</v>
      </c>
      <c r="B79" t="s">
        <v>174</v>
      </c>
      <c r="C79" s="407">
        <v>12.605412153989301</v>
      </c>
      <c r="D79" s="407">
        <v>340.43979445141326</v>
      </c>
      <c r="E79" s="407">
        <v>0</v>
      </c>
      <c r="F79" s="407">
        <v>56.211532450446803</v>
      </c>
      <c r="G79" s="407">
        <v>571.01014766093499</v>
      </c>
      <c r="H79" s="407">
        <v>611.93381276399043</v>
      </c>
      <c r="I79" s="407">
        <v>80.378413589926893</v>
      </c>
      <c r="J79" s="407">
        <v>40.49805170498</v>
      </c>
      <c r="K79" s="407">
        <v>33.440746563312302</v>
      </c>
      <c r="L79" s="407">
        <v>372.08163231066402</v>
      </c>
      <c r="M79" s="407">
        <v>0.573286184667678</v>
      </c>
      <c r="N79" s="407">
        <v>132.526038555051</v>
      </c>
      <c r="O79" s="407">
        <v>87.264279302013307</v>
      </c>
      <c r="P79" s="407">
        <v>298.28676717538002</v>
      </c>
      <c r="Q79" s="407">
        <v>280.46214942698998</v>
      </c>
      <c r="R79" s="407">
        <v>387.53187137396998</v>
      </c>
      <c r="S79" s="407">
        <v>57.9805349261405</v>
      </c>
      <c r="T79" s="47">
        <f t="shared" ref="T79:T80" si="15">SUM(C79:S79)</f>
        <v>3363.2244705938706</v>
      </c>
      <c r="V79" s="181">
        <f t="shared" si="12"/>
        <v>1024.2613229024805</v>
      </c>
    </row>
    <row r="80" spans="1:23">
      <c r="A80" t="s">
        <v>175</v>
      </c>
      <c r="B80" t="s">
        <v>174</v>
      </c>
      <c r="C80" s="407">
        <v>0.114456036614188</v>
      </c>
      <c r="D80" s="407">
        <v>136.66509746463299</v>
      </c>
      <c r="E80" s="407">
        <v>1.64426626718432</v>
      </c>
      <c r="F80" s="407">
        <v>1.1446066124677301</v>
      </c>
      <c r="G80" s="407">
        <v>131.15119128111601</v>
      </c>
      <c r="H80" s="407">
        <v>275.37537396860603</v>
      </c>
      <c r="I80" s="407">
        <v>21.515431527325301</v>
      </c>
      <c r="J80" s="407">
        <v>3.1996361244665099</v>
      </c>
      <c r="K80" s="407">
        <v>2.39480206016351</v>
      </c>
      <c r="L80" s="407">
        <v>209.174401232393</v>
      </c>
      <c r="M80" s="407">
        <v>0</v>
      </c>
      <c r="N80" s="407">
        <v>1.66195807899296</v>
      </c>
      <c r="O80" s="407">
        <v>45.380198237433497</v>
      </c>
      <c r="P80" s="407">
        <v>4.6517793262012601</v>
      </c>
      <c r="Q80" s="407">
        <v>58.384735037066399</v>
      </c>
      <c r="R80" s="407">
        <v>8.1139295288813091</v>
      </c>
      <c r="S80" s="407">
        <v>35.021871853184201</v>
      </c>
      <c r="T80" s="47">
        <f t="shared" si="15"/>
        <v>935.59373463672932</v>
      </c>
      <c r="V80" s="181">
        <f t="shared" si="12"/>
        <v>106.17231574533317</v>
      </c>
      <c r="W80" s="181"/>
    </row>
    <row r="81" spans="1:24">
      <c r="C81" s="89"/>
      <c r="D81" s="89"/>
      <c r="E81" s="89"/>
      <c r="F81" s="89"/>
      <c r="G81" s="89"/>
      <c r="H81" s="89"/>
      <c r="I81" s="89"/>
      <c r="J81" s="89"/>
      <c r="K81" s="89"/>
      <c r="L81" s="89"/>
      <c r="M81" s="89"/>
      <c r="N81" s="89"/>
      <c r="O81" s="89"/>
      <c r="P81" s="89"/>
      <c r="Q81" s="89"/>
      <c r="R81" s="89"/>
      <c r="S81" s="89"/>
      <c r="V81" s="181">
        <f t="shared" si="12"/>
        <v>0</v>
      </c>
    </row>
    <row r="82" spans="1:24" ht="15">
      <c r="A82" s="56" t="s">
        <v>196</v>
      </c>
      <c r="C82" s="89"/>
      <c r="D82" s="89"/>
      <c r="E82" s="89"/>
      <c r="F82" s="89"/>
      <c r="G82" s="89"/>
      <c r="H82" s="89"/>
      <c r="I82" s="89"/>
      <c r="J82" s="89"/>
      <c r="K82" s="89"/>
      <c r="L82" s="89"/>
      <c r="M82" s="89"/>
      <c r="N82" s="89"/>
      <c r="O82" s="89"/>
      <c r="P82" s="89"/>
      <c r="Q82" s="89"/>
      <c r="R82" s="89"/>
      <c r="S82" s="89"/>
      <c r="T82" s="47"/>
      <c r="V82" s="181">
        <f t="shared" si="12"/>
        <v>0</v>
      </c>
    </row>
    <row r="83" spans="1:24">
      <c r="A83" t="s">
        <v>19</v>
      </c>
      <c r="B83" t="s">
        <v>174</v>
      </c>
      <c r="C83" s="407">
        <v>43.758567694129702</v>
      </c>
      <c r="D83" s="407">
        <v>338.22851272005749</v>
      </c>
      <c r="E83" s="407">
        <v>0</v>
      </c>
      <c r="F83" s="407">
        <v>80.905391614669696</v>
      </c>
      <c r="G83" s="407">
        <v>580.81655148570837</v>
      </c>
      <c r="H83" s="407">
        <v>585.64444093232339</v>
      </c>
      <c r="I83" s="407">
        <v>90.940605823415197</v>
      </c>
      <c r="J83" s="407">
        <v>37.607026230673803</v>
      </c>
      <c r="K83" s="407">
        <v>58.578633849111398</v>
      </c>
      <c r="L83" s="407">
        <v>344.68088612536798</v>
      </c>
      <c r="M83" s="407">
        <v>0.31669276820340703</v>
      </c>
      <c r="N83" s="407">
        <v>112.61018442462399</v>
      </c>
      <c r="O83" s="407">
        <v>95.008578351773906</v>
      </c>
      <c r="P83" s="407">
        <v>295.93438983719699</v>
      </c>
      <c r="Q83" s="407">
        <v>314.69465435797099</v>
      </c>
      <c r="R83" s="407">
        <v>354.58299798027298</v>
      </c>
      <c r="S83" s="407">
        <v>60.470156377694501</v>
      </c>
      <c r="T83" s="47">
        <f t="shared" ref="T83:T84" si="16">SUM(C83:S83)</f>
        <v>3394.7782705731938</v>
      </c>
      <c r="V83" s="181">
        <f t="shared" si="12"/>
        <v>1025.6821985531353</v>
      </c>
    </row>
    <row r="84" spans="1:24">
      <c r="A84" t="s">
        <v>175</v>
      </c>
      <c r="B84" t="s">
        <v>174</v>
      </c>
      <c r="C84" s="407">
        <v>9.4936622933712897E-2</v>
      </c>
      <c r="D84" s="407">
        <v>144.193431726521</v>
      </c>
      <c r="E84" s="407">
        <v>1.48672440108501</v>
      </c>
      <c r="F84" s="407">
        <v>1.59487058857284</v>
      </c>
      <c r="G84" s="407">
        <v>133.93958656590399</v>
      </c>
      <c r="H84" s="407">
        <v>262.21440469563203</v>
      </c>
      <c r="I84" s="407">
        <v>21.102815529267801</v>
      </c>
      <c r="J84" s="407">
        <v>3.5546798763409</v>
      </c>
      <c r="K84" s="407">
        <v>2.8165811467251101</v>
      </c>
      <c r="L84" s="407">
        <v>199.98734125372701</v>
      </c>
      <c r="M84" s="407">
        <v>0</v>
      </c>
      <c r="N84" s="407">
        <v>1.5709878426839601</v>
      </c>
      <c r="O84" s="407">
        <v>48.407612478952899</v>
      </c>
      <c r="P84" s="407">
        <v>5.1073734598528704</v>
      </c>
      <c r="Q84" s="407">
        <v>52.054590590337398</v>
      </c>
      <c r="R84" s="407">
        <v>7.9795970981371296</v>
      </c>
      <c r="S84" s="407">
        <v>36.836908454477602</v>
      </c>
      <c r="T84" s="47">
        <f t="shared" si="16"/>
        <v>922.94244233115103</v>
      </c>
      <c r="V84" s="181">
        <f t="shared" si="12"/>
        <v>101.97846960280499</v>
      </c>
      <c r="W84" s="181"/>
    </row>
    <row r="85" spans="1:24">
      <c r="C85" s="89"/>
      <c r="D85" s="89"/>
      <c r="E85" s="89"/>
      <c r="F85" s="89"/>
      <c r="G85" s="89"/>
      <c r="H85" s="89"/>
      <c r="I85" s="89"/>
      <c r="J85" s="89"/>
      <c r="K85" s="89"/>
      <c r="L85" s="89"/>
      <c r="M85" s="89"/>
      <c r="N85" s="89"/>
      <c r="O85" s="89"/>
      <c r="P85" s="89"/>
      <c r="Q85" s="89"/>
      <c r="R85" s="89"/>
      <c r="S85" s="89"/>
      <c r="V85" s="181">
        <f t="shared" si="12"/>
        <v>0</v>
      </c>
    </row>
    <row r="86" spans="1:24" ht="15">
      <c r="A86" s="56" t="s">
        <v>197</v>
      </c>
      <c r="C86" s="89"/>
      <c r="D86" s="89"/>
      <c r="E86" s="89"/>
      <c r="F86" s="89"/>
      <c r="G86" s="89"/>
      <c r="H86" s="89"/>
      <c r="I86" s="89"/>
      <c r="J86" s="89"/>
      <c r="K86" s="89"/>
      <c r="L86" s="89"/>
      <c r="M86" s="89"/>
      <c r="N86" s="89"/>
      <c r="O86" s="89"/>
      <c r="P86" s="89"/>
      <c r="Q86" s="89"/>
      <c r="R86" s="89"/>
      <c r="S86" s="89"/>
      <c r="T86" s="47"/>
      <c r="V86" s="181">
        <f t="shared" si="12"/>
        <v>0</v>
      </c>
    </row>
    <row r="87" spans="1:24">
      <c r="A87" t="s">
        <v>19</v>
      </c>
      <c r="B87" t="s">
        <v>174</v>
      </c>
      <c r="C87" s="407">
        <v>28.158375895348001</v>
      </c>
      <c r="D87" s="407">
        <v>305.03409939126107</v>
      </c>
      <c r="E87" s="407">
        <v>0</v>
      </c>
      <c r="F87" s="407">
        <v>63.046313369882398</v>
      </c>
      <c r="G87" s="407">
        <v>428.99096466229201</v>
      </c>
      <c r="H87" s="407">
        <v>547.64347167306505</v>
      </c>
      <c r="I87" s="407">
        <v>77.087413807601294</v>
      </c>
      <c r="J87" s="407">
        <v>41.693469015009399</v>
      </c>
      <c r="K87" s="407">
        <v>54.229969188924699</v>
      </c>
      <c r="L87" s="407">
        <v>363.41151527876701</v>
      </c>
      <c r="M87" s="407">
        <v>3.2859054646894502E-2</v>
      </c>
      <c r="N87" s="407">
        <v>109.02304496002201</v>
      </c>
      <c r="O87" s="407">
        <v>75.985190670282904</v>
      </c>
      <c r="P87" s="407">
        <v>251.792150067677</v>
      </c>
      <c r="Q87" s="407">
        <v>251.933713441039</v>
      </c>
      <c r="R87" s="407">
        <v>357.47691098990998</v>
      </c>
      <c r="S87" s="407">
        <v>50.576296711806201</v>
      </c>
      <c r="T87" s="47">
        <f t="shared" ref="T87:T88" si="17">SUM(C87:S87)</f>
        <v>3006.1157581775346</v>
      </c>
      <c r="V87" s="181">
        <f t="shared" si="12"/>
        <v>911.77907121043211</v>
      </c>
    </row>
    <row r="88" spans="1:24">
      <c r="A88" t="s">
        <v>175</v>
      </c>
      <c r="B88" t="s">
        <v>174</v>
      </c>
      <c r="C88" s="407">
        <v>8.6266147197172904E-2</v>
      </c>
      <c r="D88" s="407">
        <v>119.509644297517</v>
      </c>
      <c r="E88" s="407">
        <v>1.4431972992320601</v>
      </c>
      <c r="F88" s="407">
        <v>1.27136673638255</v>
      </c>
      <c r="G88" s="407">
        <v>117.366430809581</v>
      </c>
      <c r="H88" s="407">
        <v>242.23992145785999</v>
      </c>
      <c r="I88" s="407">
        <v>21.9419510257454</v>
      </c>
      <c r="J88" s="407">
        <v>3.0482961398169501</v>
      </c>
      <c r="K88" s="407">
        <v>2.7159854036129598</v>
      </c>
      <c r="L88" s="407">
        <v>179.82734859859499</v>
      </c>
      <c r="M88" s="407">
        <v>0</v>
      </c>
      <c r="N88" s="407">
        <v>1.39222004668346</v>
      </c>
      <c r="O88" s="407">
        <v>36.551497640828899</v>
      </c>
      <c r="P88" s="407">
        <v>4.6087619436870302</v>
      </c>
      <c r="Q88" s="407">
        <v>58.594233393822499</v>
      </c>
      <c r="R88" s="407">
        <v>7.9497307203074996</v>
      </c>
      <c r="S88" s="407">
        <v>37.3996852584511</v>
      </c>
      <c r="T88" s="47">
        <f t="shared" si="17"/>
        <v>835.94653691932035</v>
      </c>
      <c r="V88" s="181">
        <f t="shared" si="12"/>
        <v>108.55241131626812</v>
      </c>
      <c r="W88" s="181"/>
    </row>
    <row r="89" spans="1:24">
      <c r="C89" s="89"/>
      <c r="D89" s="89"/>
      <c r="E89" s="89"/>
      <c r="F89" s="89"/>
      <c r="G89" s="89"/>
      <c r="H89" s="89"/>
      <c r="I89" s="89"/>
      <c r="J89" s="89"/>
      <c r="K89" s="89"/>
      <c r="L89" s="89"/>
      <c r="M89" s="89"/>
      <c r="N89" s="89"/>
      <c r="O89" s="89"/>
      <c r="P89" s="89"/>
      <c r="Q89" s="89"/>
      <c r="R89" s="89"/>
      <c r="S89" s="89"/>
      <c r="V89" s="181"/>
    </row>
    <row r="90" spans="1:24" ht="15">
      <c r="A90" s="56" t="s">
        <v>198</v>
      </c>
      <c r="C90" s="89"/>
      <c r="D90" s="89"/>
      <c r="E90" s="89"/>
      <c r="F90" s="89"/>
      <c r="G90" s="89"/>
      <c r="H90" s="89"/>
      <c r="I90" s="89"/>
      <c r="J90" s="89"/>
      <c r="K90" s="89"/>
      <c r="L90" s="89"/>
      <c r="M90" s="89"/>
      <c r="N90" s="89"/>
      <c r="O90" s="89"/>
      <c r="P90" s="89"/>
      <c r="Q90" s="89"/>
      <c r="R90" s="89"/>
      <c r="S90" s="89"/>
      <c r="T90" s="47"/>
      <c r="V90" s="181"/>
    </row>
    <row r="91" spans="1:24">
      <c r="A91" t="s">
        <v>19</v>
      </c>
      <c r="B91" t="s">
        <v>174</v>
      </c>
      <c r="C91" s="407">
        <v>29.731363042583801</v>
      </c>
      <c r="D91" s="407">
        <v>443.26095841955498</v>
      </c>
      <c r="E91" s="407">
        <v>0</v>
      </c>
      <c r="F91" s="407">
        <v>74.997835850727796</v>
      </c>
      <c r="G91" s="407">
        <v>512.95580925877096</v>
      </c>
      <c r="H91" s="407">
        <v>577.89843521702664</v>
      </c>
      <c r="I91" s="407">
        <v>95.889839764373093</v>
      </c>
      <c r="J91" s="407">
        <v>64.404241066287099</v>
      </c>
      <c r="K91" s="407">
        <v>51.450634914939599</v>
      </c>
      <c r="L91" s="407">
        <v>347.13363232049397</v>
      </c>
      <c r="M91" s="407">
        <v>3.1521113847457698E-2</v>
      </c>
      <c r="N91" s="407">
        <v>123.920800238385</v>
      </c>
      <c r="O91" s="407">
        <v>76.538086801458107</v>
      </c>
      <c r="P91" s="407">
        <v>249.69752794557201</v>
      </c>
      <c r="Q91" s="407">
        <v>285.24200953749897</v>
      </c>
      <c r="R91" s="407">
        <v>324.73643315110598</v>
      </c>
      <c r="S91" s="407">
        <v>58.595324699618402</v>
      </c>
      <c r="T91" s="47">
        <f t="shared" ref="T91:T92" si="18">SUM(C91:S91)</f>
        <v>3316.4844533422433</v>
      </c>
      <c r="V91" s="181">
        <f t="shared" si="12"/>
        <v>918.27129533379536</v>
      </c>
    </row>
    <row r="92" spans="1:24">
      <c r="A92" t="s">
        <v>175</v>
      </c>
      <c r="B92" t="s">
        <v>174</v>
      </c>
      <c r="C92" s="407">
        <v>9.7813561897038007E-2</v>
      </c>
      <c r="D92" s="407">
        <v>132.61226217452699</v>
      </c>
      <c r="E92" s="407">
        <v>1.5106227570019</v>
      </c>
      <c r="F92" s="407">
        <v>1.21773682012875</v>
      </c>
      <c r="G92" s="407">
        <v>115.820367906545</v>
      </c>
      <c r="H92" s="407">
        <v>258.10530487372603</v>
      </c>
      <c r="I92" s="407">
        <v>23.872580711602001</v>
      </c>
      <c r="J92" s="407">
        <v>4.1747918185374902</v>
      </c>
      <c r="K92" s="407">
        <v>2.9461095397742598</v>
      </c>
      <c r="L92" s="407">
        <v>193.60282727387701</v>
      </c>
      <c r="M92" s="407">
        <v>0</v>
      </c>
      <c r="N92" s="407">
        <v>1.89832376208749</v>
      </c>
      <c r="O92" s="407">
        <v>43.490543270035197</v>
      </c>
      <c r="P92" s="407">
        <v>6.4795491536785397</v>
      </c>
      <c r="Q92" s="407">
        <v>58.914617888091897</v>
      </c>
      <c r="R92" s="407">
        <v>7.6581404991402904</v>
      </c>
      <c r="S92" s="407">
        <v>39.200433025759899</v>
      </c>
      <c r="T92" s="47">
        <f t="shared" si="18"/>
        <v>891.60202503640983</v>
      </c>
      <c r="V92" s="181">
        <f t="shared" si="12"/>
        <v>112.25274056667061</v>
      </c>
      <c r="W92" s="181"/>
    </row>
    <row r="93" spans="1:24">
      <c r="C93" s="89"/>
      <c r="D93" s="89"/>
      <c r="E93" s="89"/>
      <c r="F93" s="89"/>
      <c r="G93" s="89"/>
      <c r="H93" s="89"/>
      <c r="I93" s="89"/>
      <c r="J93" s="89"/>
      <c r="K93" s="89"/>
      <c r="L93" s="89"/>
      <c r="M93" s="89"/>
      <c r="N93" s="89"/>
      <c r="O93" s="89"/>
      <c r="P93" s="89"/>
      <c r="Q93" s="89"/>
      <c r="R93" s="89"/>
      <c r="S93" s="89"/>
    </row>
    <row r="94" spans="1:24" ht="15">
      <c r="A94" s="56" t="s">
        <v>199</v>
      </c>
      <c r="C94" s="89"/>
      <c r="D94" s="89"/>
      <c r="E94" s="89"/>
      <c r="F94" s="89"/>
      <c r="G94" s="89"/>
      <c r="H94" s="89"/>
      <c r="I94" s="89"/>
      <c r="J94" s="89"/>
      <c r="K94" s="89"/>
      <c r="L94" s="89"/>
      <c r="M94" s="89"/>
      <c r="N94" s="89"/>
      <c r="O94" s="89"/>
      <c r="P94" s="89"/>
      <c r="Q94" s="89"/>
      <c r="R94" s="89"/>
      <c r="S94" s="89"/>
      <c r="T94" s="47"/>
      <c r="V94" s="181"/>
      <c r="W94" s="181"/>
      <c r="X94" s="181"/>
    </row>
    <row r="95" spans="1:24">
      <c r="A95" t="s">
        <v>19</v>
      </c>
      <c r="B95" t="s">
        <v>174</v>
      </c>
      <c r="C95" s="407">
        <v>13.892290877717199</v>
      </c>
      <c r="D95" s="407">
        <v>439.47558469125323</v>
      </c>
      <c r="E95" s="407">
        <v>0</v>
      </c>
      <c r="F95" s="407">
        <v>95.993628583474603</v>
      </c>
      <c r="G95" s="407">
        <v>441.82822227118402</v>
      </c>
      <c r="H95" s="407">
        <v>546.16015098625235</v>
      </c>
      <c r="I95" s="407">
        <v>84.401401166289602</v>
      </c>
      <c r="J95" s="407">
        <v>37.012068173013198</v>
      </c>
      <c r="K95" s="407">
        <v>28.0251384400819</v>
      </c>
      <c r="L95" s="407">
        <v>330.12584120960503</v>
      </c>
      <c r="M95" s="407">
        <v>3.2587619774965E-2</v>
      </c>
      <c r="N95" s="407">
        <v>103.992647788523</v>
      </c>
      <c r="O95" s="407">
        <v>63.706169770257901</v>
      </c>
      <c r="P95" s="407">
        <v>131.09280791409901</v>
      </c>
      <c r="Q95" s="407">
        <v>264.54158599380798</v>
      </c>
      <c r="R95" s="407">
        <v>329.16705219347602</v>
      </c>
      <c r="S95" s="407">
        <v>52.025521547881802</v>
      </c>
      <c r="T95" s="47">
        <f t="shared" ref="T95:T96" si="19">SUM(C95:S95)</f>
        <v>2961.4726992266919</v>
      </c>
      <c r="V95" s="181">
        <f t="shared" ref="V95:V96" si="20">+S95+R95+Q95+P95</f>
        <v>776.82696764926482</v>
      </c>
    </row>
    <row r="96" spans="1:24">
      <c r="A96" t="s">
        <v>175</v>
      </c>
      <c r="B96" t="s">
        <v>174</v>
      </c>
      <c r="C96" s="407">
        <v>8.3212034502935003E-2</v>
      </c>
      <c r="D96" s="407">
        <v>137.896163772893</v>
      </c>
      <c r="E96" s="407">
        <v>1.7153093966811901</v>
      </c>
      <c r="F96" s="407">
        <v>1.5057819181795999</v>
      </c>
      <c r="G96" s="407">
        <v>118.565275794038</v>
      </c>
      <c r="H96" s="407">
        <v>248.22346068442701</v>
      </c>
      <c r="I96" s="407">
        <v>19.650423101555202</v>
      </c>
      <c r="J96" s="407">
        <v>3.0799026164676202</v>
      </c>
      <c r="K96" s="407">
        <v>2.57517197031643</v>
      </c>
      <c r="L96" s="407">
        <v>177.71506082777901</v>
      </c>
      <c r="M96" s="407">
        <v>0</v>
      </c>
      <c r="N96" s="407">
        <v>1.3814475321195501</v>
      </c>
      <c r="O96" s="407">
        <v>45.5955647590553</v>
      </c>
      <c r="P96" s="407">
        <v>4.6622756444898599</v>
      </c>
      <c r="Q96" s="407">
        <v>58.864642051472003</v>
      </c>
      <c r="R96" s="407">
        <v>7.5134514141295501</v>
      </c>
      <c r="S96" s="407">
        <v>39.249065606165097</v>
      </c>
      <c r="T96" s="47">
        <f t="shared" si="19"/>
        <v>868.2762091242713</v>
      </c>
      <c r="V96" s="181">
        <f t="shared" si="20"/>
        <v>110.28943471625649</v>
      </c>
      <c r="W96" s="181"/>
    </row>
    <row r="97" spans="22:24">
      <c r="V97" s="181"/>
      <c r="W97" s="181"/>
      <c r="X97"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100"/>
  <sheetViews>
    <sheetView workbookViewId="0">
      <pane xSplit="2" ySplit="1" topLeftCell="F67" activePane="bottomRight" state="frozen"/>
      <selection pane="topRight" activeCell="C1" sqref="C1"/>
      <selection pane="bottomLeft" activeCell="A2" sqref="A2"/>
      <selection pane="bottomRight" activeCell="I55" sqref="I55:I56"/>
    </sheetView>
  </sheetViews>
  <sheetFormatPr defaultRowHeight="12.75"/>
  <cols>
    <col min="1" max="1" width="14.42578125" bestFit="1" customWidth="1"/>
    <col min="2" max="2" width="8.5703125" bestFit="1" customWidth="1"/>
    <col min="3" max="3" width="9.28515625" bestFit="1" customWidth="1"/>
    <col min="4" max="4" width="9.28515625" customWidth="1"/>
    <col min="5" max="5" width="14" bestFit="1" customWidth="1"/>
    <col min="6" max="6" width="12" bestFit="1" customWidth="1"/>
    <col min="7" max="7" width="12.140625" bestFit="1" customWidth="1"/>
    <col min="8" max="8" width="12.42578125" bestFit="1" customWidth="1"/>
    <col min="9" max="9" width="15" bestFit="1" customWidth="1"/>
    <col min="10" max="10" width="10.28515625" bestFit="1" customWidth="1"/>
    <col min="11" max="11" width="10.140625" bestFit="1" customWidth="1"/>
    <col min="12" max="12" width="18" bestFit="1" customWidth="1"/>
    <col min="14" max="14" width="10.42578125" bestFit="1" customWidth="1"/>
    <col min="15" max="15" width="9.85546875" bestFit="1" customWidth="1"/>
    <col min="16" max="16" width="16.28515625" bestFit="1" customWidth="1"/>
    <col min="17" max="17" width="14.42578125" bestFit="1" customWidth="1"/>
    <col min="18" max="18" width="11" bestFit="1" customWidth="1"/>
    <col min="20" max="20" width="9.28515625" bestFit="1" customWidth="1"/>
  </cols>
  <sheetData>
    <row r="1" spans="1:20" ht="15">
      <c r="A1" s="56" t="s">
        <v>155</v>
      </c>
      <c r="B1" s="56" t="s">
        <v>156</v>
      </c>
      <c r="C1" s="56" t="s">
        <v>178</v>
      </c>
      <c r="D1" s="56" t="s">
        <v>271</v>
      </c>
      <c r="E1" s="56" t="s">
        <v>263</v>
      </c>
      <c r="F1" s="56" t="s">
        <v>264</v>
      </c>
      <c r="G1" s="56" t="s">
        <v>179</v>
      </c>
      <c r="H1" s="56" t="s">
        <v>180</v>
      </c>
      <c r="I1" s="56" t="s">
        <v>262</v>
      </c>
      <c r="J1" s="56" t="s">
        <v>72</v>
      </c>
      <c r="K1" s="56" t="s">
        <v>181</v>
      </c>
      <c r="L1" s="56" t="s">
        <v>182</v>
      </c>
      <c r="M1" s="56" t="s">
        <v>183</v>
      </c>
      <c r="N1" s="56" t="s">
        <v>184</v>
      </c>
      <c r="O1" s="56" t="s">
        <v>185</v>
      </c>
      <c r="P1" s="56" t="s">
        <v>282</v>
      </c>
      <c r="Q1" s="56" t="s">
        <v>186</v>
      </c>
      <c r="R1" s="56" t="s">
        <v>172</v>
      </c>
      <c r="S1" s="56"/>
      <c r="T1" s="56" t="s">
        <v>65</v>
      </c>
    </row>
    <row r="2" spans="1:20" ht="15">
      <c r="A2" s="56" t="s">
        <v>173</v>
      </c>
      <c r="B2" s="56"/>
      <c r="C2" s="56"/>
      <c r="D2" s="56"/>
      <c r="E2" s="56"/>
      <c r="F2" s="56"/>
      <c r="G2" s="56"/>
      <c r="H2" s="56"/>
      <c r="I2" s="56"/>
      <c r="J2" s="56"/>
      <c r="K2" s="56"/>
      <c r="L2" s="56"/>
      <c r="M2" s="56"/>
      <c r="N2" s="56"/>
      <c r="O2" s="56"/>
      <c r="P2" s="56"/>
      <c r="Q2" s="56"/>
      <c r="R2" s="56"/>
      <c r="S2" s="56"/>
      <c r="T2" s="56"/>
    </row>
    <row r="3" spans="1:20">
      <c r="A3" t="s">
        <v>19</v>
      </c>
      <c r="B3" t="s">
        <v>174</v>
      </c>
      <c r="C3" s="407">
        <v>89.6</v>
      </c>
      <c r="D3" s="407">
        <v>42.39</v>
      </c>
      <c r="E3" s="407">
        <v>2.9</v>
      </c>
      <c r="F3" s="407">
        <f>34.63+0.79</f>
        <v>35.42</v>
      </c>
      <c r="G3" s="407">
        <v>24.73</v>
      </c>
      <c r="H3" s="407">
        <f>0.02+219.62</f>
        <v>219.64000000000001</v>
      </c>
      <c r="I3" s="407">
        <v>74.67</v>
      </c>
      <c r="J3" s="407">
        <v>284.95</v>
      </c>
      <c r="K3" s="407">
        <v>145.31</v>
      </c>
      <c r="L3" s="407">
        <v>79.540000000000006</v>
      </c>
      <c r="M3" s="407">
        <v>93.98</v>
      </c>
      <c r="N3" s="407">
        <v>10.45</v>
      </c>
      <c r="O3" s="407">
        <v>37.729999999999997</v>
      </c>
      <c r="P3" s="407">
        <f>1180.18</f>
        <v>1180.18</v>
      </c>
      <c r="Q3" s="407">
        <v>701.57</v>
      </c>
      <c r="R3" s="47">
        <f>SUM(C3:Q3)</f>
        <v>3023.06</v>
      </c>
      <c r="T3" s="181">
        <f>+Q3+P3+I3+F3+E3+D3</f>
        <v>2037.1300000000003</v>
      </c>
    </row>
    <row r="4" spans="1:20">
      <c r="A4" t="s">
        <v>175</v>
      </c>
      <c r="B4" t="s">
        <v>174</v>
      </c>
      <c r="C4" s="407">
        <v>9.41</v>
      </c>
      <c r="D4" s="407">
        <v>0.04</v>
      </c>
      <c r="E4" s="407">
        <v>1.48</v>
      </c>
      <c r="F4" s="407">
        <f>20.63+0.09</f>
        <v>20.72</v>
      </c>
      <c r="G4" s="407">
        <v>0.14000000000000001</v>
      </c>
      <c r="H4" s="407">
        <v>6.81</v>
      </c>
      <c r="I4" s="407">
        <v>33.65</v>
      </c>
      <c r="J4" s="407">
        <v>46.62</v>
      </c>
      <c r="K4" s="407">
        <v>20.77</v>
      </c>
      <c r="L4" s="407">
        <v>33.74</v>
      </c>
      <c r="M4" s="407">
        <v>26.59</v>
      </c>
      <c r="N4" s="407"/>
      <c r="O4" s="407">
        <v>0.41</v>
      </c>
      <c r="P4" s="407">
        <f>194.17</f>
        <v>194.17</v>
      </c>
      <c r="Q4" s="407">
        <v>7.04</v>
      </c>
      <c r="R4" s="47">
        <f>SUM(C4:Q4)</f>
        <v>401.59000000000003</v>
      </c>
      <c r="T4" s="181">
        <f>+Q4+P4+I4+F4+E4+D4</f>
        <v>257.10000000000002</v>
      </c>
    </row>
    <row r="5" spans="1:20">
      <c r="C5" s="407"/>
      <c r="D5" s="407"/>
      <c r="E5" s="407"/>
      <c r="F5" s="407"/>
      <c r="G5" s="407"/>
      <c r="H5" s="407"/>
      <c r="I5" s="407"/>
      <c r="J5" s="407"/>
      <c r="K5" s="407"/>
      <c r="L5" s="407"/>
      <c r="M5" s="407"/>
      <c r="N5" s="407"/>
      <c r="O5" s="407"/>
      <c r="P5" s="407"/>
      <c r="Q5" s="407"/>
      <c r="R5" s="47"/>
      <c r="T5" s="181"/>
    </row>
    <row r="6" spans="1:20" ht="15">
      <c r="A6" s="56" t="s">
        <v>176</v>
      </c>
      <c r="C6" s="89"/>
      <c r="D6" s="89"/>
      <c r="E6" s="89"/>
      <c r="F6" s="89"/>
      <c r="G6" s="89"/>
      <c r="H6" s="89"/>
      <c r="I6" s="89"/>
      <c r="J6" s="89"/>
      <c r="K6" s="89"/>
      <c r="L6" s="89"/>
      <c r="M6" s="89"/>
      <c r="N6" s="89"/>
      <c r="O6" s="89"/>
      <c r="P6" s="89"/>
      <c r="Q6" s="89"/>
      <c r="T6" s="181"/>
    </row>
    <row r="7" spans="1:20">
      <c r="A7" t="s">
        <v>19</v>
      </c>
      <c r="B7" t="s">
        <v>174</v>
      </c>
      <c r="C7" s="407">
        <v>116.56</v>
      </c>
      <c r="D7" s="407">
        <v>39.06</v>
      </c>
      <c r="E7" s="407">
        <v>3.66</v>
      </c>
      <c r="F7" s="407">
        <v>41.39</v>
      </c>
      <c r="G7" s="407">
        <v>26.49</v>
      </c>
      <c r="H7" s="407">
        <v>233.82</v>
      </c>
      <c r="I7" s="407">
        <v>102.05</v>
      </c>
      <c r="J7" s="407">
        <v>349.05</v>
      </c>
      <c r="K7" s="407">
        <v>168</v>
      </c>
      <c r="L7" s="407">
        <v>94.27</v>
      </c>
      <c r="M7" s="407">
        <v>119.29</v>
      </c>
      <c r="N7" s="407">
        <v>16.71</v>
      </c>
      <c r="O7" s="407">
        <v>52.97</v>
      </c>
      <c r="P7" s="407">
        <v>1323.53</v>
      </c>
      <c r="Q7" s="407">
        <v>802.98</v>
      </c>
      <c r="R7" s="47">
        <f>SUM(C7:Q7)</f>
        <v>3489.83</v>
      </c>
      <c r="S7" s="47"/>
      <c r="T7" s="181">
        <f t="shared" ref="T7:T68" si="0">+Q7+P7+I7+F7+E7+D7</f>
        <v>2312.67</v>
      </c>
    </row>
    <row r="8" spans="1:20">
      <c r="A8" t="s">
        <v>175</v>
      </c>
      <c r="B8" t="s">
        <v>174</v>
      </c>
      <c r="C8" s="407">
        <v>12.28</v>
      </c>
      <c r="D8" s="407">
        <v>0.04</v>
      </c>
      <c r="E8" s="407">
        <v>2.0099999999999998</v>
      </c>
      <c r="F8" s="407">
        <v>25.67</v>
      </c>
      <c r="G8" s="407">
        <v>0.24</v>
      </c>
      <c r="H8" s="407">
        <v>6.92</v>
      </c>
      <c r="I8" s="407">
        <v>41.74</v>
      </c>
      <c r="J8" s="407">
        <v>57.32</v>
      </c>
      <c r="K8" s="407">
        <v>24.79</v>
      </c>
      <c r="L8" s="407">
        <v>42.15</v>
      </c>
      <c r="M8" s="407">
        <v>31.7</v>
      </c>
      <c r="N8" s="407"/>
      <c r="O8" s="407">
        <v>0.55000000000000004</v>
      </c>
      <c r="P8" s="407">
        <v>240.41</v>
      </c>
      <c r="Q8" s="407">
        <v>7.61</v>
      </c>
      <c r="R8" s="47">
        <f>SUM(C8:Q8)</f>
        <v>493.43</v>
      </c>
      <c r="S8" s="47"/>
      <c r="T8" s="181">
        <f t="shared" si="0"/>
        <v>317.48</v>
      </c>
    </row>
    <row r="9" spans="1:20">
      <c r="C9" s="89"/>
      <c r="D9" s="89"/>
      <c r="E9" s="89"/>
      <c r="F9" s="89"/>
      <c r="G9" s="89"/>
      <c r="H9" s="89"/>
      <c r="I9" s="89"/>
      <c r="J9" s="89"/>
      <c r="K9" s="89"/>
      <c r="L9" s="89"/>
      <c r="M9" s="89"/>
      <c r="N9" s="89"/>
      <c r="O9" s="89"/>
      <c r="P9" s="89"/>
      <c r="Q9" s="89"/>
      <c r="T9" s="181"/>
    </row>
    <row r="10" spans="1:20" ht="15">
      <c r="A10" s="56" t="s">
        <v>187</v>
      </c>
      <c r="C10" s="89"/>
      <c r="D10" s="89"/>
      <c r="E10" s="89"/>
      <c r="F10" s="89"/>
      <c r="G10" s="89"/>
      <c r="H10" s="89"/>
      <c r="I10" s="89"/>
      <c r="J10" s="89"/>
      <c r="K10" s="89"/>
      <c r="L10" s="89"/>
      <c r="M10" s="89"/>
      <c r="N10" s="89"/>
      <c r="O10" s="89"/>
      <c r="P10" s="89"/>
      <c r="Q10" s="89"/>
      <c r="T10" s="181"/>
    </row>
    <row r="11" spans="1:20">
      <c r="A11" t="s">
        <v>19</v>
      </c>
      <c r="B11" t="s">
        <v>174</v>
      </c>
      <c r="C11" s="89">
        <v>75.09</v>
      </c>
      <c r="D11" s="89">
        <v>37.07</v>
      </c>
      <c r="E11" s="407">
        <v>2.14</v>
      </c>
      <c r="F11" s="407">
        <v>32.97</v>
      </c>
      <c r="G11" s="89">
        <v>26.16</v>
      </c>
      <c r="H11" s="89">
        <v>190.46</v>
      </c>
      <c r="I11" s="89">
        <v>49.33</v>
      </c>
      <c r="J11" s="89">
        <v>257.56</v>
      </c>
      <c r="K11" s="89">
        <v>137.56</v>
      </c>
      <c r="L11" s="89">
        <v>84.68</v>
      </c>
      <c r="M11" s="89">
        <v>88.59</v>
      </c>
      <c r="N11" s="89">
        <v>5.55</v>
      </c>
      <c r="O11" s="89">
        <v>27.99</v>
      </c>
      <c r="P11" s="408">
        <v>1074.3499999999999</v>
      </c>
      <c r="Q11" s="89">
        <v>646.55999999999995</v>
      </c>
      <c r="R11" s="47">
        <f>SUM(C11:Q11)</f>
        <v>2736.06</v>
      </c>
      <c r="T11" s="181">
        <f t="shared" si="0"/>
        <v>1842.4199999999998</v>
      </c>
    </row>
    <row r="12" spans="1:20">
      <c r="A12" t="s">
        <v>175</v>
      </c>
      <c r="B12" t="s">
        <v>174</v>
      </c>
      <c r="C12" s="89">
        <v>9.27</v>
      </c>
      <c r="D12" s="89">
        <v>0.04</v>
      </c>
      <c r="E12" s="407">
        <v>1.19</v>
      </c>
      <c r="F12" s="407">
        <v>18.07</v>
      </c>
      <c r="G12" s="89">
        <v>0.14000000000000001</v>
      </c>
      <c r="H12" s="89">
        <v>6.87</v>
      </c>
      <c r="I12" s="89">
        <v>34.21</v>
      </c>
      <c r="J12" s="89">
        <v>41.01</v>
      </c>
      <c r="K12" s="89">
        <v>22.02</v>
      </c>
      <c r="L12" s="89">
        <v>33.770000000000003</v>
      </c>
      <c r="M12" s="89">
        <v>24.41</v>
      </c>
      <c r="N12" s="89"/>
      <c r="O12" s="89">
        <v>0.33</v>
      </c>
      <c r="P12" s="89">
        <v>183.79</v>
      </c>
      <c r="Q12" s="89">
        <v>7.21</v>
      </c>
      <c r="R12" s="47">
        <f>SUM(C12:Q12)</f>
        <v>382.33</v>
      </c>
      <c r="T12" s="181">
        <f t="shared" si="0"/>
        <v>244.51</v>
      </c>
    </row>
    <row r="13" spans="1:20">
      <c r="C13" s="89"/>
      <c r="D13" s="89"/>
      <c r="E13" s="89"/>
      <c r="F13" s="89"/>
      <c r="G13" s="89"/>
      <c r="H13" s="89"/>
      <c r="I13" s="89"/>
      <c r="J13" s="89"/>
      <c r="K13" s="89"/>
      <c r="L13" s="89"/>
      <c r="M13" s="89"/>
      <c r="N13" s="89"/>
      <c r="O13" s="89"/>
      <c r="P13" s="89"/>
      <c r="Q13" s="89"/>
      <c r="T13" s="181"/>
    </row>
    <row r="14" spans="1:20" ht="15">
      <c r="A14" s="56" t="s">
        <v>188</v>
      </c>
      <c r="C14" s="89"/>
      <c r="D14" s="89"/>
      <c r="E14" s="89"/>
      <c r="F14" s="89"/>
      <c r="G14" s="89"/>
      <c r="H14" s="89"/>
      <c r="I14" s="89"/>
      <c r="J14" s="89"/>
      <c r="K14" s="89"/>
      <c r="L14" s="89"/>
      <c r="M14" s="89"/>
      <c r="N14" s="89"/>
      <c r="O14" s="89"/>
      <c r="P14" s="89"/>
      <c r="Q14" s="89"/>
      <c r="T14" s="181"/>
    </row>
    <row r="15" spans="1:20">
      <c r="A15" t="s">
        <v>19</v>
      </c>
      <c r="B15" t="s">
        <v>174</v>
      </c>
      <c r="C15" s="407">
        <v>117.27</v>
      </c>
      <c r="D15" s="407">
        <v>47.87</v>
      </c>
      <c r="E15" s="407">
        <v>3.83</v>
      </c>
      <c r="F15" s="407">
        <v>46.65</v>
      </c>
      <c r="G15" s="407">
        <v>31.81</v>
      </c>
      <c r="H15" s="407">
        <v>293.27999999999997</v>
      </c>
      <c r="I15" s="407">
        <v>98.74</v>
      </c>
      <c r="J15" s="407">
        <v>600.80999999999995</v>
      </c>
      <c r="K15" s="407">
        <v>174.29</v>
      </c>
      <c r="L15" s="407">
        <v>115.84</v>
      </c>
      <c r="M15" s="407">
        <v>118.75</v>
      </c>
      <c r="N15" s="407">
        <v>13.68</v>
      </c>
      <c r="O15" s="407">
        <v>53.35</v>
      </c>
      <c r="P15" s="407">
        <v>1420.73</v>
      </c>
      <c r="Q15" s="407">
        <v>699.6</v>
      </c>
      <c r="R15" s="47">
        <f>SUM(C15:Q15)</f>
        <v>3836.4999999999995</v>
      </c>
      <c r="T15" s="181">
        <f t="shared" si="0"/>
        <v>2317.4199999999996</v>
      </c>
    </row>
    <row r="16" spans="1:20">
      <c r="A16" t="s">
        <v>175</v>
      </c>
      <c r="B16" t="s">
        <v>174</v>
      </c>
      <c r="C16" s="407">
        <v>12.71</v>
      </c>
      <c r="D16" s="407">
        <v>0.02</v>
      </c>
      <c r="E16" s="407">
        <v>1.94</v>
      </c>
      <c r="F16" s="407">
        <v>26.7</v>
      </c>
      <c r="G16" s="407">
        <v>0.18</v>
      </c>
      <c r="H16" s="407">
        <v>8.56</v>
      </c>
      <c r="I16" s="407">
        <v>45.44</v>
      </c>
      <c r="J16" s="407">
        <v>63.22</v>
      </c>
      <c r="K16" s="407">
        <v>30.18</v>
      </c>
      <c r="L16" s="407">
        <v>45.95</v>
      </c>
      <c r="M16" s="407">
        <v>34.39</v>
      </c>
      <c r="N16" s="407"/>
      <c r="O16" s="407">
        <v>0.4</v>
      </c>
      <c r="P16" s="407">
        <v>243.81</v>
      </c>
      <c r="Q16" s="407">
        <v>7.59</v>
      </c>
      <c r="R16" s="47">
        <f>SUM(C16:Q16)</f>
        <v>521.09</v>
      </c>
      <c r="T16" s="181">
        <f t="shared" si="0"/>
        <v>325.5</v>
      </c>
    </row>
    <row r="17" spans="1:20">
      <c r="C17" s="89"/>
      <c r="D17" s="89"/>
      <c r="E17" s="89"/>
      <c r="F17" s="89"/>
      <c r="G17" s="89"/>
      <c r="H17" s="89"/>
      <c r="I17" s="89"/>
      <c r="J17" s="89"/>
      <c r="K17" s="89"/>
      <c r="L17" s="89"/>
      <c r="M17" s="89"/>
      <c r="N17" s="89"/>
      <c r="O17" s="89"/>
      <c r="P17" s="89"/>
      <c r="Q17" s="89"/>
      <c r="T17" s="181"/>
    </row>
    <row r="18" spans="1:20" ht="15">
      <c r="A18" s="56" t="s">
        <v>189</v>
      </c>
      <c r="C18" s="89"/>
      <c r="D18" s="89"/>
      <c r="E18" s="89"/>
      <c r="F18" s="89"/>
      <c r="G18" s="89"/>
      <c r="H18" s="89"/>
      <c r="I18" s="89"/>
      <c r="J18" s="89"/>
      <c r="K18" s="89"/>
      <c r="L18" s="89"/>
      <c r="M18" s="89"/>
      <c r="N18" s="89"/>
      <c r="O18" s="89"/>
      <c r="P18" s="89"/>
      <c r="Q18" s="89"/>
      <c r="T18" s="181"/>
    </row>
    <row r="19" spans="1:20">
      <c r="A19" s="47" t="s">
        <v>19</v>
      </c>
      <c r="B19" s="47" t="s">
        <v>174</v>
      </c>
      <c r="C19" s="407">
        <v>86.72</v>
      </c>
      <c r="D19" s="407">
        <v>35.340000000000003</v>
      </c>
      <c r="E19" s="407">
        <v>2.76</v>
      </c>
      <c r="F19" s="407">
        <f>34.42+0.57</f>
        <v>34.99</v>
      </c>
      <c r="G19" s="407">
        <v>24.69</v>
      </c>
      <c r="H19" s="407">
        <f>0.02+220.72</f>
        <v>220.74</v>
      </c>
      <c r="I19" s="407">
        <v>74.27</v>
      </c>
      <c r="J19" s="407">
        <v>436.18</v>
      </c>
      <c r="K19" s="407">
        <v>140.94999999999999</v>
      </c>
      <c r="L19" s="407">
        <v>86.36</v>
      </c>
      <c r="M19" s="407">
        <v>97.14</v>
      </c>
      <c r="N19" s="407">
        <v>9.98</v>
      </c>
      <c r="O19" s="407">
        <v>35.880000000000003</v>
      </c>
      <c r="P19" s="407">
        <v>1096.8900000000001</v>
      </c>
      <c r="Q19" s="407">
        <v>490.45</v>
      </c>
      <c r="R19" s="47">
        <f>SUM(C19:Q19)</f>
        <v>2873.34</v>
      </c>
      <c r="T19" s="181">
        <f t="shared" si="0"/>
        <v>1734.7</v>
      </c>
    </row>
    <row r="20" spans="1:20">
      <c r="A20" s="47" t="s">
        <v>175</v>
      </c>
      <c r="B20" s="47" t="s">
        <v>174</v>
      </c>
      <c r="C20" s="407">
        <v>9.4700000000000006</v>
      </c>
      <c r="D20" s="407">
        <v>0.04</v>
      </c>
      <c r="E20" s="407">
        <v>1.46</v>
      </c>
      <c r="F20" s="407">
        <f>23.4+0.08</f>
        <v>23.479999999999997</v>
      </c>
      <c r="G20" s="407">
        <v>0.17</v>
      </c>
      <c r="H20" s="407">
        <v>6.33</v>
      </c>
      <c r="I20" s="407">
        <v>36.39</v>
      </c>
      <c r="J20" s="407">
        <v>43.15</v>
      </c>
      <c r="K20" s="407">
        <v>19.850000000000001</v>
      </c>
      <c r="L20" s="407">
        <v>34.47</v>
      </c>
      <c r="M20" s="407">
        <v>22.82</v>
      </c>
      <c r="N20" s="407"/>
      <c r="O20" s="407">
        <v>0.38</v>
      </c>
      <c r="P20" s="407">
        <v>202.97</v>
      </c>
      <c r="Q20" s="407">
        <v>5.29</v>
      </c>
      <c r="R20" s="47">
        <f>SUM(C20:Q20)</f>
        <v>406.27000000000004</v>
      </c>
      <c r="T20" s="181">
        <f t="shared" si="0"/>
        <v>269.63</v>
      </c>
    </row>
    <row r="21" spans="1:20">
      <c r="C21" s="89"/>
      <c r="D21" s="89"/>
      <c r="E21" s="89"/>
      <c r="F21" s="89"/>
      <c r="G21" s="89"/>
      <c r="H21" s="89"/>
      <c r="I21" s="89"/>
      <c r="J21" s="89"/>
      <c r="K21" s="89"/>
      <c r="L21" s="89"/>
      <c r="M21" s="89"/>
      <c r="N21" s="89"/>
      <c r="O21" s="89"/>
      <c r="P21" s="89"/>
      <c r="Q21" s="89"/>
      <c r="T21" s="181"/>
    </row>
    <row r="22" spans="1:20" ht="15">
      <c r="A22" s="56" t="s">
        <v>190</v>
      </c>
      <c r="C22" s="89"/>
      <c r="D22" s="89"/>
      <c r="E22" s="89"/>
      <c r="F22" s="89"/>
      <c r="G22" s="89"/>
      <c r="H22" s="89"/>
      <c r="I22" s="89"/>
      <c r="J22" s="89"/>
      <c r="K22" s="89"/>
      <c r="L22" s="89"/>
      <c r="M22" s="89"/>
      <c r="N22" s="89"/>
      <c r="O22" s="89"/>
      <c r="P22" s="89"/>
      <c r="Q22" s="89"/>
      <c r="T22" s="181"/>
    </row>
    <row r="23" spans="1:20">
      <c r="A23" s="47" t="s">
        <v>19</v>
      </c>
      <c r="B23" s="47" t="s">
        <v>174</v>
      </c>
      <c r="C23" s="407">
        <v>99.36</v>
      </c>
      <c r="D23" s="407">
        <v>50.27</v>
      </c>
      <c r="E23" s="407">
        <v>3.16</v>
      </c>
      <c r="F23" s="407">
        <f>40.74+0.63</f>
        <v>41.370000000000005</v>
      </c>
      <c r="G23" s="407">
        <v>25.14</v>
      </c>
      <c r="H23" s="407">
        <f>0.03+273.43</f>
        <v>273.45999999999998</v>
      </c>
      <c r="I23" s="407">
        <v>84.13</v>
      </c>
      <c r="J23" s="407">
        <v>490.16</v>
      </c>
      <c r="K23" s="407">
        <v>163.03</v>
      </c>
      <c r="L23" s="407">
        <v>111.09</v>
      </c>
      <c r="M23" s="407">
        <v>101.3</v>
      </c>
      <c r="N23" s="407">
        <v>10.29</v>
      </c>
      <c r="O23" s="407">
        <v>37</v>
      </c>
      <c r="P23" s="407">
        <v>1244.42</v>
      </c>
      <c r="Q23" s="407">
        <v>575.51</v>
      </c>
      <c r="R23" s="47">
        <f>SUM(C23:Q23)</f>
        <v>3309.6899999999996</v>
      </c>
      <c r="T23" s="181">
        <f t="shared" si="0"/>
        <v>1998.86</v>
      </c>
    </row>
    <row r="24" spans="1:20">
      <c r="A24" s="47" t="s">
        <v>175</v>
      </c>
      <c r="B24" s="47" t="s">
        <v>174</v>
      </c>
      <c r="C24" s="407">
        <v>10.39</v>
      </c>
      <c r="D24" s="407">
        <v>0.04</v>
      </c>
      <c r="E24" s="407">
        <v>1.48</v>
      </c>
      <c r="F24" s="407">
        <f>28.23+0.13</f>
        <v>28.36</v>
      </c>
      <c r="G24" s="407">
        <v>0.18</v>
      </c>
      <c r="H24" s="407">
        <v>8.0399999999999991</v>
      </c>
      <c r="I24" s="407">
        <v>42.57</v>
      </c>
      <c r="J24" s="407">
        <v>53.38</v>
      </c>
      <c r="K24" s="407">
        <v>22.56</v>
      </c>
      <c r="L24" s="407">
        <v>37.99</v>
      </c>
      <c r="M24" s="407">
        <v>25.84</v>
      </c>
      <c r="N24" s="407"/>
      <c r="O24" s="407">
        <v>0.4</v>
      </c>
      <c r="P24" s="407">
        <v>223.49</v>
      </c>
      <c r="Q24" s="407">
        <v>7.08</v>
      </c>
      <c r="R24" s="47">
        <f>SUM(C24:Q24)</f>
        <v>461.8</v>
      </c>
      <c r="T24" s="181">
        <f t="shared" si="0"/>
        <v>303.0200000000001</v>
      </c>
    </row>
    <row r="25" spans="1:20">
      <c r="C25" s="89"/>
      <c r="D25" s="89"/>
      <c r="E25" s="89"/>
      <c r="F25" s="89"/>
      <c r="G25" s="89"/>
      <c r="H25" s="89"/>
      <c r="I25" s="89"/>
      <c r="J25" s="89"/>
      <c r="K25" s="89"/>
      <c r="L25" s="89"/>
      <c r="M25" s="89"/>
      <c r="N25" s="89"/>
      <c r="O25" s="89"/>
      <c r="P25" s="89"/>
      <c r="Q25" s="89"/>
      <c r="T25" s="181"/>
    </row>
    <row r="26" spans="1:20" ht="15">
      <c r="A26" s="56" t="s">
        <v>191</v>
      </c>
      <c r="C26" s="89"/>
      <c r="D26" s="89"/>
      <c r="E26" s="89"/>
      <c r="F26" s="89"/>
      <c r="G26" s="89"/>
      <c r="H26" s="89"/>
      <c r="I26" s="89"/>
      <c r="J26" s="89"/>
      <c r="K26" s="89"/>
      <c r="L26" s="89"/>
      <c r="M26" s="89"/>
      <c r="N26" s="89"/>
      <c r="O26" s="89"/>
      <c r="P26" s="89"/>
      <c r="Q26" s="89"/>
      <c r="T26" s="181"/>
    </row>
    <row r="27" spans="1:20">
      <c r="A27" s="47" t="s">
        <v>19</v>
      </c>
      <c r="B27" s="47" t="s">
        <v>174</v>
      </c>
      <c r="C27" s="407">
        <v>85.86</v>
      </c>
      <c r="D27" s="407">
        <v>33.96</v>
      </c>
      <c r="E27" s="89">
        <v>2.69</v>
      </c>
      <c r="F27" s="89">
        <f>34.56+0.59</f>
        <v>35.150000000000006</v>
      </c>
      <c r="G27" s="407">
        <v>23.57</v>
      </c>
      <c r="H27" s="89">
        <f>0.02+224.74</f>
        <v>224.76000000000002</v>
      </c>
      <c r="I27" s="89">
        <v>72.97</v>
      </c>
      <c r="J27" s="89">
        <v>475.89</v>
      </c>
      <c r="K27" s="89">
        <v>137.53</v>
      </c>
      <c r="L27" s="89">
        <v>83.34</v>
      </c>
      <c r="M27" s="89">
        <v>90.98</v>
      </c>
      <c r="N27" s="407">
        <v>9.98</v>
      </c>
      <c r="O27" s="407">
        <v>35.89</v>
      </c>
      <c r="P27" s="408">
        <v>1105.71</v>
      </c>
      <c r="Q27" s="407">
        <v>555.55999999999995</v>
      </c>
      <c r="R27" s="47">
        <f>SUM(C27:Q27)</f>
        <v>2973.84</v>
      </c>
      <c r="T27" s="181">
        <f t="shared" si="0"/>
        <v>1806.0400000000002</v>
      </c>
    </row>
    <row r="28" spans="1:20">
      <c r="A28" s="47" t="s">
        <v>175</v>
      </c>
      <c r="B28" s="47" t="s">
        <v>174</v>
      </c>
      <c r="C28" s="407">
        <v>8.61</v>
      </c>
      <c r="D28" s="407">
        <v>0.03</v>
      </c>
      <c r="E28" s="89">
        <v>1.4</v>
      </c>
      <c r="F28" s="89">
        <f>28.94+0.08</f>
        <v>29.02</v>
      </c>
      <c r="G28" s="407">
        <v>0.16</v>
      </c>
      <c r="H28" s="407">
        <v>6.44</v>
      </c>
      <c r="I28" s="89">
        <v>35.340000000000003</v>
      </c>
      <c r="J28" s="89">
        <v>47.02</v>
      </c>
      <c r="K28" s="89">
        <v>19.940000000000001</v>
      </c>
      <c r="L28" s="89">
        <v>32.450000000000003</v>
      </c>
      <c r="M28" s="89">
        <v>22.48</v>
      </c>
      <c r="N28" s="407"/>
      <c r="O28" s="407">
        <v>0.39</v>
      </c>
      <c r="P28" s="89">
        <v>189.36</v>
      </c>
      <c r="Q28" s="407">
        <v>5.57</v>
      </c>
      <c r="R28" s="47">
        <f>SUM(C28:Q28)</f>
        <v>398.21</v>
      </c>
      <c r="T28" s="181">
        <f t="shared" si="0"/>
        <v>260.71999999999997</v>
      </c>
    </row>
    <row r="29" spans="1:20">
      <c r="C29" s="89"/>
      <c r="D29" s="89"/>
      <c r="E29" s="89"/>
      <c r="F29" s="89"/>
      <c r="G29" s="89"/>
      <c r="H29" s="89"/>
      <c r="I29" s="89"/>
      <c r="J29" s="89"/>
      <c r="K29" s="89"/>
      <c r="L29" s="89"/>
      <c r="M29" s="89"/>
      <c r="N29" s="89"/>
      <c r="O29" s="89"/>
      <c r="P29" s="89"/>
      <c r="Q29" s="89"/>
      <c r="T29" s="181"/>
    </row>
    <row r="30" spans="1:20" ht="15">
      <c r="A30" s="56" t="s">
        <v>52</v>
      </c>
      <c r="C30" s="89"/>
      <c r="D30" s="89"/>
      <c r="E30" s="89"/>
      <c r="F30" s="89"/>
      <c r="G30" s="89"/>
      <c r="H30" s="89"/>
      <c r="I30" s="89"/>
      <c r="J30" s="89"/>
      <c r="K30" s="89"/>
      <c r="L30" s="89"/>
      <c r="M30" s="89"/>
      <c r="N30" s="89"/>
      <c r="O30" s="89"/>
      <c r="P30" s="89"/>
      <c r="Q30" s="89"/>
      <c r="T30" s="181"/>
    </row>
    <row r="31" spans="1:20">
      <c r="A31" s="47" t="s">
        <v>19</v>
      </c>
      <c r="B31" s="47" t="s">
        <v>174</v>
      </c>
      <c r="C31" s="407">
        <v>137.63999999999999</v>
      </c>
      <c r="D31" s="407">
        <v>35.21</v>
      </c>
      <c r="E31" s="89">
        <v>3.52</v>
      </c>
      <c r="F31" s="89">
        <f>40.18+0.64</f>
        <v>40.82</v>
      </c>
      <c r="G31" s="407">
        <v>24.66</v>
      </c>
      <c r="H31" s="407">
        <f>0.02+221.91</f>
        <v>221.93</v>
      </c>
      <c r="I31" s="89">
        <v>101.19</v>
      </c>
      <c r="J31" s="89">
        <v>505.85</v>
      </c>
      <c r="K31" s="89">
        <v>152.81</v>
      </c>
      <c r="L31" s="89">
        <v>86.88</v>
      </c>
      <c r="M31" s="89">
        <v>114.43</v>
      </c>
      <c r="N31" s="407">
        <v>14.49</v>
      </c>
      <c r="O31" s="407">
        <v>100.12</v>
      </c>
      <c r="P31" s="408">
        <v>1187.77</v>
      </c>
      <c r="Q31" s="407">
        <v>613.24</v>
      </c>
      <c r="R31" s="47">
        <f>SUM(C31:Q31)</f>
        <v>3340.5600000000004</v>
      </c>
      <c r="T31" s="181">
        <f t="shared" si="0"/>
        <v>1981.75</v>
      </c>
    </row>
    <row r="32" spans="1:20">
      <c r="A32" s="47" t="s">
        <v>175</v>
      </c>
      <c r="B32" s="47" t="s">
        <v>174</v>
      </c>
      <c r="C32" s="407">
        <v>11.06</v>
      </c>
      <c r="D32" s="407">
        <v>0.02</v>
      </c>
      <c r="E32" s="89">
        <v>1.82</v>
      </c>
      <c r="F32" s="89">
        <f>30.62+0.08</f>
        <v>30.7</v>
      </c>
      <c r="G32" s="407">
        <v>0.22</v>
      </c>
      <c r="H32" s="407">
        <v>6.23</v>
      </c>
      <c r="I32" s="89">
        <v>40.06</v>
      </c>
      <c r="J32" s="89">
        <v>54.08</v>
      </c>
      <c r="K32" s="89">
        <v>23.18</v>
      </c>
      <c r="L32" s="89">
        <v>36.950000000000003</v>
      </c>
      <c r="M32" s="89">
        <v>26</v>
      </c>
      <c r="N32" s="407"/>
      <c r="O32" s="407">
        <v>0.28000000000000003</v>
      </c>
      <c r="P32" s="89">
        <v>219.55</v>
      </c>
      <c r="Q32" s="407">
        <v>6.39</v>
      </c>
      <c r="R32" s="47">
        <f>SUM(C32:Q32)</f>
        <v>456.53999999999996</v>
      </c>
      <c r="T32" s="181">
        <f t="shared" si="0"/>
        <v>298.53999999999996</v>
      </c>
    </row>
    <row r="33" spans="1:20">
      <c r="C33" s="89"/>
      <c r="D33" s="89"/>
      <c r="E33" s="89"/>
      <c r="F33" s="89"/>
      <c r="G33" s="89"/>
      <c r="H33" s="89"/>
      <c r="I33" s="89"/>
      <c r="J33" s="89"/>
      <c r="K33" s="89"/>
      <c r="L33" s="89"/>
      <c r="M33" s="89"/>
      <c r="N33" s="89"/>
      <c r="O33" s="89"/>
      <c r="P33" s="89"/>
      <c r="Q33" s="89"/>
      <c r="T33" s="181"/>
    </row>
    <row r="34" spans="1:20" ht="15">
      <c r="A34" s="56" t="s">
        <v>196</v>
      </c>
      <c r="C34" s="89"/>
      <c r="D34" s="89"/>
      <c r="E34" s="89"/>
      <c r="F34" s="89"/>
      <c r="G34" s="89"/>
      <c r="H34" s="89"/>
      <c r="I34" s="89"/>
      <c r="J34" s="89"/>
      <c r="K34" s="89"/>
      <c r="L34" s="89"/>
      <c r="M34" s="89"/>
      <c r="N34" s="89"/>
      <c r="O34" s="89"/>
      <c r="P34" s="89"/>
      <c r="Q34" s="89"/>
      <c r="T34" s="181"/>
    </row>
    <row r="35" spans="1:20">
      <c r="A35" s="47" t="s">
        <v>19</v>
      </c>
      <c r="B35" s="47" t="s">
        <v>174</v>
      </c>
      <c r="C35" s="407">
        <v>109.23</v>
      </c>
      <c r="D35" s="407">
        <v>37.57</v>
      </c>
      <c r="E35" s="89">
        <v>3.56</v>
      </c>
      <c r="F35" s="89">
        <f>38.57+0.63</f>
        <v>39.200000000000003</v>
      </c>
      <c r="G35" s="407">
        <v>37.94</v>
      </c>
      <c r="H35" s="407">
        <v>252.28</v>
      </c>
      <c r="I35" s="407">
        <v>80.930000000000007</v>
      </c>
      <c r="J35" s="407">
        <v>546.78</v>
      </c>
      <c r="K35" s="407">
        <v>163.89</v>
      </c>
      <c r="L35" s="407">
        <v>110.12</v>
      </c>
      <c r="M35" s="407">
        <v>102.99</v>
      </c>
      <c r="N35" s="407">
        <v>19.87</v>
      </c>
      <c r="O35" s="407">
        <v>106.59</v>
      </c>
      <c r="P35" s="408">
        <v>1265.1300000000001</v>
      </c>
      <c r="Q35" s="407">
        <v>592.20000000000005</v>
      </c>
      <c r="R35" s="47">
        <f>SUM(C35:Q35)</f>
        <v>3468.2799999999997</v>
      </c>
      <c r="T35" s="181">
        <f t="shared" si="0"/>
        <v>2018.5900000000001</v>
      </c>
    </row>
    <row r="36" spans="1:20">
      <c r="A36" s="47" t="s">
        <v>175</v>
      </c>
      <c r="B36" s="47" t="s">
        <v>174</v>
      </c>
      <c r="C36" s="407">
        <v>9.81</v>
      </c>
      <c r="D36" s="407">
        <v>0.06</v>
      </c>
      <c r="E36" s="89">
        <v>1.49</v>
      </c>
      <c r="F36" s="89">
        <f>30.22+0.08</f>
        <v>30.299999999999997</v>
      </c>
      <c r="G36" s="407">
        <v>0.18</v>
      </c>
      <c r="H36" s="407">
        <v>5.81</v>
      </c>
      <c r="I36" s="407">
        <v>40.72</v>
      </c>
      <c r="J36" s="89">
        <v>56.51</v>
      </c>
      <c r="K36" s="407">
        <v>23.19</v>
      </c>
      <c r="L36" s="407">
        <v>38.049999999999997</v>
      </c>
      <c r="M36" s="407">
        <v>24.82</v>
      </c>
      <c r="N36" s="407"/>
      <c r="O36" s="407">
        <v>0.77</v>
      </c>
      <c r="P36" s="407">
        <v>216.58</v>
      </c>
      <c r="Q36" s="407">
        <v>5.4</v>
      </c>
      <c r="R36" s="47">
        <f>SUM(C36:Q36)</f>
        <v>453.69</v>
      </c>
      <c r="T36" s="181">
        <f t="shared" si="0"/>
        <v>294.55000000000007</v>
      </c>
    </row>
    <row r="37" spans="1:20">
      <c r="C37" s="89"/>
      <c r="D37" s="89"/>
      <c r="E37" s="89"/>
      <c r="F37" s="89"/>
      <c r="G37" s="89"/>
      <c r="H37" s="89"/>
      <c r="I37" s="89"/>
      <c r="J37" s="89"/>
      <c r="K37" s="89"/>
      <c r="L37" s="89"/>
      <c r="M37" s="89"/>
      <c r="N37" s="89"/>
      <c r="O37" s="89"/>
      <c r="P37" s="89"/>
      <c r="Q37" s="89"/>
      <c r="T37" s="181"/>
    </row>
    <row r="38" spans="1:20" ht="15">
      <c r="A38" s="56" t="s">
        <v>197</v>
      </c>
      <c r="C38" s="89"/>
      <c r="D38" s="89"/>
      <c r="E38" s="89"/>
      <c r="F38" s="89"/>
      <c r="G38" s="89"/>
      <c r="H38" s="89"/>
      <c r="I38" s="89"/>
      <c r="J38" s="89"/>
      <c r="K38" s="89"/>
      <c r="L38" s="89"/>
      <c r="M38" s="89"/>
      <c r="N38" s="89"/>
      <c r="O38" s="89"/>
      <c r="P38" s="89"/>
      <c r="Q38" s="89"/>
      <c r="T38" s="181"/>
    </row>
    <row r="39" spans="1:20">
      <c r="A39" s="47" t="s">
        <v>19</v>
      </c>
      <c r="B39" s="47" t="s">
        <v>174</v>
      </c>
      <c r="C39" s="407">
        <v>90.16</v>
      </c>
      <c r="D39" s="407">
        <v>36.770000000000003</v>
      </c>
      <c r="E39" s="407">
        <v>2.87</v>
      </c>
      <c r="F39" s="407">
        <f>37.92+0.56</f>
        <v>38.480000000000004</v>
      </c>
      <c r="G39" s="407">
        <v>24.43</v>
      </c>
      <c r="H39" s="407">
        <v>217.98</v>
      </c>
      <c r="I39" s="407">
        <v>81.209999999999994</v>
      </c>
      <c r="J39" s="407">
        <v>450.38</v>
      </c>
      <c r="K39" s="407">
        <v>136.87</v>
      </c>
      <c r="L39" s="407">
        <v>81.89</v>
      </c>
      <c r="M39" s="407">
        <v>100.12</v>
      </c>
      <c r="N39" s="407">
        <v>9.35</v>
      </c>
      <c r="O39" s="407">
        <v>34.11</v>
      </c>
      <c r="P39" s="407">
        <v>1099.23</v>
      </c>
      <c r="Q39" s="407">
        <v>532.63</v>
      </c>
      <c r="R39" s="47">
        <f>SUM(C39:Q39)</f>
        <v>2936.4800000000005</v>
      </c>
      <c r="T39" s="181">
        <f t="shared" si="0"/>
        <v>1791.19</v>
      </c>
    </row>
    <row r="40" spans="1:20">
      <c r="A40" s="47" t="s">
        <v>175</v>
      </c>
      <c r="B40" s="47" t="s">
        <v>174</v>
      </c>
      <c r="C40" s="407">
        <v>9.5</v>
      </c>
      <c r="D40" s="407">
        <v>0.03</v>
      </c>
      <c r="E40" s="407">
        <v>1.37</v>
      </c>
      <c r="F40" s="407">
        <f>27.35+0.08</f>
        <v>27.43</v>
      </c>
      <c r="G40" s="407">
        <v>0.17</v>
      </c>
      <c r="H40" s="407">
        <v>3.89</v>
      </c>
      <c r="I40" s="407">
        <v>33.94</v>
      </c>
      <c r="J40" s="407">
        <v>48.39</v>
      </c>
      <c r="K40" s="407">
        <v>19.18</v>
      </c>
      <c r="L40" s="407">
        <v>31.26</v>
      </c>
      <c r="M40" s="407">
        <v>21.02</v>
      </c>
      <c r="N40" s="407"/>
      <c r="O40" s="407">
        <v>0.36</v>
      </c>
      <c r="P40" s="407">
        <v>186.26</v>
      </c>
      <c r="Q40" s="407">
        <v>5.34</v>
      </c>
      <c r="R40" s="47">
        <f>SUM(C40:Q40)</f>
        <v>388.14</v>
      </c>
      <c r="T40" s="181">
        <f t="shared" si="0"/>
        <v>254.37</v>
      </c>
    </row>
    <row r="41" spans="1:20">
      <c r="C41" s="89"/>
      <c r="D41" s="89"/>
      <c r="E41" s="89"/>
      <c r="F41" s="89"/>
      <c r="G41" s="89"/>
      <c r="H41" s="89"/>
      <c r="I41" s="89"/>
      <c r="J41" s="89"/>
      <c r="K41" s="89"/>
      <c r="L41" s="89"/>
      <c r="M41" s="89"/>
      <c r="N41" s="89"/>
      <c r="O41" s="89"/>
      <c r="P41" s="89"/>
      <c r="Q41" s="89"/>
      <c r="T41" s="181"/>
    </row>
    <row r="42" spans="1:20" ht="15">
      <c r="A42" s="56" t="s">
        <v>198</v>
      </c>
      <c r="C42" s="89"/>
      <c r="D42" s="89"/>
      <c r="E42" s="89"/>
      <c r="F42" s="89"/>
      <c r="G42" s="89"/>
      <c r="H42" s="89"/>
      <c r="I42" s="89"/>
      <c r="J42" s="89"/>
      <c r="K42" s="89"/>
      <c r="L42" s="89"/>
      <c r="M42" s="89"/>
      <c r="N42" s="89"/>
      <c r="O42" s="89"/>
      <c r="P42" s="89"/>
      <c r="Q42" s="89"/>
      <c r="T42" s="181"/>
    </row>
    <row r="43" spans="1:20">
      <c r="A43" s="47" t="s">
        <v>19</v>
      </c>
      <c r="B43" s="47" t="s">
        <v>174</v>
      </c>
      <c r="C43" s="407">
        <v>100.87</v>
      </c>
      <c r="D43" s="407">
        <v>46.64</v>
      </c>
      <c r="E43" s="89">
        <v>3.19</v>
      </c>
      <c r="F43" s="89">
        <f>42.87+0.61</f>
        <v>43.48</v>
      </c>
      <c r="G43" s="407">
        <v>23.35</v>
      </c>
      <c r="H43" s="407">
        <v>270.98</v>
      </c>
      <c r="I43" s="407">
        <v>87.48</v>
      </c>
      <c r="J43" s="407">
        <v>478.61</v>
      </c>
      <c r="K43" s="407">
        <v>148.91</v>
      </c>
      <c r="L43" s="407">
        <v>95.62</v>
      </c>
      <c r="M43" s="407">
        <v>123.45</v>
      </c>
      <c r="N43" s="407">
        <v>8.6300000000000008</v>
      </c>
      <c r="O43" s="407">
        <v>39.020000000000003</v>
      </c>
      <c r="P43" s="408">
        <v>1151.97</v>
      </c>
      <c r="Q43" s="407">
        <v>544.9</v>
      </c>
      <c r="R43" s="47">
        <f>SUM(C43:Q43)</f>
        <v>3167.1000000000004</v>
      </c>
      <c r="T43" s="181">
        <f t="shared" si="0"/>
        <v>1877.66</v>
      </c>
    </row>
    <row r="44" spans="1:20">
      <c r="A44" s="47" t="s">
        <v>175</v>
      </c>
      <c r="B44" s="47" t="s">
        <v>174</v>
      </c>
      <c r="C44" s="407">
        <v>10.9</v>
      </c>
      <c r="D44" s="407">
        <v>0.03</v>
      </c>
      <c r="E44" s="89">
        <v>1.71</v>
      </c>
      <c r="F44" s="89">
        <f>34.71+0.12</f>
        <v>34.83</v>
      </c>
      <c r="G44" s="407">
        <v>0.21</v>
      </c>
      <c r="H44" s="407">
        <v>4.24</v>
      </c>
      <c r="I44" s="407">
        <v>36.99</v>
      </c>
      <c r="J44" s="89">
        <v>53.66</v>
      </c>
      <c r="K44" s="407">
        <v>22.44</v>
      </c>
      <c r="L44" s="407">
        <v>37.21</v>
      </c>
      <c r="M44" s="407">
        <v>24.07</v>
      </c>
      <c r="N44" s="407"/>
      <c r="O44" s="407">
        <v>0.41</v>
      </c>
      <c r="P44" s="407">
        <v>216.54</v>
      </c>
      <c r="Q44" s="407">
        <v>5.71</v>
      </c>
      <c r="R44" s="47">
        <f>SUM(C44:Q44)</f>
        <v>448.95</v>
      </c>
      <c r="T44" s="181">
        <f t="shared" si="0"/>
        <v>295.80999999999995</v>
      </c>
    </row>
    <row r="45" spans="1:20">
      <c r="C45" s="89"/>
      <c r="D45" s="89"/>
      <c r="E45" s="89"/>
      <c r="F45" s="89"/>
      <c r="G45" s="89"/>
      <c r="H45" s="89"/>
      <c r="I45" s="89"/>
      <c r="J45" s="89"/>
      <c r="K45" s="89"/>
      <c r="L45" s="89"/>
      <c r="M45" s="89"/>
      <c r="N45" s="89"/>
      <c r="O45" s="89"/>
      <c r="P45" s="89"/>
      <c r="Q45" s="89"/>
      <c r="T45" s="181"/>
    </row>
    <row r="46" spans="1:20" ht="15">
      <c r="A46" s="56" t="s">
        <v>199</v>
      </c>
      <c r="C46" s="89"/>
      <c r="D46" s="89"/>
      <c r="E46" s="89"/>
      <c r="F46" s="89"/>
      <c r="G46" s="89"/>
      <c r="H46" s="89"/>
      <c r="I46" s="89"/>
      <c r="J46" s="89"/>
      <c r="K46" s="89"/>
      <c r="L46" s="89"/>
      <c r="M46" s="89"/>
      <c r="N46" s="89"/>
      <c r="O46" s="89"/>
      <c r="P46" s="89"/>
      <c r="Q46" s="89"/>
      <c r="T46" s="181"/>
    </row>
    <row r="47" spans="1:20">
      <c r="A47" s="47" t="s">
        <v>19</v>
      </c>
      <c r="B47" s="47" t="s">
        <v>174</v>
      </c>
      <c r="C47" s="429">
        <v>93.589289543031896</v>
      </c>
      <c r="D47" s="429">
        <v>32.608077566397498</v>
      </c>
      <c r="E47" s="429">
        <v>2.9177165467294599</v>
      </c>
      <c r="F47" s="429">
        <v>41.447172430036403</v>
      </c>
      <c r="G47" s="429">
        <v>23.536698930504201</v>
      </c>
      <c r="H47" s="429">
        <v>212.459855666278</v>
      </c>
      <c r="I47" s="429">
        <v>72.661381166727793</v>
      </c>
      <c r="J47" s="429">
        <v>473.18756798682443</v>
      </c>
      <c r="K47" s="429">
        <v>146.87561214234299</v>
      </c>
      <c r="L47" s="429">
        <v>80.250026081768397</v>
      </c>
      <c r="M47" s="429">
        <v>91.867309135547302</v>
      </c>
      <c r="N47" s="429">
        <v>9.2929362225751806</v>
      </c>
      <c r="O47" s="429">
        <v>33.805855863718101</v>
      </c>
      <c r="P47" s="429">
        <v>1150.973304031</v>
      </c>
      <c r="Q47" s="429">
        <v>574.73271159420904</v>
      </c>
      <c r="R47" s="47">
        <f>SUM(C47:Q47)</f>
        <v>3040.2055149076905</v>
      </c>
      <c r="T47" s="181">
        <f t="shared" si="0"/>
        <v>1875.3403633351002</v>
      </c>
    </row>
    <row r="48" spans="1:20">
      <c r="A48" s="47" t="s">
        <v>175</v>
      </c>
      <c r="B48" s="47" t="s">
        <v>174</v>
      </c>
      <c r="C48" s="429">
        <v>9.8050798361472005</v>
      </c>
      <c r="D48" s="429">
        <v>3.359998447655E-2</v>
      </c>
      <c r="E48" s="429">
        <v>1.3441762210855599</v>
      </c>
      <c r="F48" s="429">
        <v>23.459509161527201</v>
      </c>
      <c r="G48" s="429">
        <v>0.16692651550552601</v>
      </c>
      <c r="H48" s="429">
        <v>4.0007738163240996</v>
      </c>
      <c r="I48" s="429">
        <v>34.946990170012498</v>
      </c>
      <c r="J48" s="429">
        <v>49.380754985145202</v>
      </c>
      <c r="K48" s="429">
        <v>21.173295480933302</v>
      </c>
      <c r="L48" s="429">
        <v>33.518813987735598</v>
      </c>
      <c r="M48" s="429">
        <v>22.8937915281562</v>
      </c>
      <c r="N48" s="429">
        <v>0</v>
      </c>
      <c r="O48" s="429">
        <v>0.26868325973504598</v>
      </c>
      <c r="P48" s="429">
        <v>196.47467133246101</v>
      </c>
      <c r="Q48" s="429">
        <v>5.4743163963647898</v>
      </c>
      <c r="R48" s="47">
        <f>SUM(C48:Q48)</f>
        <v>402.94138267560976</v>
      </c>
      <c r="T48" s="181">
        <f t="shared" si="0"/>
        <v>261.73326326592763</v>
      </c>
    </row>
    <row r="49" spans="1:20">
      <c r="C49" s="432"/>
      <c r="D49" s="432"/>
      <c r="E49" s="432"/>
      <c r="F49" s="432"/>
      <c r="G49" s="432"/>
      <c r="H49" s="432"/>
      <c r="I49" s="432"/>
      <c r="J49" s="432"/>
      <c r="K49" s="432"/>
      <c r="L49" s="432"/>
      <c r="M49" s="432"/>
      <c r="N49" s="432"/>
      <c r="O49" s="432"/>
      <c r="P49" s="432"/>
      <c r="Q49" s="432"/>
      <c r="T49" s="181"/>
    </row>
    <row r="50" spans="1:20" ht="15">
      <c r="A50" s="56" t="s">
        <v>200</v>
      </c>
      <c r="C50" s="432"/>
      <c r="D50" s="432"/>
      <c r="E50" s="432"/>
      <c r="F50" s="432"/>
      <c r="G50" s="432"/>
      <c r="H50" s="432"/>
      <c r="I50" s="432"/>
      <c r="J50" s="432"/>
      <c r="K50" s="432"/>
      <c r="L50" s="432"/>
      <c r="M50" s="432"/>
      <c r="N50" s="432"/>
      <c r="O50" s="432"/>
      <c r="P50" s="432"/>
      <c r="Q50" s="432"/>
      <c r="T50" s="181"/>
    </row>
    <row r="51" spans="1:20">
      <c r="A51" t="s">
        <v>19</v>
      </c>
      <c r="B51" t="s">
        <v>174</v>
      </c>
      <c r="C51" s="407">
        <v>84.270120667322303</v>
      </c>
      <c r="D51" s="407">
        <v>33.0848844251976</v>
      </c>
      <c r="E51" s="407">
        <v>3.7256587971321302</v>
      </c>
      <c r="F51" s="407">
        <v>40.980989798548798</v>
      </c>
      <c r="G51" s="407">
        <v>23.040312932450998</v>
      </c>
      <c r="H51" s="407">
        <v>205.07182666486699</v>
      </c>
      <c r="I51" s="407">
        <v>74.778935293893596</v>
      </c>
      <c r="J51" s="407">
        <v>443.29283831125872</v>
      </c>
      <c r="K51" s="407">
        <v>137.606421168049</v>
      </c>
      <c r="L51" s="407">
        <v>77.227333100857905</v>
      </c>
      <c r="M51" s="407">
        <v>107.180387225266</v>
      </c>
      <c r="N51" s="407">
        <v>9.0739128095530504</v>
      </c>
      <c r="O51" s="407">
        <v>75.571803822244405</v>
      </c>
      <c r="P51" s="407">
        <v>1067.61277545658</v>
      </c>
      <c r="Q51" s="407">
        <v>539.88374387532303</v>
      </c>
      <c r="R51" s="47">
        <f>SUM(C51:Q51)</f>
        <v>2922.4019443485445</v>
      </c>
      <c r="T51" s="181">
        <f t="shared" si="0"/>
        <v>1760.066987646675</v>
      </c>
    </row>
    <row r="52" spans="1:20">
      <c r="A52" t="s">
        <v>175</v>
      </c>
      <c r="B52" t="s">
        <v>174</v>
      </c>
      <c r="C52" s="407">
        <v>9.7943209998788294</v>
      </c>
      <c r="D52" s="407">
        <v>3.4117754552491997E-2</v>
      </c>
      <c r="E52" s="407">
        <v>1.04166891662635</v>
      </c>
      <c r="F52" s="407">
        <v>22.743254318949599</v>
      </c>
      <c r="G52" s="407">
        <v>0.16697391381430199</v>
      </c>
      <c r="H52" s="407">
        <v>3.8643761703063499</v>
      </c>
      <c r="I52" s="407">
        <v>32.358355820358803</v>
      </c>
      <c r="J52" s="407">
        <v>49.8909850861709</v>
      </c>
      <c r="K52" s="407">
        <v>20.739105589684598</v>
      </c>
      <c r="L52" s="407">
        <v>33.664167984073103</v>
      </c>
      <c r="M52" s="407">
        <v>23.058394630737101</v>
      </c>
      <c r="N52" s="407">
        <v>0</v>
      </c>
      <c r="O52" s="407">
        <v>0.26285701999802202</v>
      </c>
      <c r="P52" s="407">
        <v>200.28684156337101</v>
      </c>
      <c r="Q52" s="407">
        <v>5.6843319248874602</v>
      </c>
      <c r="R52" s="47">
        <f>SUM(C52:Q52)</f>
        <v>403.58975169340897</v>
      </c>
      <c r="T52" s="181">
        <f t="shared" si="0"/>
        <v>262.14857029874571</v>
      </c>
    </row>
    <row r="53" spans="1:20">
      <c r="C53" s="89"/>
      <c r="D53" s="89"/>
      <c r="E53" s="89"/>
      <c r="F53" s="89"/>
      <c r="G53" s="89"/>
      <c r="H53" s="89"/>
      <c r="I53" s="89"/>
      <c r="J53" s="89"/>
      <c r="K53" s="89"/>
      <c r="L53" s="89"/>
      <c r="M53" s="89"/>
      <c r="N53" s="89"/>
      <c r="O53" s="89"/>
      <c r="P53" s="89"/>
      <c r="Q53" s="89"/>
      <c r="T53" s="181"/>
    </row>
    <row r="54" spans="1:20" ht="15">
      <c r="A54" s="56" t="s">
        <v>201</v>
      </c>
      <c r="C54" s="89"/>
      <c r="D54" s="89"/>
      <c r="E54" s="89"/>
      <c r="F54" s="89"/>
      <c r="G54" s="89"/>
      <c r="H54" s="89"/>
      <c r="I54" s="89"/>
      <c r="J54" s="89"/>
      <c r="K54" s="89"/>
      <c r="L54" s="89"/>
      <c r="M54" s="89"/>
      <c r="N54" s="89"/>
      <c r="O54" s="89"/>
      <c r="P54" s="89"/>
      <c r="Q54" s="89"/>
      <c r="T54" s="181"/>
    </row>
    <row r="55" spans="1:20">
      <c r="A55" t="s">
        <v>19</v>
      </c>
      <c r="B55" t="s">
        <v>174</v>
      </c>
      <c r="C55" s="407">
        <v>95.004820464110495</v>
      </c>
      <c r="D55" s="407">
        <v>35.1625178409885</v>
      </c>
      <c r="E55" s="407">
        <v>3.3144487099267699</v>
      </c>
      <c r="F55" s="407">
        <v>39.554443023987801</v>
      </c>
      <c r="G55" s="407">
        <v>24.8138605302359</v>
      </c>
      <c r="H55" s="407">
        <v>214.66524684317636</v>
      </c>
      <c r="I55" s="407">
        <v>88.53</v>
      </c>
      <c r="J55" s="407">
        <v>476.39203059213503</v>
      </c>
      <c r="K55" s="407">
        <v>140.424698791775</v>
      </c>
      <c r="L55" s="407">
        <v>86.942391977186901</v>
      </c>
      <c r="M55" s="407">
        <v>98.872610469328293</v>
      </c>
      <c r="N55" s="407">
        <v>10.2466480385448</v>
      </c>
      <c r="O55" s="407">
        <v>37.225096541148197</v>
      </c>
      <c r="P55" s="407">
        <v>1117.8948121020401</v>
      </c>
      <c r="Q55" s="407">
        <v>533.10948824669799</v>
      </c>
      <c r="R55" s="47">
        <f>SUM(C55:Q55)</f>
        <v>3002.1531141712821</v>
      </c>
      <c r="T55" s="181">
        <f t="shared" si="0"/>
        <v>1817.5657099236412</v>
      </c>
    </row>
    <row r="56" spans="1:20">
      <c r="A56" t="s">
        <v>175</v>
      </c>
      <c r="B56" t="s">
        <v>174</v>
      </c>
      <c r="C56" s="407">
        <v>9.3790061851157098</v>
      </c>
      <c r="D56" s="407">
        <v>3.6319583302732897E-2</v>
      </c>
      <c r="E56" s="407">
        <v>1.4529744878109101</v>
      </c>
      <c r="F56" s="407">
        <v>24.1905628809345</v>
      </c>
      <c r="G56" s="407">
        <v>0.22298380253804201</v>
      </c>
      <c r="H56" s="407">
        <v>2.6312088699489</v>
      </c>
      <c r="I56" s="407">
        <v>33.76</v>
      </c>
      <c r="J56" s="407">
        <v>55.105000631992802</v>
      </c>
      <c r="K56" s="407">
        <v>20.455571627502401</v>
      </c>
      <c r="L56" s="407">
        <v>35.537565327514599</v>
      </c>
      <c r="M56" s="407">
        <v>24.558728762203199</v>
      </c>
      <c r="N56" s="407">
        <v>0</v>
      </c>
      <c r="O56" s="407">
        <v>0.391921247485435</v>
      </c>
      <c r="P56" s="407">
        <v>205.44459028743299</v>
      </c>
      <c r="Q56" s="407">
        <v>6.1999293520457703</v>
      </c>
      <c r="R56" s="47">
        <f>SUM(C56:Q56)</f>
        <v>419.366363045828</v>
      </c>
      <c r="T56" s="181">
        <f t="shared" si="0"/>
        <v>271.0843765915269</v>
      </c>
    </row>
    <row r="57" spans="1:20">
      <c r="C57" s="89"/>
      <c r="D57" s="89"/>
      <c r="E57" s="89"/>
      <c r="F57" s="89"/>
      <c r="G57" s="89"/>
      <c r="H57" s="89"/>
      <c r="I57" s="89"/>
      <c r="J57" s="89"/>
      <c r="K57" s="89"/>
      <c r="L57" s="89"/>
      <c r="M57" s="89"/>
      <c r="N57" s="89"/>
      <c r="O57" s="89"/>
      <c r="P57" s="89"/>
      <c r="Q57" s="89"/>
      <c r="T57" s="181"/>
    </row>
    <row r="58" spans="1:20" ht="15">
      <c r="A58" s="56" t="s">
        <v>187</v>
      </c>
      <c r="C58" s="89"/>
      <c r="D58" s="89"/>
      <c r="E58" s="89"/>
      <c r="F58" s="89"/>
      <c r="G58" s="89"/>
      <c r="H58" s="89"/>
      <c r="I58" s="89"/>
      <c r="J58" s="89"/>
      <c r="K58" s="89"/>
      <c r="L58" s="89"/>
      <c r="M58" s="89"/>
      <c r="N58" s="89"/>
      <c r="O58" s="89"/>
      <c r="P58" s="89"/>
      <c r="Q58" s="89"/>
      <c r="T58" s="181"/>
    </row>
    <row r="59" spans="1:20">
      <c r="A59" t="s">
        <v>19</v>
      </c>
      <c r="B59" t="s">
        <v>174</v>
      </c>
      <c r="C59" s="407">
        <v>79.342077064444894</v>
      </c>
      <c r="D59" s="407">
        <v>22.3339427730089</v>
      </c>
      <c r="E59" s="407">
        <v>3.50485243122999</v>
      </c>
      <c r="F59" s="407">
        <v>39.891064308344298</v>
      </c>
      <c r="G59" s="407">
        <v>42.175772277555403</v>
      </c>
      <c r="H59" s="407">
        <v>169.21543114811803</v>
      </c>
      <c r="I59" s="407">
        <v>79.911567927939601</v>
      </c>
      <c r="J59" s="407">
        <v>435.21785348955819</v>
      </c>
      <c r="K59" s="407">
        <v>147.45890634601199</v>
      </c>
      <c r="L59" s="407">
        <v>74.669608856525699</v>
      </c>
      <c r="M59" s="407">
        <v>101.843871397256</v>
      </c>
      <c r="N59" s="407">
        <v>10.9556630195342</v>
      </c>
      <c r="O59" s="407">
        <v>51.384455270563201</v>
      </c>
      <c r="P59" s="407">
        <v>1091.2637571380501</v>
      </c>
      <c r="Q59" s="407">
        <v>539.93057566543803</v>
      </c>
      <c r="R59" s="47">
        <f>SUM(C59:Q59)</f>
        <v>2889.0993991135783</v>
      </c>
      <c r="T59" s="181">
        <f t="shared" si="0"/>
        <v>1776.8357602440108</v>
      </c>
    </row>
    <row r="60" spans="1:20">
      <c r="A60" t="s">
        <v>175</v>
      </c>
      <c r="B60" t="s">
        <v>174</v>
      </c>
      <c r="C60" s="407">
        <v>9.8888163621841407</v>
      </c>
      <c r="D60" s="407">
        <v>4.2184338143525797E-2</v>
      </c>
      <c r="E60" s="407">
        <v>1.26575216713811</v>
      </c>
      <c r="F60" s="407">
        <v>22.392778823577501</v>
      </c>
      <c r="G60" s="407">
        <v>0.14140658052166299</v>
      </c>
      <c r="H60" s="407">
        <v>4.3295301628790197</v>
      </c>
      <c r="I60" s="407">
        <v>33.680423242344602</v>
      </c>
      <c r="J60" s="407">
        <v>49.130302336446697</v>
      </c>
      <c r="K60" s="407">
        <v>23.503781076578601</v>
      </c>
      <c r="L60" s="407">
        <v>31.340743012316299</v>
      </c>
      <c r="M60" s="407">
        <v>25.574143988096299</v>
      </c>
      <c r="N60" s="407">
        <v>0</v>
      </c>
      <c r="O60" s="407">
        <v>0.211653100629282</v>
      </c>
      <c r="P60" s="407">
        <v>192.41098111741701</v>
      </c>
      <c r="Q60" s="407">
        <v>5.0793809282418803</v>
      </c>
      <c r="R60" s="47">
        <f>SUM(C60:Q60)</f>
        <v>398.99187723651465</v>
      </c>
      <c r="T60" s="181">
        <f t="shared" si="0"/>
        <v>254.87150061686265</v>
      </c>
    </row>
    <row r="61" spans="1:20">
      <c r="C61" s="89"/>
      <c r="D61" s="89"/>
      <c r="E61" s="89"/>
      <c r="F61" s="89"/>
      <c r="G61" s="89"/>
      <c r="H61" s="89"/>
      <c r="I61" s="89"/>
      <c r="J61" s="89"/>
      <c r="K61" s="89"/>
      <c r="L61" s="89"/>
      <c r="M61" s="89"/>
      <c r="N61" s="89"/>
      <c r="O61" s="89"/>
      <c r="P61" s="89"/>
      <c r="Q61" s="89"/>
      <c r="T61" s="181"/>
    </row>
    <row r="62" spans="1:20" ht="15">
      <c r="A62" s="56" t="s">
        <v>202</v>
      </c>
      <c r="C62" s="89"/>
      <c r="D62" s="89"/>
      <c r="E62" s="89"/>
      <c r="F62" s="89"/>
      <c r="G62" s="89"/>
      <c r="H62" s="89"/>
      <c r="I62" s="89"/>
      <c r="J62" s="89"/>
      <c r="K62" s="89"/>
      <c r="L62" s="89"/>
      <c r="M62" s="89"/>
      <c r="N62" s="89"/>
      <c r="O62" s="89"/>
      <c r="P62" s="89"/>
      <c r="Q62" s="89"/>
      <c r="T62" s="181"/>
    </row>
    <row r="63" spans="1:20">
      <c r="A63" t="s">
        <v>19</v>
      </c>
      <c r="B63" t="s">
        <v>174</v>
      </c>
      <c r="C63" s="407">
        <v>108.793560210227</v>
      </c>
      <c r="D63" s="407">
        <v>40.231019804027099</v>
      </c>
      <c r="E63" s="407">
        <v>3.7444745473881098</v>
      </c>
      <c r="F63" s="407">
        <v>48.522680236979703</v>
      </c>
      <c r="G63" s="407">
        <v>29.526251960114401</v>
      </c>
      <c r="H63" s="407">
        <v>306.65087611018998</v>
      </c>
      <c r="I63" s="407">
        <v>96.360777492517599</v>
      </c>
      <c r="J63" s="407">
        <v>534.7491259106082</v>
      </c>
      <c r="K63" s="407">
        <v>168.60371814451599</v>
      </c>
      <c r="L63" s="407">
        <v>98.572822754003099</v>
      </c>
      <c r="M63" s="407">
        <v>132.04353162709799</v>
      </c>
      <c r="N63" s="407">
        <v>11.373875698323999</v>
      </c>
      <c r="O63" s="407">
        <v>40.957749574933203</v>
      </c>
      <c r="P63" s="407">
        <v>1339.1699027123</v>
      </c>
      <c r="Q63" s="407">
        <v>645.42148420730405</v>
      </c>
      <c r="R63" s="47">
        <f>SUM(C63:Q63)</f>
        <v>3604.7218509905306</v>
      </c>
      <c r="T63" s="181">
        <f t="shared" si="0"/>
        <v>2173.4503390005166</v>
      </c>
    </row>
    <row r="64" spans="1:20">
      <c r="A64" t="s">
        <v>175</v>
      </c>
      <c r="B64" t="s">
        <v>174</v>
      </c>
      <c r="C64" s="407">
        <v>11.477783587506901</v>
      </c>
      <c r="D64" s="407">
        <v>4.1031787531215197E-2</v>
      </c>
      <c r="E64" s="407">
        <v>2.0518053333372399</v>
      </c>
      <c r="F64" s="407">
        <v>28.568058133443799</v>
      </c>
      <c r="G64" s="407">
        <v>0.34726892612113902</v>
      </c>
      <c r="H64" s="407">
        <v>5.0770600685637097</v>
      </c>
      <c r="I64" s="407">
        <v>38.110108302216197</v>
      </c>
      <c r="J64" s="407">
        <v>59.250997552952697</v>
      </c>
      <c r="K64" s="407">
        <v>26.972353512032502</v>
      </c>
      <c r="L64" s="407">
        <v>40.667252492516802</v>
      </c>
      <c r="M64" s="407">
        <v>29.914764591573601</v>
      </c>
      <c r="N64" s="407">
        <v>0</v>
      </c>
      <c r="O64" s="407">
        <v>0.43461652902599002</v>
      </c>
      <c r="P64" s="407">
        <v>234.37292250797199</v>
      </c>
      <c r="Q64" s="407">
        <v>7.1081810663633904</v>
      </c>
      <c r="R64" s="47">
        <f>SUM(C64:Q64)</f>
        <v>484.39420439115719</v>
      </c>
      <c r="T64" s="181">
        <f t="shared" si="0"/>
        <v>310.25210713086386</v>
      </c>
    </row>
    <row r="65" spans="1:20">
      <c r="C65" s="89"/>
      <c r="D65" s="89"/>
      <c r="E65" s="89"/>
      <c r="F65" s="89"/>
      <c r="G65" s="89"/>
      <c r="H65" s="89"/>
      <c r="I65" s="89"/>
      <c r="J65" s="89"/>
      <c r="K65" s="89"/>
      <c r="L65" s="89"/>
      <c r="M65" s="89"/>
      <c r="N65" s="89"/>
      <c r="O65" s="89"/>
      <c r="P65" s="89"/>
      <c r="Q65" s="89"/>
      <c r="T65" s="181"/>
    </row>
    <row r="66" spans="1:20" ht="15">
      <c r="A66" s="56" t="s">
        <v>203</v>
      </c>
      <c r="C66" s="89"/>
      <c r="D66" s="89"/>
      <c r="E66" s="89"/>
      <c r="F66" s="89"/>
      <c r="G66" s="89"/>
      <c r="H66" s="89"/>
      <c r="I66" s="89"/>
      <c r="J66" s="89"/>
      <c r="K66" s="89"/>
      <c r="L66" s="89"/>
      <c r="M66" s="89"/>
      <c r="N66" s="89"/>
      <c r="O66" s="89"/>
      <c r="P66" s="89"/>
      <c r="Q66" s="89"/>
      <c r="T66" s="181"/>
    </row>
    <row r="67" spans="1:20">
      <c r="A67" t="s">
        <v>19</v>
      </c>
      <c r="B67" t="s">
        <v>174</v>
      </c>
      <c r="C67" s="407">
        <v>81.820815443227303</v>
      </c>
      <c r="D67" s="407">
        <v>32.574521726350099</v>
      </c>
      <c r="E67" s="407">
        <v>3.1062464947066801</v>
      </c>
      <c r="F67" s="407">
        <v>37.170617382413802</v>
      </c>
      <c r="G67" s="407">
        <v>22.823359552476301</v>
      </c>
      <c r="H67" s="407">
        <v>180.91498455776599</v>
      </c>
      <c r="I67" s="407">
        <v>73.787630575093502</v>
      </c>
      <c r="J67" s="407">
        <v>404.02582721866708</v>
      </c>
      <c r="K67" s="407">
        <v>129.20832736858901</v>
      </c>
      <c r="L67" s="407">
        <v>80.517420061440802</v>
      </c>
      <c r="M67" s="407">
        <v>86.515415661835902</v>
      </c>
      <c r="N67" s="407">
        <v>9.9336799909949907</v>
      </c>
      <c r="O67" s="407">
        <v>35.647819370046399</v>
      </c>
      <c r="P67" s="407">
        <v>1006.04386726712</v>
      </c>
      <c r="Q67" s="407">
        <v>480.22212856532599</v>
      </c>
      <c r="R67" s="47">
        <f>SUM(C67:Q67)</f>
        <v>2664.3126612360538</v>
      </c>
      <c r="T67" s="181">
        <f t="shared" si="0"/>
        <v>1632.9050120110105</v>
      </c>
    </row>
    <row r="68" spans="1:20">
      <c r="A68" t="s">
        <v>175</v>
      </c>
      <c r="B68" t="s">
        <v>174</v>
      </c>
      <c r="C68" s="407">
        <v>8.7427392939955908</v>
      </c>
      <c r="D68" s="407">
        <v>3.3487677825367101E-2</v>
      </c>
      <c r="E68" s="407">
        <v>1.3396833639506101</v>
      </c>
      <c r="F68" s="407">
        <v>25.341183316070801</v>
      </c>
      <c r="G68" s="407">
        <v>0.32890535891235501</v>
      </c>
      <c r="H68" s="407">
        <v>3.6767400162790498</v>
      </c>
      <c r="I68" s="407">
        <v>29.621084793088698</v>
      </c>
      <c r="J68" s="407">
        <v>46.818650011927097</v>
      </c>
      <c r="K68" s="407">
        <v>18.8579688890798</v>
      </c>
      <c r="L68" s="407">
        <v>31.223382051564499</v>
      </c>
      <c r="M68" s="407">
        <v>22.226300525503898</v>
      </c>
      <c r="N68" s="407">
        <v>0</v>
      </c>
      <c r="O68" s="407">
        <v>0.28446918762870199</v>
      </c>
      <c r="P68" s="407">
        <v>170.364154663157</v>
      </c>
      <c r="Q68" s="407">
        <v>5.2234671337440801</v>
      </c>
      <c r="R68" s="47">
        <f>SUM(C68:Q68)</f>
        <v>364.08221628272753</v>
      </c>
      <c r="T68" s="181">
        <f t="shared" si="0"/>
        <v>231.92306094783657</v>
      </c>
    </row>
    <row r="69" spans="1:20">
      <c r="C69" s="89"/>
      <c r="D69" s="89"/>
      <c r="E69" s="89"/>
      <c r="F69" s="89"/>
      <c r="G69" s="89"/>
      <c r="H69" s="89"/>
      <c r="I69" s="89"/>
      <c r="J69" s="89"/>
      <c r="K69" s="89"/>
      <c r="L69" s="89"/>
      <c r="M69" s="89"/>
      <c r="N69" s="89"/>
      <c r="O69" s="89"/>
      <c r="P69" s="89"/>
      <c r="Q69" s="89"/>
      <c r="T69" s="181"/>
    </row>
    <row r="70" spans="1:20" ht="15">
      <c r="A70" s="56" t="s">
        <v>190</v>
      </c>
      <c r="C70" s="89"/>
      <c r="D70" s="89"/>
      <c r="E70" s="89"/>
      <c r="F70" s="89"/>
      <c r="G70" s="89"/>
      <c r="H70" s="89"/>
      <c r="I70" s="89"/>
      <c r="J70" s="89"/>
      <c r="K70" s="89"/>
      <c r="L70" s="89"/>
      <c r="M70" s="89"/>
      <c r="N70" s="89"/>
      <c r="O70" s="89"/>
      <c r="P70" s="89"/>
      <c r="Q70" s="89"/>
      <c r="T70" s="181"/>
    </row>
    <row r="71" spans="1:20">
      <c r="A71" t="s">
        <v>19</v>
      </c>
      <c r="B71" t="s">
        <v>174</v>
      </c>
      <c r="C71" s="407">
        <v>92.811156999999994</v>
      </c>
      <c r="D71" s="407">
        <v>37.353840630000001</v>
      </c>
      <c r="E71" s="407">
        <v>3.0629007970000002</v>
      </c>
      <c r="F71" s="407">
        <v>42.570592449999999</v>
      </c>
      <c r="G71" s="407">
        <v>23.237629089999999</v>
      </c>
      <c r="H71" s="407">
        <v>217.33051029999999</v>
      </c>
      <c r="I71" s="407">
        <v>75.569641790000006</v>
      </c>
      <c r="J71" s="407">
        <v>472.45471745500004</v>
      </c>
      <c r="K71" s="407">
        <v>140.3742297</v>
      </c>
      <c r="L71" s="407">
        <v>87.953584980000002</v>
      </c>
      <c r="M71" s="407">
        <v>88.997425489999998</v>
      </c>
      <c r="N71" s="407">
        <v>10.20761939</v>
      </c>
      <c r="O71" s="407">
        <v>36.660965949999998</v>
      </c>
      <c r="P71" s="407">
        <v>1149.5806990000001</v>
      </c>
      <c r="Q71" s="407">
        <v>560.29977740000004</v>
      </c>
      <c r="R71" s="47">
        <f>SUM(C71:Q71)</f>
        <v>3038.4652914220001</v>
      </c>
      <c r="T71" s="181">
        <f t="shared" ref="T71:T96" si="1">+Q71+P71+I71+F71+E71+D71</f>
        <v>1868.4374520670003</v>
      </c>
    </row>
    <row r="72" spans="1:20">
      <c r="A72" t="s">
        <v>175</v>
      </c>
      <c r="B72" t="s">
        <v>174</v>
      </c>
      <c r="C72" s="407">
        <v>10.18548275</v>
      </c>
      <c r="D72" s="407">
        <v>3.3260052999999998E-2</v>
      </c>
      <c r="E72" s="407">
        <v>1.3305771820000001</v>
      </c>
      <c r="F72" s="407">
        <v>26.94326891</v>
      </c>
      <c r="G72" s="407">
        <v>0.33626552500000001</v>
      </c>
      <c r="H72" s="407">
        <v>2.4774362540000001</v>
      </c>
      <c r="I72" s="407">
        <v>34.903274920000001</v>
      </c>
      <c r="J72" s="407">
        <v>52.794317890000002</v>
      </c>
      <c r="K72" s="407">
        <v>22.27670839</v>
      </c>
      <c r="L72" s="407">
        <v>35.369265769999998</v>
      </c>
      <c r="M72" s="407">
        <v>24.760709210000002</v>
      </c>
      <c r="N72" s="407">
        <v>0</v>
      </c>
      <c r="O72" s="407">
        <v>0.390051749</v>
      </c>
      <c r="P72" s="407">
        <v>190.62561880000001</v>
      </c>
      <c r="Q72" s="407">
        <v>6.1839230010000001</v>
      </c>
      <c r="R72" s="47">
        <f>SUM(C72:Q72)</f>
        <v>408.61016040400006</v>
      </c>
      <c r="T72" s="181">
        <f t="shared" si="1"/>
        <v>260.019922866</v>
      </c>
    </row>
    <row r="73" spans="1:20">
      <c r="C73" s="89"/>
      <c r="D73" s="89"/>
      <c r="E73" s="89"/>
      <c r="F73" s="89"/>
      <c r="G73" s="89"/>
      <c r="H73" s="89"/>
      <c r="I73" s="89"/>
      <c r="J73" s="89"/>
      <c r="K73" s="89"/>
      <c r="L73" s="89"/>
      <c r="M73" s="89"/>
      <c r="N73" s="89"/>
      <c r="O73" s="89"/>
      <c r="P73" s="89"/>
      <c r="Q73" s="89"/>
      <c r="T73" s="181"/>
    </row>
    <row r="74" spans="1:20" ht="15">
      <c r="A74" s="56" t="s">
        <v>191</v>
      </c>
      <c r="C74" s="89"/>
      <c r="D74" s="89"/>
      <c r="E74" s="89"/>
      <c r="F74" s="89"/>
      <c r="G74" s="89"/>
      <c r="H74" s="89"/>
      <c r="I74" s="89"/>
      <c r="J74" s="89"/>
      <c r="K74" s="89"/>
      <c r="L74" s="89"/>
      <c r="M74" s="89"/>
      <c r="N74" s="89"/>
      <c r="O74" s="89"/>
      <c r="P74" s="89"/>
      <c r="Q74" s="89"/>
      <c r="T74" s="181"/>
    </row>
    <row r="75" spans="1:20">
      <c r="A75" t="s">
        <v>19</v>
      </c>
      <c r="B75" t="s">
        <v>174</v>
      </c>
      <c r="C75" s="407">
        <v>81.410000000000011</v>
      </c>
      <c r="D75" s="407">
        <v>32.479999999999997</v>
      </c>
      <c r="E75" s="407">
        <v>2.69</v>
      </c>
      <c r="F75" s="407">
        <v>36.47</v>
      </c>
      <c r="G75" s="407">
        <v>22.85</v>
      </c>
      <c r="H75" s="407">
        <v>198.74</v>
      </c>
      <c r="I75" s="407">
        <v>74.13</v>
      </c>
      <c r="J75" s="407">
        <v>389.34</v>
      </c>
      <c r="K75" s="407">
        <v>119.66</v>
      </c>
      <c r="L75" s="407">
        <v>80.599999999999994</v>
      </c>
      <c r="M75" s="407">
        <v>79.5</v>
      </c>
      <c r="N75" s="407">
        <v>9.8800000000000008</v>
      </c>
      <c r="O75" s="407">
        <v>40.119999999999997</v>
      </c>
      <c r="P75" s="407">
        <v>1005.22</v>
      </c>
      <c r="Q75" s="407">
        <v>446.33</v>
      </c>
      <c r="R75" s="47">
        <f>SUM(C75:Q75)</f>
        <v>2619.42</v>
      </c>
      <c r="T75" s="181">
        <f t="shared" si="1"/>
        <v>1597.32</v>
      </c>
    </row>
    <row r="76" spans="1:20">
      <c r="A76" t="s">
        <v>175</v>
      </c>
      <c r="B76" t="s">
        <v>174</v>
      </c>
      <c r="C76" s="407">
        <v>7.92</v>
      </c>
      <c r="D76" s="407">
        <v>0.03</v>
      </c>
      <c r="E76" s="407">
        <v>1.34</v>
      </c>
      <c r="F76" s="407">
        <v>24.54</v>
      </c>
      <c r="G76" s="407">
        <v>0.32</v>
      </c>
      <c r="H76" s="407">
        <v>3.57</v>
      </c>
      <c r="I76" s="407">
        <v>29.53</v>
      </c>
      <c r="J76" s="407">
        <v>47.64</v>
      </c>
      <c r="K76" s="407">
        <v>19.62</v>
      </c>
      <c r="L76" s="407">
        <v>30.52</v>
      </c>
      <c r="M76" s="407">
        <v>22.23</v>
      </c>
      <c r="N76" s="407">
        <v>0</v>
      </c>
      <c r="O76" s="407">
        <v>0.28000000000000003</v>
      </c>
      <c r="P76" s="407">
        <v>164.82</v>
      </c>
      <c r="Q76" s="407">
        <v>4.87</v>
      </c>
      <c r="R76" s="47">
        <f>SUM(C76:Q76)</f>
        <v>357.23</v>
      </c>
      <c r="T76" s="181">
        <f t="shared" si="1"/>
        <v>225.13</v>
      </c>
    </row>
    <row r="77" spans="1:20">
      <c r="C77" s="89"/>
      <c r="D77" s="89"/>
      <c r="E77" s="89"/>
      <c r="F77" s="89"/>
      <c r="G77" s="89"/>
      <c r="H77" s="89"/>
      <c r="I77" s="89"/>
      <c r="J77" s="89"/>
      <c r="K77" s="89"/>
      <c r="L77" s="89"/>
      <c r="M77" s="89"/>
      <c r="N77" s="89"/>
      <c r="O77" s="89"/>
      <c r="P77" s="89"/>
      <c r="Q77" s="89"/>
      <c r="T77" s="181"/>
    </row>
    <row r="78" spans="1:20" ht="15">
      <c r="A78" s="56" t="s">
        <v>52</v>
      </c>
      <c r="C78" s="89"/>
      <c r="D78" s="89"/>
      <c r="E78" s="89"/>
      <c r="F78" s="89"/>
      <c r="G78" s="89"/>
      <c r="H78" s="89"/>
      <c r="I78" s="89"/>
      <c r="J78" s="89"/>
      <c r="K78" s="89"/>
      <c r="L78" s="89"/>
      <c r="M78" s="89"/>
      <c r="N78" s="89"/>
      <c r="O78" s="89"/>
      <c r="P78" s="89"/>
      <c r="Q78" s="89"/>
      <c r="T78" s="181"/>
    </row>
    <row r="79" spans="1:20">
      <c r="A79" t="s">
        <v>19</v>
      </c>
      <c r="B79" t="s">
        <v>174</v>
      </c>
      <c r="C79" s="407">
        <v>97.714782351859256</v>
      </c>
      <c r="D79" s="407">
        <v>34.5712299154305</v>
      </c>
      <c r="E79" s="407">
        <v>4.4467207397399697</v>
      </c>
      <c r="F79" s="407">
        <v>43.033277115051398</v>
      </c>
      <c r="G79" s="407">
        <v>23.053747425167501</v>
      </c>
      <c r="H79" s="407">
        <v>244.08179694690699</v>
      </c>
      <c r="I79" s="407">
        <v>103.299629867901</v>
      </c>
      <c r="J79" s="407">
        <v>470.07983121505305</v>
      </c>
      <c r="K79" s="407">
        <v>148.411784223052</v>
      </c>
      <c r="L79" s="407">
        <v>101.49292060138301</v>
      </c>
      <c r="M79" s="407">
        <v>104.96534075546001</v>
      </c>
      <c r="N79" s="407">
        <v>14.495698049849</v>
      </c>
      <c r="O79" s="407">
        <v>87.6161533225646</v>
      </c>
      <c r="P79" s="407">
        <v>1157.4612327406501</v>
      </c>
      <c r="Q79" s="407">
        <v>559.78890301639603</v>
      </c>
      <c r="R79" s="47">
        <f>SUM(C79:Q79)</f>
        <v>3194.5130482864643</v>
      </c>
      <c r="T79" s="181">
        <f t="shared" si="1"/>
        <v>1902.6009933951689</v>
      </c>
    </row>
    <row r="80" spans="1:20">
      <c r="A80" t="s">
        <v>175</v>
      </c>
      <c r="B80" t="s">
        <v>174</v>
      </c>
      <c r="C80" s="407">
        <v>10.750905922422399</v>
      </c>
      <c r="D80" s="407">
        <v>5.0930973388493797E-2</v>
      </c>
      <c r="E80" s="407">
        <v>1.6978778181195799</v>
      </c>
      <c r="F80" s="407">
        <v>29.388958696858801</v>
      </c>
      <c r="G80" s="407">
        <v>0.40777962496623898</v>
      </c>
      <c r="H80" s="407">
        <v>3.5781226961800998</v>
      </c>
      <c r="I80" s="407">
        <v>34.887538065948497</v>
      </c>
      <c r="J80" s="407">
        <v>58.141422817498899</v>
      </c>
      <c r="K80" s="407">
        <v>21.8788739366782</v>
      </c>
      <c r="L80" s="407">
        <v>38.9931106365704</v>
      </c>
      <c r="M80" s="407">
        <v>23.967937371455399</v>
      </c>
      <c r="N80" s="407">
        <v>0</v>
      </c>
      <c r="O80" s="407">
        <v>0.46007336152231998</v>
      </c>
      <c r="P80" s="407">
        <v>204.79022730207799</v>
      </c>
      <c r="Q80" s="407">
        <v>5.1036366452476898</v>
      </c>
      <c r="R80" s="47">
        <f>SUM(C80:Q80)</f>
        <v>434.097395868935</v>
      </c>
      <c r="T80" s="181">
        <f t="shared" si="1"/>
        <v>275.91916950164108</v>
      </c>
    </row>
    <row r="81" spans="1:20">
      <c r="C81" s="89"/>
      <c r="D81" s="89"/>
      <c r="E81" s="89"/>
      <c r="F81" s="89"/>
      <c r="G81" s="89"/>
      <c r="H81" s="89"/>
      <c r="I81" s="89"/>
      <c r="J81" s="89"/>
      <c r="K81" s="89"/>
      <c r="L81" s="89"/>
      <c r="M81" s="89"/>
      <c r="N81" s="89"/>
      <c r="O81" s="89"/>
      <c r="P81" s="89"/>
      <c r="Q81" s="89"/>
      <c r="T81" s="181"/>
    </row>
    <row r="82" spans="1:20" ht="15">
      <c r="A82" s="56" t="s">
        <v>196</v>
      </c>
      <c r="C82" s="89"/>
      <c r="D82" s="89"/>
      <c r="E82" s="89"/>
      <c r="F82" s="89"/>
      <c r="G82" s="89"/>
      <c r="H82" s="89"/>
      <c r="I82" s="89"/>
      <c r="J82" s="89"/>
      <c r="K82" s="89"/>
      <c r="L82" s="89"/>
      <c r="M82" s="89"/>
      <c r="N82" s="89"/>
      <c r="O82" s="89"/>
      <c r="P82" s="89"/>
      <c r="Q82" s="89"/>
      <c r="T82" s="181"/>
    </row>
    <row r="83" spans="1:20">
      <c r="A83" t="s">
        <v>19</v>
      </c>
      <c r="B83" t="s">
        <v>174</v>
      </c>
      <c r="C83" s="407">
        <v>83.78095351699821</v>
      </c>
      <c r="D83" s="407">
        <v>32.674137755324701</v>
      </c>
      <c r="E83" s="407">
        <v>3.243387482108</v>
      </c>
      <c r="F83" s="407">
        <v>40.258171847518703</v>
      </c>
      <c r="G83" s="407">
        <v>34.712508728806299</v>
      </c>
      <c r="H83" s="407">
        <v>210.11389989890299</v>
      </c>
      <c r="I83" s="407">
        <v>75.941266338659503</v>
      </c>
      <c r="J83" s="407">
        <v>453.08015378540767</v>
      </c>
      <c r="K83" s="407">
        <v>150.52357277339399</v>
      </c>
      <c r="L83" s="407">
        <v>81.715761387773895</v>
      </c>
      <c r="M83" s="407">
        <v>95.262791212002995</v>
      </c>
      <c r="N83" s="407">
        <v>9.2606545589972704</v>
      </c>
      <c r="O83" s="407">
        <v>57.165231312248103</v>
      </c>
      <c r="P83" s="407">
        <v>1163.76473246661</v>
      </c>
      <c r="Q83" s="407">
        <v>563.32229169752497</v>
      </c>
      <c r="R83" s="47">
        <f>SUM(C83:Q83)</f>
        <v>3054.8195147622773</v>
      </c>
      <c r="T83" s="181">
        <f t="shared" si="1"/>
        <v>1879.2039875877458</v>
      </c>
    </row>
    <row r="84" spans="1:20">
      <c r="A84" t="s">
        <v>175</v>
      </c>
      <c r="B84" t="s">
        <v>174</v>
      </c>
      <c r="C84" s="407">
        <v>11.2939730685529</v>
      </c>
      <c r="D84" s="407">
        <v>3.3403478667867498E-2</v>
      </c>
      <c r="E84" s="407">
        <v>1.34662042563534</v>
      </c>
      <c r="F84" s="407">
        <v>27.054032509368099</v>
      </c>
      <c r="G84" s="407">
        <v>0.33835706717710801</v>
      </c>
      <c r="H84" s="407">
        <v>0.81431160856138296</v>
      </c>
      <c r="I84" s="407">
        <v>35.315187507231599</v>
      </c>
      <c r="J84" s="407">
        <v>52.203692832815499</v>
      </c>
      <c r="K84" s="407">
        <v>21.196746797568299</v>
      </c>
      <c r="L84" s="407">
        <v>37.565067227935103</v>
      </c>
      <c r="M84" s="407">
        <v>24.483666301105199</v>
      </c>
      <c r="N84" s="407">
        <v>0</v>
      </c>
      <c r="O84" s="407">
        <v>0.35375272413651798</v>
      </c>
      <c r="P84" s="407">
        <v>191.88512708327099</v>
      </c>
      <c r="Q84" s="407">
        <v>5.1134051117963697</v>
      </c>
      <c r="R84" s="47">
        <f>SUM(C84:Q84)</f>
        <v>408.99734374382228</v>
      </c>
      <c r="T84" s="181">
        <f t="shared" si="1"/>
        <v>260.74777611597028</v>
      </c>
    </row>
    <row r="85" spans="1:20">
      <c r="C85" s="89"/>
      <c r="D85" s="89"/>
      <c r="E85" s="89"/>
      <c r="F85" s="89"/>
      <c r="G85" s="89"/>
      <c r="H85" s="89"/>
      <c r="I85" s="89"/>
      <c r="J85" s="89"/>
      <c r="K85" s="89"/>
      <c r="L85" s="89"/>
      <c r="M85" s="89"/>
      <c r="N85" s="89"/>
      <c r="O85" s="89"/>
      <c r="P85" s="89"/>
      <c r="Q85" s="89"/>
      <c r="T85" s="181"/>
    </row>
    <row r="86" spans="1:20" ht="15">
      <c r="A86" s="56" t="s">
        <v>197</v>
      </c>
      <c r="C86" s="89"/>
      <c r="D86" s="89"/>
      <c r="E86" s="89"/>
      <c r="F86" s="89"/>
      <c r="G86" s="89"/>
      <c r="H86" s="89"/>
      <c r="I86" s="89"/>
      <c r="J86" s="89"/>
      <c r="K86" s="89"/>
      <c r="L86" s="89"/>
      <c r="M86" s="89"/>
      <c r="N86" s="89"/>
      <c r="O86" s="89"/>
      <c r="P86" s="89"/>
      <c r="Q86" s="89"/>
      <c r="T86" s="181"/>
    </row>
    <row r="87" spans="1:20">
      <c r="A87" t="s">
        <v>19</v>
      </c>
      <c r="B87" t="s">
        <v>174</v>
      </c>
      <c r="C87" s="407">
        <v>93.259300895149792</v>
      </c>
      <c r="D87" s="407">
        <v>32.102026821275103</v>
      </c>
      <c r="E87" s="407">
        <v>3.0637420043888501</v>
      </c>
      <c r="F87" s="407">
        <v>45.766975275016499</v>
      </c>
      <c r="G87" s="407">
        <v>22.907355142022901</v>
      </c>
      <c r="H87" s="407">
        <v>202.816615410195</v>
      </c>
      <c r="I87" s="407">
        <v>74.161495023453</v>
      </c>
      <c r="J87" s="407">
        <v>441.91993248221581</v>
      </c>
      <c r="K87" s="407">
        <v>139.86515232584699</v>
      </c>
      <c r="L87" s="407">
        <v>79.502866627157204</v>
      </c>
      <c r="M87" s="407">
        <v>109.294811963421</v>
      </c>
      <c r="N87" s="407">
        <v>10.1132990749896</v>
      </c>
      <c r="O87" s="407">
        <v>43.979907262800097</v>
      </c>
      <c r="P87" s="407">
        <v>1012.5330220753</v>
      </c>
      <c r="Q87" s="407">
        <v>523.92512238701602</v>
      </c>
      <c r="R87" s="47">
        <f>SUM(C87:Q87)</f>
        <v>2835.2116247702475</v>
      </c>
      <c r="T87" s="181">
        <f t="shared" si="1"/>
        <v>1691.5523835864492</v>
      </c>
    </row>
    <row r="88" spans="1:20">
      <c r="A88" t="s">
        <v>175</v>
      </c>
      <c r="B88" t="s">
        <v>174</v>
      </c>
      <c r="C88" s="407">
        <v>10.352134213348201</v>
      </c>
      <c r="D88" s="407">
        <v>3.2859054646894502E-2</v>
      </c>
      <c r="E88" s="407">
        <v>1.3145351282686599</v>
      </c>
      <c r="F88" s="407">
        <v>26.207411884490099</v>
      </c>
      <c r="G88" s="407">
        <v>0.33020503461568002</v>
      </c>
      <c r="H88" s="407">
        <v>2.1565279854017501</v>
      </c>
      <c r="I88" s="407">
        <v>30.733586758317202</v>
      </c>
      <c r="J88" s="407">
        <v>51.516591905321199</v>
      </c>
      <c r="K88" s="407">
        <v>20.146390357579499</v>
      </c>
      <c r="L88" s="407">
        <v>35.668009319651901</v>
      </c>
      <c r="M88" s="407">
        <v>23.045932582337301</v>
      </c>
      <c r="N88" s="407">
        <v>0</v>
      </c>
      <c r="O88" s="407">
        <v>0.483204095086046</v>
      </c>
      <c r="P88" s="407">
        <v>186.701456458992</v>
      </c>
      <c r="Q88" s="407">
        <v>4.6540430028117301</v>
      </c>
      <c r="R88" s="47">
        <f>SUM(C88:Q88)</f>
        <v>393.34288778086812</v>
      </c>
      <c r="T88" s="181">
        <f t="shared" si="1"/>
        <v>249.6438922875266</v>
      </c>
    </row>
    <row r="89" spans="1:20">
      <c r="C89" s="89"/>
      <c r="D89" s="89"/>
      <c r="E89" s="89"/>
      <c r="F89" s="89"/>
      <c r="G89" s="89"/>
      <c r="H89" s="89"/>
      <c r="I89" s="89"/>
      <c r="J89" s="89"/>
      <c r="K89" s="89"/>
      <c r="L89" s="89"/>
      <c r="M89" s="89"/>
      <c r="N89" s="89"/>
      <c r="O89" s="89"/>
      <c r="P89" s="89"/>
      <c r="Q89" s="89"/>
      <c r="T89" s="181"/>
    </row>
    <row r="90" spans="1:20" ht="15">
      <c r="A90" s="56" t="s">
        <v>198</v>
      </c>
      <c r="C90" s="89"/>
      <c r="D90" s="89"/>
      <c r="E90" s="89"/>
      <c r="F90" s="89"/>
      <c r="G90" s="89"/>
      <c r="H90" s="89"/>
      <c r="I90" s="89"/>
      <c r="J90" s="89"/>
      <c r="K90" s="89"/>
      <c r="L90" s="89"/>
      <c r="M90" s="89"/>
      <c r="N90" s="89"/>
      <c r="O90" s="89"/>
      <c r="P90" s="89"/>
      <c r="Q90" s="89"/>
      <c r="T90" s="181"/>
    </row>
    <row r="91" spans="1:20">
      <c r="A91" t="s">
        <v>19</v>
      </c>
      <c r="B91" t="s">
        <v>174</v>
      </c>
      <c r="C91" s="407">
        <v>92.033316773164287</v>
      </c>
      <c r="D91" s="407">
        <v>45.0333024291916</v>
      </c>
      <c r="E91" s="407">
        <v>3.2113961897225298</v>
      </c>
      <c r="F91" s="407">
        <v>41.489521751317298</v>
      </c>
      <c r="G91" s="407">
        <v>22.685497345834602</v>
      </c>
      <c r="H91" s="407">
        <v>257.32264435315898</v>
      </c>
      <c r="I91" s="407">
        <v>81.608852967422706</v>
      </c>
      <c r="J91" s="407">
        <v>445.79421032942582</v>
      </c>
      <c r="K91" s="407">
        <v>138.348389581193</v>
      </c>
      <c r="L91" s="407">
        <v>96.602942136449499</v>
      </c>
      <c r="M91" s="407">
        <v>92.763807709630598</v>
      </c>
      <c r="N91" s="407">
        <v>10.031679974960699</v>
      </c>
      <c r="O91" s="407">
        <v>36.897857199948398</v>
      </c>
      <c r="P91" s="407">
        <v>1116.5711275364599</v>
      </c>
      <c r="Q91" s="407">
        <v>526.38845067607303</v>
      </c>
      <c r="R91" s="47">
        <f>SUM(C91:Q91)</f>
        <v>3006.7829969539534</v>
      </c>
      <c r="T91" s="181">
        <f t="shared" si="1"/>
        <v>1814.3026515501872</v>
      </c>
    </row>
    <row r="92" spans="1:20">
      <c r="A92" t="s">
        <v>175</v>
      </c>
      <c r="B92" t="s">
        <v>174</v>
      </c>
      <c r="C92" s="407">
        <v>9.7751275801536206</v>
      </c>
      <c r="D92" s="407">
        <v>3.1882780609080202E-2</v>
      </c>
      <c r="E92" s="407">
        <v>1.57622159297208</v>
      </c>
      <c r="F92" s="407">
        <v>26.1200108226667</v>
      </c>
      <c r="G92" s="407">
        <v>0.32589422993585099</v>
      </c>
      <c r="H92" s="407">
        <v>3.5163241539345802</v>
      </c>
      <c r="I92" s="407">
        <v>35.389141415444101</v>
      </c>
      <c r="J92" s="407">
        <v>52.566954500074097</v>
      </c>
      <c r="K92" s="407">
        <v>20.6355019151326</v>
      </c>
      <c r="L92" s="407">
        <v>37.480200091887198</v>
      </c>
      <c r="M92" s="407">
        <v>22.684408246196</v>
      </c>
      <c r="N92" s="407">
        <v>0</v>
      </c>
      <c r="O92" s="407">
        <v>0.47733566811093198</v>
      </c>
      <c r="P92" s="407">
        <v>194.16495791307401</v>
      </c>
      <c r="Q92" s="407">
        <v>5.1523808644602802</v>
      </c>
      <c r="R92" s="47">
        <f>SUM(C92:Q92)</f>
        <v>409.89634177465109</v>
      </c>
      <c r="T92" s="181">
        <f t="shared" si="1"/>
        <v>262.43459538922622</v>
      </c>
    </row>
    <row r="93" spans="1:20">
      <c r="C93" s="89"/>
      <c r="D93" s="89"/>
      <c r="E93" s="89"/>
      <c r="F93" s="89"/>
      <c r="G93" s="89"/>
      <c r="H93" s="89"/>
      <c r="I93" s="89"/>
      <c r="J93" s="89"/>
      <c r="K93" s="89"/>
      <c r="L93" s="89"/>
      <c r="M93" s="89"/>
      <c r="N93" s="89"/>
      <c r="O93" s="89"/>
      <c r="P93" s="89"/>
      <c r="Q93" s="89"/>
      <c r="T93" s="181"/>
    </row>
    <row r="94" spans="1:20" ht="15">
      <c r="A94" s="56" t="s">
        <v>199</v>
      </c>
      <c r="C94" s="89"/>
      <c r="D94" s="89"/>
      <c r="E94" s="89"/>
      <c r="F94" s="89"/>
      <c r="G94" s="89"/>
      <c r="H94" s="89"/>
      <c r="I94" s="89"/>
      <c r="J94" s="89"/>
      <c r="K94" s="89"/>
      <c r="L94" s="89"/>
      <c r="M94" s="89"/>
      <c r="N94" s="89"/>
      <c r="O94" s="89"/>
      <c r="P94" s="89"/>
      <c r="Q94" s="89"/>
      <c r="T94" s="181"/>
    </row>
    <row r="95" spans="1:20">
      <c r="A95" t="s">
        <v>19</v>
      </c>
      <c r="B95" t="s">
        <v>174</v>
      </c>
      <c r="C95" s="407">
        <v>89.758504748189452</v>
      </c>
      <c r="D95" s="407">
        <v>32.402328663490401</v>
      </c>
      <c r="E95" s="407">
        <v>3.0702216285958799</v>
      </c>
      <c r="F95" s="407">
        <v>37.886246340778499</v>
      </c>
      <c r="G95" s="407">
        <v>22.3964015071384</v>
      </c>
      <c r="H95" s="407">
        <v>193.57668674544101</v>
      </c>
      <c r="I95" s="407">
        <v>78.134110739413998</v>
      </c>
      <c r="J95" s="407">
        <v>418.57246989475846</v>
      </c>
      <c r="K95" s="407">
        <v>129.35887116868801</v>
      </c>
      <c r="L95" s="407">
        <v>88.507221406425103</v>
      </c>
      <c r="M95" s="407">
        <v>89.488224633670399</v>
      </c>
      <c r="N95" s="407">
        <v>9.6350825370368902</v>
      </c>
      <c r="O95" s="407">
        <v>35.277682310321197</v>
      </c>
      <c r="P95" s="407">
        <v>1090.1067480909301</v>
      </c>
      <c r="Q95" s="407">
        <v>492.90494036989799</v>
      </c>
      <c r="R95" s="47">
        <f>SUM(C95:Q95)</f>
        <v>2811.0757407847759</v>
      </c>
      <c r="T95" s="181">
        <f t="shared" si="1"/>
        <v>1734.5045958331068</v>
      </c>
    </row>
    <row r="96" spans="1:20">
      <c r="A96" t="s">
        <v>175</v>
      </c>
      <c r="B96" t="s">
        <v>174</v>
      </c>
      <c r="C96" s="407">
        <v>9.7923794971114493</v>
      </c>
      <c r="D96" s="407">
        <v>3.2587619774965E-2</v>
      </c>
      <c r="E96" s="407">
        <v>1.30367630478689</v>
      </c>
      <c r="F96" s="407">
        <v>24.499970119718402</v>
      </c>
      <c r="G96" s="407">
        <v>0.31953320131117502</v>
      </c>
      <c r="H96" s="407">
        <v>3.05987237389941</v>
      </c>
      <c r="I96" s="407">
        <v>30.617774355560002</v>
      </c>
      <c r="J96" s="407">
        <v>48.096187658741201</v>
      </c>
      <c r="K96" s="407">
        <v>21.633139728645101</v>
      </c>
      <c r="L96" s="407">
        <v>35.783178108089103</v>
      </c>
      <c r="M96" s="407">
        <v>23.153566020208402</v>
      </c>
      <c r="N96" s="407">
        <v>0</v>
      </c>
      <c r="O96" s="407">
        <v>0.36911635772252499</v>
      </c>
      <c r="P96" s="407">
        <v>184.808325057063</v>
      </c>
      <c r="Q96" s="407">
        <v>5.30572771645088</v>
      </c>
      <c r="R96" s="47">
        <f>SUM(C96:Q96)</f>
        <v>388.77503411908253</v>
      </c>
      <c r="T96" s="181">
        <f t="shared" si="1"/>
        <v>246.56806117335415</v>
      </c>
    </row>
    <row r="97" spans="3:17">
      <c r="C97" s="89"/>
      <c r="D97" s="89"/>
      <c r="E97" s="89"/>
      <c r="F97" s="89"/>
      <c r="G97" s="89"/>
      <c r="H97" s="89"/>
      <c r="I97" s="89"/>
      <c r="J97" s="89"/>
      <c r="K97" s="89"/>
      <c r="L97" s="89"/>
      <c r="M97" s="89"/>
      <c r="N97" s="89"/>
      <c r="O97" s="89"/>
      <c r="P97" s="89"/>
      <c r="Q97" s="89"/>
    </row>
    <row r="98" spans="3:17">
      <c r="C98" s="89"/>
      <c r="D98" s="89"/>
      <c r="E98" s="89"/>
      <c r="F98" s="89"/>
      <c r="G98" s="89"/>
      <c r="H98" s="89"/>
      <c r="I98" s="89"/>
      <c r="J98" s="89"/>
      <c r="K98" s="89"/>
      <c r="L98" s="89"/>
      <c r="M98" s="89"/>
      <c r="N98" s="89"/>
      <c r="O98" s="89"/>
      <c r="P98" s="89"/>
      <c r="Q98" s="89"/>
    </row>
    <row r="99" spans="3:17">
      <c r="C99" s="89"/>
      <c r="D99" s="89"/>
      <c r="E99" s="89"/>
      <c r="F99" s="89"/>
      <c r="G99" s="89"/>
      <c r="H99" s="89"/>
      <c r="I99" s="89"/>
      <c r="J99" s="89"/>
      <c r="K99" s="89"/>
      <c r="L99" s="89"/>
      <c r="M99" s="89"/>
      <c r="N99" s="89"/>
      <c r="O99" s="89"/>
      <c r="P99" s="89"/>
      <c r="Q99" s="89"/>
    </row>
    <row r="100" spans="3:17">
      <c r="C100" s="89"/>
      <c r="D100" s="89"/>
      <c r="E100" s="89"/>
      <c r="F100" s="89"/>
      <c r="G100" s="89"/>
      <c r="H100" s="89"/>
      <c r="I100" s="89"/>
      <c r="J100" s="89"/>
      <c r="K100" s="89"/>
      <c r="L100" s="89"/>
      <c r="M100" s="89"/>
      <c r="N100" s="89"/>
      <c r="O100" s="89"/>
      <c r="P100" s="89"/>
      <c r="Q100" s="8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F48"/>
  <sheetViews>
    <sheetView workbookViewId="0">
      <pane xSplit="1" ySplit="5" topLeftCell="B6" activePane="bottomRight" state="frozen"/>
      <selection pane="topRight" activeCell="B1" sqref="B1"/>
      <selection pane="bottomLeft" activeCell="A6" sqref="A6"/>
      <selection pane="bottomRight" activeCell="G8" sqref="G8:H8"/>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57" bestFit="1" customWidth="1"/>
  </cols>
  <sheetData>
    <row r="1" spans="1:32" s="11" customFormat="1">
      <c r="AF1" s="57"/>
    </row>
    <row r="2" spans="1:32" s="11" customFormat="1">
      <c r="AF2" s="57"/>
    </row>
    <row r="3" spans="1:32" s="11" customFormat="1">
      <c r="B3" s="531" t="s">
        <v>65</v>
      </c>
      <c r="C3" s="531"/>
      <c r="D3" s="531"/>
      <c r="E3" s="531"/>
      <c r="F3" s="531"/>
      <c r="G3" s="531"/>
      <c r="H3" s="531"/>
      <c r="I3" s="531"/>
      <c r="J3" s="178"/>
      <c r="K3" s="178"/>
      <c r="M3" s="531" t="s">
        <v>66</v>
      </c>
      <c r="N3" s="531"/>
      <c r="O3" s="531"/>
      <c r="P3" s="531"/>
      <c r="Q3" s="531"/>
      <c r="R3" s="531"/>
      <c r="S3" s="531"/>
      <c r="T3" s="531"/>
      <c r="AF3" s="57"/>
    </row>
    <row r="4" spans="1:32" s="11" customFormat="1">
      <c r="B4" s="528" t="s">
        <v>67</v>
      </c>
      <c r="C4" s="528"/>
      <c r="D4" s="528"/>
      <c r="E4" s="58"/>
      <c r="F4" s="528" t="s">
        <v>95</v>
      </c>
      <c r="G4" s="528"/>
      <c r="H4" s="528"/>
      <c r="I4" s="528"/>
      <c r="J4" s="58"/>
      <c r="K4" s="58"/>
      <c r="M4" s="528" t="s">
        <v>67</v>
      </c>
      <c r="N4" s="528"/>
      <c r="O4" s="528"/>
      <c r="P4" s="58"/>
      <c r="Q4" s="528" t="s">
        <v>95</v>
      </c>
      <c r="R4" s="528"/>
      <c r="S4" s="528"/>
      <c r="T4" s="528"/>
      <c r="V4" s="158" t="s">
        <v>68</v>
      </c>
      <c r="AF4" s="57"/>
    </row>
    <row r="5" spans="1:32" s="11" customFormat="1" ht="15">
      <c r="A5" s="164" t="s">
        <v>36</v>
      </c>
      <c r="B5" s="59" t="s">
        <v>69</v>
      </c>
      <c r="C5" s="60" t="s">
        <v>70</v>
      </c>
      <c r="D5" s="60" t="s">
        <v>71</v>
      </c>
      <c r="E5" s="60"/>
      <c r="F5" s="60" t="s">
        <v>97</v>
      </c>
      <c r="G5" s="60" t="s">
        <v>98</v>
      </c>
      <c r="H5" s="60" t="s">
        <v>72</v>
      </c>
      <c r="I5" s="60" t="s">
        <v>71</v>
      </c>
      <c r="J5" s="60"/>
      <c r="K5" s="60" t="s">
        <v>103</v>
      </c>
      <c r="M5" s="59" t="s">
        <v>69</v>
      </c>
      <c r="N5" s="60" t="s">
        <v>70</v>
      </c>
      <c r="O5" s="60" t="s">
        <v>71</v>
      </c>
      <c r="P5" s="60"/>
      <c r="Q5" s="60" t="s">
        <v>97</v>
      </c>
      <c r="R5" s="60" t="s">
        <v>98</v>
      </c>
      <c r="S5" s="60" t="s">
        <v>72</v>
      </c>
      <c r="T5" s="60" t="s">
        <v>71</v>
      </c>
      <c r="V5" s="60" t="s">
        <v>71</v>
      </c>
      <c r="X5" s="60" t="s">
        <v>65</v>
      </c>
      <c r="Y5" s="164" t="s">
        <v>73</v>
      </c>
      <c r="Z5" s="164" t="s">
        <v>71</v>
      </c>
      <c r="AF5" s="61" t="s">
        <v>74</v>
      </c>
    </row>
    <row r="6" spans="1:32" s="11" customFormat="1">
      <c r="A6" s="283" t="s">
        <v>268</v>
      </c>
      <c r="B6" s="400">
        <f>7144+1</f>
        <v>7145</v>
      </c>
      <c r="C6" s="400">
        <v>11446</v>
      </c>
      <c r="D6" s="168">
        <f t="shared" ref="D6:D29" si="0">SUM(B6:C6)</f>
        <v>18591</v>
      </c>
      <c r="E6" s="168"/>
      <c r="F6" s="400">
        <f>18510+3045</f>
        <v>21555</v>
      </c>
      <c r="G6" s="400">
        <f>59852+4007+1860+147+1913</f>
        <v>67779</v>
      </c>
      <c r="H6" s="400">
        <f>31308+1+34</f>
        <v>31343</v>
      </c>
      <c r="I6" s="168">
        <f t="shared" ref="I6:I29" si="1">SUM(F6:H6)</f>
        <v>120677</v>
      </c>
      <c r="J6" s="168"/>
      <c r="K6" s="168">
        <f>+I6+D6</f>
        <v>139268</v>
      </c>
      <c r="L6" s="168"/>
      <c r="M6" s="400">
        <f>46748-7145</f>
        <v>39603</v>
      </c>
      <c r="N6" s="400">
        <f>20088-11446</f>
        <v>8642</v>
      </c>
      <c r="O6" s="168">
        <f t="shared" ref="O6:O29" si="2">SUM(M6:N6)</f>
        <v>48245</v>
      </c>
      <c r="P6" s="168"/>
      <c r="Q6" s="400">
        <f>2583+22647+13232+20+4335</f>
        <v>42817</v>
      </c>
      <c r="R6" s="400">
        <f>5514+5310+5437</f>
        <v>16261</v>
      </c>
      <c r="S6" s="400">
        <f>4802+1145+10039+13138</f>
        <v>29124</v>
      </c>
      <c r="T6" s="168">
        <f t="shared" ref="T6:T29" si="3">SUM(Q6:S6)</f>
        <v>88202</v>
      </c>
      <c r="V6" s="130">
        <f t="shared" ref="V6:V29" si="4">+T6+O6+I6+D6</f>
        <v>275715</v>
      </c>
      <c r="X6" s="130">
        <f>+I6+D6</f>
        <v>139268</v>
      </c>
      <c r="Y6" s="130">
        <f t="shared" ref="Y6:Y28" si="5">+T6+O6</f>
        <v>136447</v>
      </c>
      <c r="Z6" s="130">
        <f t="shared" ref="Z6:Z28" si="6">+Y6+X6</f>
        <v>275715</v>
      </c>
      <c r="AB6" s="130"/>
      <c r="AF6" s="62">
        <v>1665</v>
      </c>
    </row>
    <row r="7" spans="1:32" s="11" customFormat="1">
      <c r="A7" s="11" t="s">
        <v>47</v>
      </c>
      <c r="B7" s="400">
        <v>7155</v>
      </c>
      <c r="C7" s="400">
        <v>11427</v>
      </c>
      <c r="D7" s="168">
        <f t="shared" si="0"/>
        <v>18582</v>
      </c>
      <c r="E7" s="168"/>
      <c r="F7" s="400">
        <f>18492+3046</f>
        <v>21538</v>
      </c>
      <c r="G7" s="400">
        <f>59840+1920+148+1875+4021</f>
        <v>67804</v>
      </c>
      <c r="H7" s="400">
        <f>31279+33+1</f>
        <v>31313</v>
      </c>
      <c r="I7" s="168">
        <f t="shared" si="1"/>
        <v>120655</v>
      </c>
      <c r="J7" s="168"/>
      <c r="K7" s="168">
        <f t="shared" ref="K7:K29" si="7">+I7+D7</f>
        <v>139237</v>
      </c>
      <c r="L7" s="168"/>
      <c r="M7" s="400">
        <f>46919-7155</f>
        <v>39764</v>
      </c>
      <c r="N7" s="400">
        <f>20078-11427</f>
        <v>8651</v>
      </c>
      <c r="O7" s="168">
        <f t="shared" si="2"/>
        <v>48415</v>
      </c>
      <c r="P7" s="168"/>
      <c r="Q7" s="400">
        <f>21+4338+13233+22644+2591</f>
        <v>42827</v>
      </c>
      <c r="R7" s="400">
        <f>5408+5331+5505</f>
        <v>16244</v>
      </c>
      <c r="S7" s="400">
        <f>60487-31313</f>
        <v>29174</v>
      </c>
      <c r="T7" s="168">
        <f t="shared" si="3"/>
        <v>88245</v>
      </c>
      <c r="V7" s="130">
        <f t="shared" si="4"/>
        <v>275897</v>
      </c>
      <c r="X7" s="130">
        <f t="shared" ref="X7:X28" si="8">+I7+D7</f>
        <v>139237</v>
      </c>
      <c r="Y7" s="130">
        <f t="shared" si="5"/>
        <v>136660</v>
      </c>
      <c r="Z7" s="130">
        <f t="shared" si="6"/>
        <v>275897</v>
      </c>
      <c r="AC7" s="128"/>
      <c r="AD7" s="98"/>
      <c r="AF7" s="62">
        <v>1656</v>
      </c>
    </row>
    <row r="8" spans="1:32" s="11" customFormat="1">
      <c r="A8" s="11" t="s">
        <v>64</v>
      </c>
      <c r="B8" s="400">
        <v>7174</v>
      </c>
      <c r="C8" s="400">
        <v>11438</v>
      </c>
      <c r="D8" s="168">
        <f t="shared" si="0"/>
        <v>18612</v>
      </c>
      <c r="E8" s="168"/>
      <c r="F8" s="400">
        <f>18497+3055</f>
        <v>21552</v>
      </c>
      <c r="G8" s="400">
        <f>59906+1919+148+1898+4046</f>
        <v>67917</v>
      </c>
      <c r="H8" s="400">
        <f>24603+25</f>
        <v>24628</v>
      </c>
      <c r="I8" s="168">
        <f t="shared" si="1"/>
        <v>114097</v>
      </c>
      <c r="J8" s="168"/>
      <c r="K8" s="168">
        <f t="shared" si="7"/>
        <v>132709</v>
      </c>
      <c r="L8" s="168"/>
      <c r="M8" s="400">
        <f>46912-7174</f>
        <v>39738</v>
      </c>
      <c r="N8" s="400">
        <f>20085-11438</f>
        <v>8647</v>
      </c>
      <c r="O8" s="168">
        <f t="shared" si="2"/>
        <v>48385</v>
      </c>
      <c r="P8" s="168"/>
      <c r="Q8" s="400">
        <f>21+13224+22663+2585+4348</f>
        <v>42841</v>
      </c>
      <c r="R8" s="400">
        <f>5515+5350+5401</f>
        <v>16266</v>
      </c>
      <c r="S8" s="400">
        <f>61343-24628</f>
        <v>36715</v>
      </c>
      <c r="T8" s="168">
        <f t="shared" si="3"/>
        <v>95822</v>
      </c>
      <c r="V8" s="130">
        <f t="shared" si="4"/>
        <v>276916</v>
      </c>
      <c r="X8" s="130">
        <f t="shared" si="8"/>
        <v>132709</v>
      </c>
      <c r="Y8" s="130">
        <f t="shared" si="5"/>
        <v>144207</v>
      </c>
      <c r="Z8" s="130">
        <f t="shared" si="6"/>
        <v>276916</v>
      </c>
      <c r="AC8" s="165"/>
      <c r="AD8" s="166"/>
      <c r="AF8" s="62">
        <v>1647</v>
      </c>
    </row>
    <row r="9" spans="1:32" s="11" customFormat="1">
      <c r="A9" s="283" t="s">
        <v>269</v>
      </c>
      <c r="B9" s="400">
        <v>7164</v>
      </c>
      <c r="C9" s="400">
        <v>11423</v>
      </c>
      <c r="D9" s="168">
        <f t="shared" si="0"/>
        <v>18587</v>
      </c>
      <c r="E9" s="168"/>
      <c r="F9" s="400">
        <f>18468+3049</f>
        <v>21517</v>
      </c>
      <c r="G9" s="400">
        <f>59882+1914+148+1904+4058</f>
        <v>67906</v>
      </c>
      <c r="H9" s="400">
        <f>24524+25</f>
        <v>24549</v>
      </c>
      <c r="I9" s="168">
        <f t="shared" si="1"/>
        <v>113972</v>
      </c>
      <c r="J9" s="168"/>
      <c r="K9" s="168">
        <f t="shared" si="7"/>
        <v>132559</v>
      </c>
      <c r="L9" s="168"/>
      <c r="M9" s="400">
        <f>46915-7164</f>
        <v>39751</v>
      </c>
      <c r="N9" s="400">
        <f>20084-11423</f>
        <v>8661</v>
      </c>
      <c r="O9" s="168">
        <f t="shared" si="2"/>
        <v>48412</v>
      </c>
      <c r="P9" s="168"/>
      <c r="Q9" s="400">
        <f>2+2595+22646+13221+21+4356</f>
        <v>42841</v>
      </c>
      <c r="R9" s="400">
        <f>5392+5355+5514</f>
        <v>16261</v>
      </c>
      <c r="S9" s="400">
        <f>61363-24549</f>
        <v>36814</v>
      </c>
      <c r="T9" s="168">
        <f t="shared" si="3"/>
        <v>95916</v>
      </c>
      <c r="V9" s="130">
        <f t="shared" si="4"/>
        <v>276887</v>
      </c>
      <c r="X9" s="130">
        <f t="shared" si="8"/>
        <v>132559</v>
      </c>
      <c r="Y9" s="130">
        <f t="shared" si="5"/>
        <v>144328</v>
      </c>
      <c r="Z9" s="130">
        <f t="shared" si="6"/>
        <v>276887</v>
      </c>
      <c r="AC9" s="166"/>
      <c r="AD9" s="166"/>
      <c r="AF9" s="62">
        <v>1647</v>
      </c>
    </row>
    <row r="10" spans="1:32" s="11" customFormat="1">
      <c r="A10" s="11" t="s">
        <v>75</v>
      </c>
      <c r="B10" s="400">
        <v>7178</v>
      </c>
      <c r="C10" s="400">
        <v>11467</v>
      </c>
      <c r="D10" s="168">
        <f t="shared" si="0"/>
        <v>18645</v>
      </c>
      <c r="E10" s="168"/>
      <c r="F10" s="400">
        <f>3059+18501</f>
        <v>21560</v>
      </c>
      <c r="G10" s="400">
        <f>60046+1910+149+1939+1+4089</f>
        <v>68134</v>
      </c>
      <c r="H10" s="400">
        <v>24629</v>
      </c>
      <c r="I10" s="168">
        <f t="shared" si="1"/>
        <v>114323</v>
      </c>
      <c r="J10" s="168"/>
      <c r="K10" s="168">
        <f t="shared" si="7"/>
        <v>132968</v>
      </c>
      <c r="L10" s="168"/>
      <c r="M10" s="400">
        <f>46989-7178</f>
        <v>39811</v>
      </c>
      <c r="N10" s="400">
        <f>20145-11467</f>
        <v>8678</v>
      </c>
      <c r="O10" s="168">
        <f t="shared" si="2"/>
        <v>48489</v>
      </c>
      <c r="P10" s="168"/>
      <c r="Q10" s="400">
        <f>4358+21+13242+22647+2600</f>
        <v>42868</v>
      </c>
      <c r="R10" s="400">
        <f>5505+5353+5390</f>
        <v>16248</v>
      </c>
      <c r="S10" s="400">
        <f>61520-24629</f>
        <v>36891</v>
      </c>
      <c r="T10" s="168">
        <f t="shared" si="3"/>
        <v>96007</v>
      </c>
      <c r="V10" s="130">
        <f t="shared" si="4"/>
        <v>277464</v>
      </c>
      <c r="X10" s="130">
        <f t="shared" si="8"/>
        <v>132968</v>
      </c>
      <c r="Y10" s="130">
        <f t="shared" si="5"/>
        <v>144496</v>
      </c>
      <c r="Z10" s="130">
        <f t="shared" si="6"/>
        <v>277464</v>
      </c>
      <c r="AC10" s="166"/>
      <c r="AD10" s="166"/>
      <c r="AF10" s="62">
        <v>1644</v>
      </c>
    </row>
    <row r="11" spans="1:32" s="11" customFormat="1">
      <c r="A11" s="11" t="s">
        <v>76</v>
      </c>
      <c r="B11" s="400">
        <v>7184</v>
      </c>
      <c r="C11" s="400">
        <v>11458</v>
      </c>
      <c r="D11" s="168">
        <f t="shared" si="0"/>
        <v>18642</v>
      </c>
      <c r="E11" s="168"/>
      <c r="F11" s="400">
        <f>3052+18485</f>
        <v>21537</v>
      </c>
      <c r="G11" s="400">
        <f>60048+1913+150+1979+4122</f>
        <v>68212</v>
      </c>
      <c r="H11" s="400">
        <f>24650+26</f>
        <v>24676</v>
      </c>
      <c r="I11" s="168">
        <f t="shared" si="1"/>
        <v>114425</v>
      </c>
      <c r="J11" s="168"/>
      <c r="K11" s="168">
        <f t="shared" si="7"/>
        <v>133067</v>
      </c>
      <c r="L11" s="168"/>
      <c r="M11" s="400">
        <f>46989-7184</f>
        <v>39805</v>
      </c>
      <c r="N11" s="400">
        <f>20144-11458</f>
        <v>8686</v>
      </c>
      <c r="O11" s="168">
        <f t="shared" si="2"/>
        <v>48491</v>
      </c>
      <c r="P11" s="168"/>
      <c r="Q11" s="400">
        <f>2614+22639+13219+21+4366</f>
        <v>42859</v>
      </c>
      <c r="R11" s="400">
        <f>5503+5371+5402</f>
        <v>16276</v>
      </c>
      <c r="S11" s="400">
        <f>61630-24676</f>
        <v>36954</v>
      </c>
      <c r="T11" s="168">
        <f t="shared" si="3"/>
        <v>96089</v>
      </c>
      <c r="V11" s="130">
        <f t="shared" si="4"/>
        <v>277647</v>
      </c>
      <c r="X11" s="130">
        <f t="shared" si="8"/>
        <v>133067</v>
      </c>
      <c r="Y11" s="130">
        <f t="shared" si="5"/>
        <v>144580</v>
      </c>
      <c r="Z11" s="130">
        <f t="shared" si="6"/>
        <v>277647</v>
      </c>
      <c r="AC11" s="166"/>
      <c r="AD11" s="165"/>
      <c r="AF11" s="62">
        <v>1650</v>
      </c>
    </row>
    <row r="12" spans="1:32" s="11" customFormat="1">
      <c r="A12" s="11" t="s">
        <v>77</v>
      </c>
      <c r="B12" s="400">
        <v>7191</v>
      </c>
      <c r="C12" s="400">
        <v>11398</v>
      </c>
      <c r="D12" s="168">
        <f t="shared" si="0"/>
        <v>18589</v>
      </c>
      <c r="E12" s="168"/>
      <c r="F12" s="400">
        <f>18507+3050</f>
        <v>21557</v>
      </c>
      <c r="G12" s="400">
        <f>59924+1914+153+2008+4150</f>
        <v>68149</v>
      </c>
      <c r="H12" s="400">
        <f>24613+27</f>
        <v>24640</v>
      </c>
      <c r="I12" s="168">
        <f t="shared" si="1"/>
        <v>114346</v>
      </c>
      <c r="J12" s="168"/>
      <c r="K12" s="168">
        <f t="shared" si="7"/>
        <v>132935</v>
      </c>
      <c r="L12" s="168"/>
      <c r="M12" s="400">
        <f>47002-7191</f>
        <v>39811</v>
      </c>
      <c r="N12" s="400">
        <f>20056-11398</f>
        <v>8658</v>
      </c>
      <c r="O12" s="168">
        <f t="shared" si="2"/>
        <v>48469</v>
      </c>
      <c r="P12" s="168"/>
      <c r="Q12" s="400">
        <f>2623+22662+13232+4341</f>
        <v>42858</v>
      </c>
      <c r="R12" s="400">
        <f>5509+5380+5430</f>
        <v>16319</v>
      </c>
      <c r="S12" s="400">
        <f>61684-24640</f>
        <v>37044</v>
      </c>
      <c r="T12" s="168">
        <f t="shared" si="3"/>
        <v>96221</v>
      </c>
      <c r="V12" s="130">
        <f t="shared" si="4"/>
        <v>277625</v>
      </c>
      <c r="X12" s="130">
        <f t="shared" si="8"/>
        <v>132935</v>
      </c>
      <c r="Y12" s="130">
        <f t="shared" si="5"/>
        <v>144690</v>
      </c>
      <c r="Z12" s="130">
        <f t="shared" si="6"/>
        <v>277625</v>
      </c>
      <c r="AC12" s="166"/>
      <c r="AD12" s="165"/>
      <c r="AF12" s="62">
        <v>1650</v>
      </c>
    </row>
    <row r="13" spans="1:32" s="11" customFormat="1">
      <c r="A13" s="11" t="s">
        <v>52</v>
      </c>
      <c r="B13" s="400">
        <v>7228</v>
      </c>
      <c r="C13" s="400">
        <v>11469</v>
      </c>
      <c r="D13" s="168">
        <f t="shared" si="0"/>
        <v>18697</v>
      </c>
      <c r="E13" s="168"/>
      <c r="F13" s="400">
        <f>3048+18531</f>
        <v>21579</v>
      </c>
      <c r="G13" s="400">
        <f>59934+1916+157+2044+4183</f>
        <v>68234</v>
      </c>
      <c r="H13" s="400">
        <v>24720</v>
      </c>
      <c r="I13" s="168">
        <f t="shared" si="1"/>
        <v>114533</v>
      </c>
      <c r="J13" s="168"/>
      <c r="K13" s="168">
        <f t="shared" si="7"/>
        <v>133230</v>
      </c>
      <c r="L13" s="168"/>
      <c r="M13" s="400">
        <f>47097-7228</f>
        <v>39869</v>
      </c>
      <c r="N13" s="400">
        <f>20146-11469</f>
        <v>8677</v>
      </c>
      <c r="O13" s="168">
        <f t="shared" si="2"/>
        <v>48546</v>
      </c>
      <c r="P13" s="168"/>
      <c r="Q13" s="400">
        <f>22680+13206+4342+2637</f>
        <v>42865</v>
      </c>
      <c r="R13" s="400">
        <f>5510+5377+5452</f>
        <v>16339</v>
      </c>
      <c r="S13" s="400">
        <v>37136</v>
      </c>
      <c r="T13" s="168">
        <f t="shared" si="3"/>
        <v>96340</v>
      </c>
      <c r="V13" s="130">
        <f t="shared" si="4"/>
        <v>278116</v>
      </c>
      <c r="X13" s="130">
        <f t="shared" si="8"/>
        <v>133230</v>
      </c>
      <c r="Y13" s="130">
        <f t="shared" si="5"/>
        <v>144886</v>
      </c>
      <c r="Z13" s="130">
        <f t="shared" si="6"/>
        <v>278116</v>
      </c>
      <c r="AC13" s="166"/>
      <c r="AD13" s="166"/>
      <c r="AF13" s="62">
        <v>1664</v>
      </c>
    </row>
    <row r="14" spans="1:32" s="11" customFormat="1">
      <c r="A14" s="11" t="s">
        <v>59</v>
      </c>
      <c r="B14" s="400">
        <v>7259</v>
      </c>
      <c r="C14" s="400">
        <v>11458</v>
      </c>
      <c r="D14" s="168">
        <f t="shared" si="0"/>
        <v>18717</v>
      </c>
      <c r="E14" s="168"/>
      <c r="F14" s="400">
        <f>18569+3047</f>
        <v>21616</v>
      </c>
      <c r="G14" s="400">
        <f>1913+159+2098+4220+59863</f>
        <v>68253</v>
      </c>
      <c r="H14" s="400">
        <v>24751</v>
      </c>
      <c r="I14" s="168">
        <f>SUM(F14:H14)</f>
        <v>114620</v>
      </c>
      <c r="J14" s="168"/>
      <c r="K14" s="168">
        <f>+I14+D14</f>
        <v>133337</v>
      </c>
      <c r="L14" s="168"/>
      <c r="M14" s="400">
        <f>47142-7259</f>
        <v>39883</v>
      </c>
      <c r="N14" s="400">
        <f>20121-11458</f>
        <v>8663</v>
      </c>
      <c r="O14" s="168">
        <f t="shared" si="2"/>
        <v>48546</v>
      </c>
      <c r="P14" s="168"/>
      <c r="Q14" s="400">
        <f>22689+13180+4340+2636</f>
        <v>42845</v>
      </c>
      <c r="R14" s="400">
        <f>5513+5366+5454</f>
        <v>16333</v>
      </c>
      <c r="S14" s="400">
        <f>61863-24751</f>
        <v>37112</v>
      </c>
      <c r="T14" s="168">
        <f t="shared" si="3"/>
        <v>96290</v>
      </c>
      <c r="V14" s="130">
        <f>+T14+O14+I14+D14</f>
        <v>278173</v>
      </c>
      <c r="X14" s="130">
        <f>+I14+D14</f>
        <v>133337</v>
      </c>
      <c r="Y14" s="130">
        <f t="shared" si="5"/>
        <v>144836</v>
      </c>
      <c r="Z14" s="130">
        <f t="shared" si="6"/>
        <v>278173</v>
      </c>
      <c r="AF14" s="62">
        <v>1661</v>
      </c>
    </row>
    <row r="15" spans="1:32" s="11" customFormat="1">
      <c r="A15" s="11" t="s">
        <v>60</v>
      </c>
      <c r="B15" s="400">
        <v>7286</v>
      </c>
      <c r="C15" s="400">
        <v>11479</v>
      </c>
      <c r="D15" s="168">
        <f t="shared" si="0"/>
        <v>18765</v>
      </c>
      <c r="E15" s="168"/>
      <c r="F15" s="400">
        <f>3047+18608</f>
        <v>21655</v>
      </c>
      <c r="G15" s="400">
        <f>1912+162+2132+59845+4259</f>
        <v>68310</v>
      </c>
      <c r="H15" s="400">
        <v>24824</v>
      </c>
      <c r="I15" s="168">
        <f t="shared" si="1"/>
        <v>114789</v>
      </c>
      <c r="J15" s="168"/>
      <c r="K15" s="168">
        <f t="shared" si="7"/>
        <v>133554</v>
      </c>
      <c r="L15" s="168"/>
      <c r="M15" s="400">
        <f>47149-7286</f>
        <v>39863</v>
      </c>
      <c r="N15" s="400">
        <f>20153-11479</f>
        <v>8674</v>
      </c>
      <c r="O15" s="168">
        <f t="shared" si="2"/>
        <v>48537</v>
      </c>
      <c r="P15" s="168"/>
      <c r="Q15" s="400">
        <f>22691+13179+4345+2658</f>
        <v>42873</v>
      </c>
      <c r="R15" s="400">
        <f>5506+5368+5462</f>
        <v>16336</v>
      </c>
      <c r="S15" s="400">
        <f>61966-24824</f>
        <v>37142</v>
      </c>
      <c r="T15" s="168">
        <f t="shared" si="3"/>
        <v>96351</v>
      </c>
      <c r="V15" s="130">
        <f t="shared" si="4"/>
        <v>278442</v>
      </c>
      <c r="X15" s="130">
        <f t="shared" si="8"/>
        <v>133554</v>
      </c>
      <c r="Y15" s="130">
        <f t="shared" si="5"/>
        <v>144888</v>
      </c>
      <c r="Z15" s="130">
        <f t="shared" si="6"/>
        <v>278442</v>
      </c>
      <c r="AF15" s="62">
        <v>1667</v>
      </c>
    </row>
    <row r="16" spans="1:32" s="11" customFormat="1">
      <c r="A16" s="11" t="s">
        <v>61</v>
      </c>
      <c r="B16" s="400">
        <v>7291</v>
      </c>
      <c r="C16" s="400">
        <v>11491</v>
      </c>
      <c r="D16" s="168">
        <f t="shared" si="0"/>
        <v>18782</v>
      </c>
      <c r="E16" s="168"/>
      <c r="F16" s="400">
        <f>3040+18621</f>
        <v>21661</v>
      </c>
      <c r="G16" s="400">
        <f>1913+164+2174+4302+59891</f>
        <v>68444</v>
      </c>
      <c r="H16" s="400">
        <f>24833+31</f>
        <v>24864</v>
      </c>
      <c r="I16" s="168">
        <f t="shared" si="1"/>
        <v>114969</v>
      </c>
      <c r="J16" s="168"/>
      <c r="K16" s="168">
        <f t="shared" si="7"/>
        <v>133751</v>
      </c>
      <c r="L16" s="168"/>
      <c r="M16" s="400">
        <f>47278-7291</f>
        <v>39987</v>
      </c>
      <c r="N16" s="400">
        <f>20168-11491</f>
        <v>8677</v>
      </c>
      <c r="O16" s="168">
        <f t="shared" si="2"/>
        <v>48664</v>
      </c>
      <c r="P16" s="168"/>
      <c r="Q16" s="400">
        <f>22690+13194+2654+4348</f>
        <v>42886</v>
      </c>
      <c r="R16" s="400">
        <f>5503+5632+5454</f>
        <v>16589</v>
      </c>
      <c r="S16" s="400">
        <f>62010-24864</f>
        <v>37146</v>
      </c>
      <c r="T16" s="168">
        <f t="shared" si="3"/>
        <v>96621</v>
      </c>
      <c r="V16" s="130">
        <f t="shared" si="4"/>
        <v>279036</v>
      </c>
      <c r="X16" s="130">
        <f t="shared" si="8"/>
        <v>133751</v>
      </c>
      <c r="Y16" s="130">
        <f t="shared" si="5"/>
        <v>145285</v>
      </c>
      <c r="Z16" s="130">
        <f t="shared" si="6"/>
        <v>279036</v>
      </c>
      <c r="AF16" s="62">
        <v>1659</v>
      </c>
    </row>
    <row r="17" spans="1:32" s="132" customFormat="1">
      <c r="A17" s="132" t="s">
        <v>62</v>
      </c>
      <c r="B17" s="401">
        <v>7301</v>
      </c>
      <c r="C17" s="401">
        <v>11509</v>
      </c>
      <c r="D17" s="179">
        <f t="shared" si="0"/>
        <v>18810</v>
      </c>
      <c r="E17" s="179"/>
      <c r="F17" s="401">
        <f>3042+18627</f>
        <v>21669</v>
      </c>
      <c r="G17" s="401">
        <f>1915+173+2190+4349+59934</f>
        <v>68561</v>
      </c>
      <c r="H17" s="401">
        <f>32+24811</f>
        <v>24843</v>
      </c>
      <c r="I17" s="179">
        <f t="shared" si="1"/>
        <v>115073</v>
      </c>
      <c r="J17" s="179"/>
      <c r="K17" s="179">
        <f t="shared" si="7"/>
        <v>133883</v>
      </c>
      <c r="L17" s="179"/>
      <c r="M17" s="401">
        <f>47245-7301</f>
        <v>39944</v>
      </c>
      <c r="N17" s="401">
        <f>20185-11509</f>
        <v>8676</v>
      </c>
      <c r="O17" s="282">
        <f t="shared" si="2"/>
        <v>48620</v>
      </c>
      <c r="P17" s="282"/>
      <c r="Q17" s="401">
        <f>2668+22688+13225+21+4344</f>
        <v>42946</v>
      </c>
      <c r="R17" s="401">
        <f>5510+5360+5455</f>
        <v>16325</v>
      </c>
      <c r="S17" s="401">
        <f>61987-24843</f>
        <v>37144</v>
      </c>
      <c r="T17" s="179">
        <f t="shared" si="3"/>
        <v>96415</v>
      </c>
      <c r="V17" s="135">
        <f t="shared" si="4"/>
        <v>278918</v>
      </c>
      <c r="X17" s="135">
        <f t="shared" si="8"/>
        <v>133883</v>
      </c>
      <c r="Y17" s="135">
        <f t="shared" si="5"/>
        <v>145035</v>
      </c>
      <c r="Z17" s="135">
        <f t="shared" si="6"/>
        <v>278918</v>
      </c>
      <c r="AF17" s="180">
        <v>1660</v>
      </c>
    </row>
    <row r="18" spans="1:32" s="11" customFormat="1">
      <c r="A18" s="11" t="s">
        <v>46</v>
      </c>
      <c r="B18" s="400">
        <v>7112</v>
      </c>
      <c r="C18" s="400">
        <v>11547</v>
      </c>
      <c r="D18" s="168">
        <f t="shared" si="0"/>
        <v>18659</v>
      </c>
      <c r="E18" s="168"/>
      <c r="F18" s="400">
        <f>18608+3052</f>
        <v>21660</v>
      </c>
      <c r="G18" s="400">
        <f>60006+1913+174+2213+4371</f>
        <v>68677</v>
      </c>
      <c r="H18" s="401">
        <v>24743</v>
      </c>
      <c r="I18" s="168">
        <f t="shared" si="1"/>
        <v>115080</v>
      </c>
      <c r="J18" s="168"/>
      <c r="K18" s="179">
        <f t="shared" si="7"/>
        <v>133739</v>
      </c>
      <c r="L18" s="168"/>
      <c r="M18" s="400">
        <f>47159-B18</f>
        <v>40047</v>
      </c>
      <c r="N18" s="400">
        <f>20233-C18</f>
        <v>8686</v>
      </c>
      <c r="O18" s="168">
        <f t="shared" si="2"/>
        <v>48733</v>
      </c>
      <c r="P18" s="168"/>
      <c r="Q18" s="400">
        <f>22674+13226+21+4351+2679</f>
        <v>42951</v>
      </c>
      <c r="R18" s="400">
        <f>5365+5425+5499</f>
        <v>16289</v>
      </c>
      <c r="S18" s="401">
        <f>61947-H18</f>
        <v>37204</v>
      </c>
      <c r="T18" s="168">
        <f t="shared" si="3"/>
        <v>96444</v>
      </c>
      <c r="V18" s="130">
        <f t="shared" si="4"/>
        <v>278916</v>
      </c>
      <c r="X18" s="130">
        <f t="shared" si="8"/>
        <v>133739</v>
      </c>
      <c r="Y18" s="130">
        <f t="shared" si="5"/>
        <v>145177</v>
      </c>
      <c r="Z18" s="130">
        <f t="shared" si="6"/>
        <v>278916</v>
      </c>
      <c r="AF18" s="62"/>
    </row>
    <row r="19" spans="1:32" s="11" customFormat="1">
      <c r="A19" s="11" t="s">
        <v>47</v>
      </c>
      <c r="B19" s="400">
        <v>7108</v>
      </c>
      <c r="C19" s="400">
        <v>11521</v>
      </c>
      <c r="D19" s="168">
        <f t="shared" si="0"/>
        <v>18629</v>
      </c>
      <c r="E19" s="168"/>
      <c r="F19" s="400">
        <f>18594+3058</f>
        <v>21652</v>
      </c>
      <c r="G19" s="400">
        <f>60015+2218+4408+1916+178</f>
        <v>68735</v>
      </c>
      <c r="H19" s="401">
        <v>24743</v>
      </c>
      <c r="I19" s="168">
        <f t="shared" si="1"/>
        <v>115130</v>
      </c>
      <c r="J19" s="168"/>
      <c r="K19" s="179">
        <f t="shared" si="7"/>
        <v>133759</v>
      </c>
      <c r="L19" s="168"/>
      <c r="M19" s="400">
        <f>47100-B19</f>
        <v>39992</v>
      </c>
      <c r="N19" s="400">
        <f>20221-C19</f>
        <v>8700</v>
      </c>
      <c r="O19" s="168">
        <f t="shared" si="2"/>
        <v>48692</v>
      </c>
      <c r="P19" s="168"/>
      <c r="Q19" s="400">
        <f>2686+22662+13230+4359</f>
        <v>42937</v>
      </c>
      <c r="R19" s="400">
        <f>5492+5372+5417</f>
        <v>16281</v>
      </c>
      <c r="S19" s="401">
        <f>61947-H19</f>
        <v>37204</v>
      </c>
      <c r="T19" s="168">
        <f t="shared" si="3"/>
        <v>96422</v>
      </c>
      <c r="V19" s="130">
        <f t="shared" si="4"/>
        <v>278873</v>
      </c>
      <c r="X19" s="130">
        <f t="shared" si="8"/>
        <v>133759</v>
      </c>
      <c r="Y19" s="130">
        <f t="shared" si="5"/>
        <v>145114</v>
      </c>
      <c r="Z19" s="130">
        <f t="shared" si="6"/>
        <v>278873</v>
      </c>
      <c r="AF19" s="62"/>
    </row>
    <row r="20" spans="1:32" s="11" customFormat="1" ht="15">
      <c r="A20" s="11" t="s">
        <v>64</v>
      </c>
      <c r="B20" s="400">
        <v>7103</v>
      </c>
      <c r="C20" s="400">
        <v>11504</v>
      </c>
      <c r="D20" s="168">
        <f t="shared" si="0"/>
        <v>18607</v>
      </c>
      <c r="E20" s="169"/>
      <c r="F20" s="400">
        <f>18566+3065</f>
        <v>21631</v>
      </c>
      <c r="G20" s="400">
        <f>59996+1916+179+2243+4438</f>
        <v>68772</v>
      </c>
      <c r="H20" s="400">
        <v>24728</v>
      </c>
      <c r="I20" s="168">
        <f t="shared" si="1"/>
        <v>115131</v>
      </c>
      <c r="J20" s="168"/>
      <c r="K20" s="179">
        <f t="shared" si="7"/>
        <v>133738</v>
      </c>
      <c r="L20" s="169"/>
      <c r="M20" s="400">
        <f>47073-B20</f>
        <v>39970</v>
      </c>
      <c r="N20" s="400">
        <f>20176-C20</f>
        <v>8672</v>
      </c>
      <c r="O20" s="168">
        <f t="shared" si="2"/>
        <v>48642</v>
      </c>
      <c r="P20" s="168"/>
      <c r="Q20" s="400">
        <f>2686+22669+13242+4364</f>
        <v>42961</v>
      </c>
      <c r="R20" s="400">
        <f>5490+5385+5425</f>
        <v>16300</v>
      </c>
      <c r="S20" s="400">
        <f>61943-H20</f>
        <v>37215</v>
      </c>
      <c r="T20" s="168">
        <f t="shared" si="3"/>
        <v>96476</v>
      </c>
      <c r="U20" s="138"/>
      <c r="V20" s="130">
        <f t="shared" si="4"/>
        <v>278856</v>
      </c>
      <c r="X20" s="130">
        <f t="shared" si="8"/>
        <v>133738</v>
      </c>
      <c r="Y20" s="130">
        <f t="shared" si="5"/>
        <v>145118</v>
      </c>
      <c r="Z20" s="130">
        <f t="shared" si="6"/>
        <v>278856</v>
      </c>
      <c r="AF20" s="62"/>
    </row>
    <row r="21" spans="1:32" s="11" customFormat="1" ht="15">
      <c r="A21" s="283" t="s">
        <v>270</v>
      </c>
      <c r="B21" s="400">
        <v>7102</v>
      </c>
      <c r="C21" s="400">
        <v>11491</v>
      </c>
      <c r="D21" s="168">
        <f t="shared" si="0"/>
        <v>18593</v>
      </c>
      <c r="E21" s="169"/>
      <c r="F21" s="400">
        <f>18543+3068</f>
        <v>21611</v>
      </c>
      <c r="G21" s="400">
        <f>60041+2247+4443+1920+179</f>
        <v>68830</v>
      </c>
      <c r="H21" s="400">
        <v>24735</v>
      </c>
      <c r="I21" s="168">
        <f t="shared" si="1"/>
        <v>115176</v>
      </c>
      <c r="J21" s="168"/>
      <c r="K21" s="179">
        <f t="shared" si="7"/>
        <v>133769</v>
      </c>
      <c r="L21" s="169"/>
      <c r="M21" s="400">
        <f>47050-B21</f>
        <v>39948</v>
      </c>
      <c r="N21" s="400">
        <f>20161-C21</f>
        <v>8670</v>
      </c>
      <c r="O21" s="168">
        <f t="shared" si="2"/>
        <v>48618</v>
      </c>
      <c r="P21" s="168"/>
      <c r="Q21" s="400">
        <f>2690+22667+13238+4371</f>
        <v>42966</v>
      </c>
      <c r="R21" s="400">
        <f>5490+5389+5424</f>
        <v>16303</v>
      </c>
      <c r="S21" s="400">
        <f>61947-H21</f>
        <v>37212</v>
      </c>
      <c r="T21" s="168">
        <f t="shared" si="3"/>
        <v>96481</v>
      </c>
      <c r="U21" s="138"/>
      <c r="V21" s="130">
        <f t="shared" si="4"/>
        <v>278868</v>
      </c>
      <c r="X21" s="130">
        <f t="shared" si="8"/>
        <v>133769</v>
      </c>
      <c r="Y21" s="130">
        <f t="shared" si="5"/>
        <v>145099</v>
      </c>
      <c r="Z21" s="130">
        <f t="shared" si="6"/>
        <v>278868</v>
      </c>
      <c r="AF21" s="62"/>
    </row>
    <row r="22" spans="1:32" s="11" customFormat="1" ht="15">
      <c r="A22" s="11" t="s">
        <v>75</v>
      </c>
      <c r="B22" s="400">
        <v>7112</v>
      </c>
      <c r="C22" s="400">
        <v>11467</v>
      </c>
      <c r="D22" s="168">
        <f t="shared" si="0"/>
        <v>18579</v>
      </c>
      <c r="E22" s="169"/>
      <c r="F22" s="400">
        <f>18528+3067</f>
        <v>21595</v>
      </c>
      <c r="G22" s="400">
        <f>2262+180+4447+60049+1916</f>
        <v>68854</v>
      </c>
      <c r="H22" s="400">
        <v>24732</v>
      </c>
      <c r="I22" s="168">
        <f t="shared" si="1"/>
        <v>115181</v>
      </c>
      <c r="J22" s="168"/>
      <c r="K22" s="179">
        <f t="shared" si="7"/>
        <v>133760</v>
      </c>
      <c r="L22" s="169"/>
      <c r="M22" s="400">
        <f>47076-B22</f>
        <v>39964</v>
      </c>
      <c r="N22" s="400">
        <f>20131-C22</f>
        <v>8664</v>
      </c>
      <c r="O22" s="168">
        <f t="shared" si="2"/>
        <v>48628</v>
      </c>
      <c r="P22" s="168"/>
      <c r="Q22" s="400">
        <f>2694+22669+13255+4368</f>
        <v>42986</v>
      </c>
      <c r="R22" s="400">
        <f>5488+5401+5423</f>
        <v>16312</v>
      </c>
      <c r="S22" s="400">
        <f>61975-H22</f>
        <v>37243</v>
      </c>
      <c r="T22" s="168">
        <f t="shared" si="3"/>
        <v>96541</v>
      </c>
      <c r="U22" s="138"/>
      <c r="V22" s="130">
        <f t="shared" si="4"/>
        <v>278929</v>
      </c>
      <c r="X22" s="130">
        <f t="shared" si="8"/>
        <v>133760</v>
      </c>
      <c r="Y22" s="130">
        <f t="shared" si="5"/>
        <v>145169</v>
      </c>
      <c r="Z22" s="130">
        <f t="shared" si="6"/>
        <v>278929</v>
      </c>
      <c r="AF22" s="62"/>
    </row>
    <row r="23" spans="1:32" s="11" customFormat="1">
      <c r="A23" s="11" t="s">
        <v>76</v>
      </c>
      <c r="B23" s="400">
        <v>7147</v>
      </c>
      <c r="C23" s="400">
        <v>11521</v>
      </c>
      <c r="D23" s="168">
        <f t="shared" si="0"/>
        <v>18668</v>
      </c>
      <c r="E23" s="168"/>
      <c r="F23" s="400">
        <f>18570+3070</f>
        <v>21640</v>
      </c>
      <c r="G23" s="400">
        <f>1914+184+2270+4479+60245</f>
        <v>69092</v>
      </c>
      <c r="H23" s="400">
        <v>24824</v>
      </c>
      <c r="I23" s="168">
        <f t="shared" si="1"/>
        <v>115556</v>
      </c>
      <c r="J23" s="168"/>
      <c r="K23" s="179">
        <f t="shared" si="7"/>
        <v>134224</v>
      </c>
      <c r="L23" s="168"/>
      <c r="M23" s="400">
        <f>47005-B23</f>
        <v>39858</v>
      </c>
      <c r="N23" s="400">
        <f>20231-C23</f>
        <v>8710</v>
      </c>
      <c r="O23" s="168">
        <f t="shared" si="2"/>
        <v>48568</v>
      </c>
      <c r="P23" s="168"/>
      <c r="Q23" s="400">
        <f>2695+22667+13293+4361</f>
        <v>43016</v>
      </c>
      <c r="R23" s="400">
        <f>5499+5403+5440</f>
        <v>16342</v>
      </c>
      <c r="S23" s="400">
        <f>62199-H23</f>
        <v>37375</v>
      </c>
      <c r="T23" s="168">
        <f t="shared" si="3"/>
        <v>96733</v>
      </c>
      <c r="V23" s="130">
        <f t="shared" si="4"/>
        <v>279525</v>
      </c>
      <c r="X23" s="130">
        <f t="shared" si="8"/>
        <v>134224</v>
      </c>
      <c r="Y23" s="130">
        <f t="shared" si="5"/>
        <v>145301</v>
      </c>
      <c r="Z23" s="130">
        <f t="shared" si="6"/>
        <v>279525</v>
      </c>
      <c r="AF23" s="62"/>
    </row>
    <row r="24" spans="1:32" s="11" customFormat="1">
      <c r="A24" s="11" t="s">
        <v>77</v>
      </c>
      <c r="B24" s="400">
        <v>7133</v>
      </c>
      <c r="C24" s="400">
        <v>11490</v>
      </c>
      <c r="D24" s="168">
        <f t="shared" si="0"/>
        <v>18623</v>
      </c>
      <c r="E24" s="168"/>
      <c r="F24" s="400">
        <f>18600+3076</f>
        <v>21676</v>
      </c>
      <c r="G24" s="400">
        <f>1917+185+2276+4483+60207</f>
        <v>69068</v>
      </c>
      <c r="H24" s="400">
        <v>24812</v>
      </c>
      <c r="I24" s="168">
        <f t="shared" si="1"/>
        <v>115556</v>
      </c>
      <c r="J24" s="168"/>
      <c r="K24" s="179">
        <f t="shared" si="7"/>
        <v>134179</v>
      </c>
      <c r="L24" s="168"/>
      <c r="M24" s="400">
        <f>46983-B24</f>
        <v>39850</v>
      </c>
      <c r="N24" s="400">
        <f>20215-C24</f>
        <v>8725</v>
      </c>
      <c r="O24" s="168">
        <f t="shared" si="2"/>
        <v>48575</v>
      </c>
      <c r="P24" s="168"/>
      <c r="Q24" s="400">
        <f>2706+22695+13281+4353</f>
        <v>43035</v>
      </c>
      <c r="R24" s="400">
        <f>5503+5406+5436</f>
        <v>16345</v>
      </c>
      <c r="S24" s="400">
        <f>62266-H24</f>
        <v>37454</v>
      </c>
      <c r="T24" s="168">
        <f t="shared" si="3"/>
        <v>96834</v>
      </c>
      <c r="V24" s="130">
        <f t="shared" si="4"/>
        <v>279588</v>
      </c>
      <c r="X24" s="130">
        <f t="shared" si="8"/>
        <v>134179</v>
      </c>
      <c r="Y24" s="130">
        <f t="shared" si="5"/>
        <v>145409</v>
      </c>
      <c r="Z24" s="130">
        <f t="shared" si="6"/>
        <v>279588</v>
      </c>
      <c r="AF24" s="62"/>
    </row>
    <row r="25" spans="1:32" s="11" customFormat="1">
      <c r="A25" s="11" t="s">
        <v>52</v>
      </c>
      <c r="B25" s="400">
        <v>7147</v>
      </c>
      <c r="C25" s="400">
        <v>11507</v>
      </c>
      <c r="D25" s="168">
        <f t="shared" si="0"/>
        <v>18654</v>
      </c>
      <c r="E25" s="168"/>
      <c r="F25" s="400">
        <f>18626+3084</f>
        <v>21710</v>
      </c>
      <c r="G25" s="400">
        <f>1923+188+2302+4518+60321</f>
        <v>69252</v>
      </c>
      <c r="H25" s="400">
        <v>24912</v>
      </c>
      <c r="I25" s="168">
        <f t="shared" si="1"/>
        <v>115874</v>
      </c>
      <c r="J25" s="168"/>
      <c r="K25" s="179">
        <f t="shared" si="7"/>
        <v>134528</v>
      </c>
      <c r="L25" s="168"/>
      <c r="M25" s="400">
        <f>47010-B25</f>
        <v>39863</v>
      </c>
      <c r="N25" s="400">
        <f>20261-C25</f>
        <v>8754</v>
      </c>
      <c r="O25" s="168">
        <f t="shared" si="2"/>
        <v>48617</v>
      </c>
      <c r="P25" s="168"/>
      <c r="Q25" s="400">
        <f>2703+22728+13252+4354</f>
        <v>43037</v>
      </c>
      <c r="R25" s="400">
        <f>5517+5421+5463</f>
        <v>16401</v>
      </c>
      <c r="S25" s="400">
        <f>62443-H25</f>
        <v>37531</v>
      </c>
      <c r="T25" s="168">
        <f t="shared" si="3"/>
        <v>96969</v>
      </c>
      <c r="V25" s="130">
        <f t="shared" si="4"/>
        <v>280114</v>
      </c>
      <c r="X25" s="130">
        <f t="shared" si="8"/>
        <v>134528</v>
      </c>
      <c r="Y25" s="130">
        <f t="shared" si="5"/>
        <v>145586</v>
      </c>
      <c r="Z25" s="130">
        <f t="shared" si="6"/>
        <v>280114</v>
      </c>
      <c r="AF25" s="62"/>
    </row>
    <row r="26" spans="1:32" s="11" customFormat="1">
      <c r="A26" s="11" t="s">
        <v>59</v>
      </c>
      <c r="B26" s="400">
        <v>7140</v>
      </c>
      <c r="C26" s="400">
        <v>11532</v>
      </c>
      <c r="D26" s="168">
        <f t="shared" si="0"/>
        <v>18672</v>
      </c>
      <c r="E26" s="168"/>
      <c r="F26" s="400">
        <f>18647+3082</f>
        <v>21729</v>
      </c>
      <c r="G26" s="400">
        <f>1923+185+2295+4541+60311</f>
        <v>69255</v>
      </c>
      <c r="H26" s="400">
        <v>24961</v>
      </c>
      <c r="I26" s="168">
        <f t="shared" si="1"/>
        <v>115945</v>
      </c>
      <c r="J26" s="168"/>
      <c r="K26" s="179">
        <f t="shared" si="7"/>
        <v>134617</v>
      </c>
      <c r="L26" s="168"/>
      <c r="M26" s="400">
        <f>47016-B26</f>
        <v>39876</v>
      </c>
      <c r="N26" s="400">
        <f>20275-C26</f>
        <v>8743</v>
      </c>
      <c r="O26" s="168">
        <f t="shared" si="2"/>
        <v>48619</v>
      </c>
      <c r="P26" s="168"/>
      <c r="Q26" s="400">
        <f>2703+22756+13237+4364</f>
        <v>43060</v>
      </c>
      <c r="R26" s="400">
        <f>5507+5417+5460</f>
        <v>16384</v>
      </c>
      <c r="S26" s="400">
        <f>62512-H26</f>
        <v>37551</v>
      </c>
      <c r="T26" s="168">
        <f t="shared" si="3"/>
        <v>96995</v>
      </c>
      <c r="V26" s="130">
        <f t="shared" si="4"/>
        <v>280231</v>
      </c>
      <c r="X26" s="130">
        <f t="shared" si="8"/>
        <v>134617</v>
      </c>
      <c r="Y26" s="130">
        <f t="shared" si="5"/>
        <v>145614</v>
      </c>
      <c r="Z26" s="130">
        <f t="shared" si="6"/>
        <v>280231</v>
      </c>
      <c r="AF26" s="62"/>
    </row>
    <row r="27" spans="1:32" s="11" customFormat="1">
      <c r="A27" s="11" t="s">
        <v>60</v>
      </c>
      <c r="B27" s="400">
        <v>7146</v>
      </c>
      <c r="C27" s="400">
        <v>11528</v>
      </c>
      <c r="D27" s="168">
        <f t="shared" si="0"/>
        <v>18674</v>
      </c>
      <c r="E27" s="168"/>
      <c r="F27" s="400">
        <f>18663+3070</f>
        <v>21733</v>
      </c>
      <c r="G27" s="400">
        <f>1927+185+2294+4551+60277</f>
        <v>69234</v>
      </c>
      <c r="H27" s="400">
        <f>24976</f>
        <v>24976</v>
      </c>
      <c r="I27" s="168">
        <f t="shared" si="1"/>
        <v>115943</v>
      </c>
      <c r="J27" s="168"/>
      <c r="K27" s="179">
        <f t="shared" si="7"/>
        <v>134617</v>
      </c>
      <c r="L27" s="168"/>
      <c r="M27" s="400">
        <f>47044-B27</f>
        <v>39898</v>
      </c>
      <c r="N27" s="400">
        <f>20291-C27</f>
        <v>8763</v>
      </c>
      <c r="O27" s="168">
        <f t="shared" si="2"/>
        <v>48661</v>
      </c>
      <c r="P27" s="168"/>
      <c r="Q27" s="400">
        <f>2717+22748+13227+4369</f>
        <v>43061</v>
      </c>
      <c r="R27" s="400">
        <f>5499+5421+5447</f>
        <v>16367</v>
      </c>
      <c r="S27" s="400">
        <f>62581-H27</f>
        <v>37605</v>
      </c>
      <c r="T27" s="168">
        <f t="shared" si="3"/>
        <v>97033</v>
      </c>
      <c r="V27" s="130">
        <f t="shared" si="4"/>
        <v>280311</v>
      </c>
      <c r="X27" s="130">
        <f t="shared" si="8"/>
        <v>134617</v>
      </c>
      <c r="Y27" s="130">
        <f t="shared" si="5"/>
        <v>145694</v>
      </c>
      <c r="Z27" s="130">
        <f t="shared" si="6"/>
        <v>280311</v>
      </c>
      <c r="AF27" s="62"/>
    </row>
    <row r="28" spans="1:32" s="11" customFormat="1">
      <c r="A28" s="11" t="s">
        <v>61</v>
      </c>
      <c r="B28" s="400">
        <v>7177</v>
      </c>
      <c r="C28" s="400">
        <v>11549</v>
      </c>
      <c r="D28" s="168">
        <f t="shared" si="0"/>
        <v>18726</v>
      </c>
      <c r="E28" s="168"/>
      <c r="F28" s="400">
        <f>18689+3076</f>
        <v>21765</v>
      </c>
      <c r="G28" s="400">
        <f>1932+182+2313+4571+60368</f>
        <v>69366</v>
      </c>
      <c r="H28" s="400">
        <v>25050</v>
      </c>
      <c r="I28" s="168">
        <f t="shared" si="1"/>
        <v>116181</v>
      </c>
      <c r="J28" s="168"/>
      <c r="K28" s="179">
        <f t="shared" si="7"/>
        <v>134907</v>
      </c>
      <c r="L28" s="168"/>
      <c r="M28" s="400">
        <f>47095-B28</f>
        <v>39918</v>
      </c>
      <c r="N28" s="400">
        <f>20323-C28</f>
        <v>8774</v>
      </c>
      <c r="O28" s="168">
        <f t="shared" si="2"/>
        <v>48692</v>
      </c>
      <c r="P28" s="168"/>
      <c r="Q28" s="400">
        <f>2737+22755+13228+4368</f>
        <v>43088</v>
      </c>
      <c r="R28" s="400">
        <f>5502+5421+5460</f>
        <v>16383</v>
      </c>
      <c r="S28" s="400">
        <f>62726-H28</f>
        <v>37676</v>
      </c>
      <c r="T28" s="168">
        <f t="shared" si="3"/>
        <v>97147</v>
      </c>
      <c r="V28" s="130">
        <f t="shared" si="4"/>
        <v>280746</v>
      </c>
      <c r="X28" s="130">
        <f t="shared" si="8"/>
        <v>134907</v>
      </c>
      <c r="Y28" s="130">
        <f t="shared" si="5"/>
        <v>145839</v>
      </c>
      <c r="Z28" s="130">
        <f t="shared" si="6"/>
        <v>280746</v>
      </c>
      <c r="AF28" s="62"/>
    </row>
    <row r="29" spans="1:32" s="89" customFormat="1" ht="15">
      <c r="A29" s="11" t="s">
        <v>62</v>
      </c>
      <c r="B29" s="170">
        <v>7189</v>
      </c>
      <c r="C29" s="170">
        <v>11540</v>
      </c>
      <c r="D29" s="169">
        <f t="shared" si="0"/>
        <v>18729</v>
      </c>
      <c r="E29" s="170"/>
      <c r="F29" s="170">
        <f>18694+3073</f>
        <v>21767</v>
      </c>
      <c r="G29" s="170">
        <f>1923+183+2318+4589+60370</f>
        <v>69383</v>
      </c>
      <c r="H29" s="170">
        <v>25051</v>
      </c>
      <c r="I29" s="169">
        <f t="shared" si="1"/>
        <v>116201</v>
      </c>
      <c r="J29" s="169"/>
      <c r="K29" s="186">
        <f t="shared" si="7"/>
        <v>134930</v>
      </c>
      <c r="L29" s="170"/>
      <c r="M29" s="170">
        <f>47067-B29</f>
        <v>39878</v>
      </c>
      <c r="N29" s="170">
        <f>20308-C29</f>
        <v>8768</v>
      </c>
      <c r="O29" s="169">
        <f t="shared" si="2"/>
        <v>48646</v>
      </c>
      <c r="P29" s="170"/>
      <c r="Q29" s="170">
        <f>2747+22751+13260+4370</f>
        <v>43128</v>
      </c>
      <c r="R29" s="170">
        <f>5496+5421+5464</f>
        <v>16381</v>
      </c>
      <c r="S29" s="170">
        <f>62762-H29</f>
        <v>37711</v>
      </c>
      <c r="T29" s="169">
        <f t="shared" si="3"/>
        <v>97220</v>
      </c>
      <c r="U29" s="171"/>
      <c r="V29" s="172">
        <f t="shared" si="4"/>
        <v>280796</v>
      </c>
      <c r="X29" s="172">
        <f>+I29+D29</f>
        <v>134930</v>
      </c>
      <c r="Y29" s="172">
        <f>+T29+O29</f>
        <v>145866</v>
      </c>
      <c r="Z29" s="172">
        <f>+Y29+X29</f>
        <v>280796</v>
      </c>
      <c r="AF29" s="63"/>
    </row>
    <row r="30" spans="1:32" s="11" customFormat="1" ht="15">
      <c r="A30" s="64"/>
      <c r="B30" s="65">
        <f>SUM(B6:B29)</f>
        <v>172172</v>
      </c>
      <c r="C30" s="65">
        <f t="shared" ref="C30:V30" si="9">SUM(C6:C29)</f>
        <v>275660</v>
      </c>
      <c r="D30" s="65">
        <f t="shared" si="9"/>
        <v>447832</v>
      </c>
      <c r="E30" s="65"/>
      <c r="F30" s="65">
        <f t="shared" si="9"/>
        <v>519165</v>
      </c>
      <c r="G30" s="65">
        <f t="shared" si="9"/>
        <v>1646221</v>
      </c>
      <c r="H30" s="65">
        <f t="shared" si="9"/>
        <v>608047</v>
      </c>
      <c r="I30" s="65">
        <f t="shared" si="9"/>
        <v>2773433</v>
      </c>
      <c r="J30" s="65"/>
      <c r="K30" s="65">
        <f t="shared" si="9"/>
        <v>3221265</v>
      </c>
      <c r="L30" s="65"/>
      <c r="M30" s="65">
        <f t="shared" si="9"/>
        <v>956891</v>
      </c>
      <c r="N30" s="65">
        <f t="shared" si="9"/>
        <v>208619</v>
      </c>
      <c r="O30" s="65">
        <f t="shared" si="9"/>
        <v>1165510</v>
      </c>
      <c r="P30" s="65"/>
      <c r="Q30" s="65">
        <f t="shared" si="9"/>
        <v>1030552</v>
      </c>
      <c r="R30" s="65">
        <f t="shared" si="9"/>
        <v>391885</v>
      </c>
      <c r="S30" s="65">
        <f t="shared" si="9"/>
        <v>877377</v>
      </c>
      <c r="T30" s="65">
        <f t="shared" si="9"/>
        <v>2299814</v>
      </c>
      <c r="U30" s="65"/>
      <c r="V30" s="65">
        <f t="shared" si="9"/>
        <v>6686589</v>
      </c>
      <c r="X30" s="146">
        <f>SUM(X6:X29)</f>
        <v>3221265</v>
      </c>
      <c r="Y30" s="146">
        <f>SUM(Y6:Y29)</f>
        <v>3465324</v>
      </c>
      <c r="Z30" s="146">
        <f>SUM(Z6:Z29)</f>
        <v>6686589</v>
      </c>
      <c r="AF30" s="57"/>
    </row>
    <row r="31" spans="1:32" s="11" customFormat="1">
      <c r="AF31" s="57"/>
    </row>
    <row r="32" spans="1:32" s="11" customFormat="1" ht="15">
      <c r="A32" s="1" t="s">
        <v>43</v>
      </c>
      <c r="B32" s="146">
        <f>AVERAGE(B6:B29)</f>
        <v>7173.833333333333</v>
      </c>
      <c r="C32" s="146">
        <f t="shared" ref="C32:S32" si="10">AVERAGE(C6:C29)</f>
        <v>11485.833333333334</v>
      </c>
      <c r="D32" s="146">
        <f>+C32+B32</f>
        <v>18659.666666666668</v>
      </c>
      <c r="E32" s="146"/>
      <c r="F32" s="146">
        <f t="shared" si="10"/>
        <v>21631.875</v>
      </c>
      <c r="G32" s="146">
        <f t="shared" si="10"/>
        <v>68592.541666666672</v>
      </c>
      <c r="H32" s="146">
        <f t="shared" si="10"/>
        <v>25335.291666666668</v>
      </c>
      <c r="I32" s="146">
        <f>+H32+G32+F32</f>
        <v>115559.70833333334</v>
      </c>
      <c r="J32" s="146"/>
      <c r="K32" s="146">
        <f t="shared" si="10"/>
        <v>134219.375</v>
      </c>
      <c r="L32" s="146"/>
      <c r="M32" s="146">
        <f t="shared" si="10"/>
        <v>39870.458333333336</v>
      </c>
      <c r="N32" s="146">
        <f t="shared" si="10"/>
        <v>8692.4583333333339</v>
      </c>
      <c r="O32" s="146">
        <f>+N32+M32</f>
        <v>48562.916666666672</v>
      </c>
      <c r="P32" s="146"/>
      <c r="Q32" s="146">
        <f t="shared" si="10"/>
        <v>42939.666666666664</v>
      </c>
      <c r="R32" s="146">
        <f t="shared" si="10"/>
        <v>16328.541666666666</v>
      </c>
      <c r="S32" s="146">
        <f t="shared" si="10"/>
        <v>36557.375</v>
      </c>
      <c r="T32" s="146">
        <f>+S32+R32+Q32</f>
        <v>95825.583333333328</v>
      </c>
      <c r="U32" s="146"/>
      <c r="V32" s="76">
        <f>+T32+O32+I32+D32</f>
        <v>278607.875</v>
      </c>
      <c r="X32" s="76">
        <f>+I32+D32</f>
        <v>134219.375</v>
      </c>
      <c r="Y32" s="76">
        <f>+T32+O32</f>
        <v>144388.5</v>
      </c>
      <c r="Z32" s="76">
        <f>+Y32+X32</f>
        <v>278607.875</v>
      </c>
      <c r="AF32" s="57"/>
    </row>
    <row r="33" spans="1:32" s="11" customFormat="1">
      <c r="B33" s="133">
        <f>+B32/$I$36</f>
        <v>0.38445667125171934</v>
      </c>
      <c r="C33" s="133">
        <f>+C32/$I$36</f>
        <v>0.61554332874828055</v>
      </c>
      <c r="D33" s="133">
        <f>+D32/$I$36</f>
        <v>1</v>
      </c>
      <c r="E33" s="133"/>
      <c r="F33" s="133"/>
      <c r="AF33" s="57"/>
    </row>
    <row r="34" spans="1:32" s="11" customFormat="1">
      <c r="B34" s="133"/>
      <c r="F34" s="173"/>
      <c r="G34" s="130">
        <f>SUM(G6:H17)</f>
        <v>1127483</v>
      </c>
      <c r="AF34" s="57"/>
    </row>
    <row r="35" spans="1:32" s="11" customFormat="1">
      <c r="A35" s="90" t="s">
        <v>78</v>
      </c>
      <c r="G35" s="87">
        <f>G34/12</f>
        <v>93956.916666666672</v>
      </c>
      <c r="AF35" s="57"/>
    </row>
    <row r="36" spans="1:32" s="11" customFormat="1">
      <c r="A36" s="80" t="s">
        <v>251</v>
      </c>
      <c r="G36" s="130"/>
      <c r="H36" s="130"/>
      <c r="I36" s="174">
        <f>+D32</f>
        <v>18659.666666666668</v>
      </c>
      <c r="J36" s="174"/>
      <c r="K36" s="387">
        <f>+I36/$I$39</f>
        <v>0.13902364443782181</v>
      </c>
      <c r="AF36" s="57"/>
    </row>
    <row r="37" spans="1:32" s="11" customFormat="1">
      <c r="A37" s="80" t="s">
        <v>252</v>
      </c>
      <c r="G37" s="130"/>
      <c r="H37" s="130"/>
      <c r="I37" s="174">
        <f>+F32</f>
        <v>21631.875</v>
      </c>
      <c r="J37" s="174"/>
      <c r="K37" s="387">
        <f t="shared" ref="K37:K39" si="11">+I37/$I$39</f>
        <v>0.16116805043981169</v>
      </c>
      <c r="AF37" s="57"/>
    </row>
    <row r="38" spans="1:32" s="11" customFormat="1" ht="15">
      <c r="A38" s="80" t="s">
        <v>79</v>
      </c>
      <c r="I38" s="175">
        <f>+G32+H32</f>
        <v>93927.833333333343</v>
      </c>
      <c r="J38" s="175"/>
      <c r="K38" s="388">
        <f t="shared" si="11"/>
        <v>0.69980830512236658</v>
      </c>
      <c r="AF38" s="57"/>
    </row>
    <row r="39" spans="1:32" s="11" customFormat="1" ht="15">
      <c r="A39" s="80"/>
      <c r="I39" s="146">
        <f>SUM(I36:I38)</f>
        <v>134219.375</v>
      </c>
      <c r="J39" s="146"/>
      <c r="K39" s="162">
        <f t="shared" si="11"/>
        <v>1</v>
      </c>
      <c r="AF39" s="57"/>
    </row>
    <row r="40" spans="1:32" s="11" customFormat="1">
      <c r="A40" s="90"/>
      <c r="AF40" s="57"/>
    </row>
    <row r="41" spans="1:32" s="11" customFormat="1">
      <c r="A41" s="80"/>
      <c r="I41" s="176"/>
      <c r="J41" s="176"/>
      <c r="K41" s="176"/>
      <c r="AF41" s="57"/>
    </row>
    <row r="42" spans="1:32" s="11" customFormat="1" ht="15">
      <c r="A42" s="90"/>
      <c r="I42" s="177"/>
      <c r="J42" s="177"/>
      <c r="K42" s="177"/>
      <c r="AF42" s="57"/>
    </row>
    <row r="43" spans="1:32" s="11" customFormat="1" ht="15">
      <c r="A43" s="80"/>
      <c r="I43" s="174"/>
      <c r="J43" s="146"/>
      <c r="K43" s="387"/>
      <c r="N43" s="167"/>
      <c r="AF43" s="57"/>
    </row>
    <row r="44" spans="1:32">
      <c r="A44" s="80"/>
      <c r="I44" s="389"/>
      <c r="K44" s="387"/>
      <c r="N44" s="94"/>
      <c r="Q44" s="93"/>
      <c r="R44" s="93"/>
      <c r="S44" s="93"/>
    </row>
    <row r="45" spans="1:32" ht="15">
      <c r="A45" s="80"/>
      <c r="I45" s="375"/>
      <c r="K45" s="388"/>
      <c r="N45" s="94"/>
      <c r="Q45" s="93"/>
      <c r="R45" s="93"/>
      <c r="S45" s="93"/>
    </row>
    <row r="46" spans="1:32" ht="15">
      <c r="I46" s="146"/>
      <c r="J46" s="146"/>
      <c r="K46" s="162"/>
      <c r="N46" s="94"/>
      <c r="Q46" s="93"/>
      <c r="R46" s="93"/>
      <c r="S46" s="93"/>
    </row>
    <row r="47" spans="1:32">
      <c r="N47" s="94"/>
      <c r="Q47" s="93"/>
      <c r="R47" s="93"/>
      <c r="S47" s="93"/>
    </row>
    <row r="48" spans="1:32">
      <c r="N48" s="95"/>
      <c r="Q48" s="93"/>
      <c r="R48" s="93"/>
      <c r="S48" s="93"/>
    </row>
  </sheetData>
  <mergeCells count="6">
    <mergeCell ref="B3:I3"/>
    <mergeCell ref="M3:T3"/>
    <mergeCell ref="B4:D4"/>
    <mergeCell ref="F4:I4"/>
    <mergeCell ref="M4:O4"/>
    <mergeCell ref="Q4:T4"/>
  </mergeCells>
  <pageMargins left="0.7" right="0.7" top="0.75" bottom="0.75" header="0.3" footer="0.3"/>
  <pageSetup orientation="portrait" r:id="rId1"/>
  <ignoredErrors>
    <ignoredError sqref="S20"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264"/>
  <sheetViews>
    <sheetView workbookViewId="0">
      <pane xSplit="2" ySplit="5" topLeftCell="C6" activePane="bottomRight" state="frozen"/>
      <selection pane="topRight" activeCell="C1" sqref="C1"/>
      <selection pane="bottomLeft" activeCell="A4" sqref="A4"/>
      <selection pane="bottomRight" activeCell="D133" sqref="D133"/>
    </sheetView>
  </sheetViews>
  <sheetFormatPr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532" t="s">
        <v>105</v>
      </c>
      <c r="C1" s="532"/>
      <c r="D1" s="532"/>
      <c r="E1" s="532"/>
      <c r="F1" s="532"/>
      <c r="G1" s="532"/>
      <c r="H1" s="532"/>
      <c r="I1" s="532"/>
      <c r="J1" s="532"/>
      <c r="K1" s="532"/>
      <c r="L1" s="532"/>
    </row>
    <row r="3" spans="2:14">
      <c r="B3" s="81"/>
      <c r="C3" s="533" t="s">
        <v>32</v>
      </c>
      <c r="D3" s="534"/>
      <c r="E3" s="534"/>
      <c r="F3" s="534"/>
      <c r="G3" s="534"/>
      <c r="H3" s="534"/>
      <c r="I3" s="534"/>
      <c r="J3" s="534"/>
      <c r="K3" s="534"/>
      <c r="L3" s="535"/>
      <c r="M3" s="82"/>
    </row>
    <row r="4" spans="2:14">
      <c r="B4" s="48"/>
      <c r="C4" s="49"/>
      <c r="D4" s="83"/>
      <c r="E4" s="83"/>
      <c r="F4" s="50"/>
      <c r="G4" s="83"/>
      <c r="H4" s="83"/>
      <c r="I4" s="83"/>
      <c r="J4" s="50" t="s">
        <v>33</v>
      </c>
      <c r="K4" s="50" t="s">
        <v>34</v>
      </c>
      <c r="L4" s="50" t="s">
        <v>35</v>
      </c>
      <c r="M4" s="82"/>
    </row>
    <row r="5" spans="2:14">
      <c r="B5" s="48" t="s">
        <v>36</v>
      </c>
      <c r="C5" s="51" t="s">
        <v>37</v>
      </c>
      <c r="D5" s="51" t="s">
        <v>38</v>
      </c>
      <c r="E5" s="51" t="s">
        <v>1</v>
      </c>
      <c r="F5" s="51" t="s">
        <v>39</v>
      </c>
      <c r="G5" s="51" t="s">
        <v>40</v>
      </c>
      <c r="H5" s="51" t="s">
        <v>2</v>
      </c>
      <c r="I5" s="51" t="s">
        <v>8</v>
      </c>
      <c r="J5" s="51" t="s">
        <v>41</v>
      </c>
      <c r="K5" s="51" t="s">
        <v>41</v>
      </c>
      <c r="L5" s="50" t="s">
        <v>42</v>
      </c>
      <c r="M5" s="82"/>
    </row>
    <row r="6" spans="2:14">
      <c r="B6" s="84"/>
      <c r="C6" s="52"/>
      <c r="D6" s="84"/>
      <c r="E6" s="84"/>
      <c r="F6" s="84"/>
      <c r="G6" s="84"/>
      <c r="H6" s="84"/>
      <c r="I6" s="84"/>
      <c r="J6" s="84"/>
      <c r="K6" s="84"/>
      <c r="L6" s="84"/>
      <c r="M6" s="82"/>
    </row>
    <row r="7" spans="2:14">
      <c r="B7" s="53">
        <v>44470</v>
      </c>
      <c r="C7" s="402">
        <v>0</v>
      </c>
      <c r="D7" s="402">
        <v>113.54</v>
      </c>
      <c r="E7" s="402">
        <v>201.7</v>
      </c>
      <c r="F7" s="402">
        <v>1658.86</v>
      </c>
      <c r="G7" s="402">
        <v>210.39</v>
      </c>
      <c r="H7" s="402">
        <v>-63.5</v>
      </c>
      <c r="I7" s="402">
        <v>247.32</v>
      </c>
      <c r="J7" s="402">
        <v>2020</v>
      </c>
      <c r="K7" s="402">
        <v>1010</v>
      </c>
      <c r="L7" s="402">
        <v>-187.5</v>
      </c>
      <c r="M7" s="82"/>
    </row>
    <row r="8" spans="2:14">
      <c r="B8" s="53">
        <v>44501</v>
      </c>
      <c r="C8" s="402">
        <v>0</v>
      </c>
      <c r="D8" s="402">
        <v>97.71</v>
      </c>
      <c r="E8" s="402">
        <v>181.58</v>
      </c>
      <c r="F8" s="402">
        <v>1468.37</v>
      </c>
      <c r="G8" s="402">
        <v>239.37</v>
      </c>
      <c r="H8" s="402">
        <v>-63.5</v>
      </c>
      <c r="I8" s="402">
        <v>250</v>
      </c>
      <c r="J8" s="402">
        <v>1680</v>
      </c>
      <c r="K8" s="402">
        <v>706</v>
      </c>
      <c r="L8" s="402">
        <v>-187.5</v>
      </c>
      <c r="M8" s="82"/>
      <c r="N8" s="78"/>
    </row>
    <row r="9" spans="2:14">
      <c r="B9" s="53">
        <v>44531</v>
      </c>
      <c r="C9" s="402">
        <v>0</v>
      </c>
      <c r="D9" s="402">
        <v>65.930000000000007</v>
      </c>
      <c r="E9" s="402">
        <v>166.64</v>
      </c>
      <c r="F9" s="402">
        <v>1618.61</v>
      </c>
      <c r="G9" s="402">
        <v>231.04</v>
      </c>
      <c r="H9" s="402">
        <v>-63.5</v>
      </c>
      <c r="I9" s="402">
        <v>259.08999999999997</v>
      </c>
      <c r="J9" s="402">
        <v>1100</v>
      </c>
      <c r="K9" s="402">
        <v>460</v>
      </c>
      <c r="L9" s="402">
        <v>-187.5</v>
      </c>
      <c r="M9" s="82"/>
    </row>
    <row r="10" spans="2:14">
      <c r="B10" s="53">
        <v>44562</v>
      </c>
      <c r="C10" s="402">
        <v>0</v>
      </c>
      <c r="D10" s="402">
        <v>61.69</v>
      </c>
      <c r="E10" s="402">
        <v>149.91</v>
      </c>
      <c r="F10" s="402">
        <v>1925.91</v>
      </c>
      <c r="G10" s="402">
        <v>204.83</v>
      </c>
      <c r="H10" s="402">
        <v>-63.5</v>
      </c>
      <c r="I10" s="402">
        <v>240</v>
      </c>
      <c r="J10" s="402">
        <v>900</v>
      </c>
      <c r="K10" s="402">
        <v>320</v>
      </c>
      <c r="L10" s="402">
        <v>-187.5</v>
      </c>
      <c r="M10" s="82"/>
    </row>
    <row r="11" spans="2:14">
      <c r="B11" s="53">
        <v>44593</v>
      </c>
      <c r="C11" s="402">
        <v>0</v>
      </c>
      <c r="D11" s="402">
        <v>51.13</v>
      </c>
      <c r="E11" s="402">
        <v>158.74</v>
      </c>
      <c r="F11" s="402">
        <v>2136.09</v>
      </c>
      <c r="G11" s="402">
        <v>202.94</v>
      </c>
      <c r="H11" s="402">
        <v>-63.5</v>
      </c>
      <c r="I11" s="402">
        <v>271.64</v>
      </c>
      <c r="J11" s="402">
        <v>900</v>
      </c>
      <c r="K11" s="403">
        <v>280</v>
      </c>
      <c r="L11" s="402">
        <v>-187.5</v>
      </c>
      <c r="M11" s="82"/>
    </row>
    <row r="12" spans="2:14">
      <c r="B12" s="53">
        <v>44621</v>
      </c>
      <c r="C12" s="402">
        <v>0</v>
      </c>
      <c r="D12" s="402">
        <v>51.12</v>
      </c>
      <c r="E12" s="402">
        <v>160.58000000000001</v>
      </c>
      <c r="F12" s="402">
        <v>2373.21</v>
      </c>
      <c r="G12" s="402">
        <v>239.66</v>
      </c>
      <c r="H12" s="402">
        <v>-63.5</v>
      </c>
      <c r="I12" s="402">
        <v>324.11</v>
      </c>
      <c r="J12" s="402">
        <v>820</v>
      </c>
      <c r="K12" s="403">
        <v>390</v>
      </c>
      <c r="L12" s="402">
        <v>-187.5</v>
      </c>
      <c r="M12" s="85"/>
    </row>
    <row r="13" spans="2:14">
      <c r="B13" s="53">
        <v>44652</v>
      </c>
      <c r="C13" s="402">
        <v>0</v>
      </c>
      <c r="D13" s="402">
        <v>49.12</v>
      </c>
      <c r="E13" s="402">
        <v>155.36000000000001</v>
      </c>
      <c r="F13" s="402">
        <v>2237.41</v>
      </c>
      <c r="G13" s="402">
        <v>273.82</v>
      </c>
      <c r="H13" s="402">
        <v>-63.5</v>
      </c>
      <c r="I13" s="402">
        <v>507.18</v>
      </c>
      <c r="J13" s="402">
        <v>860</v>
      </c>
      <c r="K13" s="402">
        <v>460</v>
      </c>
      <c r="L13" s="402">
        <v>-187.5</v>
      </c>
      <c r="M13" s="85"/>
    </row>
    <row r="14" spans="2:14">
      <c r="B14" s="53">
        <v>44682</v>
      </c>
      <c r="C14" s="402">
        <v>0</v>
      </c>
      <c r="D14" s="409">
        <v>35.01</v>
      </c>
      <c r="E14" s="409">
        <v>155.07</v>
      </c>
      <c r="F14" s="409">
        <v>1852.38</v>
      </c>
      <c r="G14" s="409">
        <v>251.94</v>
      </c>
      <c r="H14" s="402">
        <v>-63.5</v>
      </c>
      <c r="I14" s="402">
        <v>630.21</v>
      </c>
      <c r="J14" s="402">
        <v>1080</v>
      </c>
      <c r="K14" s="402">
        <v>480</v>
      </c>
      <c r="L14" s="402">
        <v>-187.5</v>
      </c>
      <c r="M14" s="85"/>
    </row>
    <row r="15" spans="2:14">
      <c r="B15" s="53">
        <v>44713</v>
      </c>
      <c r="C15" s="402">
        <v>0</v>
      </c>
      <c r="D15" s="402">
        <v>47.16</v>
      </c>
      <c r="E15" s="402">
        <v>147.5</v>
      </c>
      <c r="F15" s="402">
        <v>1660.34</v>
      </c>
      <c r="G15" s="402">
        <v>210.52</v>
      </c>
      <c r="H15" s="402">
        <v>-63.5</v>
      </c>
      <c r="I15" s="402">
        <v>586.92999999999995</v>
      </c>
      <c r="J15" s="402">
        <v>1145</v>
      </c>
      <c r="K15" s="402">
        <v>480</v>
      </c>
      <c r="L15" s="402">
        <v>-187.5</v>
      </c>
      <c r="M15" s="85"/>
    </row>
    <row r="16" spans="2:14">
      <c r="B16" s="53">
        <v>44743</v>
      </c>
      <c r="C16" s="404">
        <v>0</v>
      </c>
      <c r="D16" s="404">
        <v>50.07</v>
      </c>
      <c r="E16" s="404">
        <v>159.46</v>
      </c>
      <c r="F16" s="404">
        <v>1512.68</v>
      </c>
      <c r="G16" s="404">
        <v>168.11</v>
      </c>
      <c r="H16" s="402">
        <v>-63.5</v>
      </c>
      <c r="I16" s="404">
        <v>280</v>
      </c>
      <c r="J16" s="404">
        <v>860</v>
      </c>
      <c r="K16" s="404">
        <v>340</v>
      </c>
      <c r="L16" s="402">
        <v>-187.5</v>
      </c>
      <c r="M16" s="85"/>
    </row>
    <row r="17" spans="2:27">
      <c r="B17" s="53">
        <v>44774</v>
      </c>
      <c r="C17" s="404">
        <v>0</v>
      </c>
      <c r="D17" s="404">
        <v>31.27</v>
      </c>
      <c r="E17" s="404">
        <v>116.81</v>
      </c>
      <c r="F17" s="404">
        <v>1330.22</v>
      </c>
      <c r="G17" s="404">
        <v>154.78</v>
      </c>
      <c r="H17" s="402">
        <v>-63.5</v>
      </c>
      <c r="I17" s="402">
        <v>72.25</v>
      </c>
      <c r="J17" s="402">
        <v>780</v>
      </c>
      <c r="K17" s="402">
        <v>300</v>
      </c>
      <c r="L17" s="402">
        <v>-187.5</v>
      </c>
      <c r="M17" s="85"/>
    </row>
    <row r="18" spans="2:27">
      <c r="B18" s="53">
        <v>44805</v>
      </c>
      <c r="C18" s="404">
        <f>+C17</f>
        <v>0</v>
      </c>
      <c r="D18" s="404">
        <v>5.46</v>
      </c>
      <c r="E18" s="404">
        <v>82.65</v>
      </c>
      <c r="F18" s="404">
        <v>1220.1099999999999</v>
      </c>
      <c r="G18" s="404">
        <v>147.94999999999999</v>
      </c>
      <c r="H18" s="404">
        <f t="shared" ref="H18:L18" si="0">+H17</f>
        <v>-63.5</v>
      </c>
      <c r="I18" s="404">
        <v>80</v>
      </c>
      <c r="J18" s="404">
        <v>467.94</v>
      </c>
      <c r="K18" s="404">
        <v>110</v>
      </c>
      <c r="L18" s="404">
        <f t="shared" si="0"/>
        <v>-187.5</v>
      </c>
      <c r="M18" s="85"/>
    </row>
    <row r="19" spans="2:27">
      <c r="B19" s="53">
        <v>44835</v>
      </c>
      <c r="C19" s="404">
        <f t="shared" ref="C19:C29" si="1">+C18</f>
        <v>0</v>
      </c>
      <c r="D19" s="402">
        <v>-13.73</v>
      </c>
      <c r="E19" s="402">
        <v>52.44</v>
      </c>
      <c r="F19" s="402">
        <v>1157.93</v>
      </c>
      <c r="G19" s="402">
        <v>143.44</v>
      </c>
      <c r="H19" s="404">
        <f t="shared" ref="H19" si="2">+H18</f>
        <v>-63.5</v>
      </c>
      <c r="I19" s="402">
        <v>80</v>
      </c>
      <c r="J19" s="402">
        <v>780</v>
      </c>
      <c r="K19" s="402">
        <v>130</v>
      </c>
      <c r="L19" s="402">
        <v>-187.5</v>
      </c>
      <c r="M19" s="85"/>
    </row>
    <row r="20" spans="2:27">
      <c r="B20" s="53">
        <v>44866</v>
      </c>
      <c r="C20" s="404">
        <f t="shared" si="1"/>
        <v>0</v>
      </c>
      <c r="D20" s="402">
        <v>-2.96</v>
      </c>
      <c r="E20" s="402">
        <v>49.76</v>
      </c>
      <c r="F20" s="402">
        <v>1284.6199999999999</v>
      </c>
      <c r="G20" s="402">
        <v>147.69</v>
      </c>
      <c r="H20" s="404">
        <f t="shared" ref="H20" si="3">+H19</f>
        <v>-63.5</v>
      </c>
      <c r="I20" s="402">
        <v>81.27</v>
      </c>
      <c r="J20" s="402">
        <v>1090</v>
      </c>
      <c r="K20" s="402">
        <v>160</v>
      </c>
      <c r="L20" s="402">
        <v>-187.5</v>
      </c>
      <c r="M20" s="85"/>
    </row>
    <row r="21" spans="2:27">
      <c r="B21" s="53">
        <v>44896</v>
      </c>
      <c r="C21" s="404">
        <f t="shared" si="1"/>
        <v>0</v>
      </c>
      <c r="D21" s="402">
        <v>7.13</v>
      </c>
      <c r="E21" s="402">
        <v>66.06</v>
      </c>
      <c r="F21" s="402">
        <v>1341.18</v>
      </c>
      <c r="G21" s="402">
        <v>164.25</v>
      </c>
      <c r="H21" s="404">
        <f t="shared" ref="H21" si="4">+H20</f>
        <v>-63.5</v>
      </c>
      <c r="I21" s="402">
        <v>85.14</v>
      </c>
      <c r="J21" s="402">
        <v>1090</v>
      </c>
      <c r="K21" s="402">
        <v>80</v>
      </c>
      <c r="L21" s="402">
        <v>-187.5</v>
      </c>
      <c r="M21" s="85"/>
    </row>
    <row r="22" spans="2:27">
      <c r="B22" s="53">
        <v>44927</v>
      </c>
      <c r="C22" s="404">
        <f t="shared" si="1"/>
        <v>0</v>
      </c>
      <c r="D22" s="402">
        <v>22.2</v>
      </c>
      <c r="E22" s="402">
        <v>72.540000000000006</v>
      </c>
      <c r="F22" s="402">
        <v>1593.44</v>
      </c>
      <c r="G22" s="402">
        <v>194.83</v>
      </c>
      <c r="H22" s="404">
        <f t="shared" ref="H22" si="5">+H21</f>
        <v>-63.5</v>
      </c>
      <c r="I22" s="402">
        <v>117.54</v>
      </c>
      <c r="J22" s="402">
        <v>1120</v>
      </c>
      <c r="K22" s="402">
        <v>0</v>
      </c>
      <c r="L22" s="402">
        <v>-187.5</v>
      </c>
    </row>
    <row r="23" spans="2:27">
      <c r="B23" s="53">
        <v>44958</v>
      </c>
      <c r="C23" s="404">
        <f t="shared" si="1"/>
        <v>0</v>
      </c>
      <c r="D23" s="402">
        <v>29.15</v>
      </c>
      <c r="E23" s="402">
        <v>93.76</v>
      </c>
      <c r="F23" s="402">
        <v>1514.29</v>
      </c>
      <c r="G23" s="402">
        <v>216.74</v>
      </c>
      <c r="H23" s="404">
        <f t="shared" ref="H23" si="6">+H22</f>
        <v>-63.5</v>
      </c>
      <c r="I23" s="402">
        <v>117.77</v>
      </c>
      <c r="J23" s="402">
        <v>1200</v>
      </c>
      <c r="K23" s="402">
        <v>0</v>
      </c>
      <c r="L23" s="402">
        <v>-187.5</v>
      </c>
      <c r="M23" s="85"/>
    </row>
    <row r="24" spans="2:27">
      <c r="B24" s="53">
        <v>44986</v>
      </c>
      <c r="C24" s="404">
        <f t="shared" si="1"/>
        <v>0</v>
      </c>
      <c r="D24" s="402">
        <v>33.89</v>
      </c>
      <c r="E24" s="402">
        <v>97.41</v>
      </c>
      <c r="F24" s="402">
        <v>1436.01</v>
      </c>
      <c r="G24" s="402">
        <v>245.44</v>
      </c>
      <c r="H24" s="404">
        <f t="shared" ref="H24" si="7">+H23</f>
        <v>-63.5</v>
      </c>
      <c r="I24" s="402">
        <v>177.16</v>
      </c>
      <c r="J24" s="402">
        <v>1270</v>
      </c>
      <c r="K24" s="402">
        <v>0</v>
      </c>
      <c r="L24" s="402">
        <v>-187.5</v>
      </c>
      <c r="M24" s="85"/>
    </row>
    <row r="25" spans="2:27">
      <c r="B25" s="53">
        <v>45017</v>
      </c>
      <c r="C25" s="404">
        <f t="shared" si="1"/>
        <v>0</v>
      </c>
      <c r="D25" s="402">
        <v>31.79</v>
      </c>
      <c r="E25" s="402">
        <v>111.36</v>
      </c>
      <c r="F25" s="402">
        <v>1456.28</v>
      </c>
      <c r="G25" s="402">
        <v>240.11</v>
      </c>
      <c r="H25" s="404">
        <f t="shared" ref="H25" si="8">+H24</f>
        <v>-63.5</v>
      </c>
      <c r="I25" s="405">
        <v>200</v>
      </c>
      <c r="J25" s="402">
        <v>1245</v>
      </c>
      <c r="K25" s="402">
        <v>270</v>
      </c>
      <c r="L25" s="402">
        <v>-187.5</v>
      </c>
      <c r="M25" s="85"/>
    </row>
    <row r="26" spans="2:27">
      <c r="B26" s="53">
        <v>45047</v>
      </c>
      <c r="C26" s="404">
        <f t="shared" si="1"/>
        <v>0</v>
      </c>
      <c r="D26" s="405">
        <v>29.51</v>
      </c>
      <c r="E26" s="405">
        <v>107.18</v>
      </c>
      <c r="F26" s="405">
        <v>1489.45</v>
      </c>
      <c r="G26" s="405">
        <v>204.62</v>
      </c>
      <c r="H26" s="404">
        <f t="shared" ref="H26" si="9">+H25</f>
        <v>-63.5</v>
      </c>
      <c r="I26" s="405">
        <v>200</v>
      </c>
      <c r="J26" s="405">
        <v>1380</v>
      </c>
      <c r="K26" s="406">
        <v>0</v>
      </c>
      <c r="L26" s="402">
        <v>-187.5</v>
      </c>
      <c r="M26" s="85"/>
    </row>
    <row r="27" spans="2:27">
      <c r="B27" s="53">
        <v>45078</v>
      </c>
      <c r="C27" s="404">
        <f t="shared" si="1"/>
        <v>0</v>
      </c>
      <c r="D27" s="405">
        <v>40.299999999999997</v>
      </c>
      <c r="E27" s="405">
        <v>96.36</v>
      </c>
      <c r="F27" s="405">
        <v>1422.54</v>
      </c>
      <c r="G27" s="405">
        <v>182.84</v>
      </c>
      <c r="H27" s="404">
        <f t="shared" ref="H27" si="10">+H26</f>
        <v>-63.5</v>
      </c>
      <c r="I27" s="405">
        <v>136.56</v>
      </c>
      <c r="J27" s="405">
        <v>1112.08</v>
      </c>
      <c r="K27" s="406">
        <v>-102.27</v>
      </c>
      <c r="L27" s="405">
        <v>-187.5</v>
      </c>
      <c r="M27" s="85"/>
    </row>
    <row r="28" spans="2:27">
      <c r="B28" s="53">
        <v>45108</v>
      </c>
      <c r="C28" s="404">
        <f t="shared" si="1"/>
        <v>0</v>
      </c>
      <c r="D28" s="405">
        <v>36.71</v>
      </c>
      <c r="E28" s="405">
        <v>98.6</v>
      </c>
      <c r="F28" s="405">
        <v>1396.05</v>
      </c>
      <c r="G28" s="405">
        <v>181.18</v>
      </c>
      <c r="H28" s="404">
        <f t="shared" ref="H28" si="11">+H27</f>
        <v>-63.5</v>
      </c>
      <c r="I28" s="405">
        <v>37.75</v>
      </c>
      <c r="J28" s="405">
        <v>260</v>
      </c>
      <c r="K28" s="406">
        <v>-143.72999999999999</v>
      </c>
      <c r="L28" s="405">
        <v>-187.5</v>
      </c>
      <c r="M28" s="85"/>
    </row>
    <row r="29" spans="2:27">
      <c r="B29" s="53">
        <v>45139</v>
      </c>
      <c r="C29" s="404">
        <f t="shared" si="1"/>
        <v>0</v>
      </c>
      <c r="D29" s="405">
        <v>32.06</v>
      </c>
      <c r="E29" s="405">
        <v>116.03</v>
      </c>
      <c r="F29" s="405">
        <v>1285.69</v>
      </c>
      <c r="G29" s="405">
        <v>152.41999999999999</v>
      </c>
      <c r="H29" s="404">
        <f t="shared" ref="H29" si="12">+H28</f>
        <v>-63.5</v>
      </c>
      <c r="I29" s="405">
        <v>40</v>
      </c>
      <c r="J29" s="405">
        <v>400</v>
      </c>
      <c r="K29" s="405">
        <v>130</v>
      </c>
      <c r="L29" s="405">
        <v>-187.5</v>
      </c>
      <c r="M29" s="85"/>
    </row>
    <row r="30" spans="2:27" s="89" customFormat="1">
      <c r="B30" s="53">
        <v>45170</v>
      </c>
      <c r="C30" s="404">
        <f>+C29</f>
        <v>0</v>
      </c>
      <c r="D30" s="405">
        <v>40.65</v>
      </c>
      <c r="E30" s="405">
        <v>120.66</v>
      </c>
      <c r="F30" s="405">
        <v>1224.5</v>
      </c>
      <c r="G30" s="405">
        <v>184.64</v>
      </c>
      <c r="H30" s="404">
        <f t="shared" ref="H30" si="13">+H29</f>
        <v>-63.5</v>
      </c>
      <c r="I30" s="405">
        <v>68.48</v>
      </c>
      <c r="J30" s="405">
        <v>460</v>
      </c>
      <c r="K30" s="405">
        <v>112.07</v>
      </c>
      <c r="L30" s="405">
        <v>-166.15</v>
      </c>
      <c r="M30" s="88"/>
      <c r="AA30" s="11"/>
    </row>
    <row r="31" spans="2:27" s="80" customFormat="1" ht="15">
      <c r="B31" s="80" t="s">
        <v>43</v>
      </c>
      <c r="C31" s="79">
        <f>AVERAGE(C7:C30)</f>
        <v>0</v>
      </c>
      <c r="D31" s="79">
        <f t="shared" ref="D31:L31" si="14">AVERAGE(D7:D30)</f>
        <v>39.412916666666668</v>
      </c>
      <c r="E31" s="79">
        <f t="shared" si="14"/>
        <v>121.59000000000002</v>
      </c>
      <c r="F31" s="79">
        <f t="shared" si="14"/>
        <v>1566.5070833333336</v>
      </c>
      <c r="G31" s="79">
        <f t="shared" si="14"/>
        <v>199.73125000000005</v>
      </c>
      <c r="H31" s="79">
        <f t="shared" si="14"/>
        <v>-63.5</v>
      </c>
      <c r="I31" s="79">
        <f t="shared" si="14"/>
        <v>212.1</v>
      </c>
      <c r="J31" s="79">
        <f t="shared" si="14"/>
        <v>1000.8341666666669</v>
      </c>
      <c r="K31" s="79">
        <f t="shared" si="14"/>
        <v>248.83624999999998</v>
      </c>
      <c r="L31" s="79">
        <f t="shared" si="14"/>
        <v>-186.61041666666665</v>
      </c>
    </row>
    <row r="32" spans="2:27" ht="15">
      <c r="I32" s="79">
        <f>AVERAGE(I31:L31)</f>
        <v>318.79000000000008</v>
      </c>
      <c r="J32" s="80" t="s">
        <v>44</v>
      </c>
    </row>
    <row r="33" spans="2:23" ht="15">
      <c r="I33" s="79"/>
      <c r="J33" s="80"/>
      <c r="V33" s="79"/>
      <c r="W33" s="80"/>
    </row>
    <row r="34" spans="2:23" ht="15">
      <c r="I34" s="79"/>
      <c r="J34" s="80"/>
      <c r="V34" s="79"/>
      <c r="W34" s="80"/>
    </row>
    <row r="35" spans="2:23" ht="19.5">
      <c r="B35" s="532" t="s">
        <v>106</v>
      </c>
      <c r="C35" s="532"/>
      <c r="D35" s="532"/>
      <c r="E35" s="532"/>
      <c r="F35" s="532"/>
      <c r="G35" s="532"/>
      <c r="H35" s="532"/>
      <c r="I35" s="532"/>
      <c r="J35" s="532"/>
      <c r="K35" s="532"/>
      <c r="L35" s="532"/>
      <c r="V35" s="79"/>
      <c r="W35" s="80"/>
    </row>
    <row r="36" spans="2:23" ht="15">
      <c r="V36" s="79"/>
      <c r="W36" s="80"/>
    </row>
    <row r="37" spans="2:23" ht="15">
      <c r="B37" s="81"/>
      <c r="C37" s="533" t="s">
        <v>32</v>
      </c>
      <c r="D37" s="534"/>
      <c r="E37" s="534"/>
      <c r="F37" s="534"/>
      <c r="G37" s="534"/>
      <c r="H37" s="534"/>
      <c r="I37" s="534"/>
      <c r="J37" s="534"/>
      <c r="K37" s="534"/>
      <c r="L37" s="535"/>
      <c r="V37" s="79"/>
      <c r="W37" s="80"/>
    </row>
    <row r="38" spans="2:23" ht="15">
      <c r="B38" s="48"/>
      <c r="C38" s="49"/>
      <c r="D38" s="83"/>
      <c r="E38" s="83"/>
      <c r="F38" s="50"/>
      <c r="G38" s="83"/>
      <c r="H38" s="83"/>
      <c r="I38" s="83"/>
      <c r="J38" s="50" t="s">
        <v>33</v>
      </c>
      <c r="K38" s="50" t="s">
        <v>34</v>
      </c>
      <c r="L38" s="50" t="s">
        <v>35</v>
      </c>
      <c r="V38" s="79"/>
      <c r="W38" s="80"/>
    </row>
    <row r="39" spans="2:23" ht="15">
      <c r="B39" s="48" t="s">
        <v>36</v>
      </c>
      <c r="C39" s="51" t="s">
        <v>37</v>
      </c>
      <c r="D39" s="51" t="s">
        <v>38</v>
      </c>
      <c r="E39" s="51" t="s">
        <v>1</v>
      </c>
      <c r="F39" s="51" t="s">
        <v>39</v>
      </c>
      <c r="G39" s="51" t="s">
        <v>40</v>
      </c>
      <c r="H39" s="51" t="s">
        <v>2</v>
      </c>
      <c r="I39" s="51" t="s">
        <v>8</v>
      </c>
      <c r="J39" s="51" t="s">
        <v>41</v>
      </c>
      <c r="K39" s="51" t="s">
        <v>41</v>
      </c>
      <c r="L39" s="50" t="s">
        <v>42</v>
      </c>
      <c r="V39" s="79"/>
      <c r="W39" s="80"/>
    </row>
    <row r="40" spans="2:23" ht="15">
      <c r="B40" s="84"/>
      <c r="C40" s="52"/>
      <c r="D40" s="84"/>
      <c r="E40" s="84"/>
      <c r="F40" s="84"/>
      <c r="G40" s="84"/>
      <c r="H40" s="84"/>
      <c r="I40" s="84"/>
      <c r="J40" s="84"/>
      <c r="K40" s="84"/>
      <c r="L40" s="84"/>
      <c r="V40" s="79"/>
      <c r="W40" s="80"/>
    </row>
    <row r="41" spans="2:23" ht="15">
      <c r="B41" s="53">
        <v>44470</v>
      </c>
      <c r="C41" s="402">
        <v>0</v>
      </c>
      <c r="D41" s="402">
        <v>135.9</v>
      </c>
      <c r="E41" s="402">
        <v>178.83</v>
      </c>
      <c r="F41" s="402">
        <v>1887.9</v>
      </c>
      <c r="G41" s="402">
        <v>240.32</v>
      </c>
      <c r="H41" s="402">
        <v>-63.5</v>
      </c>
      <c r="I41" s="402">
        <v>290</v>
      </c>
      <c r="J41" s="402">
        <v>2047.22</v>
      </c>
      <c r="K41" s="402">
        <v>1010</v>
      </c>
      <c r="L41" s="402">
        <v>-187.5</v>
      </c>
      <c r="V41" s="79"/>
      <c r="W41" s="80"/>
    </row>
    <row r="42" spans="2:23" ht="15">
      <c r="B42" s="53">
        <v>44501</v>
      </c>
      <c r="C42" s="402">
        <v>0</v>
      </c>
      <c r="D42" s="402">
        <v>111.59</v>
      </c>
      <c r="E42" s="402">
        <v>168.5</v>
      </c>
      <c r="F42" s="402">
        <v>1452.83</v>
      </c>
      <c r="G42" s="402">
        <v>266.35000000000002</v>
      </c>
      <c r="H42" s="402">
        <v>-63.5</v>
      </c>
      <c r="I42" s="402">
        <v>295.89</v>
      </c>
      <c r="J42" s="402">
        <v>1764.75</v>
      </c>
      <c r="K42" s="402">
        <v>706</v>
      </c>
      <c r="L42" s="402">
        <v>-187.5</v>
      </c>
      <c r="V42" s="79"/>
      <c r="W42" s="80"/>
    </row>
    <row r="43" spans="2:23" ht="15">
      <c r="B43" s="53">
        <v>44531</v>
      </c>
      <c r="C43" s="402">
        <v>0</v>
      </c>
      <c r="D43" s="402">
        <v>88.51</v>
      </c>
      <c r="E43" s="402">
        <v>151.12</v>
      </c>
      <c r="F43" s="402">
        <v>1659.73</v>
      </c>
      <c r="G43" s="402">
        <v>257.77</v>
      </c>
      <c r="H43" s="402">
        <v>-63.5</v>
      </c>
      <c r="I43" s="402">
        <v>264.66000000000003</v>
      </c>
      <c r="J43" s="402">
        <v>1100</v>
      </c>
      <c r="K43" s="402">
        <v>460</v>
      </c>
      <c r="L43" s="402">
        <v>-187.5</v>
      </c>
      <c r="V43" s="79"/>
      <c r="W43" s="80"/>
    </row>
    <row r="44" spans="2:23" ht="15">
      <c r="B44" s="53">
        <v>44562</v>
      </c>
      <c r="C44" s="402">
        <v>0</v>
      </c>
      <c r="D44" s="402">
        <v>78.650000000000006</v>
      </c>
      <c r="E44" s="402">
        <v>133.91999999999999</v>
      </c>
      <c r="F44" s="402">
        <v>1911.58</v>
      </c>
      <c r="G44" s="402">
        <v>235.99</v>
      </c>
      <c r="H44" s="402">
        <v>-63.5</v>
      </c>
      <c r="I44" s="402">
        <v>240</v>
      </c>
      <c r="J44" s="402">
        <v>900</v>
      </c>
      <c r="K44" s="402">
        <v>320</v>
      </c>
      <c r="L44" s="402">
        <v>-187.5</v>
      </c>
      <c r="V44" s="79"/>
      <c r="W44" s="80"/>
    </row>
    <row r="45" spans="2:23" ht="15">
      <c r="B45" s="53">
        <v>44593</v>
      </c>
      <c r="C45" s="402">
        <v>0</v>
      </c>
      <c r="D45" s="402">
        <v>67.56</v>
      </c>
      <c r="E45" s="402">
        <v>145.6</v>
      </c>
      <c r="F45" s="402">
        <v>2130.17</v>
      </c>
      <c r="G45" s="402">
        <v>230.47</v>
      </c>
      <c r="H45" s="402">
        <v>-63.5</v>
      </c>
      <c r="I45" s="402">
        <v>292.88</v>
      </c>
      <c r="J45" s="402">
        <v>855.13</v>
      </c>
      <c r="K45" s="402">
        <v>280</v>
      </c>
      <c r="L45" s="402">
        <v>-187.5</v>
      </c>
      <c r="V45" s="79"/>
      <c r="W45" s="80"/>
    </row>
    <row r="46" spans="2:23" ht="15">
      <c r="B46" s="53">
        <v>44621</v>
      </c>
      <c r="C46" s="402">
        <v>0</v>
      </c>
      <c r="D46" s="402">
        <v>63.82</v>
      </c>
      <c r="E46" s="402">
        <v>162.55000000000001</v>
      </c>
      <c r="F46" s="402">
        <v>2375.17</v>
      </c>
      <c r="G46" s="402">
        <v>290.5</v>
      </c>
      <c r="H46" s="402">
        <v>-63.5</v>
      </c>
      <c r="I46" s="402">
        <v>310.58999999999997</v>
      </c>
      <c r="J46" s="402">
        <v>820</v>
      </c>
      <c r="K46" s="402">
        <v>390</v>
      </c>
      <c r="L46" s="402">
        <v>-187.5</v>
      </c>
      <c r="V46" s="79"/>
      <c r="W46" s="80"/>
    </row>
    <row r="47" spans="2:23" ht="15">
      <c r="B47" s="53">
        <v>44652</v>
      </c>
      <c r="C47" s="402">
        <v>0</v>
      </c>
      <c r="D47" s="402">
        <v>69.14</v>
      </c>
      <c r="E47" s="402">
        <v>151.55000000000001</v>
      </c>
      <c r="F47" s="402">
        <v>2188.0100000000002</v>
      </c>
      <c r="G47" s="402">
        <v>320.61</v>
      </c>
      <c r="H47" s="402">
        <v>-63.5</v>
      </c>
      <c r="I47" s="402">
        <v>450.86</v>
      </c>
      <c r="J47" s="402">
        <v>860</v>
      </c>
      <c r="K47" s="402">
        <v>460</v>
      </c>
      <c r="L47" s="402">
        <v>-187.5</v>
      </c>
      <c r="V47" s="79"/>
      <c r="W47" s="80"/>
    </row>
    <row r="48" spans="2:23" ht="15">
      <c r="B48" s="53">
        <v>44682</v>
      </c>
      <c r="C48" s="402">
        <v>0</v>
      </c>
      <c r="D48" s="402">
        <v>64.47</v>
      </c>
      <c r="E48" s="402">
        <v>159.02000000000001</v>
      </c>
      <c r="F48" s="402">
        <v>1866.56</v>
      </c>
      <c r="G48" s="402">
        <v>271.06</v>
      </c>
      <c r="H48" s="402">
        <v>-63.5</v>
      </c>
      <c r="I48" s="402">
        <v>627.91</v>
      </c>
      <c r="J48" s="402">
        <v>1080</v>
      </c>
      <c r="K48" s="402">
        <v>480</v>
      </c>
      <c r="L48" s="402">
        <v>-187.5</v>
      </c>
      <c r="V48" s="79"/>
      <c r="W48" s="80"/>
    </row>
    <row r="49" spans="2:23" ht="15">
      <c r="B49" s="53">
        <v>44713</v>
      </c>
      <c r="C49" s="402">
        <v>0</v>
      </c>
      <c r="D49" s="402">
        <v>59.91</v>
      </c>
      <c r="E49" s="402">
        <v>153.07</v>
      </c>
      <c r="F49" s="402">
        <v>1795.67</v>
      </c>
      <c r="G49" s="402">
        <v>224.4</v>
      </c>
      <c r="H49" s="402">
        <v>-63.5</v>
      </c>
      <c r="I49" s="402">
        <v>561.79999999999995</v>
      </c>
      <c r="J49" s="402">
        <v>1145</v>
      </c>
      <c r="K49" s="402">
        <v>480</v>
      </c>
      <c r="L49" s="402">
        <v>-187.5</v>
      </c>
      <c r="V49" s="79"/>
      <c r="W49" s="80"/>
    </row>
    <row r="50" spans="2:23" ht="15">
      <c r="B50" s="53">
        <v>44743</v>
      </c>
      <c r="C50" s="402">
        <v>0</v>
      </c>
      <c r="D50" s="402">
        <v>62.47</v>
      </c>
      <c r="E50" s="402">
        <v>159.84</v>
      </c>
      <c r="F50" s="402">
        <v>1517.11</v>
      </c>
      <c r="G50" s="402">
        <v>182.36</v>
      </c>
      <c r="H50" s="402">
        <v>-63.5</v>
      </c>
      <c r="I50" s="402">
        <v>210.6</v>
      </c>
      <c r="J50" s="402">
        <v>846.53</v>
      </c>
      <c r="K50" s="402">
        <v>340</v>
      </c>
      <c r="L50" s="402">
        <v>-187.5</v>
      </c>
      <c r="V50" s="79"/>
      <c r="W50" s="80"/>
    </row>
    <row r="51" spans="2:23" ht="15">
      <c r="B51" s="53">
        <v>44774</v>
      </c>
      <c r="C51" s="402">
        <v>0</v>
      </c>
      <c r="D51" s="402">
        <v>39.68</v>
      </c>
      <c r="E51" s="402">
        <v>145.16</v>
      </c>
      <c r="F51" s="402">
        <v>1463.95</v>
      </c>
      <c r="G51" s="402">
        <v>171.36</v>
      </c>
      <c r="H51" s="402">
        <v>-63.5</v>
      </c>
      <c r="I51" s="402">
        <v>76.099999999999994</v>
      </c>
      <c r="J51" s="402">
        <v>594.02</v>
      </c>
      <c r="K51" s="402">
        <v>200</v>
      </c>
      <c r="L51" s="402">
        <v>-187.5</v>
      </c>
      <c r="V51" s="79"/>
      <c r="W51" s="80"/>
    </row>
    <row r="52" spans="2:23" ht="15">
      <c r="B52" s="53">
        <v>44805</v>
      </c>
      <c r="C52" s="402">
        <f>+C51</f>
        <v>0</v>
      </c>
      <c r="D52" s="402">
        <v>7.29</v>
      </c>
      <c r="E52" s="402">
        <v>92.43</v>
      </c>
      <c r="F52" s="402">
        <v>1328.12</v>
      </c>
      <c r="G52" s="402">
        <v>173.73</v>
      </c>
      <c r="H52" s="402">
        <f t="shared" ref="H52:L52" si="15">+H51</f>
        <v>-63.5</v>
      </c>
      <c r="I52" s="402">
        <v>80</v>
      </c>
      <c r="J52" s="402">
        <v>680</v>
      </c>
      <c r="K52" s="402">
        <v>110</v>
      </c>
      <c r="L52" s="402">
        <f t="shared" si="15"/>
        <v>-187.5</v>
      </c>
      <c r="V52" s="79"/>
      <c r="W52" s="80"/>
    </row>
    <row r="53" spans="2:23" ht="15">
      <c r="B53" s="53">
        <v>44835</v>
      </c>
      <c r="C53" s="402">
        <f t="shared" ref="C53:C64" si="16">+C52</f>
        <v>0</v>
      </c>
      <c r="D53" s="402">
        <v>-6.75</v>
      </c>
      <c r="E53" s="402">
        <v>56.95</v>
      </c>
      <c r="F53" s="402">
        <v>1267.69</v>
      </c>
      <c r="G53" s="402">
        <v>160.69999999999999</v>
      </c>
      <c r="H53" s="402">
        <f t="shared" ref="H53" si="17">+H52</f>
        <v>-63.5</v>
      </c>
      <c r="I53" s="402">
        <v>80</v>
      </c>
      <c r="J53" s="402">
        <v>780</v>
      </c>
      <c r="K53" s="402">
        <v>130</v>
      </c>
      <c r="L53" s="402">
        <v>-187.5</v>
      </c>
      <c r="V53" s="79"/>
      <c r="W53" s="80"/>
    </row>
    <row r="54" spans="2:23" ht="15">
      <c r="B54" s="53">
        <v>44866</v>
      </c>
      <c r="C54" s="402">
        <f t="shared" si="16"/>
        <v>0</v>
      </c>
      <c r="D54" s="402">
        <v>-1.48</v>
      </c>
      <c r="E54" s="402">
        <v>49.61</v>
      </c>
      <c r="F54" s="402">
        <v>1316.23</v>
      </c>
      <c r="G54" s="402">
        <v>150.69</v>
      </c>
      <c r="H54" s="402">
        <f t="shared" ref="H54" si="18">+H53</f>
        <v>-63.5</v>
      </c>
      <c r="I54" s="402">
        <v>81.69</v>
      </c>
      <c r="J54" s="402">
        <v>1090</v>
      </c>
      <c r="K54" s="402">
        <v>160</v>
      </c>
      <c r="L54" s="402">
        <v>-187.5</v>
      </c>
      <c r="V54" s="79"/>
      <c r="W54" s="80"/>
    </row>
    <row r="55" spans="2:23" ht="15">
      <c r="B55" s="53">
        <v>44896</v>
      </c>
      <c r="C55" s="402">
        <f t="shared" si="16"/>
        <v>0</v>
      </c>
      <c r="D55" s="402">
        <v>7.13</v>
      </c>
      <c r="E55" s="402">
        <v>66.06</v>
      </c>
      <c r="F55" s="402">
        <v>1341.18</v>
      </c>
      <c r="G55" s="402">
        <v>164.25</v>
      </c>
      <c r="H55" s="402">
        <f t="shared" ref="H55" si="19">+H54</f>
        <v>-63.5</v>
      </c>
      <c r="I55" s="402">
        <v>85.14</v>
      </c>
      <c r="J55" s="402">
        <v>1090</v>
      </c>
      <c r="K55" s="402">
        <v>80</v>
      </c>
      <c r="L55" s="402">
        <v>-187.5</v>
      </c>
      <c r="V55" s="79"/>
      <c r="W55" s="80"/>
    </row>
    <row r="56" spans="2:23" ht="15">
      <c r="B56" s="53">
        <v>44927</v>
      </c>
      <c r="C56" s="402">
        <f t="shared" si="16"/>
        <v>0</v>
      </c>
      <c r="D56" s="402">
        <v>22.2</v>
      </c>
      <c r="E56" s="402">
        <v>72.540000000000006</v>
      </c>
      <c r="F56" s="402">
        <v>1593.44</v>
      </c>
      <c r="G56" s="402">
        <v>194.83</v>
      </c>
      <c r="H56" s="402">
        <f t="shared" ref="H56" si="20">+H55</f>
        <v>-63.5</v>
      </c>
      <c r="I56" s="402">
        <v>117.54</v>
      </c>
      <c r="J56" s="402">
        <v>1120</v>
      </c>
      <c r="K56" s="402">
        <v>0</v>
      </c>
      <c r="L56" s="402">
        <v>-187.5</v>
      </c>
      <c r="V56" s="79"/>
      <c r="W56" s="80"/>
    </row>
    <row r="57" spans="2:23" ht="15">
      <c r="B57" s="53">
        <v>44958</v>
      </c>
      <c r="C57" s="402">
        <f t="shared" si="16"/>
        <v>0</v>
      </c>
      <c r="D57" s="402">
        <v>29.15</v>
      </c>
      <c r="E57" s="402">
        <v>93.76</v>
      </c>
      <c r="F57" s="402">
        <v>1514.29</v>
      </c>
      <c r="G57" s="402">
        <v>216.74</v>
      </c>
      <c r="H57" s="402">
        <f t="shared" ref="H57" si="21">+H56</f>
        <v>-63.5</v>
      </c>
      <c r="I57" s="402">
        <v>117.77</v>
      </c>
      <c r="J57" s="402">
        <v>1200</v>
      </c>
      <c r="K57" s="402">
        <v>0</v>
      </c>
      <c r="L57" s="402">
        <v>-187.5</v>
      </c>
      <c r="V57" s="79"/>
      <c r="W57" s="80"/>
    </row>
    <row r="58" spans="2:23" ht="15">
      <c r="B58" s="53">
        <v>44986</v>
      </c>
      <c r="C58" s="402">
        <f t="shared" si="16"/>
        <v>0</v>
      </c>
      <c r="D58" s="402">
        <v>33.89</v>
      </c>
      <c r="E58" s="402">
        <v>97.41</v>
      </c>
      <c r="F58" s="402">
        <v>1436.01</v>
      </c>
      <c r="G58" s="402">
        <v>245.44</v>
      </c>
      <c r="H58" s="402">
        <f t="shared" ref="H58" si="22">+H57</f>
        <v>-63.5</v>
      </c>
      <c r="I58" s="402">
        <v>177.16</v>
      </c>
      <c r="J58" s="402">
        <v>1270</v>
      </c>
      <c r="K58" s="402">
        <v>0</v>
      </c>
      <c r="L58" s="402">
        <v>-187.5</v>
      </c>
      <c r="V58" s="79"/>
      <c r="W58" s="80"/>
    </row>
    <row r="59" spans="2:23" ht="15">
      <c r="B59" s="53">
        <v>45017</v>
      </c>
      <c r="C59" s="402">
        <f t="shared" si="16"/>
        <v>0</v>
      </c>
      <c r="D59" s="402">
        <v>31.79</v>
      </c>
      <c r="E59" s="402">
        <v>111.36</v>
      </c>
      <c r="F59" s="402">
        <v>1456.28</v>
      </c>
      <c r="G59" s="402">
        <v>240.11</v>
      </c>
      <c r="H59" s="402">
        <f t="shared" ref="H59" si="23">+H58</f>
        <v>-63.5</v>
      </c>
      <c r="I59" s="402">
        <v>200</v>
      </c>
      <c r="J59" s="402">
        <v>1245</v>
      </c>
      <c r="K59" s="402">
        <v>270</v>
      </c>
      <c r="L59" s="402">
        <v>-187.5</v>
      </c>
      <c r="V59" s="79"/>
      <c r="W59" s="80"/>
    </row>
    <row r="60" spans="2:23" ht="15">
      <c r="B60" s="53">
        <v>45047</v>
      </c>
      <c r="C60" s="402">
        <f t="shared" si="16"/>
        <v>0</v>
      </c>
      <c r="D60" s="402">
        <v>29.51</v>
      </c>
      <c r="E60" s="402">
        <v>107.18</v>
      </c>
      <c r="F60" s="402">
        <v>1489.45</v>
      </c>
      <c r="G60" s="402">
        <v>204.62</v>
      </c>
      <c r="H60" s="402">
        <f t="shared" ref="H60" si="24">+H59</f>
        <v>-63.5</v>
      </c>
      <c r="I60" s="402">
        <v>200</v>
      </c>
      <c r="J60" s="402">
        <v>1380</v>
      </c>
      <c r="K60" s="402">
        <v>0</v>
      </c>
      <c r="L60" s="402">
        <v>-187.5</v>
      </c>
      <c r="V60" s="79"/>
      <c r="W60" s="80"/>
    </row>
    <row r="61" spans="2:23" ht="15">
      <c r="B61" s="53">
        <v>45078</v>
      </c>
      <c r="C61" s="402">
        <f t="shared" si="16"/>
        <v>0</v>
      </c>
      <c r="D61" s="402">
        <v>40.299999999999997</v>
      </c>
      <c r="E61" s="402">
        <v>96.36</v>
      </c>
      <c r="F61" s="402">
        <v>1422.54</v>
      </c>
      <c r="G61" s="402">
        <v>182.84</v>
      </c>
      <c r="H61" s="402">
        <f t="shared" ref="H61" si="25">+H60</f>
        <v>-63.5</v>
      </c>
      <c r="I61" s="402">
        <v>136.56</v>
      </c>
      <c r="J61" s="402">
        <v>1112.08</v>
      </c>
      <c r="K61" s="402">
        <v>-102.27</v>
      </c>
      <c r="L61" s="402">
        <v>-187.5</v>
      </c>
      <c r="V61" s="79"/>
      <c r="W61" s="80"/>
    </row>
    <row r="62" spans="2:23" ht="15">
      <c r="B62" s="53">
        <v>45108</v>
      </c>
      <c r="C62" s="402">
        <f t="shared" si="16"/>
        <v>0</v>
      </c>
      <c r="D62" s="405">
        <v>36.71</v>
      </c>
      <c r="E62" s="405">
        <v>98.6</v>
      </c>
      <c r="F62" s="405">
        <v>1396.05</v>
      </c>
      <c r="G62" s="405">
        <v>181.18</v>
      </c>
      <c r="H62" s="402">
        <f t="shared" ref="H62" si="26">+H61</f>
        <v>-63.5</v>
      </c>
      <c r="I62" s="405">
        <v>37.75</v>
      </c>
      <c r="J62" s="402">
        <v>260</v>
      </c>
      <c r="K62" s="402">
        <v>-143.72999999999999</v>
      </c>
      <c r="L62" s="402">
        <v>-187.5</v>
      </c>
      <c r="V62" s="79"/>
      <c r="W62" s="80"/>
    </row>
    <row r="63" spans="2:23" ht="15">
      <c r="B63" s="53">
        <v>45139</v>
      </c>
      <c r="C63" s="402">
        <f t="shared" si="16"/>
        <v>0</v>
      </c>
      <c r="D63" s="405">
        <v>42.07</v>
      </c>
      <c r="E63" s="405">
        <v>113.03</v>
      </c>
      <c r="F63" s="405">
        <v>1378.89</v>
      </c>
      <c r="G63" s="405">
        <v>175.76</v>
      </c>
      <c r="H63" s="402">
        <f t="shared" ref="H63" si="27">+H62</f>
        <v>-63.5</v>
      </c>
      <c r="I63" s="405">
        <v>50.69</v>
      </c>
      <c r="J63" s="405">
        <v>483.93</v>
      </c>
      <c r="K63" s="406">
        <v>100</v>
      </c>
      <c r="L63" s="402">
        <v>-187.5</v>
      </c>
      <c r="V63" s="79"/>
      <c r="W63" s="80"/>
    </row>
    <row r="64" spans="2:23" ht="15">
      <c r="B64" s="53">
        <v>45170</v>
      </c>
      <c r="C64" s="402">
        <f t="shared" si="16"/>
        <v>0</v>
      </c>
      <c r="D64" s="405">
        <v>54.06</v>
      </c>
      <c r="E64" s="405">
        <v>125.53</v>
      </c>
      <c r="F64" s="405">
        <v>1378.94</v>
      </c>
      <c r="G64" s="405">
        <v>197.6</v>
      </c>
      <c r="H64" s="405">
        <v>-63.5</v>
      </c>
      <c r="I64" s="405">
        <v>63</v>
      </c>
      <c r="J64" s="405">
        <v>446.86</v>
      </c>
      <c r="K64" s="405">
        <v>100</v>
      </c>
      <c r="L64" s="405">
        <v>-187.5</v>
      </c>
      <c r="V64" s="79"/>
      <c r="W64" s="80"/>
    </row>
    <row r="65" spans="1:23" ht="15">
      <c r="B65" s="80" t="s">
        <v>43</v>
      </c>
      <c r="C65" s="79">
        <f>AVERAGE(C41:C64)</f>
        <v>0</v>
      </c>
      <c r="D65" s="79">
        <f t="shared" ref="D65:L65" si="28">AVERAGE(D41:D64)</f>
        <v>48.648749999999986</v>
      </c>
      <c r="E65" s="79">
        <f t="shared" si="28"/>
        <v>120.41583333333334</v>
      </c>
      <c r="F65" s="79">
        <f t="shared" si="28"/>
        <v>1606.99125</v>
      </c>
      <c r="G65" s="79">
        <f t="shared" si="28"/>
        <v>215.82000000000005</v>
      </c>
      <c r="H65" s="79">
        <f t="shared" si="28"/>
        <v>-63.5</v>
      </c>
      <c r="I65" s="79">
        <f t="shared" si="28"/>
        <v>210.35791666666663</v>
      </c>
      <c r="J65" s="79">
        <f t="shared" si="28"/>
        <v>1007.1050000000001</v>
      </c>
      <c r="K65" s="79">
        <f t="shared" si="28"/>
        <v>242.91666666666666</v>
      </c>
      <c r="L65" s="79">
        <f t="shared" si="28"/>
        <v>-187.5</v>
      </c>
      <c r="V65" s="79"/>
      <c r="W65" s="80"/>
    </row>
    <row r="66" spans="1:23" ht="15">
      <c r="I66" s="79">
        <f>AVERAGE(I65:L65)</f>
        <v>318.2198958333334</v>
      </c>
      <c r="J66" s="80" t="s">
        <v>44</v>
      </c>
      <c r="V66" s="79"/>
      <c r="W66" s="80"/>
    </row>
    <row r="67" spans="1:23" ht="15">
      <c r="I67" s="79"/>
      <c r="J67" s="80"/>
      <c r="V67" s="79"/>
      <c r="W67" s="80"/>
    </row>
    <row r="68" spans="1:23">
      <c r="A68" s="1" t="s">
        <v>192</v>
      </c>
      <c r="B68" s="1"/>
      <c r="C68" s="269">
        <f>+'Customer Counts - Enspire'!K37+'Customer Counts - Enspire'!K38</f>
        <v>0.86097635556217833</v>
      </c>
      <c r="D68" s="78"/>
      <c r="E68" s="78"/>
      <c r="F68" s="78"/>
      <c r="G68" s="78"/>
      <c r="H68" s="78"/>
      <c r="I68" s="78"/>
      <c r="J68" s="78"/>
      <c r="K68" s="78"/>
      <c r="L68" s="78"/>
      <c r="M68" s="78"/>
    </row>
    <row r="69" spans="1:23">
      <c r="A69" s="1" t="s">
        <v>193</v>
      </c>
      <c r="B69" s="1"/>
      <c r="C69" s="269">
        <f>1-C68</f>
        <v>0.13902364443782167</v>
      </c>
      <c r="D69" s="78"/>
      <c r="E69" s="78"/>
      <c r="F69" s="78"/>
      <c r="G69" s="78"/>
      <c r="H69" s="78"/>
      <c r="I69" s="78"/>
      <c r="J69" s="78"/>
      <c r="K69" s="78"/>
      <c r="L69" s="78"/>
      <c r="M69" s="78"/>
    </row>
    <row r="70" spans="1:23">
      <c r="A70" s="1"/>
      <c r="B70" s="1"/>
      <c r="C70" s="269"/>
      <c r="D70" s="78"/>
      <c r="E70" s="78"/>
      <c r="F70" s="78"/>
      <c r="G70" s="78"/>
      <c r="H70" s="78"/>
      <c r="I70" s="78"/>
      <c r="J70" s="78"/>
      <c r="K70" s="78"/>
      <c r="L70" s="78"/>
      <c r="M70" s="78"/>
    </row>
    <row r="71" spans="1:23">
      <c r="A71" s="283"/>
      <c r="C71" s="78"/>
      <c r="D71" s="78"/>
      <c r="E71" s="78"/>
      <c r="F71" s="78"/>
      <c r="G71" s="78"/>
      <c r="H71" s="78"/>
      <c r="I71" s="78"/>
      <c r="J71" s="78"/>
      <c r="K71" s="78"/>
      <c r="L71" s="78"/>
      <c r="M71" s="78"/>
    </row>
    <row r="72" spans="1:23">
      <c r="B72" s="90" t="s">
        <v>45</v>
      </c>
    </row>
    <row r="73" spans="1:23">
      <c r="B73" s="283" t="s">
        <v>278</v>
      </c>
      <c r="C73" s="91"/>
      <c r="D73" s="91">
        <f t="shared" ref="D73:L73" si="29">+D170</f>
        <v>0.34451473439966246</v>
      </c>
      <c r="E73" s="91">
        <f t="shared" si="29"/>
        <v>0.19061939503231459</v>
      </c>
      <c r="F73" s="91">
        <f t="shared" si="29"/>
        <v>5.9803659933584117E-3</v>
      </c>
      <c r="G73" s="91">
        <f t="shared" si="29"/>
        <v>9.4698167033580045E-3</v>
      </c>
      <c r="H73" s="91">
        <f t="shared" si="29"/>
        <v>0.21112917662969571</v>
      </c>
      <c r="I73" s="91">
        <f t="shared" si="29"/>
        <v>6.9692890107884292E-3</v>
      </c>
      <c r="J73" s="91">
        <f t="shared" si="29"/>
        <v>1.0015985456419092E-2</v>
      </c>
      <c r="K73" s="91">
        <f t="shared" si="29"/>
        <v>1.3894825065715588E-3</v>
      </c>
      <c r="L73" s="91">
        <f t="shared" si="29"/>
        <v>2.1307048216271259E-3</v>
      </c>
      <c r="M73" s="86">
        <f>SUM(C73:L73)</f>
        <v>0.78221895055379542</v>
      </c>
      <c r="N73" s="99"/>
    </row>
    <row r="74" spans="1:23">
      <c r="C74" s="92">
        <f t="shared" ref="C74:L74" si="30">+C73*$M74</f>
        <v>0</v>
      </c>
      <c r="D74" s="92">
        <f t="shared" si="30"/>
        <v>1267.5351656558939</v>
      </c>
      <c r="E74" s="92">
        <f t="shared" si="30"/>
        <v>701.32497200894147</v>
      </c>
      <c r="F74" s="92">
        <f t="shared" si="30"/>
        <v>22.002902759104334</v>
      </c>
      <c r="G74" s="92">
        <f t="shared" si="30"/>
        <v>34.841254916827729</v>
      </c>
      <c r="H74" s="92">
        <f t="shared" si="30"/>
        <v>776.78435536421011</v>
      </c>
      <c r="I74" s="92">
        <f t="shared" si="30"/>
        <v>25.641338435602677</v>
      </c>
      <c r="J74" s="92">
        <f t="shared" si="30"/>
        <v>36.850713531402555</v>
      </c>
      <c r="K74" s="92">
        <f t="shared" si="30"/>
        <v>5.1121701433530129</v>
      </c>
      <c r="L74" s="92">
        <f t="shared" si="30"/>
        <v>7.8392678726823046</v>
      </c>
      <c r="M74" s="87">
        <f>+'2022-2023 Recy. Tons &amp; Revenue'!$C$7</f>
        <v>3679.1899999999996</v>
      </c>
      <c r="N74" s="99"/>
      <c r="O74" s="87"/>
      <c r="P74" s="87"/>
    </row>
    <row r="75" spans="1:23">
      <c r="C75" s="57"/>
      <c r="D75" s="57">
        <f>+$C$68*D74*D7+D74*D41*$C$69</f>
        <v>147856.1628375327</v>
      </c>
      <c r="E75" s="57">
        <f t="shared" ref="E75:L75" si="31">+$C$68*E74*E7+E74*E41*$C$69</f>
        <v>139227.40462065366</v>
      </c>
      <c r="F75" s="57">
        <f t="shared" si="31"/>
        <v>37200.351162037012</v>
      </c>
      <c r="G75" s="57">
        <f t="shared" si="31"/>
        <v>7475.2253059346494</v>
      </c>
      <c r="H75" s="57">
        <f t="shared" si="31"/>
        <v>-49325.806565627339</v>
      </c>
      <c r="I75" s="57">
        <f t="shared" si="31"/>
        <v>6493.7594508076136</v>
      </c>
      <c r="J75" s="57">
        <f t="shared" si="31"/>
        <v>74577.892673314404</v>
      </c>
      <c r="K75" s="57">
        <f t="shared" si="31"/>
        <v>5163.2918447865432</v>
      </c>
      <c r="L75" s="57">
        <f t="shared" si="31"/>
        <v>-1469.8627261279321</v>
      </c>
      <c r="M75" s="87">
        <f>SUM(C75:L75)</f>
        <v>367198.41860331129</v>
      </c>
      <c r="N75" s="99"/>
    </row>
    <row r="76" spans="1:23">
      <c r="C76" s="91"/>
      <c r="D76" s="136"/>
      <c r="E76" s="91"/>
      <c r="F76" s="91"/>
      <c r="G76" s="91"/>
      <c r="H76" s="91"/>
      <c r="I76" s="91"/>
      <c r="J76" s="91"/>
      <c r="K76" s="91"/>
      <c r="L76" s="91"/>
      <c r="N76" s="99"/>
    </row>
    <row r="77" spans="1:23">
      <c r="B77" s="11" t="s">
        <v>47</v>
      </c>
      <c r="C77" s="91"/>
      <c r="D77" s="91">
        <f t="shared" ref="D77:L77" si="32">+D174</f>
        <v>0.38993981205758893</v>
      </c>
      <c r="E77" s="91">
        <f t="shared" si="32"/>
        <v>0.17698939384752213</v>
      </c>
      <c r="F77" s="91">
        <f t="shared" si="32"/>
        <v>5.7995084347954671E-3</v>
      </c>
      <c r="G77" s="91">
        <f t="shared" si="32"/>
        <v>8.7703846475307903E-3</v>
      </c>
      <c r="H77" s="91">
        <f t="shared" si="32"/>
        <v>0.22449791936539026</v>
      </c>
      <c r="I77" s="91">
        <f t="shared" si="32"/>
        <v>2.5408891223468614E-4</v>
      </c>
      <c r="J77" s="91">
        <f t="shared" si="32"/>
        <v>1.4600988848837468E-2</v>
      </c>
      <c r="K77" s="91">
        <f t="shared" si="32"/>
        <v>5.1716594346182731E-4</v>
      </c>
      <c r="L77" s="91">
        <f t="shared" si="32"/>
        <v>4.1848321335904359E-3</v>
      </c>
      <c r="M77" s="86">
        <f>SUM(C77:L77)</f>
        <v>0.82555409419095194</v>
      </c>
      <c r="N77" s="99"/>
    </row>
    <row r="78" spans="1:23">
      <c r="C78" s="92">
        <f t="shared" ref="C78:L78" si="33">+C77*$M78</f>
        <v>0</v>
      </c>
      <c r="D78" s="92">
        <f t="shared" si="33"/>
        <v>1699.3031093732848</v>
      </c>
      <c r="E78" s="92">
        <f t="shared" si="33"/>
        <v>771.29499987236295</v>
      </c>
      <c r="F78" s="92">
        <f t="shared" si="33"/>
        <v>25.273445827657778</v>
      </c>
      <c r="G78" s="92">
        <f t="shared" si="33"/>
        <v>38.220108440088538</v>
      </c>
      <c r="H78" s="92">
        <f t="shared" si="33"/>
        <v>978.33050288565971</v>
      </c>
      <c r="I78" s="92">
        <f t="shared" si="33"/>
        <v>1.1072839070710494</v>
      </c>
      <c r="J78" s="92">
        <f t="shared" si="33"/>
        <v>63.629065264794853</v>
      </c>
      <c r="K78" s="92">
        <f t="shared" si="33"/>
        <v>2.253736778374559</v>
      </c>
      <c r="L78" s="92">
        <f t="shared" si="33"/>
        <v>18.23691256168842</v>
      </c>
      <c r="M78" s="87">
        <f>+'2022-2023 Recy. Tons &amp; Revenue'!$C$8</f>
        <v>4357.8600000000006</v>
      </c>
      <c r="N78" s="99"/>
      <c r="O78" s="87"/>
      <c r="P78" s="87"/>
    </row>
    <row r="79" spans="1:23">
      <c r="C79" s="57"/>
      <c r="D79" s="57">
        <f t="shared" ref="D79:L79" si="34">+$C$68*D78*D8+D78*D42*$C$69</f>
        <v>169317.96397728566</v>
      </c>
      <c r="E79" s="57">
        <f t="shared" si="34"/>
        <v>138649.20067383215</v>
      </c>
      <c r="F79" s="57">
        <f t="shared" si="34"/>
        <v>37056.168204225818</v>
      </c>
      <c r="G79" s="57">
        <f t="shared" si="34"/>
        <v>9292.1055540147172</v>
      </c>
      <c r="H79" s="57">
        <f t="shared" si="34"/>
        <v>-62123.986933239394</v>
      </c>
      <c r="I79" s="57">
        <f t="shared" si="34"/>
        <v>283.88522114956652</v>
      </c>
      <c r="J79" s="57">
        <f t="shared" si="34"/>
        <v>107646.52344506816</v>
      </c>
      <c r="K79" s="57">
        <f t="shared" si="34"/>
        <v>1591.1381655324387</v>
      </c>
      <c r="L79" s="57">
        <f t="shared" si="34"/>
        <v>-3419.4211053165786</v>
      </c>
      <c r="M79" s="87">
        <f>SUM(C79:L79)</f>
        <v>398293.57720255252</v>
      </c>
      <c r="N79" s="99"/>
    </row>
    <row r="80" spans="1:23">
      <c r="N80" s="99"/>
    </row>
    <row r="81" spans="2:16">
      <c r="B81" s="11" t="s">
        <v>48</v>
      </c>
      <c r="C81" s="91"/>
      <c r="D81" s="91">
        <f t="shared" ref="D81:L81" si="35">+D178</f>
        <v>0.37140199789171413</v>
      </c>
      <c r="E81" s="91">
        <f t="shared" si="35"/>
        <v>0.19763744831626137</v>
      </c>
      <c r="F81" s="91">
        <f t="shared" si="35"/>
        <v>5.9831560127837514E-3</v>
      </c>
      <c r="G81" s="91">
        <f t="shared" si="35"/>
        <v>1.0757445754263024E-2</v>
      </c>
      <c r="H81" s="91">
        <f t="shared" si="35"/>
        <v>0.24965387401783901</v>
      </c>
      <c r="I81" s="91">
        <f t="shared" si="35"/>
        <v>1.4759852609654881E-3</v>
      </c>
      <c r="J81" s="91">
        <f t="shared" si="35"/>
        <v>1.2306440588051543E-2</v>
      </c>
      <c r="K81" s="91">
        <f t="shared" si="35"/>
        <v>3.272373833169167E-4</v>
      </c>
      <c r="L81" s="91">
        <f t="shared" si="35"/>
        <v>4.0985195148939791E-3</v>
      </c>
      <c r="M81" s="86">
        <f>SUM(C81:L81)</f>
        <v>0.85364210474008928</v>
      </c>
      <c r="N81" s="99"/>
    </row>
    <row r="82" spans="2:16">
      <c r="C82" s="92">
        <f t="shared" ref="C82:L82" si="36">+C81*$M82</f>
        <v>0</v>
      </c>
      <c r="D82" s="92">
        <f t="shared" si="36"/>
        <v>1334.8002103229262</v>
      </c>
      <c r="E82" s="92">
        <f t="shared" si="36"/>
        <v>710.29910737622765</v>
      </c>
      <c r="F82" s="92">
        <f t="shared" si="36"/>
        <v>21.503163552144169</v>
      </c>
      <c r="G82" s="92">
        <f t="shared" si="36"/>
        <v>38.661722168533608</v>
      </c>
      <c r="H82" s="92">
        <f t="shared" si="36"/>
        <v>897.24354052641263</v>
      </c>
      <c r="I82" s="92">
        <f t="shared" si="36"/>
        <v>5.3046172286469169</v>
      </c>
      <c r="J82" s="92">
        <f t="shared" si="36"/>
        <v>44.228732151427856</v>
      </c>
      <c r="K82" s="92">
        <f t="shared" si="36"/>
        <v>1.176074793771833</v>
      </c>
      <c r="L82" s="92">
        <f t="shared" si="36"/>
        <v>14.72987421055322</v>
      </c>
      <c r="M82" s="87">
        <f>+'2022-2023 Recy. Tons &amp; Revenue'!$C$9</f>
        <v>3593.9500000000007</v>
      </c>
      <c r="N82" s="99"/>
      <c r="O82" s="87"/>
      <c r="P82" s="87"/>
    </row>
    <row r="83" spans="2:16">
      <c r="C83" s="57"/>
      <c r="D83" s="57">
        <f>+$C$68*D82*D9+D82*D43*$C$69</f>
        <v>92193.521141075325</v>
      </c>
      <c r="E83" s="57">
        <f t="shared" ref="E83:L83" si="37">+$C$68*E82*E9+E82*E43*$C$69</f>
        <v>116831.6685422638</v>
      </c>
      <c r="F83" s="57">
        <f t="shared" si="37"/>
        <v>34928.161665638174</v>
      </c>
      <c r="G83" s="57">
        <f t="shared" si="37"/>
        <v>9076.0751935036787</v>
      </c>
      <c r="H83" s="57">
        <f t="shared" si="37"/>
        <v>-56974.964823427203</v>
      </c>
      <c r="I83" s="57">
        <f t="shared" si="37"/>
        <v>1378.4809701826007</v>
      </c>
      <c r="J83" s="57">
        <f t="shared" si="37"/>
        <v>48651.605366570642</v>
      </c>
      <c r="K83" s="57">
        <f t="shared" si="37"/>
        <v>540.99440513504305</v>
      </c>
      <c r="L83" s="57">
        <f t="shared" si="37"/>
        <v>-2761.8514144787287</v>
      </c>
      <c r="M83" s="87">
        <f>SUM(C83:L83)</f>
        <v>243863.69104646333</v>
      </c>
      <c r="N83" s="99"/>
    </row>
    <row r="84" spans="2:16">
      <c r="N84" s="99"/>
    </row>
    <row r="85" spans="2:16">
      <c r="B85" s="283" t="s">
        <v>279</v>
      </c>
      <c r="C85" s="91"/>
      <c r="D85" s="91">
        <f t="shared" ref="D85:L85" si="38">+D182</f>
        <v>0.39301886674384967</v>
      </c>
      <c r="E85" s="91">
        <f t="shared" si="38"/>
        <v>0.19288530693299835</v>
      </c>
      <c r="F85" s="91">
        <f t="shared" si="38"/>
        <v>5.1630132467083987E-3</v>
      </c>
      <c r="G85" s="91">
        <f t="shared" si="38"/>
        <v>1.0110991806111747E-2</v>
      </c>
      <c r="H85" s="91">
        <f t="shared" si="38"/>
        <v>0.2212600097029204</v>
      </c>
      <c r="I85" s="91">
        <f t="shared" si="38"/>
        <v>3.5002955571066317E-3</v>
      </c>
      <c r="J85" s="91">
        <f t="shared" si="38"/>
        <v>1.2321057188454798E-2</v>
      </c>
      <c r="K85" s="91">
        <f t="shared" si="38"/>
        <v>4.2492663877160023E-4</v>
      </c>
      <c r="L85" s="91">
        <f t="shared" si="38"/>
        <v>3.4973939979399218E-3</v>
      </c>
      <c r="M85" s="86">
        <f>SUM(C85:L85)</f>
        <v>0.84218186181486143</v>
      </c>
      <c r="N85" s="99"/>
    </row>
    <row r="86" spans="2:16">
      <c r="C86" s="92">
        <f t="shared" ref="C86:L86" si="39">+C85*$M86</f>
        <v>0</v>
      </c>
      <c r="D86" s="92">
        <f t="shared" si="39"/>
        <v>1873.041454750504</v>
      </c>
      <c r="E86" s="92">
        <f t="shared" si="39"/>
        <v>919.24893807514502</v>
      </c>
      <c r="F86" s="92">
        <f t="shared" si="39"/>
        <v>24.605785270897954</v>
      </c>
      <c r="G86" s="92">
        <f t="shared" si="39"/>
        <v>48.186762529731247</v>
      </c>
      <c r="H86" s="92">
        <f t="shared" si="39"/>
        <v>1054.4765290419841</v>
      </c>
      <c r="I86" s="92">
        <f t="shared" si="39"/>
        <v>16.681638560147647</v>
      </c>
      <c r="J86" s="92">
        <f t="shared" si="39"/>
        <v>58.719447927594118</v>
      </c>
      <c r="K86" s="92">
        <f t="shared" si="39"/>
        <v>2.0251068765249172</v>
      </c>
      <c r="L86" s="92">
        <f t="shared" si="39"/>
        <v>16.667810367502124</v>
      </c>
      <c r="M86" s="87">
        <f>+'2022-2023 Recy. Tons &amp; Revenue'!C10</f>
        <v>4765.7800000000007</v>
      </c>
      <c r="N86" s="99"/>
      <c r="O86" s="87"/>
      <c r="P86" s="87"/>
    </row>
    <row r="87" spans="2:16">
      <c r="C87" s="57"/>
      <c r="D87" s="57">
        <f t="shared" ref="D87:L87" si="40">+$C$68*D86*D10+D86*D44*$C$69</f>
        <v>119964.26129837277</v>
      </c>
      <c r="E87" s="57">
        <f t="shared" si="40"/>
        <v>135761.12887995131</v>
      </c>
      <c r="F87" s="57">
        <f t="shared" si="40"/>
        <v>47339.508048517411</v>
      </c>
      <c r="G87" s="57">
        <f t="shared" si="40"/>
        <v>10078.838504416175</v>
      </c>
      <c r="H87" s="57">
        <f t="shared" si="40"/>
        <v>-66959.259594165997</v>
      </c>
      <c r="I87" s="57">
        <f t="shared" si="40"/>
        <v>4003.5932544354355</v>
      </c>
      <c r="J87" s="57">
        <f t="shared" si="40"/>
        <v>52847.503134834704</v>
      </c>
      <c r="K87" s="57">
        <f t="shared" si="40"/>
        <v>648.03420048797341</v>
      </c>
      <c r="L87" s="57">
        <f t="shared" si="40"/>
        <v>-3125.2144439066483</v>
      </c>
      <c r="M87" s="87">
        <f>SUM(C87:L87)</f>
        <v>300558.39328294306</v>
      </c>
      <c r="N87" s="99"/>
    </row>
    <row r="88" spans="2:16">
      <c r="C88" s="91"/>
      <c r="D88" s="91"/>
      <c r="E88" s="91"/>
      <c r="F88" s="91"/>
      <c r="G88" s="91"/>
      <c r="H88" s="91"/>
      <c r="I88" s="91"/>
      <c r="J88" s="91"/>
      <c r="K88" s="91"/>
      <c r="L88" s="91"/>
      <c r="N88" s="99"/>
    </row>
    <row r="89" spans="2:16">
      <c r="B89" s="11" t="s">
        <v>49</v>
      </c>
      <c r="C89" s="91"/>
      <c r="D89" s="91">
        <f t="shared" ref="D89:L89" si="41">+D186</f>
        <v>0.37329750017776259</v>
      </c>
      <c r="E89" s="91">
        <f t="shared" si="41"/>
        <v>0.22658534958973167</v>
      </c>
      <c r="F89" s="91">
        <f t="shared" si="41"/>
        <v>6.752226522682675E-3</v>
      </c>
      <c r="G89" s="91">
        <f t="shared" si="41"/>
        <v>1.0684261597059671E-2</v>
      </c>
      <c r="H89" s="91">
        <f t="shared" si="41"/>
        <v>0.22229960153608702</v>
      </c>
      <c r="I89" s="91">
        <f t="shared" si="41"/>
        <v>6.2479502347632257E-3</v>
      </c>
      <c r="J89" s="91">
        <f t="shared" si="41"/>
        <v>1.0861543345892035E-2</v>
      </c>
      <c r="K89" s="91">
        <f t="shared" si="41"/>
        <v>5.9247095817473118E-4</v>
      </c>
      <c r="L89" s="91">
        <f t="shared" si="41"/>
        <v>1.0342282598841821E-2</v>
      </c>
      <c r="M89" s="86">
        <f>SUM(C89:L89)</f>
        <v>0.86766318656099561</v>
      </c>
      <c r="N89" s="99"/>
    </row>
    <row r="90" spans="2:16">
      <c r="C90" s="92">
        <f t="shared" ref="C90:L90" si="42">+C89*$M90</f>
        <v>0</v>
      </c>
      <c r="D90" s="92">
        <f t="shared" si="42"/>
        <v>1328.5658031326573</v>
      </c>
      <c r="E90" s="92">
        <f t="shared" si="42"/>
        <v>806.41725918985514</v>
      </c>
      <c r="F90" s="92">
        <f t="shared" si="42"/>
        <v>24.031174194227642</v>
      </c>
      <c r="G90" s="92">
        <f t="shared" si="42"/>
        <v>38.025287023935377</v>
      </c>
      <c r="H90" s="92">
        <f t="shared" si="42"/>
        <v>791.16428186693383</v>
      </c>
      <c r="I90" s="92">
        <f t="shared" si="42"/>
        <v>22.236454885522324</v>
      </c>
      <c r="J90" s="92">
        <f t="shared" si="42"/>
        <v>38.65623276802976</v>
      </c>
      <c r="K90" s="92">
        <f t="shared" si="42"/>
        <v>2.1086041401438687</v>
      </c>
      <c r="L90" s="92">
        <f t="shared" si="42"/>
        <v>36.808183769278045</v>
      </c>
      <c r="M90" s="87">
        <f>+'2022-2023 Recy. Tons &amp; Revenue'!C11</f>
        <v>3559.0000000000005</v>
      </c>
      <c r="N90" s="99"/>
      <c r="O90" s="87"/>
      <c r="P90" s="87"/>
    </row>
    <row r="91" spans="2:16">
      <c r="C91" s="57"/>
      <c r="D91" s="57">
        <f t="shared" ref="D91:L91" si="43">+$C$68*D90*D11+D90*D45*$C$69</f>
        <v>70964.224357129773</v>
      </c>
      <c r="E91" s="57">
        <f t="shared" si="43"/>
        <v>126537.53631248247</v>
      </c>
      <c r="F91" s="57">
        <f t="shared" si="43"/>
        <v>51312.972748161439</v>
      </c>
      <c r="G91" s="57">
        <f t="shared" si="43"/>
        <v>7862.3867255856285</v>
      </c>
      <c r="H91" s="57">
        <f t="shared" si="43"/>
        <v>-50238.93189855029</v>
      </c>
      <c r="I91" s="57">
        <f t="shared" si="43"/>
        <v>6105.9717923715116</v>
      </c>
      <c r="J91" s="57">
        <f t="shared" si="43"/>
        <v>34549.472261989366</v>
      </c>
      <c r="K91" s="57">
        <f t="shared" si="43"/>
        <v>590.4091592402832</v>
      </c>
      <c r="L91" s="57">
        <f t="shared" si="43"/>
        <v>-6901.5344567396342</v>
      </c>
      <c r="M91" s="87">
        <f>SUM(C91:L91)</f>
        <v>240782.50700167051</v>
      </c>
      <c r="N91" s="99"/>
    </row>
    <row r="92" spans="2:16">
      <c r="N92" s="99"/>
    </row>
    <row r="93" spans="2:16">
      <c r="B93" s="11" t="s">
        <v>50</v>
      </c>
      <c r="C93" s="91"/>
      <c r="D93" s="91">
        <f t="shared" ref="D93:L93" si="44">+D190</f>
        <v>0.41003541068917587</v>
      </c>
      <c r="E93" s="91">
        <f t="shared" si="44"/>
        <v>0.180445094319683</v>
      </c>
      <c r="F93" s="91">
        <f t="shared" si="44"/>
        <v>4.9297948595097649E-3</v>
      </c>
      <c r="G93" s="91">
        <f t="shared" si="44"/>
        <v>6.5517014813198243E-3</v>
      </c>
      <c r="H93" s="91">
        <f t="shared" si="44"/>
        <v>0.21240877162020805</v>
      </c>
      <c r="I93" s="91">
        <f t="shared" si="44"/>
        <v>4.4010579296255821E-3</v>
      </c>
      <c r="J93" s="91">
        <f t="shared" si="44"/>
        <v>1.5948294494911436E-2</v>
      </c>
      <c r="K93" s="91">
        <f t="shared" si="44"/>
        <v>2.8226687988120343E-3</v>
      </c>
      <c r="L93" s="91">
        <f t="shared" si="44"/>
        <v>5.118199066450474E-3</v>
      </c>
      <c r="M93" s="86">
        <f>SUM(C93:L93)</f>
        <v>0.84266099325969579</v>
      </c>
      <c r="N93" s="99"/>
    </row>
    <row r="94" spans="2:16">
      <c r="C94" s="92">
        <f t="shared" ref="C94:L94" si="45">+C93*$M94</f>
        <v>0</v>
      </c>
      <c r="D94" s="92">
        <f t="shared" si="45"/>
        <v>1699.8550996153683</v>
      </c>
      <c r="E94" s="92">
        <f t="shared" si="45"/>
        <v>748.05859636450748</v>
      </c>
      <c r="F94" s="92">
        <f t="shared" si="45"/>
        <v>20.437105463429468</v>
      </c>
      <c r="G94" s="92">
        <f t="shared" si="45"/>
        <v>27.160930212003905</v>
      </c>
      <c r="H94" s="92">
        <f t="shared" si="45"/>
        <v>880.56817589188313</v>
      </c>
      <c r="I94" s="92">
        <f t="shared" si="45"/>
        <v>18.245157784793701</v>
      </c>
      <c r="J94" s="92">
        <f t="shared" si="45"/>
        <v>66.115728106939699</v>
      </c>
      <c r="K94" s="92">
        <f t="shared" si="45"/>
        <v>11.701740452419134</v>
      </c>
      <c r="L94" s="92">
        <f t="shared" si="45"/>
        <v>21.21815959584908</v>
      </c>
      <c r="M94" s="87">
        <f>+'2022-2023 Recy. Tons &amp; Revenue'!C12</f>
        <v>4145.63</v>
      </c>
      <c r="N94" s="99"/>
      <c r="O94" s="87"/>
      <c r="P94" s="87"/>
    </row>
    <row r="95" spans="2:16">
      <c r="C95" s="57"/>
      <c r="D95" s="57">
        <f t="shared" ref="D95:L95" si="46">+$C$68*D94*D12+D94*D46*$C$69</f>
        <v>89897.857339589886</v>
      </c>
      <c r="E95" s="57">
        <f t="shared" si="46"/>
        <v>120328.12513388231</v>
      </c>
      <c r="F95" s="57">
        <f t="shared" si="46"/>
        <v>48507.111888996697</v>
      </c>
      <c r="G95" s="57">
        <f t="shared" si="46"/>
        <v>6701.3609594922527</v>
      </c>
      <c r="H95" s="57">
        <f t="shared" si="46"/>
        <v>-55916.07916913458</v>
      </c>
      <c r="I95" s="57">
        <f t="shared" si="46"/>
        <v>5879.1444970270149</v>
      </c>
      <c r="J95" s="57">
        <f t="shared" si="46"/>
        <v>54214.897047690552</v>
      </c>
      <c r="K95" s="57">
        <f t="shared" si="46"/>
        <v>4563.6787764434621</v>
      </c>
      <c r="L95" s="57">
        <f t="shared" si="46"/>
        <v>-3978.4049242217029</v>
      </c>
      <c r="M95" s="87">
        <f>SUM(C95:L95)</f>
        <v>270197.69154976588</v>
      </c>
      <c r="N95" s="99"/>
    </row>
    <row r="96" spans="2:16">
      <c r="N96" s="99"/>
    </row>
    <row r="97" spans="2:16">
      <c r="B97" s="11" t="s">
        <v>51</v>
      </c>
      <c r="C97" s="91">
        <f>+C194</f>
        <v>0</v>
      </c>
      <c r="D97" s="91">
        <f t="shared" ref="D97:L97" si="47">+D194</f>
        <v>0.42369203654325316</v>
      </c>
      <c r="E97" s="91">
        <f t="shared" si="47"/>
        <v>0.20471746696021817</v>
      </c>
      <c r="F97" s="91">
        <f t="shared" si="47"/>
        <v>4.4582556313537769E-3</v>
      </c>
      <c r="G97" s="91">
        <f t="shared" si="47"/>
        <v>4.9692266455568955E-3</v>
      </c>
      <c r="H97" s="91">
        <f t="shared" si="47"/>
        <v>0.19807368670938816</v>
      </c>
      <c r="I97" s="91">
        <f t="shared" si="47"/>
        <v>7.4789701730690614E-3</v>
      </c>
      <c r="J97" s="91">
        <f t="shared" si="47"/>
        <v>1.0942393629644023E-2</v>
      </c>
      <c r="K97" s="91">
        <f t="shared" si="47"/>
        <v>1.1473890852125642E-3</v>
      </c>
      <c r="L97" s="91">
        <f t="shared" si="47"/>
        <v>2.5535478776841807E-3</v>
      </c>
      <c r="M97" s="86">
        <f>SUM(C97:L97)</f>
        <v>0.85803297325538008</v>
      </c>
      <c r="N97" s="99"/>
    </row>
    <row r="98" spans="2:16">
      <c r="C98" s="92">
        <f>+C97*$M98</f>
        <v>0</v>
      </c>
      <c r="D98" s="92">
        <f>+D97*$M98</f>
        <v>1486.3286118751937</v>
      </c>
      <c r="E98" s="92">
        <f>+E97*$M98</f>
        <v>718.15706279512369</v>
      </c>
      <c r="F98" s="92">
        <f>+F97*$M98</f>
        <v>15.639739085014302</v>
      </c>
      <c r="G98" s="92">
        <f t="shared" ref="G98:L98" si="48">+G97*$M98</f>
        <v>17.432245841679411</v>
      </c>
      <c r="H98" s="92">
        <f t="shared" si="48"/>
        <v>694.85041592400194</v>
      </c>
      <c r="I98" s="92">
        <f t="shared" si="48"/>
        <v>26.236526525933186</v>
      </c>
      <c r="J98" s="92">
        <f t="shared" si="48"/>
        <v>38.38635454853641</v>
      </c>
      <c r="K98" s="92">
        <f t="shared" si="48"/>
        <v>4.0250868064890835</v>
      </c>
      <c r="L98" s="92">
        <f t="shared" si="48"/>
        <v>8.9579480968312115</v>
      </c>
      <c r="M98" s="87">
        <f>+'2022-2023 Recy. Tons &amp; Revenue'!C13</f>
        <v>3508.0399999999995</v>
      </c>
      <c r="N98" s="99"/>
      <c r="O98" s="87"/>
      <c r="P98" s="87"/>
    </row>
    <row r="99" spans="2:16">
      <c r="C99" s="57"/>
      <c r="D99" s="57">
        <f t="shared" ref="D99:L99" si="49">+$C$68*D98*D13+D98*D47*$C$69</f>
        <v>77145.290520820578</v>
      </c>
      <c r="E99" s="57">
        <f t="shared" si="49"/>
        <v>111192.48778156449</v>
      </c>
      <c r="F99" s="57">
        <f t="shared" si="49"/>
        <v>34885.098526034475</v>
      </c>
      <c r="G99" s="57">
        <f t="shared" si="49"/>
        <v>4886.6928568950289</v>
      </c>
      <c r="H99" s="57">
        <f t="shared" si="49"/>
        <v>-44123.001411174118</v>
      </c>
      <c r="I99" s="57">
        <f t="shared" si="49"/>
        <v>13101.214462250196</v>
      </c>
      <c r="J99" s="57">
        <f t="shared" si="49"/>
        <v>33012.264911741309</v>
      </c>
      <c r="K99" s="57">
        <f t="shared" si="49"/>
        <v>1851.5399309849784</v>
      </c>
      <c r="L99" s="57">
        <f t="shared" si="49"/>
        <v>-1679.6152681558522</v>
      </c>
      <c r="M99" s="87">
        <f>SUM(C99:L99)</f>
        <v>230271.97231096114</v>
      </c>
      <c r="N99" s="99"/>
    </row>
    <row r="100" spans="2:16">
      <c r="N100" s="99"/>
    </row>
    <row r="101" spans="2:16">
      <c r="B101" s="11" t="s">
        <v>52</v>
      </c>
      <c r="C101" s="91"/>
      <c r="D101" s="91">
        <f t="shared" ref="D101:L101" si="50">+D198</f>
        <v>0.48051031095582108</v>
      </c>
      <c r="E101" s="91">
        <f t="shared" si="50"/>
        <v>0.16755061895505494</v>
      </c>
      <c r="F101" s="91">
        <f t="shared" si="50"/>
        <v>4.2942582017795735E-3</v>
      </c>
      <c r="G101" s="91">
        <f t="shared" si="50"/>
        <v>5.8181517238117238E-3</v>
      </c>
      <c r="H101" s="91">
        <f t="shared" si="50"/>
        <v>0.20051502492818421</v>
      </c>
      <c r="I101" s="91">
        <f t="shared" si="50"/>
        <v>6.6758077713021504E-3</v>
      </c>
      <c r="J101" s="91">
        <f t="shared" si="50"/>
        <v>1.1926686134958502E-2</v>
      </c>
      <c r="K101" s="91">
        <f t="shared" si="50"/>
        <v>1.6738140773935818E-3</v>
      </c>
      <c r="L101" s="91">
        <f t="shared" si="50"/>
        <v>7.7464747705162612E-4</v>
      </c>
      <c r="M101" s="86">
        <f>SUM(C101:L101)</f>
        <v>0.87973932022535728</v>
      </c>
      <c r="N101" s="99"/>
    </row>
    <row r="102" spans="2:16">
      <c r="C102" s="92">
        <f>+C101*$M102</f>
        <v>0</v>
      </c>
      <c r="D102" s="92">
        <f>+D101*$M102</f>
        <v>1880.8038489370556</v>
      </c>
      <c r="E102" s="92">
        <f>+E101*$M102</f>
        <v>655.82328170149685</v>
      </c>
      <c r="F102" s="92">
        <f>+F101*$M102</f>
        <v>16.808499568241569</v>
      </c>
      <c r="G102" s="92">
        <f t="shared" ref="G102:L102" si="51">+G101*$M102</f>
        <v>22.773293114309368</v>
      </c>
      <c r="H102" s="92">
        <f t="shared" si="51"/>
        <v>784.85190027339991</v>
      </c>
      <c r="I102" s="92">
        <f t="shared" si="51"/>
        <v>26.130313262275447</v>
      </c>
      <c r="J102" s="92">
        <f t="shared" si="51"/>
        <v>46.683196335731857</v>
      </c>
      <c r="K102" s="92">
        <f t="shared" si="51"/>
        <v>6.5516095854524092</v>
      </c>
      <c r="L102" s="92">
        <f t="shared" si="51"/>
        <v>3.0321096617259333</v>
      </c>
      <c r="M102" s="87">
        <f>+'2022-2023 Recy. Tons &amp; Revenue'!C14</f>
        <v>3914.1799999999994</v>
      </c>
      <c r="N102" s="99"/>
      <c r="O102" s="87"/>
      <c r="P102" s="87"/>
    </row>
    <row r="103" spans="2:16">
      <c r="C103" s="57"/>
      <c r="D103" s="57">
        <f t="shared" ref="D103:L103" si="52">+$C$68*D102*D14+D102*D48*$C$69</f>
        <v>73550.031766845626</v>
      </c>
      <c r="E103" s="57">
        <f t="shared" si="52"/>
        <v>102058.65731723192</v>
      </c>
      <c r="F103" s="57">
        <f t="shared" si="52"/>
        <v>31168.863954560591</v>
      </c>
      <c r="G103" s="57">
        <f t="shared" si="52"/>
        <v>5798.0378882510931</v>
      </c>
      <c r="H103" s="57">
        <f t="shared" si="52"/>
        <v>-49838.095667360896</v>
      </c>
      <c r="I103" s="57">
        <f t="shared" si="52"/>
        <v>16459.229438844555</v>
      </c>
      <c r="J103" s="57">
        <f t="shared" si="52"/>
        <v>50417.852042590406</v>
      </c>
      <c r="K103" s="57">
        <f t="shared" si="52"/>
        <v>3144.7726010171564</v>
      </c>
      <c r="L103" s="57">
        <f t="shared" si="52"/>
        <v>-568.52056157361255</v>
      </c>
      <c r="M103" s="87">
        <f>SUM(C103:L103)</f>
        <v>232190.82878040682</v>
      </c>
      <c r="N103" s="99"/>
    </row>
    <row r="104" spans="2:16">
      <c r="N104" s="99"/>
    </row>
    <row r="105" spans="2:16">
      <c r="B105" s="11" t="s">
        <v>53</v>
      </c>
      <c r="C105" s="91"/>
      <c r="D105" s="91">
        <f t="shared" ref="D105:L105" si="53">+D202</f>
        <v>0.42148185091608609</v>
      </c>
      <c r="E105" s="91">
        <f t="shared" si="53"/>
        <v>0.19934396939619972</v>
      </c>
      <c r="F105" s="91">
        <f t="shared" si="53"/>
        <v>5.7341020820887746E-3</v>
      </c>
      <c r="G105" s="91">
        <f t="shared" si="53"/>
        <v>2.9677574933821469E-3</v>
      </c>
      <c r="H105" s="91">
        <f t="shared" si="53"/>
        <v>0.24610601717627326</v>
      </c>
      <c r="I105" s="91">
        <f t="shared" si="53"/>
        <v>2.3539276886567536E-3</v>
      </c>
      <c r="J105" s="91">
        <f t="shared" si="53"/>
        <v>1.6859767292736527E-2</v>
      </c>
      <c r="K105" s="91">
        <f t="shared" si="53"/>
        <v>9.8651218616581057E-5</v>
      </c>
      <c r="L105" s="91">
        <f t="shared" si="53"/>
        <v>4.6379774307934293E-3</v>
      </c>
      <c r="M105" s="86">
        <f>SUM(C105:L105)</f>
        <v>0.89958402069483334</v>
      </c>
      <c r="N105" s="99"/>
    </row>
    <row r="106" spans="2:16">
      <c r="C106" s="92">
        <f>+C105*$M106</f>
        <v>0</v>
      </c>
      <c r="D106" s="92">
        <f>+D105*$M106</f>
        <v>1692.0726090507007</v>
      </c>
      <c r="E106" s="92">
        <f>+E105*$M106</f>
        <v>800.28231265859552</v>
      </c>
      <c r="F106" s="92">
        <f>+F105*$M106</f>
        <v>23.020011536711952</v>
      </c>
      <c r="G106" s="92">
        <f t="shared" ref="G106:L106" si="54">+G105*$M106</f>
        <v>11.914299877782099</v>
      </c>
      <c r="H106" s="92">
        <f t="shared" si="54"/>
        <v>988.01229443552302</v>
      </c>
      <c r="I106" s="92">
        <f t="shared" si="54"/>
        <v>9.4500310203276303</v>
      </c>
      <c r="J106" s="92">
        <f t="shared" si="54"/>
        <v>67.684884578074204</v>
      </c>
      <c r="K106" s="92">
        <f t="shared" si="54"/>
        <v>0.39604320923375397</v>
      </c>
      <c r="L106" s="92">
        <f t="shared" si="54"/>
        <v>18.619531434114684</v>
      </c>
      <c r="M106" s="87">
        <f>+'2022-2023 Recy. Tons &amp; Revenue'!C15</f>
        <v>4014.58</v>
      </c>
      <c r="N106" s="99"/>
      <c r="O106" s="87"/>
      <c r="P106" s="87"/>
    </row>
    <row r="107" spans="2:16">
      <c r="C107" s="57"/>
      <c r="D107" s="57">
        <f t="shared" ref="D107:L107" si="55">+$C$68*D106*D15+D106*D49*$C$69</f>
        <v>82797.430027567476</v>
      </c>
      <c r="E107" s="57">
        <f t="shared" si="55"/>
        <v>118661.34908886788</v>
      </c>
      <c r="F107" s="57">
        <f t="shared" si="55"/>
        <v>38654.146058753584</v>
      </c>
      <c r="G107" s="57">
        <f t="shared" si="55"/>
        <v>2531.1888174029768</v>
      </c>
      <c r="H107" s="57">
        <f t="shared" si="55"/>
        <v>-62738.780696655711</v>
      </c>
      <c r="I107" s="57">
        <f t="shared" si="55"/>
        <v>5513.4914718406608</v>
      </c>
      <c r="J107" s="57">
        <f t="shared" si="55"/>
        <v>77499.192841894968</v>
      </c>
      <c r="K107" s="57">
        <f t="shared" si="55"/>
        <v>190.10074043220192</v>
      </c>
      <c r="L107" s="57">
        <f t="shared" si="55"/>
        <v>-3491.1621438965035</v>
      </c>
      <c r="M107" s="87">
        <f>SUM(C107:L107)</f>
        <v>259616.95620620751</v>
      </c>
      <c r="N107" s="99"/>
    </row>
    <row r="108" spans="2:16">
      <c r="N108" s="99"/>
    </row>
    <row r="109" spans="2:16">
      <c r="B109" s="11" t="s">
        <v>54</v>
      </c>
      <c r="C109" s="91"/>
      <c r="D109" s="91">
        <f t="shared" ref="D109:L109" si="56">+D206</f>
        <v>0.35023837510677608</v>
      </c>
      <c r="E109" s="91">
        <f t="shared" si="56"/>
        <v>0.29998758843241902</v>
      </c>
      <c r="F109" s="91">
        <f t="shared" si="56"/>
        <v>9.2327460958319049E-3</v>
      </c>
      <c r="G109" s="91">
        <f t="shared" si="56"/>
        <v>7.6586672896786882E-3</v>
      </c>
      <c r="H109" s="91">
        <f t="shared" si="56"/>
        <v>0.20667742335857023</v>
      </c>
      <c r="I109" s="91">
        <f t="shared" si="56"/>
        <v>1.296935802991918E-2</v>
      </c>
      <c r="J109" s="91">
        <f t="shared" si="56"/>
        <v>1.2161876044944479E-2</v>
      </c>
      <c r="K109" s="91">
        <f t="shared" si="56"/>
        <v>1.1915104877746061E-3</v>
      </c>
      <c r="L109" s="91">
        <f t="shared" si="56"/>
        <v>2.2997904635355449E-3</v>
      </c>
      <c r="M109" s="86">
        <f>SUM(C109:L109)</f>
        <v>0.90241733530944979</v>
      </c>
      <c r="N109" s="99"/>
    </row>
    <row r="110" spans="2:16">
      <c r="C110" s="92">
        <f>+C109*$M110</f>
        <v>0</v>
      </c>
      <c r="D110" s="92">
        <f>+D109*$M110</f>
        <v>1246.5824342150415</v>
      </c>
      <c r="E110" s="92">
        <f>+E109*$M110</f>
        <v>1067.7278242522029</v>
      </c>
      <c r="F110" s="92">
        <f>+F109*$M110</f>
        <v>32.861559214128746</v>
      </c>
      <c r="G110" s="92">
        <f t="shared" ref="G110:L110" si="57">+G109*$M110</f>
        <v>27.259034964115973</v>
      </c>
      <c r="H110" s="92">
        <f t="shared" si="57"/>
        <v>735.61455231475747</v>
      </c>
      <c r="I110" s="92">
        <f t="shared" si="57"/>
        <v>46.161057874409543</v>
      </c>
      <c r="J110" s="92">
        <f t="shared" si="57"/>
        <v>43.287035694208186</v>
      </c>
      <c r="K110" s="92">
        <f t="shared" si="57"/>
        <v>4.2408717885068885</v>
      </c>
      <c r="L110" s="92">
        <f t="shared" si="57"/>
        <v>8.1855062094342532</v>
      </c>
      <c r="M110" s="87">
        <f>+'2022-2023 Recy. Tons &amp; Revenue'!C16</f>
        <v>3559.24</v>
      </c>
      <c r="N110" s="99"/>
      <c r="O110" s="87"/>
      <c r="P110" s="87"/>
    </row>
    <row r="111" spans="2:16">
      <c r="C111" s="57"/>
      <c r="D111" s="57">
        <f t="shared" ref="D111:L111" si="58">+$C$68*D110*D16+D110*D50*$C$69</f>
        <v>64565.357451546777</v>
      </c>
      <c r="E111" s="57">
        <f t="shared" si="58"/>
        <v>170316.28583234648</v>
      </c>
      <c r="F111" s="57">
        <f t="shared" si="58"/>
        <v>49729.261996424961</v>
      </c>
      <c r="G111" s="57">
        <f t="shared" si="58"/>
        <v>4636.51888579765</v>
      </c>
      <c r="H111" s="57">
        <f t="shared" si="58"/>
        <v>-46711.5240719871</v>
      </c>
      <c r="I111" s="57">
        <f t="shared" si="58"/>
        <v>12479.723197156361</v>
      </c>
      <c r="J111" s="57">
        <f t="shared" si="58"/>
        <v>37145.789294964707</v>
      </c>
      <c r="K111" s="57">
        <f t="shared" si="58"/>
        <v>1441.8964080923422</v>
      </c>
      <c r="L111" s="57">
        <f t="shared" si="58"/>
        <v>-1534.7824142689224</v>
      </c>
      <c r="M111" s="87">
        <f>SUM(C111:L111)</f>
        <v>292068.52658007323</v>
      </c>
      <c r="N111" s="99"/>
    </row>
    <row r="112" spans="2:16">
      <c r="C112" s="57"/>
      <c r="D112" s="57"/>
      <c r="E112" s="57"/>
      <c r="F112" s="57"/>
      <c r="G112" s="57"/>
      <c r="H112" s="57"/>
      <c r="I112" s="57"/>
      <c r="J112" s="57"/>
      <c r="K112" s="57"/>
      <c r="L112" s="57"/>
      <c r="M112" s="87"/>
      <c r="N112" s="99"/>
    </row>
    <row r="113" spans="2:16">
      <c r="B113" s="11" t="s">
        <v>55</v>
      </c>
      <c r="C113" s="91"/>
      <c r="D113" s="91">
        <f t="shared" ref="D113:L113" si="59">+D210</f>
        <v>0.31733506205052459</v>
      </c>
      <c r="E113" s="91">
        <f t="shared" si="59"/>
        <v>0.30845337315492688</v>
      </c>
      <c r="F113" s="91">
        <f t="shared" si="59"/>
        <v>1.0268526205699376E-2</v>
      </c>
      <c r="G113" s="91">
        <f t="shared" si="59"/>
        <v>5.2238886432984357E-3</v>
      </c>
      <c r="H113" s="91">
        <f t="shared" si="59"/>
        <v>0.21255404487476684</v>
      </c>
      <c r="I113" s="91">
        <f t="shared" si="59"/>
        <v>1.0504382891090817E-2</v>
      </c>
      <c r="J113" s="91">
        <f t="shared" si="59"/>
        <v>1.298424746892083E-2</v>
      </c>
      <c r="K113" s="91">
        <f t="shared" si="59"/>
        <v>4.1376001380098547E-4</v>
      </c>
      <c r="L113" s="91">
        <f t="shared" si="59"/>
        <v>1.0647244654813634E-4</v>
      </c>
      <c r="M113" s="86">
        <f>SUM(C113:L113)</f>
        <v>0.8778437577495769</v>
      </c>
      <c r="N113" s="99"/>
    </row>
    <row r="114" spans="2:16">
      <c r="C114" s="92">
        <f>+C113*$M114</f>
        <v>0</v>
      </c>
      <c r="D114" s="92">
        <f>+D113*$M114</f>
        <v>1229.8383796780493</v>
      </c>
      <c r="E114" s="92">
        <f>+E113*$M114</f>
        <v>1195.4172167293823</v>
      </c>
      <c r="F114" s="92">
        <f>+F113*$M114</f>
        <v>39.79587868071205</v>
      </c>
      <c r="G114" s="92">
        <f t="shared" ref="G114:L114" si="60">+G113*$M114</f>
        <v>20.245284914875956</v>
      </c>
      <c r="H114" s="92">
        <f t="shared" si="60"/>
        <v>823.75745199305652</v>
      </c>
      <c r="I114" s="92">
        <f t="shared" si="60"/>
        <v>40.709945982080285</v>
      </c>
      <c r="J114" s="92">
        <f t="shared" si="60"/>
        <v>50.320710750752063</v>
      </c>
      <c r="K114" s="92">
        <f t="shared" si="60"/>
        <v>1.6035352086859953</v>
      </c>
      <c r="L114" s="92">
        <f t="shared" si="60"/>
        <v>0.41263609604623341</v>
      </c>
      <c r="M114" s="87">
        <f>+'2022-2023 Recy. Tons &amp; Revenue'!C17</f>
        <v>3875.5200000000004</v>
      </c>
      <c r="N114" s="99"/>
      <c r="O114" s="87"/>
      <c r="P114" s="87"/>
    </row>
    <row r="115" spans="2:16">
      <c r="C115" s="57"/>
      <c r="D115" s="57">
        <f t="shared" ref="D115:L115" si="61">+$C$68*D114*D17+D114*D51*$C$69</f>
        <v>39894.959453012445</v>
      </c>
      <c r="E115" s="57">
        <f t="shared" si="61"/>
        <v>144348.20725310806</v>
      </c>
      <c r="F115" s="57">
        <f t="shared" si="61"/>
        <v>53677.144069038011</v>
      </c>
      <c r="G115" s="57">
        <f t="shared" si="61"/>
        <v>3180.2308242983681</v>
      </c>
      <c r="H115" s="57">
        <f t="shared" si="61"/>
        <v>-52308.598201559085</v>
      </c>
      <c r="I115" s="57">
        <f t="shared" si="61"/>
        <v>2963.0832306681891</v>
      </c>
      <c r="J115" s="57">
        <f t="shared" si="61"/>
        <v>37949.08134149418</v>
      </c>
      <c r="K115" s="57">
        <f t="shared" si="61"/>
        <v>458.76763173620958</v>
      </c>
      <c r="L115" s="57">
        <f t="shared" si="61"/>
        <v>-77.369268008668769</v>
      </c>
      <c r="M115" s="87">
        <f>SUM(C115:L115)</f>
        <v>230085.50633378772</v>
      </c>
      <c r="N115" s="99"/>
    </row>
    <row r="116" spans="2:16">
      <c r="C116" s="57"/>
      <c r="D116" s="57"/>
      <c r="E116" s="57"/>
      <c r="F116" s="57"/>
      <c r="G116" s="57"/>
      <c r="H116" s="57"/>
      <c r="I116" s="57"/>
      <c r="J116" s="57"/>
      <c r="K116" s="57"/>
      <c r="L116" s="57"/>
      <c r="M116" s="87"/>
      <c r="N116" s="99"/>
    </row>
    <row r="117" spans="2:16">
      <c r="B117" s="11" t="s">
        <v>56</v>
      </c>
      <c r="C117" s="91"/>
      <c r="D117" s="91">
        <f t="shared" ref="D117:L117" si="62">+D214</f>
        <v>0.36558295163577381</v>
      </c>
      <c r="E117" s="91">
        <f t="shared" si="62"/>
        <v>0.26118314341967008</v>
      </c>
      <c r="F117" s="91">
        <f t="shared" si="62"/>
        <v>9.2336076503703787E-3</v>
      </c>
      <c r="G117" s="91">
        <f t="shared" si="62"/>
        <v>7.6684412020594905E-3</v>
      </c>
      <c r="H117" s="91">
        <f t="shared" si="62"/>
        <v>0.18265084400944928</v>
      </c>
      <c r="I117" s="91">
        <f t="shared" si="62"/>
        <v>1.2423690849022645E-2</v>
      </c>
      <c r="J117" s="91">
        <f t="shared" si="62"/>
        <v>7.7602526417648778E-3</v>
      </c>
      <c r="K117" s="91">
        <f t="shared" si="62"/>
        <v>2.4949394408829055E-3</v>
      </c>
      <c r="L117" s="91">
        <f t="shared" si="62"/>
        <v>2.0796019755490104E-3</v>
      </c>
      <c r="M117" s="86">
        <f>SUM(C117:L117)</f>
        <v>0.85107747282454238</v>
      </c>
      <c r="N117" s="99"/>
    </row>
    <row r="118" spans="2:16">
      <c r="C118" s="92">
        <f>+C117*$M118</f>
        <v>0</v>
      </c>
      <c r="D118" s="92">
        <f>+D117*$M118</f>
        <v>1345.9850321850101</v>
      </c>
      <c r="E118" s="92">
        <f>+E117*$M118</f>
        <v>961.61103828537034</v>
      </c>
      <c r="F118" s="92">
        <f>+F117*$M118</f>
        <v>33.99583496675114</v>
      </c>
      <c r="G118" s="92">
        <f t="shared" ref="G118:L118" si="63">+G117*$M118</f>
        <v>28.23328339568253</v>
      </c>
      <c r="H118" s="92">
        <f t="shared" si="63"/>
        <v>672.47474493178993</v>
      </c>
      <c r="I118" s="92">
        <f t="shared" si="63"/>
        <v>45.740923783389121</v>
      </c>
      <c r="J118" s="92">
        <f t="shared" si="63"/>
        <v>28.571310163817838</v>
      </c>
      <c r="K118" s="92">
        <f t="shared" si="63"/>
        <v>9.1857432864706379</v>
      </c>
      <c r="L118" s="92">
        <f t="shared" si="63"/>
        <v>7.6565745734775694</v>
      </c>
      <c r="M118" s="87">
        <f>+'2022-2023 Recy. Tons &amp; Revenue'!C18</f>
        <v>3681.75</v>
      </c>
      <c r="N118" s="99"/>
      <c r="O118" s="87"/>
      <c r="P118" s="87"/>
    </row>
    <row r="119" spans="2:16">
      <c r="C119" s="57"/>
      <c r="D119" s="57">
        <f t="shared" ref="D119:L119" si="64">+$C$68*D118*D18+D118*D52*$C$69</f>
        <v>7691.5147282257631</v>
      </c>
      <c r="E119" s="57">
        <f t="shared" si="64"/>
        <v>80784.607957390268</v>
      </c>
      <c r="F119" s="57">
        <f t="shared" si="64"/>
        <v>41989.137749792186</v>
      </c>
      <c r="G119" s="57">
        <f t="shared" si="64"/>
        <v>4278.3032004767192</v>
      </c>
      <c r="H119" s="57">
        <f t="shared" si="64"/>
        <v>-42702.146303168658</v>
      </c>
      <c r="I119" s="57">
        <f t="shared" si="64"/>
        <v>3659.2739026711297</v>
      </c>
      <c r="J119" s="57">
        <f t="shared" si="64"/>
        <v>14211.979788368353</v>
      </c>
      <c r="K119" s="57">
        <f t="shared" si="64"/>
        <v>1010.4317615117702</v>
      </c>
      <c r="L119" s="57">
        <f t="shared" si="64"/>
        <v>-1435.6077325270442</v>
      </c>
      <c r="M119" s="87">
        <f>SUM(C119:L119)</f>
        <v>109487.49505274049</v>
      </c>
      <c r="N119" s="99"/>
    </row>
    <row r="120" spans="2:16">
      <c r="C120" s="57"/>
      <c r="D120" s="57"/>
      <c r="E120" s="57"/>
      <c r="F120" s="57"/>
      <c r="G120" s="57"/>
      <c r="H120" s="57"/>
      <c r="I120" s="57"/>
      <c r="J120" s="57"/>
      <c r="K120" s="57"/>
      <c r="L120" s="57"/>
      <c r="M120" s="87"/>
      <c r="N120" s="99"/>
    </row>
    <row r="121" spans="2:16">
      <c r="B121" s="11" t="s">
        <v>57</v>
      </c>
      <c r="C121" s="91"/>
      <c r="D121" s="91">
        <f t="shared" ref="D121:L121" si="65">+D218</f>
        <v>0.37035238582620161</v>
      </c>
      <c r="E121" s="91">
        <f t="shared" si="65"/>
        <v>0.2405498753533272</v>
      </c>
      <c r="F121" s="91">
        <f t="shared" si="65"/>
        <v>9.7898989983374613E-3</v>
      </c>
      <c r="G121" s="91">
        <f t="shared" si="65"/>
        <v>9.6685214712743696E-3</v>
      </c>
      <c r="H121" s="91">
        <f t="shared" si="65"/>
        <v>0.20360580425562186</v>
      </c>
      <c r="I121" s="91">
        <f t="shared" si="65"/>
        <v>1.7023778075201928E-2</v>
      </c>
      <c r="J121" s="91">
        <f t="shared" si="65"/>
        <v>4.9718208967549802E-3</v>
      </c>
      <c r="K121" s="91">
        <f t="shared" si="65"/>
        <v>3.8138833386306505E-3</v>
      </c>
      <c r="L121" s="91">
        <f t="shared" si="65"/>
        <v>2.7500842509851809E-3</v>
      </c>
      <c r="M121" s="86">
        <f>SUM(C121:L121)</f>
        <v>0.8625260524663354</v>
      </c>
      <c r="N121" s="99"/>
    </row>
    <row r="122" spans="2:16">
      <c r="C122" s="92">
        <f>+C121*$M122</f>
        <v>0</v>
      </c>
      <c r="D122" s="92">
        <f>+D121*$M122</f>
        <v>1333.9750970204418</v>
      </c>
      <c r="E122" s="92">
        <f>+E121*$M122</f>
        <v>866.43843969536465</v>
      </c>
      <c r="F122" s="92">
        <f>+F121*$M122</f>
        <v>35.262312235396465</v>
      </c>
      <c r="G122" s="92">
        <f t="shared" ref="G122:L122" si="66">+G121*$M122</f>
        <v>34.825121590387162</v>
      </c>
      <c r="H122" s="92">
        <f t="shared" si="66"/>
        <v>733.36930685597542</v>
      </c>
      <c r="I122" s="92">
        <f t="shared" si="66"/>
        <v>61.318076725389162</v>
      </c>
      <c r="J122" s="92">
        <f t="shared" si="66"/>
        <v>17.908039793834007</v>
      </c>
      <c r="K122" s="92">
        <f t="shared" si="66"/>
        <v>13.737255628378701</v>
      </c>
      <c r="L122" s="92">
        <f t="shared" si="66"/>
        <v>9.905549541252082</v>
      </c>
      <c r="M122" s="87">
        <f>+'2022-2023 Recy. Tons &amp; Revenue'!C19</f>
        <v>3601.9076643573926</v>
      </c>
      <c r="N122" s="99"/>
      <c r="O122" s="87"/>
      <c r="P122" s="87"/>
    </row>
    <row r="123" spans="2:16">
      <c r="C123" s="57"/>
      <c r="D123" s="57">
        <f t="shared" ref="D123:L123" si="67">+$C$68*D122*D19+D122*D53*$C$69</f>
        <v>-17021.008606642659</v>
      </c>
      <c r="E123" s="57">
        <f t="shared" si="67"/>
        <v>45979.285764974207</v>
      </c>
      <c r="F123" s="57">
        <f t="shared" si="67"/>
        <v>41369.365123304262</v>
      </c>
      <c r="G123" s="57">
        <f t="shared" si="67"/>
        <v>5078.8799953739808</v>
      </c>
      <c r="H123" s="57">
        <f t="shared" si="67"/>
        <v>-46568.95098535443</v>
      </c>
      <c r="I123" s="57">
        <f t="shared" si="67"/>
        <v>4905.4461380311332</v>
      </c>
      <c r="J123" s="57">
        <f t="shared" si="67"/>
        <v>13968.271039190526</v>
      </c>
      <c r="K123" s="57">
        <f t="shared" si="67"/>
        <v>1785.8432316892311</v>
      </c>
      <c r="L123" s="57">
        <f t="shared" si="67"/>
        <v>-1857.2905389847651</v>
      </c>
      <c r="M123" s="87">
        <f>SUM(C123:L123)</f>
        <v>47639.841161581484</v>
      </c>
      <c r="N123" s="99"/>
    </row>
    <row r="124" spans="2:16">
      <c r="C124" s="57"/>
      <c r="D124" s="57"/>
      <c r="E124" s="57"/>
      <c r="F124" s="57"/>
      <c r="G124" s="57"/>
      <c r="H124" s="57"/>
      <c r="I124" s="57"/>
      <c r="J124" s="57"/>
      <c r="K124" s="57"/>
      <c r="L124" s="57"/>
      <c r="M124" s="87"/>
      <c r="N124" s="99"/>
    </row>
    <row r="125" spans="2:16">
      <c r="B125" s="11" t="s">
        <v>58</v>
      </c>
      <c r="C125" s="91"/>
      <c r="D125" s="91">
        <f t="shared" ref="D125:L125" si="68">+D222</f>
        <v>0.38617724889044619</v>
      </c>
      <c r="E125" s="91">
        <f t="shared" si="68"/>
        <v>0.21783333337159533</v>
      </c>
      <c r="F125" s="91">
        <f t="shared" si="68"/>
        <v>6.6786065195573261E-3</v>
      </c>
      <c r="G125" s="91">
        <f t="shared" si="68"/>
        <v>7.6794457489440518E-3</v>
      </c>
      <c r="H125" s="91">
        <f t="shared" si="68"/>
        <v>0.21485720293080565</v>
      </c>
      <c r="I125" s="91">
        <f t="shared" si="68"/>
        <v>6.9192159415937303E-3</v>
      </c>
      <c r="J125" s="91">
        <f t="shared" si="68"/>
        <v>1.195341905226883E-2</v>
      </c>
      <c r="K125" s="91">
        <f t="shared" si="68"/>
        <v>1.2803290557800446E-3</v>
      </c>
      <c r="L125" s="91">
        <f t="shared" si="68"/>
        <v>3.4012561580883268E-3</v>
      </c>
      <c r="M125" s="86">
        <f>SUM(C125:L125)</f>
        <v>0.8567800576690795</v>
      </c>
      <c r="N125" s="99"/>
    </row>
    <row r="126" spans="2:16">
      <c r="C126" s="92">
        <f>+C125*$M126</f>
        <v>0</v>
      </c>
      <c r="D126" s="92">
        <f>+D125*$M126</f>
        <v>1432.7938953884652</v>
      </c>
      <c r="E126" s="92">
        <f>+E125*$M126</f>
        <v>808.20470694140806</v>
      </c>
      <c r="F126" s="92">
        <f>+F125*$M126</f>
        <v>24.778949765727837</v>
      </c>
      <c r="G126" s="92">
        <f t="shared" ref="G126:L126" si="69">+G125*$M126</f>
        <v>28.492261055428912</v>
      </c>
      <c r="H126" s="92">
        <f t="shared" si="69"/>
        <v>797.16267497371712</v>
      </c>
      <c r="I126" s="92">
        <f t="shared" si="69"/>
        <v>25.671658261780401</v>
      </c>
      <c r="J126" s="92">
        <f t="shared" si="69"/>
        <v>44.349546474628326</v>
      </c>
      <c r="K126" s="92">
        <f t="shared" si="69"/>
        <v>4.7502737680192455</v>
      </c>
      <c r="L126" s="92">
        <f t="shared" si="69"/>
        <v>12.619332376423541</v>
      </c>
      <c r="M126" s="87">
        <f>+'2022-2023 Recy. Tons &amp; Revenue'!C20</f>
        <v>3710.197582858983</v>
      </c>
      <c r="N126" s="99"/>
      <c r="O126" s="87"/>
      <c r="P126" s="87"/>
    </row>
    <row r="127" spans="2:16">
      <c r="C127" s="57"/>
      <c r="D127" s="57">
        <f t="shared" ref="D127:L127" si="70">+$C$68*D126*D20+D126*D54*$C$69</f>
        <v>-3946.2654313334092</v>
      </c>
      <c r="E127" s="57">
        <f t="shared" si="70"/>
        <v>40199.41228283284</v>
      </c>
      <c r="F127" s="57">
        <f t="shared" si="70"/>
        <v>31940.426469544342</v>
      </c>
      <c r="G127" s="57">
        <f t="shared" si="70"/>
        <v>4219.905329186895</v>
      </c>
      <c r="H127" s="57">
        <f t="shared" si="70"/>
        <v>-50619.829860831043</v>
      </c>
      <c r="I127" s="57">
        <f t="shared" si="70"/>
        <v>2087.8346332808255</v>
      </c>
      <c r="J127" s="57">
        <f t="shared" si="70"/>
        <v>48341.005657344882</v>
      </c>
      <c r="K127" s="57">
        <f t="shared" si="70"/>
        <v>760.04380288307937</v>
      </c>
      <c r="L127" s="57">
        <f t="shared" si="70"/>
        <v>-2366.1248205794141</v>
      </c>
      <c r="M127" s="87">
        <f>SUM(C127:L127)</f>
        <v>70616.408062329006</v>
      </c>
      <c r="N127" s="99"/>
    </row>
    <row r="128" spans="2:16">
      <c r="C128" s="57"/>
      <c r="D128" s="57"/>
      <c r="E128" s="57"/>
      <c r="F128" s="57"/>
      <c r="G128" s="57"/>
      <c r="H128" s="57"/>
      <c r="I128" s="57"/>
      <c r="J128" s="57"/>
      <c r="K128" s="57"/>
      <c r="L128" s="57"/>
      <c r="M128" s="87"/>
      <c r="N128" s="99"/>
    </row>
    <row r="129" spans="2:16">
      <c r="B129" s="11" t="s">
        <v>48</v>
      </c>
      <c r="C129" s="91"/>
      <c r="D129" s="91">
        <f t="shared" ref="D129:L129" si="71">+D226</f>
        <v>0.38617724889044619</v>
      </c>
      <c r="E129" s="91">
        <f t="shared" si="71"/>
        <v>0.21783333337159533</v>
      </c>
      <c r="F129" s="91">
        <f t="shared" si="71"/>
        <v>6.6786065195573261E-3</v>
      </c>
      <c r="G129" s="91">
        <f t="shared" si="71"/>
        <v>7.6794457489440518E-3</v>
      </c>
      <c r="H129" s="91">
        <f t="shared" si="71"/>
        <v>0.21485720293080565</v>
      </c>
      <c r="I129" s="91">
        <f t="shared" si="71"/>
        <v>6.9192159415937303E-3</v>
      </c>
      <c r="J129" s="91">
        <f t="shared" si="71"/>
        <v>1.195341905226883E-2</v>
      </c>
      <c r="K129" s="91">
        <f t="shared" si="71"/>
        <v>1.2803290557800446E-3</v>
      </c>
      <c r="L129" s="91">
        <f t="shared" si="71"/>
        <v>3.4012561580883268E-3</v>
      </c>
      <c r="M129" s="86">
        <f>SUM(C129:L129)</f>
        <v>0.8567800576690795</v>
      </c>
      <c r="N129" s="99"/>
    </row>
    <row r="130" spans="2:16">
      <c r="C130" s="92">
        <f>+C129*$M130</f>
        <v>0</v>
      </c>
      <c r="D130" s="92">
        <f>+D129*$M130</f>
        <v>1511.0995819002339</v>
      </c>
      <c r="E130" s="92">
        <f>+E129*$M130</f>
        <v>852.37506851454339</v>
      </c>
      <c r="F130" s="92">
        <f>+F129*$M130</f>
        <v>26.133179902170365</v>
      </c>
      <c r="G130" s="92">
        <f t="shared" ref="G130:L130" si="72">+G129*$M130</f>
        <v>30.049432724989231</v>
      </c>
      <c r="H130" s="92">
        <f t="shared" si="72"/>
        <v>840.72956252557299</v>
      </c>
      <c r="I130" s="92">
        <f t="shared" si="72"/>
        <v>27.074677098302736</v>
      </c>
      <c r="J130" s="92">
        <f t="shared" si="72"/>
        <v>46.773357529629919</v>
      </c>
      <c r="K130" s="92">
        <f t="shared" si="72"/>
        <v>5.0098878337413373</v>
      </c>
      <c r="L130" s="92">
        <f t="shared" si="72"/>
        <v>13.309009718179745</v>
      </c>
      <c r="M130" s="87">
        <f>+'2022-2023 Recy. Tons &amp; Revenue'!C21</f>
        <v>3912.968944291471</v>
      </c>
      <c r="N130" s="99"/>
      <c r="O130" s="87"/>
      <c r="P130" s="87"/>
    </row>
    <row r="131" spans="2:16">
      <c r="C131" s="57"/>
      <c r="D131" s="57">
        <f t="shared" ref="D131:L131" si="73">+$C$68*D130*D21+D130*D55*$C$69</f>
        <v>10774.140018948667</v>
      </c>
      <c r="E131" s="57">
        <f t="shared" si="73"/>
        <v>56307.897026070736</v>
      </c>
      <c r="F131" s="57">
        <f t="shared" si="73"/>
        <v>35049.298221192854</v>
      </c>
      <c r="G131" s="57">
        <f t="shared" si="73"/>
        <v>4935.6193250794813</v>
      </c>
      <c r="H131" s="57">
        <f t="shared" si="73"/>
        <v>-53386.327220373882</v>
      </c>
      <c r="I131" s="57">
        <f t="shared" si="73"/>
        <v>2305.1380081494949</v>
      </c>
      <c r="J131" s="57">
        <f t="shared" si="73"/>
        <v>50982.959707296606</v>
      </c>
      <c r="K131" s="57">
        <f t="shared" si="73"/>
        <v>400.791026699307</v>
      </c>
      <c r="L131" s="57">
        <f t="shared" si="73"/>
        <v>-2495.4393221587025</v>
      </c>
      <c r="M131" s="87">
        <f>SUM(C131:L131)</f>
        <v>104874.07679090457</v>
      </c>
      <c r="N131" s="99"/>
    </row>
    <row r="132" spans="2:16">
      <c r="C132" s="57"/>
      <c r="D132" s="57"/>
      <c r="E132" s="57"/>
      <c r="F132" s="57"/>
      <c r="G132" s="57"/>
      <c r="H132" s="57"/>
      <c r="I132" s="57"/>
      <c r="J132" s="57"/>
      <c r="K132" s="57"/>
      <c r="L132" s="57"/>
      <c r="M132" s="87"/>
      <c r="N132" s="99"/>
    </row>
    <row r="133" spans="2:16">
      <c r="B133" s="283" t="s">
        <v>280</v>
      </c>
      <c r="C133" s="91"/>
      <c r="D133" s="91">
        <f t="shared" ref="D133:L133" si="74">+D230</f>
        <v>0.38617724889044619</v>
      </c>
      <c r="E133" s="91">
        <f t="shared" si="74"/>
        <v>0.21783333337159533</v>
      </c>
      <c r="F133" s="91">
        <f t="shared" si="74"/>
        <v>6.6786065195573261E-3</v>
      </c>
      <c r="G133" s="91">
        <f t="shared" si="74"/>
        <v>7.6794457489440518E-3</v>
      </c>
      <c r="H133" s="91">
        <f t="shared" si="74"/>
        <v>0.21485720293080565</v>
      </c>
      <c r="I133" s="91">
        <f t="shared" si="74"/>
        <v>6.9192159415937303E-3</v>
      </c>
      <c r="J133" s="91">
        <f t="shared" si="74"/>
        <v>1.195341905226883E-2</v>
      </c>
      <c r="K133" s="91">
        <f t="shared" si="74"/>
        <v>1.2803290557800446E-3</v>
      </c>
      <c r="L133" s="91">
        <f t="shared" si="74"/>
        <v>3.4012561580883268E-3</v>
      </c>
      <c r="M133" s="86">
        <f>SUM(C133:L133)</f>
        <v>0.8567800576690795</v>
      </c>
      <c r="N133" s="99"/>
    </row>
    <row r="134" spans="2:16">
      <c r="C134" s="92">
        <f t="shared" ref="C134:L134" si="75">+C133*$M134</f>
        <v>0</v>
      </c>
      <c r="D134" s="92">
        <f t="shared" si="75"/>
        <v>1672.3869708021114</v>
      </c>
      <c r="E134" s="92">
        <f t="shared" si="75"/>
        <v>943.35342018140682</v>
      </c>
      <c r="F134" s="92">
        <f t="shared" si="75"/>
        <v>28.922507885984448</v>
      </c>
      <c r="G134" s="92">
        <f t="shared" si="75"/>
        <v>33.256762407458915</v>
      </c>
      <c r="H134" s="92">
        <f t="shared" si="75"/>
        <v>930.46492976182697</v>
      </c>
      <c r="I134" s="92">
        <f t="shared" si="75"/>
        <v>29.964495894397814</v>
      </c>
      <c r="J134" s="92">
        <f t="shared" si="75"/>
        <v>51.765717263222946</v>
      </c>
      <c r="K134" s="92">
        <f t="shared" si="75"/>
        <v>5.5446187919613834</v>
      </c>
      <c r="L134" s="92">
        <f t="shared" si="75"/>
        <v>14.729548412006638</v>
      </c>
      <c r="M134" s="87">
        <f>+'2022-2023 Recy. Tons &amp; Revenue'!C22</f>
        <v>4330.6201377920825</v>
      </c>
      <c r="N134" s="99"/>
      <c r="O134" s="87"/>
      <c r="P134" s="87"/>
    </row>
    <row r="135" spans="2:16">
      <c r="C135" s="57"/>
      <c r="D135" s="57">
        <f t="shared" ref="D135:L135" si="76">+$C$68*D134*D22+D134*D56*$C$69</f>
        <v>37126.990751806872</v>
      </c>
      <c r="E135" s="57">
        <f t="shared" si="76"/>
        <v>68430.857099959263</v>
      </c>
      <c r="F135" s="57">
        <f t="shared" si="76"/>
        <v>46086.280965843063</v>
      </c>
      <c r="G135" s="57">
        <f t="shared" si="76"/>
        <v>6479.4150198452207</v>
      </c>
      <c r="H135" s="57">
        <f t="shared" si="76"/>
        <v>-59084.52303987601</v>
      </c>
      <c r="I135" s="57">
        <f t="shared" si="76"/>
        <v>3522.0268474275194</v>
      </c>
      <c r="J135" s="57">
        <f t="shared" si="76"/>
        <v>57977.603334809697</v>
      </c>
      <c r="K135" s="57">
        <f t="shared" si="76"/>
        <v>0</v>
      </c>
      <c r="L135" s="57">
        <f t="shared" si="76"/>
        <v>-2761.7903272512449</v>
      </c>
      <c r="M135" s="87">
        <f>SUM(C135:L135)</f>
        <v>157776.86065256436</v>
      </c>
      <c r="N135" s="99"/>
    </row>
    <row r="136" spans="2:16">
      <c r="C136" s="91"/>
      <c r="D136" s="91"/>
      <c r="E136" s="91"/>
      <c r="F136" s="91"/>
      <c r="G136" s="91"/>
      <c r="H136" s="91"/>
      <c r="I136" s="91"/>
      <c r="J136" s="91"/>
      <c r="K136" s="91"/>
      <c r="L136" s="91"/>
      <c r="N136" s="99"/>
    </row>
    <row r="137" spans="2:16">
      <c r="B137" s="11" t="s">
        <v>49</v>
      </c>
      <c r="C137" s="91"/>
      <c r="D137" s="91">
        <f t="shared" ref="D137:L137" si="77">+D234</f>
        <v>0.38617724889044619</v>
      </c>
      <c r="E137" s="91">
        <f t="shared" si="77"/>
        <v>0.21783333337159533</v>
      </c>
      <c r="F137" s="91">
        <f t="shared" si="77"/>
        <v>6.6786065195573261E-3</v>
      </c>
      <c r="G137" s="91">
        <f t="shared" si="77"/>
        <v>7.6794457489440518E-3</v>
      </c>
      <c r="H137" s="91">
        <f t="shared" si="77"/>
        <v>0.21485720293080565</v>
      </c>
      <c r="I137" s="91">
        <f t="shared" si="77"/>
        <v>6.9192159415937303E-3</v>
      </c>
      <c r="J137" s="91">
        <f t="shared" si="77"/>
        <v>1.195341905226883E-2</v>
      </c>
      <c r="K137" s="91">
        <f t="shared" si="77"/>
        <v>1.2803290557800446E-3</v>
      </c>
      <c r="L137" s="91">
        <f t="shared" si="77"/>
        <v>3.4012561580883268E-3</v>
      </c>
      <c r="M137" s="86">
        <f>SUM(C137:L137)</f>
        <v>0.8567800576690795</v>
      </c>
      <c r="N137" s="99"/>
    </row>
    <row r="138" spans="2:16">
      <c r="C138" s="92">
        <f t="shared" ref="C138:L138" si="78">+C137*$M138</f>
        <v>0</v>
      </c>
      <c r="D138" s="92">
        <f t="shared" si="78"/>
        <v>1325.2233099891187</v>
      </c>
      <c r="E138" s="92">
        <f t="shared" si="78"/>
        <v>747.52671708675177</v>
      </c>
      <c r="F138" s="92">
        <f t="shared" si="78"/>
        <v>22.918608134974541</v>
      </c>
      <c r="G138" s="92">
        <f t="shared" si="78"/>
        <v>26.353133291869788</v>
      </c>
      <c r="H138" s="92">
        <f t="shared" si="78"/>
        <v>737.31369328735775</v>
      </c>
      <c r="I138" s="92">
        <f t="shared" si="78"/>
        <v>23.744294307844111</v>
      </c>
      <c r="J138" s="92">
        <f t="shared" si="78"/>
        <v>41.019893345991953</v>
      </c>
      <c r="K138" s="92">
        <f t="shared" si="78"/>
        <v>4.3936350835038791</v>
      </c>
      <c r="L138" s="92">
        <f t="shared" si="78"/>
        <v>11.671904434798506</v>
      </c>
      <c r="M138" s="87">
        <f>+'2022-2023 Recy. Tons &amp; Revenue'!C23</f>
        <v>3431.645219382327</v>
      </c>
      <c r="N138" s="99"/>
      <c r="O138" s="87"/>
      <c r="P138" s="87"/>
    </row>
    <row r="139" spans="2:16">
      <c r="C139" s="57"/>
      <c r="D139" s="57">
        <f t="shared" ref="D139:L139" si="79">+$C$68*D138*D23+D138*D57*$C$69</f>
        <v>38630.259486182804</v>
      </c>
      <c r="E139" s="57">
        <f t="shared" si="79"/>
        <v>70088.104994053851</v>
      </c>
      <c r="F139" s="57">
        <f t="shared" si="79"/>
        <v>34705.419112710595</v>
      </c>
      <c r="G139" s="57">
        <f t="shared" si="79"/>
        <v>5711.7781096798581</v>
      </c>
      <c r="H139" s="57">
        <f t="shared" si="79"/>
        <v>-46819.419523747216</v>
      </c>
      <c r="I139" s="57">
        <f t="shared" si="79"/>
        <v>2796.3655406348007</v>
      </c>
      <c r="J139" s="57">
        <f t="shared" si="79"/>
        <v>49223.872015190347</v>
      </c>
      <c r="K139" s="57">
        <f t="shared" si="79"/>
        <v>0</v>
      </c>
      <c r="L139" s="57">
        <f t="shared" si="79"/>
        <v>-2188.4820815247199</v>
      </c>
      <c r="M139" s="87">
        <f>SUM(C139:L139)</f>
        <v>152147.89765318035</v>
      </c>
      <c r="N139" s="99"/>
    </row>
    <row r="140" spans="2:16">
      <c r="N140" s="99"/>
    </row>
    <row r="141" spans="2:16">
      <c r="B141" s="11" t="s">
        <v>50</v>
      </c>
      <c r="C141" s="91"/>
      <c r="D141" s="91">
        <f t="shared" ref="D141:L141" si="80">+D238</f>
        <v>0.38617724889044619</v>
      </c>
      <c r="E141" s="91">
        <f t="shared" si="80"/>
        <v>0.21783333337159533</v>
      </c>
      <c r="F141" s="91">
        <f t="shared" si="80"/>
        <v>6.6786065195573261E-3</v>
      </c>
      <c r="G141" s="91">
        <f t="shared" si="80"/>
        <v>7.6794457489440518E-3</v>
      </c>
      <c r="H141" s="91">
        <f t="shared" si="80"/>
        <v>0.21485720293080565</v>
      </c>
      <c r="I141" s="91">
        <f t="shared" si="80"/>
        <v>6.9192159415937303E-3</v>
      </c>
      <c r="J141" s="91">
        <f t="shared" si="80"/>
        <v>1.195341905226883E-2</v>
      </c>
      <c r="K141" s="91">
        <f t="shared" si="80"/>
        <v>1.2803290557800446E-3</v>
      </c>
      <c r="L141" s="91">
        <f t="shared" si="80"/>
        <v>3.4012561580883268E-3</v>
      </c>
      <c r="M141" s="86">
        <f>SUM(C141:L141)</f>
        <v>0.8567800576690795</v>
      </c>
      <c r="N141" s="99"/>
    </row>
    <row r="142" spans="2:16">
      <c r="C142" s="92"/>
      <c r="D142" s="92">
        <f t="shared" ref="D142:L142" si="81">+D141*$M142</f>
        <v>1457.1820677444252</v>
      </c>
      <c r="E142" s="92">
        <f t="shared" si="81"/>
        <v>821.96149063180837</v>
      </c>
      <c r="F142" s="92">
        <f t="shared" si="81"/>
        <v>25.200722429354659</v>
      </c>
      <c r="G142" s="92">
        <f t="shared" si="81"/>
        <v>28.977239513019569</v>
      </c>
      <c r="H142" s="92">
        <f t="shared" si="81"/>
        <v>810.73150771063081</v>
      </c>
      <c r="I142" s="92">
        <f t="shared" si="81"/>
        <v>26.108626082739644</v>
      </c>
      <c r="J142" s="92">
        <f t="shared" si="81"/>
        <v>45.104438289014965</v>
      </c>
      <c r="K142" s="92">
        <f t="shared" si="81"/>
        <v>4.8311301254934929</v>
      </c>
      <c r="L142" s="92">
        <f t="shared" si="81"/>
        <v>12.834131206879139</v>
      </c>
      <c r="M142" s="87">
        <f>+'2022-2023 Recy. Tons &amp; Revenue'!C24</f>
        <v>3773.3503771420005</v>
      </c>
      <c r="N142" s="99"/>
      <c r="O142" s="87"/>
      <c r="P142" s="87"/>
    </row>
    <row r="143" spans="2:16">
      <c r="C143" s="57"/>
      <c r="D143" s="57">
        <f t="shared" ref="D143:L143" si="82">+$C$68*D142*D24+D142*D58*$C$69</f>
        <v>49383.900275858578</v>
      </c>
      <c r="E143" s="57">
        <f t="shared" si="82"/>
        <v>80067.268802444451</v>
      </c>
      <c r="F143" s="57">
        <f t="shared" si="82"/>
        <v>36188.489415777585</v>
      </c>
      <c r="G143" s="57">
        <f t="shared" si="82"/>
        <v>7112.1736660755223</v>
      </c>
      <c r="H143" s="57">
        <f t="shared" si="82"/>
        <v>-51481.450739625056</v>
      </c>
      <c r="I143" s="57">
        <f t="shared" si="82"/>
        <v>4625.4041968181546</v>
      </c>
      <c r="J143" s="57">
        <f t="shared" si="82"/>
        <v>57282.636627049011</v>
      </c>
      <c r="K143" s="57">
        <f t="shared" si="82"/>
        <v>0</v>
      </c>
      <c r="L143" s="57">
        <f t="shared" si="82"/>
        <v>-2406.3996012898388</v>
      </c>
      <c r="M143" s="87">
        <f>SUM(C143:L143)</f>
        <v>180772.02264310842</v>
      </c>
      <c r="N143" s="99"/>
    </row>
    <row r="144" spans="2:16">
      <c r="C144" s="57"/>
      <c r="D144" s="57"/>
      <c r="E144" s="57"/>
      <c r="F144" s="57"/>
      <c r="G144" s="57"/>
      <c r="H144" s="57"/>
      <c r="I144" s="57"/>
      <c r="J144" s="57"/>
      <c r="K144" s="57"/>
      <c r="L144" s="57"/>
      <c r="M144" s="87"/>
      <c r="N144" s="99"/>
    </row>
    <row r="145" spans="2:17">
      <c r="B145" s="11" t="s">
        <v>51</v>
      </c>
      <c r="C145" s="91"/>
      <c r="D145" s="91">
        <f>+D242</f>
        <v>0.38617724889044619</v>
      </c>
      <c r="E145" s="91">
        <f t="shared" ref="E145:L145" si="83">+E242</f>
        <v>0.21783333337159533</v>
      </c>
      <c r="F145" s="91">
        <f t="shared" si="83"/>
        <v>6.6786065195573261E-3</v>
      </c>
      <c r="G145" s="91">
        <f t="shared" si="83"/>
        <v>7.6794457489440518E-3</v>
      </c>
      <c r="H145" s="91">
        <f t="shared" si="83"/>
        <v>0.21485720293080565</v>
      </c>
      <c r="I145" s="91">
        <f t="shared" si="83"/>
        <v>6.9192159415937303E-3</v>
      </c>
      <c r="J145" s="91">
        <f t="shared" si="83"/>
        <v>1.195341905226883E-2</v>
      </c>
      <c r="K145" s="91">
        <f t="shared" si="83"/>
        <v>1.2803290557800446E-3</v>
      </c>
      <c r="L145" s="91">
        <f t="shared" si="83"/>
        <v>3.4012561580883268E-3</v>
      </c>
      <c r="M145" s="86">
        <f>SUM(C145:L145)</f>
        <v>0.8567800576690795</v>
      </c>
      <c r="N145" s="99"/>
    </row>
    <row r="146" spans="2:17">
      <c r="C146" s="92"/>
      <c r="D146" s="92">
        <f t="shared" ref="D146:L146" si="84">+D145*$M146</f>
        <v>1353.6246310383028</v>
      </c>
      <c r="E146" s="92">
        <f t="shared" si="84"/>
        <v>763.54722180078215</v>
      </c>
      <c r="F146" s="92">
        <f t="shared" si="84"/>
        <v>23.40978478628714</v>
      </c>
      <c r="G146" s="92">
        <f t="shared" si="84"/>
        <v>26.917916444741198</v>
      </c>
      <c r="H146" s="92">
        <f t="shared" si="84"/>
        <v>753.11531914103057</v>
      </c>
      <c r="I146" s="92">
        <f t="shared" si="84"/>
        <v>24.253166526314924</v>
      </c>
      <c r="J146" s="92">
        <f t="shared" si="84"/>
        <v>41.899004927822176</v>
      </c>
      <c r="K146" s="92">
        <f t="shared" si="84"/>
        <v>4.4877966030296541</v>
      </c>
      <c r="L146" s="92">
        <f t="shared" si="84"/>
        <v>11.922049072769621</v>
      </c>
      <c r="M146" s="87">
        <f>+'2022-2023 Recy. Tons &amp; Revenue'!C25</f>
        <v>3505.1899999999996</v>
      </c>
      <c r="N146" s="99"/>
      <c r="O146" s="87"/>
      <c r="P146" s="87"/>
    </row>
    <row r="147" spans="2:17">
      <c r="C147" s="57"/>
      <c r="D147" s="57">
        <f t="shared" ref="D147:L147" si="85">+$C$68*D146*D25+D146*D59*$C$69</f>
        <v>43031.727020707644</v>
      </c>
      <c r="E147" s="57">
        <f t="shared" si="85"/>
        <v>85028.618619735105</v>
      </c>
      <c r="F147" s="57">
        <f t="shared" si="85"/>
        <v>34091.201388574234</v>
      </c>
      <c r="G147" s="57">
        <f t="shared" si="85"/>
        <v>6463.2609175468097</v>
      </c>
      <c r="H147" s="57">
        <f t="shared" si="85"/>
        <v>-47822.822765455436</v>
      </c>
      <c r="I147" s="57">
        <f t="shared" si="85"/>
        <v>4850.6333052629843</v>
      </c>
      <c r="J147" s="57">
        <f t="shared" si="85"/>
        <v>52164.261135138615</v>
      </c>
      <c r="K147" s="57">
        <f t="shared" si="85"/>
        <v>1211.7050828180065</v>
      </c>
      <c r="L147" s="57">
        <f t="shared" si="85"/>
        <v>-2235.3842011443039</v>
      </c>
      <c r="M147" s="87">
        <f>SUM(C147:L147)</f>
        <v>176783.20050318362</v>
      </c>
      <c r="N147" s="99"/>
    </row>
    <row r="148" spans="2:17">
      <c r="C148" s="57"/>
      <c r="D148" s="57"/>
      <c r="E148" s="57"/>
      <c r="F148" s="57"/>
      <c r="G148" s="57"/>
      <c r="H148" s="57"/>
      <c r="I148" s="57"/>
      <c r="J148" s="57"/>
      <c r="K148" s="57"/>
      <c r="L148" s="57"/>
      <c r="M148" s="87"/>
      <c r="N148" s="99"/>
    </row>
    <row r="149" spans="2:17">
      <c r="B149" s="11" t="s">
        <v>52</v>
      </c>
      <c r="C149" s="91"/>
      <c r="D149" s="91">
        <f t="shared" ref="D149:L149" si="86">+D246</f>
        <v>0.38617724889044619</v>
      </c>
      <c r="E149" s="91">
        <f t="shared" si="86"/>
        <v>0.21783333337159533</v>
      </c>
      <c r="F149" s="91">
        <f t="shared" si="86"/>
        <v>6.6786065195573261E-3</v>
      </c>
      <c r="G149" s="91">
        <f t="shared" si="86"/>
        <v>7.6794457489440518E-3</v>
      </c>
      <c r="H149" s="91">
        <f t="shared" si="86"/>
        <v>0.21485720293080565</v>
      </c>
      <c r="I149" s="91">
        <f t="shared" si="86"/>
        <v>6.9192159415937303E-3</v>
      </c>
      <c r="J149" s="91">
        <f t="shared" si="86"/>
        <v>1.195341905226883E-2</v>
      </c>
      <c r="K149" s="91">
        <f t="shared" si="86"/>
        <v>1.2803290557800446E-3</v>
      </c>
      <c r="L149" s="91">
        <f t="shared" si="86"/>
        <v>3.4012561580883268E-3</v>
      </c>
      <c r="M149" s="86">
        <f>SUM(C149:L149)</f>
        <v>0.8567800576690795</v>
      </c>
      <c r="N149" s="99"/>
    </row>
    <row r="150" spans="2:17">
      <c r="C150" s="92"/>
      <c r="D150" s="92">
        <f t="shared" ref="D150:L150" si="87">+D149*$M150</f>
        <v>1660.1057879761186</v>
      </c>
      <c r="E150" s="92">
        <f t="shared" si="87"/>
        <v>936.42589920388048</v>
      </c>
      <c r="F150" s="92">
        <f t="shared" si="87"/>
        <v>28.710115291844808</v>
      </c>
      <c r="G150" s="92">
        <f t="shared" si="87"/>
        <v>33.012541191641432</v>
      </c>
      <c r="H150" s="92">
        <f t="shared" si="87"/>
        <v>923.63205548387282</v>
      </c>
      <c r="I150" s="92">
        <f t="shared" si="87"/>
        <v>29.744451455644917</v>
      </c>
      <c r="J150" s="92">
        <f t="shared" si="87"/>
        <v>51.385575436643549</v>
      </c>
      <c r="K150" s="92">
        <f t="shared" si="87"/>
        <v>5.5039018536729607</v>
      </c>
      <c r="L150" s="92">
        <f t="shared" si="87"/>
        <v>14.621381893042788</v>
      </c>
      <c r="M150" s="87">
        <f>+'2022-2023 Recy. Tons &amp; Revenue'!C26</f>
        <v>4298.8182052306001</v>
      </c>
      <c r="N150" s="99"/>
      <c r="O150" s="87"/>
      <c r="P150" s="87"/>
    </row>
    <row r="151" spans="2:17">
      <c r="C151" s="57"/>
      <c r="D151" s="57">
        <f t="shared" ref="D151:L151" si="88">+$C$68*D150*D26+D150*D60*$C$69</f>
        <v>48989.721803175264</v>
      </c>
      <c r="E151" s="57">
        <f t="shared" si="88"/>
        <v>100366.12787667192</v>
      </c>
      <c r="F151" s="57">
        <f t="shared" si="88"/>
        <v>42762.28122143825</v>
      </c>
      <c r="G151" s="57">
        <f t="shared" si="88"/>
        <v>6755.0261786336696</v>
      </c>
      <c r="H151" s="57">
        <f t="shared" si="88"/>
        <v>-58650.635523225923</v>
      </c>
      <c r="I151" s="57">
        <f t="shared" si="88"/>
        <v>5948.8902911289833</v>
      </c>
      <c r="J151" s="57">
        <f t="shared" si="88"/>
        <v>70912.094102568095</v>
      </c>
      <c r="K151" s="57">
        <f t="shared" si="88"/>
        <v>0</v>
      </c>
      <c r="L151" s="57">
        <f t="shared" si="88"/>
        <v>-2741.5091049455227</v>
      </c>
      <c r="M151" s="87">
        <f>SUM(C151:L151)</f>
        <v>214341.99684544472</v>
      </c>
      <c r="N151" s="99"/>
    </row>
    <row r="152" spans="2:17">
      <c r="C152" s="57"/>
      <c r="D152" s="57"/>
      <c r="E152" s="57"/>
      <c r="F152" s="57"/>
      <c r="G152" s="57"/>
      <c r="H152" s="57"/>
      <c r="I152" s="57"/>
      <c r="J152" s="57"/>
      <c r="K152" s="57"/>
      <c r="L152" s="57"/>
      <c r="M152" s="87"/>
      <c r="N152" s="99"/>
    </row>
    <row r="153" spans="2:17">
      <c r="B153" s="11" t="s">
        <v>59</v>
      </c>
      <c r="C153" s="91"/>
      <c r="D153" s="91">
        <f t="shared" ref="D153:L153" si="89">+D250</f>
        <v>0.38617724889044619</v>
      </c>
      <c r="E153" s="91">
        <f t="shared" si="89"/>
        <v>0.21783333337159533</v>
      </c>
      <c r="F153" s="91">
        <f t="shared" si="89"/>
        <v>6.6786065195573261E-3</v>
      </c>
      <c r="G153" s="91">
        <f t="shared" si="89"/>
        <v>7.6794457489440518E-3</v>
      </c>
      <c r="H153" s="91">
        <f t="shared" si="89"/>
        <v>0.21485720293080565</v>
      </c>
      <c r="I153" s="91">
        <f t="shared" si="89"/>
        <v>6.9192159415937303E-3</v>
      </c>
      <c r="J153" s="91">
        <f t="shared" si="89"/>
        <v>1.195341905226883E-2</v>
      </c>
      <c r="K153" s="91">
        <f t="shared" si="89"/>
        <v>1.2803290557800446E-3</v>
      </c>
      <c r="L153" s="91">
        <f t="shared" si="89"/>
        <v>3.4012561580883268E-3</v>
      </c>
      <c r="M153" s="86">
        <f>SUM(C153:L153)</f>
        <v>0.8567800576690795</v>
      </c>
      <c r="N153" s="99"/>
    </row>
    <row r="154" spans="2:17">
      <c r="C154" s="92"/>
      <c r="D154" s="92">
        <f t="shared" ref="D154:L154" si="90">+D153*$M154</f>
        <v>1667.4055063866958</v>
      </c>
      <c r="E154" s="92">
        <f t="shared" si="90"/>
        <v>940.54349545953437</v>
      </c>
      <c r="F154" s="92">
        <f t="shared" si="90"/>
        <v>28.836357702830661</v>
      </c>
      <c r="G154" s="92">
        <f t="shared" si="90"/>
        <v>33.15770197384095</v>
      </c>
      <c r="H154" s="92">
        <f t="shared" si="90"/>
        <v>927.69339541103159</v>
      </c>
      <c r="I154" s="92">
        <f t="shared" si="90"/>
        <v>29.875241988077185</v>
      </c>
      <c r="J154" s="92">
        <f t="shared" si="90"/>
        <v>51.611525032006547</v>
      </c>
      <c r="K154" s="92">
        <f t="shared" si="90"/>
        <v>5.5281032834747608</v>
      </c>
      <c r="L154" s="92">
        <f t="shared" si="90"/>
        <v>14.685674163671422</v>
      </c>
      <c r="M154" s="87">
        <f>+'2022-2023 Recy. Tons &amp; Revenue'!C27</f>
        <v>4317.7207129043445</v>
      </c>
      <c r="N154" s="99"/>
      <c r="O154" s="87"/>
      <c r="P154" s="87"/>
    </row>
    <row r="155" spans="2:17">
      <c r="C155" s="57"/>
      <c r="D155" s="57">
        <f t="shared" ref="D155:L155" si="91">+$C$68*D154*D27+D154*D61*$C$69</f>
        <v>67196.441907383836</v>
      </c>
      <c r="E155" s="57">
        <f t="shared" si="91"/>
        <v>90630.771222480733</v>
      </c>
      <c r="F155" s="57">
        <f t="shared" si="91"/>
        <v>41020.872286584723</v>
      </c>
      <c r="G155" s="57">
        <f t="shared" si="91"/>
        <v>6062.5542288970801</v>
      </c>
      <c r="H155" s="57">
        <f t="shared" si="91"/>
        <v>-58908.530608600508</v>
      </c>
      <c r="I155" s="57">
        <f t="shared" si="91"/>
        <v>4079.7630458918206</v>
      </c>
      <c r="J155" s="57">
        <f t="shared" si="91"/>
        <v>57396.144757593836</v>
      </c>
      <c r="K155" s="57">
        <f t="shared" si="91"/>
        <v>-565.35912280096375</v>
      </c>
      <c r="L155" s="57">
        <f t="shared" si="91"/>
        <v>-2753.563905688392</v>
      </c>
      <c r="M155" s="87">
        <f>SUM(C155:L155)</f>
        <v>204159.0938117422</v>
      </c>
      <c r="N155" s="99"/>
    </row>
    <row r="156" spans="2:17">
      <c r="C156" s="92"/>
      <c r="D156" s="92"/>
      <c r="E156" s="92"/>
      <c r="F156" s="92"/>
      <c r="G156" s="92"/>
      <c r="H156" s="92"/>
      <c r="I156" s="92"/>
      <c r="J156" s="92"/>
      <c r="K156" s="92"/>
      <c r="L156" s="92"/>
      <c r="M156" s="87"/>
      <c r="N156" s="99"/>
    </row>
    <row r="157" spans="2:17">
      <c r="B157" s="11" t="s">
        <v>60</v>
      </c>
      <c r="C157" s="91"/>
      <c r="D157" s="91">
        <f t="shared" ref="D157:L157" si="92">+D254</f>
        <v>0.38617724889044619</v>
      </c>
      <c r="E157" s="91">
        <f t="shared" si="92"/>
        <v>0.21783333337159533</v>
      </c>
      <c r="F157" s="91">
        <f t="shared" si="92"/>
        <v>6.6786065195573261E-3</v>
      </c>
      <c r="G157" s="91">
        <f t="shared" si="92"/>
        <v>7.6794457489440518E-3</v>
      </c>
      <c r="H157" s="91">
        <f t="shared" si="92"/>
        <v>0.21485720293080565</v>
      </c>
      <c r="I157" s="91">
        <f t="shared" si="92"/>
        <v>6.9192159415937303E-3</v>
      </c>
      <c r="J157" s="91">
        <f t="shared" si="92"/>
        <v>1.195341905226883E-2</v>
      </c>
      <c r="K157" s="91">
        <f t="shared" si="92"/>
        <v>1.2803290557800446E-3</v>
      </c>
      <c r="L157" s="91">
        <f t="shared" si="92"/>
        <v>3.4012561580883268E-3</v>
      </c>
      <c r="M157" s="86">
        <f>SUM(C157:L157)</f>
        <v>0.8567800576690795</v>
      </c>
      <c r="N157" s="99"/>
    </row>
    <row r="158" spans="2:17">
      <c r="C158" s="92"/>
      <c r="D158" s="92">
        <f t="shared" ref="D158:L158" si="93">+D157*$M158</f>
        <v>1483.7170471862171</v>
      </c>
      <c r="E158" s="92">
        <f t="shared" si="93"/>
        <v>836.92923676226985</v>
      </c>
      <c r="F158" s="92">
        <f t="shared" si="93"/>
        <v>25.65962229257924</v>
      </c>
      <c r="G158" s="92">
        <f t="shared" si="93"/>
        <v>29.504908959259769</v>
      </c>
      <c r="H158" s="92">
        <f t="shared" si="93"/>
        <v>825.49475821042188</v>
      </c>
      <c r="I158" s="92">
        <f t="shared" si="93"/>
        <v>26.584058680830353</v>
      </c>
      <c r="J158" s="92">
        <f t="shared" si="93"/>
        <v>45.925780638214455</v>
      </c>
      <c r="K158" s="92">
        <f t="shared" si="93"/>
        <v>4.9191039905294671</v>
      </c>
      <c r="L158" s="92">
        <f t="shared" si="93"/>
        <v>13.067838040957149</v>
      </c>
      <c r="M158" s="87">
        <f>+'2022-2023 Recy. Tons &amp; Revenue'!C28</f>
        <v>3842.062295096855</v>
      </c>
      <c r="N158" s="99"/>
      <c r="O158" s="87"/>
      <c r="P158" s="87"/>
    </row>
    <row r="159" spans="2:17">
      <c r="C159" s="57"/>
      <c r="D159" s="57">
        <f t="shared" ref="D159:L159" si="94">+$C$68*D158*D28+D158*D62*$C$69</f>
        <v>54467.252802206029</v>
      </c>
      <c r="E159" s="57">
        <f t="shared" si="94"/>
        <v>82521.222744759812</v>
      </c>
      <c r="F159" s="57">
        <f t="shared" si="94"/>
        <v>35822.115701555245</v>
      </c>
      <c r="G159" s="57">
        <f t="shared" si="94"/>
        <v>5345.6994052386844</v>
      </c>
      <c r="H159" s="57">
        <f t="shared" si="94"/>
        <v>-52418.917146361789</v>
      </c>
      <c r="I159" s="57">
        <f t="shared" si="94"/>
        <v>1003.5482152013458</v>
      </c>
      <c r="J159" s="57">
        <f t="shared" si="94"/>
        <v>11940.702965935758</v>
      </c>
      <c r="K159" s="57">
        <f t="shared" si="94"/>
        <v>-707.02281655880029</v>
      </c>
      <c r="L159" s="57">
        <f t="shared" si="94"/>
        <v>-2450.2196326794656</v>
      </c>
      <c r="M159" s="130">
        <f>SUM(C159:L159)</f>
        <v>135524.3822392968</v>
      </c>
      <c r="N159" s="99"/>
      <c r="Q159" s="99"/>
    </row>
    <row r="160" spans="2:17">
      <c r="C160" s="92"/>
      <c r="D160" s="92"/>
      <c r="E160" s="92"/>
      <c r="F160" s="92"/>
      <c r="G160" s="92"/>
      <c r="H160" s="92"/>
      <c r="I160" s="92"/>
      <c r="J160" s="92"/>
      <c r="K160" s="92"/>
      <c r="L160" s="92"/>
      <c r="M160" s="87"/>
    </row>
    <row r="161" spans="2:16">
      <c r="B161" s="11" t="s">
        <v>61</v>
      </c>
      <c r="C161" s="91"/>
      <c r="D161" s="91">
        <f t="shared" ref="D161:L161" si="95">+D258</f>
        <v>0.38617724889044619</v>
      </c>
      <c r="E161" s="91">
        <f t="shared" si="95"/>
        <v>0.21783333337159533</v>
      </c>
      <c r="F161" s="91">
        <f t="shared" si="95"/>
        <v>6.6786065195573261E-3</v>
      </c>
      <c r="G161" s="91">
        <f t="shared" si="95"/>
        <v>7.6794457489440518E-3</v>
      </c>
      <c r="H161" s="91">
        <f t="shared" si="95"/>
        <v>0.21485720293080565</v>
      </c>
      <c r="I161" s="91">
        <f t="shared" si="95"/>
        <v>6.9192159415937303E-3</v>
      </c>
      <c r="J161" s="91">
        <f t="shared" si="95"/>
        <v>1.195341905226883E-2</v>
      </c>
      <c r="K161" s="91">
        <f t="shared" si="95"/>
        <v>1.2803290557800446E-3</v>
      </c>
      <c r="L161" s="91">
        <f t="shared" si="95"/>
        <v>3.4012561580883268E-3</v>
      </c>
      <c r="M161" s="86">
        <f>SUM(C161:L161)</f>
        <v>0.8567800576690795</v>
      </c>
    </row>
    <row r="162" spans="2:16">
      <c r="C162" s="92"/>
      <c r="D162" s="92">
        <f t="shared" ref="D162:L162" si="96">+D161*$M162</f>
        <v>1625.0672593133543</v>
      </c>
      <c r="E162" s="92">
        <f t="shared" si="96"/>
        <v>916.66150470115963</v>
      </c>
      <c r="F162" s="92">
        <f t="shared" si="96"/>
        <v>28.104153789360701</v>
      </c>
      <c r="G162" s="92">
        <f t="shared" si="96"/>
        <v>32.315771817573889</v>
      </c>
      <c r="H162" s="92">
        <f t="shared" si="96"/>
        <v>904.1376904353815</v>
      </c>
      <c r="I162" s="92">
        <f t="shared" si="96"/>
        <v>29.116659044802596</v>
      </c>
      <c r="J162" s="92">
        <f t="shared" si="96"/>
        <v>50.301021084246237</v>
      </c>
      <c r="K162" s="92">
        <f t="shared" si="96"/>
        <v>5.387735387503314</v>
      </c>
      <c r="L162" s="92">
        <f t="shared" si="96"/>
        <v>14.312780048353613</v>
      </c>
      <c r="M162" s="87">
        <f>+'2022-2023 Recy. Tons &amp; Revenue'!C29</f>
        <v>4208.0864783786528</v>
      </c>
      <c r="O162" s="87"/>
      <c r="P162" s="87"/>
    </row>
    <row r="163" spans="2:16">
      <c r="C163" s="185"/>
      <c r="D163" s="57">
        <f t="shared" ref="D163:L163" si="97">+$C$68*D162*D29+D162*D63*$C$69</f>
        <v>54361.14328977785</v>
      </c>
      <c r="E163" s="57">
        <f t="shared" si="97"/>
        <v>105977.92152117731</v>
      </c>
      <c r="F163" s="57">
        <f t="shared" si="97"/>
        <v>36497.375108998218</v>
      </c>
      <c r="G163" s="57">
        <f t="shared" si="97"/>
        <v>5030.4285401314219</v>
      </c>
      <c r="H163" s="57">
        <f t="shared" si="97"/>
        <v>-57412.743342646725</v>
      </c>
      <c r="I163" s="57">
        <f t="shared" si="97"/>
        <v>1207.9384561321638</v>
      </c>
      <c r="J163" s="57">
        <f t="shared" si="97"/>
        <v>20707.33354819594</v>
      </c>
      <c r="K163" s="57">
        <f t="shared" si="97"/>
        <v>677.93492211031094</v>
      </c>
      <c r="L163" s="57">
        <f t="shared" si="97"/>
        <v>-2683.6462590663023</v>
      </c>
      <c r="M163" s="130">
        <f>SUM(C163:L163)</f>
        <v>164363.68578481022</v>
      </c>
    </row>
    <row r="164" spans="2:16">
      <c r="C164" s="57"/>
      <c r="D164" s="57"/>
      <c r="E164" s="57"/>
      <c r="F164" s="57"/>
      <c r="G164" s="57"/>
      <c r="H164" s="57"/>
      <c r="I164" s="57"/>
      <c r="J164" s="57"/>
      <c r="K164" s="57"/>
      <c r="L164" s="57"/>
      <c r="M164" s="87"/>
    </row>
    <row r="165" spans="2:16">
      <c r="B165" s="11" t="s">
        <v>62</v>
      </c>
      <c r="C165" s="91"/>
      <c r="D165" s="91">
        <f t="shared" ref="D165:L165" si="98">+D262</f>
        <v>0.38617724889044619</v>
      </c>
      <c r="E165" s="91">
        <f t="shared" si="98"/>
        <v>0.21783333337159533</v>
      </c>
      <c r="F165" s="91">
        <f t="shared" si="98"/>
        <v>6.6786065195573261E-3</v>
      </c>
      <c r="G165" s="91">
        <f t="shared" si="98"/>
        <v>7.6794457489440518E-3</v>
      </c>
      <c r="H165" s="91">
        <f t="shared" si="98"/>
        <v>0.21485720293080565</v>
      </c>
      <c r="I165" s="91">
        <f t="shared" si="98"/>
        <v>6.9192159415937303E-3</v>
      </c>
      <c r="J165" s="91">
        <f t="shared" si="98"/>
        <v>1.195341905226883E-2</v>
      </c>
      <c r="K165" s="91">
        <f t="shared" si="98"/>
        <v>1.2803290557800446E-3</v>
      </c>
      <c r="L165" s="91">
        <f t="shared" si="98"/>
        <v>3.4012561580883268E-3</v>
      </c>
      <c r="M165" s="86">
        <f>SUM(C165:L165)</f>
        <v>0.8567800576690795</v>
      </c>
    </row>
    <row r="166" spans="2:16">
      <c r="C166" s="92">
        <f t="shared" ref="C166:L166" si="99">+C165*$M166</f>
        <v>0</v>
      </c>
      <c r="D166" s="92">
        <f t="shared" si="99"/>
        <v>1478.9618973681645</v>
      </c>
      <c r="E166" s="92">
        <f t="shared" si="99"/>
        <v>834.24697068231865</v>
      </c>
      <c r="F166" s="92">
        <f t="shared" si="99"/>
        <v>25.577386027580296</v>
      </c>
      <c r="G166" s="92">
        <f t="shared" si="99"/>
        <v>29.410348973758925</v>
      </c>
      <c r="H166" s="92">
        <f t="shared" si="99"/>
        <v>822.84913837559429</v>
      </c>
      <c r="I166" s="92">
        <f t="shared" si="99"/>
        <v>26.49885969896317</v>
      </c>
      <c r="J166" s="92">
        <f t="shared" si="99"/>
        <v>45.778593566488155</v>
      </c>
      <c r="K166" s="92">
        <f t="shared" si="99"/>
        <v>4.9033388037036456</v>
      </c>
      <c r="L166" s="92">
        <f t="shared" si="99"/>
        <v>13.02595705846076</v>
      </c>
      <c r="M166" s="87">
        <f>+'2022-2023 Recy. Tons &amp; Revenue'!C30</f>
        <v>3829.7489083509631</v>
      </c>
      <c r="O166" s="87"/>
      <c r="P166" s="87"/>
    </row>
    <row r="167" spans="2:16">
      <c r="C167" s="184"/>
      <c r="D167" s="57">
        <f t="shared" ref="D167:L167" si="100">+$C$68*D166*D30+D166*D64*$C$69</f>
        <v>62877.04025236654</v>
      </c>
      <c r="E167" s="57">
        <f t="shared" si="100"/>
        <v>101225.0623466066</v>
      </c>
      <c r="F167" s="57">
        <f t="shared" si="100"/>
        <v>31868.676428592276</v>
      </c>
      <c r="G167" s="57">
        <f t="shared" si="100"/>
        <v>5483.3168258396681</v>
      </c>
      <c r="H167" s="57">
        <f t="shared" si="100"/>
        <v>-52250.92028685024</v>
      </c>
      <c r="I167" s="57">
        <f t="shared" si="100"/>
        <v>1794.4537672775939</v>
      </c>
      <c r="J167" s="57">
        <f t="shared" si="100"/>
        <v>20974.526047723408</v>
      </c>
      <c r="K167" s="57">
        <f t="shared" si="100"/>
        <v>541.28930176408801</v>
      </c>
      <c r="L167" s="57">
        <f t="shared" si="100"/>
        <v>-2202.9258223448642</v>
      </c>
      <c r="M167" s="87">
        <f>SUM(C167:L167)</f>
        <v>170310.51886097502</v>
      </c>
    </row>
    <row r="169" spans="2:16">
      <c r="B169" s="90" t="s">
        <v>63</v>
      </c>
    </row>
    <row r="170" spans="2:16">
      <c r="B170" s="11" t="str">
        <f>+B73</f>
        <v>Oct; '21</v>
      </c>
      <c r="C170" s="91"/>
      <c r="D170" s="91">
        <f>+'Composition-Rec. Acct. Analysis'!$D$7</f>
        <v>0.34451473439966246</v>
      </c>
      <c r="E170" s="91">
        <f>+'Composition-Rec. Acct. Analysis'!$D$8</f>
        <v>0.19061939503231459</v>
      </c>
      <c r="F170" s="91">
        <f>+'Composition-Rec. Acct. Analysis'!$D$9</f>
        <v>5.9803659933584117E-3</v>
      </c>
      <c r="G170" s="91">
        <f>+'Composition-Rec. Acct. Analysis'!$D$10</f>
        <v>9.4698167033580045E-3</v>
      </c>
      <c r="H170" s="91">
        <f>+'Composition-Rec. Acct. Analysis'!$D$11</f>
        <v>0.21112917662969571</v>
      </c>
      <c r="I170" s="91">
        <f>+'Composition-Rec. Acct. Analysis'!$D$12</f>
        <v>6.9692890107884292E-3</v>
      </c>
      <c r="J170" s="91">
        <f>+'Composition-Rec. Acct. Analysis'!$D$13</f>
        <v>1.0015985456419092E-2</v>
      </c>
      <c r="K170" s="91">
        <f>+'Composition-Rec. Acct. Analysis'!$D$14</f>
        <v>1.3894825065715588E-3</v>
      </c>
      <c r="L170" s="91">
        <f>+'Composition-Rec. Acct. Analysis'!$D$15</f>
        <v>2.1307048216271259E-3</v>
      </c>
      <c r="M170" s="91">
        <f>+M73</f>
        <v>0.78221895055379542</v>
      </c>
    </row>
    <row r="171" spans="2:16">
      <c r="C171" s="92">
        <f t="shared" ref="C171:L171" si="101">+C170*$M171</f>
        <v>0</v>
      </c>
      <c r="D171" s="92">
        <f t="shared" si="101"/>
        <v>1179.842385161804</v>
      </c>
      <c r="E171" s="92">
        <f t="shared" si="101"/>
        <v>652.80471119741617</v>
      </c>
      <c r="F171" s="92">
        <f t="shared" si="101"/>
        <v>20.480660399154885</v>
      </c>
      <c r="G171" s="92">
        <f t="shared" si="101"/>
        <v>32.430807773154989</v>
      </c>
      <c r="H171" s="92">
        <f t="shared" si="101"/>
        <v>723.04353474488744</v>
      </c>
      <c r="I171" s="92">
        <f t="shared" si="101"/>
        <v>23.867375610796596</v>
      </c>
      <c r="J171" s="92">
        <f t="shared" si="101"/>
        <v>34.301244593325642</v>
      </c>
      <c r="K171" s="92">
        <f t="shared" si="101"/>
        <v>4.7584912661302887</v>
      </c>
      <c r="L171" s="92">
        <f t="shared" si="101"/>
        <v>7.2969182673853368</v>
      </c>
      <c r="M171" s="87">
        <f>+'2022-2023 Recy. Tons &amp; Revenue'!$D$7</f>
        <v>3424.65</v>
      </c>
      <c r="N171" s="92"/>
    </row>
    <row r="172" spans="2:16">
      <c r="C172" s="57">
        <f t="shared" ref="C172:L172" si="102">+C171*C7</f>
        <v>0</v>
      </c>
      <c r="D172" s="57">
        <f t="shared" si="102"/>
        <v>133959.30441127124</v>
      </c>
      <c r="E172" s="57">
        <f t="shared" si="102"/>
        <v>131670.71024851882</v>
      </c>
      <c r="F172" s="57">
        <f t="shared" si="102"/>
        <v>33974.548309742073</v>
      </c>
      <c r="G172" s="57">
        <f t="shared" si="102"/>
        <v>6823.1176473940777</v>
      </c>
      <c r="H172" s="57">
        <f t="shared" si="102"/>
        <v>-45913.264456300356</v>
      </c>
      <c r="I172" s="57">
        <f t="shared" si="102"/>
        <v>5902.879336062214</v>
      </c>
      <c r="J172" s="57">
        <f t="shared" si="102"/>
        <v>69288.514078517794</v>
      </c>
      <c r="K172" s="57">
        <f t="shared" si="102"/>
        <v>4806.0761787915917</v>
      </c>
      <c r="L172" s="57">
        <f t="shared" si="102"/>
        <v>-1368.1721751347507</v>
      </c>
      <c r="M172" s="87">
        <f>SUM(C172:L172)</f>
        <v>339143.71357886272</v>
      </c>
      <c r="N172" s="99"/>
    </row>
    <row r="173" spans="2:16">
      <c r="C173" s="91"/>
      <c r="D173" s="91"/>
      <c r="E173" s="91"/>
      <c r="F173" s="91"/>
      <c r="G173" s="91"/>
      <c r="H173" s="91"/>
      <c r="I173" s="91"/>
      <c r="J173" s="91"/>
      <c r="K173" s="91"/>
      <c r="L173" s="91"/>
      <c r="N173" s="99"/>
    </row>
    <row r="174" spans="2:16">
      <c r="B174" s="11" t="s">
        <v>47</v>
      </c>
      <c r="C174" s="91"/>
      <c r="D174" s="91">
        <f>+'Composition-Rec. Acct. Analysis'!$F$7</f>
        <v>0.38993981205758893</v>
      </c>
      <c r="E174" s="91">
        <f>+'Composition-Rec. Acct. Analysis'!$F$8</f>
        <v>0.17698939384752213</v>
      </c>
      <c r="F174" s="91">
        <f>+'Composition-Rec. Acct. Analysis'!$F$9</f>
        <v>5.7995084347954671E-3</v>
      </c>
      <c r="G174" s="91">
        <f>+'Composition-Rec. Acct. Analysis'!$F$10</f>
        <v>8.7703846475307903E-3</v>
      </c>
      <c r="H174" s="91">
        <f>+'Composition-Rec. Acct. Analysis'!$F$11</f>
        <v>0.22449791936539026</v>
      </c>
      <c r="I174" s="91">
        <f>+'Composition-Rec. Acct. Analysis'!$F$12</f>
        <v>2.5408891223468614E-4</v>
      </c>
      <c r="J174" s="91">
        <f>+'Composition-Rec. Acct. Analysis'!$F$13</f>
        <v>1.4600988848837468E-2</v>
      </c>
      <c r="K174" s="91">
        <f>+'Composition-Rec. Acct. Analysis'!$F$14</f>
        <v>5.1716594346182731E-4</v>
      </c>
      <c r="L174" s="91">
        <f>+'Composition-Rec. Acct. Analysis'!$F$15</f>
        <v>4.1848321335904359E-3</v>
      </c>
      <c r="M174" s="91">
        <f>+M77</f>
        <v>0.82555409419095194</v>
      </c>
      <c r="N174" s="99"/>
    </row>
    <row r="175" spans="2:16">
      <c r="C175" s="92">
        <f t="shared" ref="C175:L175" si="103">+C174*$M175</f>
        <v>0</v>
      </c>
      <c r="D175" s="92">
        <f t="shared" si="103"/>
        <v>1553.2316557765116</v>
      </c>
      <c r="E175" s="92">
        <f t="shared" si="103"/>
        <v>704.99477293708094</v>
      </c>
      <c r="F175" s="92">
        <f t="shared" si="103"/>
        <v>23.100949967983389</v>
      </c>
      <c r="G175" s="92">
        <f t="shared" si="103"/>
        <v>34.93472235112349</v>
      </c>
      <c r="H175" s="92">
        <f t="shared" si="103"/>
        <v>894.23358229138432</v>
      </c>
      <c r="I175" s="92">
        <f t="shared" si="103"/>
        <v>1.0121022005479359</v>
      </c>
      <c r="J175" s="92">
        <f t="shared" si="103"/>
        <v>58.159534842020328</v>
      </c>
      <c r="K175" s="92">
        <f t="shared" si="103"/>
        <v>2.0600064159537581</v>
      </c>
      <c r="L175" s="92">
        <f t="shared" si="103"/>
        <v>16.669274444445438</v>
      </c>
      <c r="M175" s="87">
        <f>+'2022-2023 Recy. Tons &amp; Revenue'!$D$8</f>
        <v>3983.2599999999998</v>
      </c>
      <c r="N175" s="99"/>
    </row>
    <row r="176" spans="2:16">
      <c r="C176" s="57">
        <f t="shared" ref="C176:L176" si="104">+C175*C8</f>
        <v>0</v>
      </c>
      <c r="D176" s="57">
        <f t="shared" si="104"/>
        <v>151766.26508592293</v>
      </c>
      <c r="E176" s="57">
        <f t="shared" si="104"/>
        <v>128012.95086991516</v>
      </c>
      <c r="F176" s="57">
        <f t="shared" si="104"/>
        <v>33920.741904487768</v>
      </c>
      <c r="G176" s="57">
        <f t="shared" si="104"/>
        <v>8362.3244891884297</v>
      </c>
      <c r="H176" s="57">
        <f t="shared" si="104"/>
        <v>-56783.832475502903</v>
      </c>
      <c r="I176" s="57">
        <f t="shared" si="104"/>
        <v>253.02555013698398</v>
      </c>
      <c r="J176" s="57">
        <f t="shared" si="104"/>
        <v>97708.018534594157</v>
      </c>
      <c r="K176" s="57">
        <f t="shared" si="104"/>
        <v>1454.3645296633533</v>
      </c>
      <c r="L176" s="57">
        <f t="shared" si="104"/>
        <v>-3125.4889583335198</v>
      </c>
      <c r="M176" s="87">
        <f>SUM(C176:L176)</f>
        <v>361568.36953007238</v>
      </c>
      <c r="N176" s="99"/>
    </row>
    <row r="177" spans="2:14">
      <c r="N177" s="99"/>
    </row>
    <row r="178" spans="2:14">
      <c r="B178" s="11" t="s">
        <v>64</v>
      </c>
      <c r="C178" s="91"/>
      <c r="D178" s="91">
        <f>+'Composition-Rec. Acct. Analysis'!$H$7</f>
        <v>0.37140199789171413</v>
      </c>
      <c r="E178" s="91">
        <f>+'Composition-Rec. Acct. Analysis'!$H$8</f>
        <v>0.19763744831626137</v>
      </c>
      <c r="F178" s="91">
        <f>+'Composition-Rec. Acct. Analysis'!$H$9</f>
        <v>5.9831560127837514E-3</v>
      </c>
      <c r="G178" s="91">
        <f>+'Composition-Rec. Acct. Analysis'!$H$10</f>
        <v>1.0757445754263024E-2</v>
      </c>
      <c r="H178" s="91">
        <f>+'Composition-Rec. Acct. Analysis'!$H$11</f>
        <v>0.24965387401783901</v>
      </c>
      <c r="I178" s="91">
        <f>+'Composition-Rec. Acct. Analysis'!$H12</f>
        <v>1.4759852609654881E-3</v>
      </c>
      <c r="J178" s="91">
        <f>+'Composition-Rec. Acct. Analysis'!$H$13</f>
        <v>1.2306440588051543E-2</v>
      </c>
      <c r="K178" s="91">
        <f>+'Composition-Rec. Acct. Analysis'!$H$14</f>
        <v>3.272373833169167E-4</v>
      </c>
      <c r="L178" s="91">
        <f>+'Composition-Rec. Acct. Analysis'!$H$15</f>
        <v>4.0985195148939791E-3</v>
      </c>
      <c r="M178" s="91">
        <f>+M81</f>
        <v>0.85364210474008928</v>
      </c>
      <c r="N178" s="99"/>
    </row>
    <row r="179" spans="2:14">
      <c r="C179" s="92">
        <f t="shared" ref="C179:L179" si="105">+C178*$M179</f>
        <v>0</v>
      </c>
      <c r="D179" s="92">
        <f t="shared" si="105"/>
        <v>1158.1762762055423</v>
      </c>
      <c r="E179" s="92">
        <f t="shared" si="105"/>
        <v>616.31064245494622</v>
      </c>
      <c r="F179" s="92">
        <f t="shared" si="105"/>
        <v>18.657813878704722</v>
      </c>
      <c r="G179" s="92">
        <f t="shared" si="105"/>
        <v>33.545911265636271</v>
      </c>
      <c r="H179" s="92">
        <f t="shared" si="105"/>
        <v>778.51814419848893</v>
      </c>
      <c r="I179" s="92">
        <f t="shared" si="105"/>
        <v>4.6026976779421682</v>
      </c>
      <c r="J179" s="92">
        <f t="shared" si="105"/>
        <v>38.376281265374054</v>
      </c>
      <c r="K179" s="92">
        <f t="shared" si="105"/>
        <v>1.0204537837616399</v>
      </c>
      <c r="L179" s="92">
        <f t="shared" si="105"/>
        <v>12.780782270050235</v>
      </c>
      <c r="M179" s="87">
        <f>+'2022-2023 Recy. Tons &amp; Revenue'!$D$9</f>
        <v>3118.39</v>
      </c>
      <c r="N179" s="99"/>
    </row>
    <row r="180" spans="2:14">
      <c r="C180" s="57">
        <f t="shared" ref="C180:L180" si="106">+C179*C9</f>
        <v>0</v>
      </c>
      <c r="D180" s="57">
        <f t="shared" si="106"/>
        <v>76358.561890231416</v>
      </c>
      <c r="E180" s="57">
        <f t="shared" si="106"/>
        <v>102702.00545869223</v>
      </c>
      <c r="F180" s="57">
        <f t="shared" si="106"/>
        <v>30199.724122210249</v>
      </c>
      <c r="G180" s="57">
        <f t="shared" si="106"/>
        <v>7750.4473388126034</v>
      </c>
      <c r="H180" s="57">
        <f t="shared" si="106"/>
        <v>-49435.902156604046</v>
      </c>
      <c r="I180" s="57">
        <f t="shared" si="106"/>
        <v>1192.5129413780362</v>
      </c>
      <c r="J180" s="57">
        <f t="shared" si="106"/>
        <v>42213.90939191146</v>
      </c>
      <c r="K180" s="57">
        <f t="shared" si="106"/>
        <v>469.40874053035435</v>
      </c>
      <c r="L180" s="57">
        <f t="shared" si="106"/>
        <v>-2396.3966756344189</v>
      </c>
      <c r="M180" s="87">
        <f>SUM(C180:L180)</f>
        <v>209054.27105152787</v>
      </c>
      <c r="N180" s="99"/>
    </row>
    <row r="181" spans="2:14">
      <c r="N181" s="99"/>
    </row>
    <row r="182" spans="2:14">
      <c r="B182" s="11" t="str">
        <f>+B85</f>
        <v>Jan. '22</v>
      </c>
      <c r="C182" s="91"/>
      <c r="D182" s="91">
        <f>+'Composition-Rec. Acct. Analysis'!$J$7</f>
        <v>0.39301886674384967</v>
      </c>
      <c r="E182" s="91">
        <f>+'Composition-Rec. Acct. Analysis'!$J$8</f>
        <v>0.19288530693299835</v>
      </c>
      <c r="F182" s="91">
        <f>+'Composition-Rec. Acct. Analysis'!$J$9</f>
        <v>5.1630132467083987E-3</v>
      </c>
      <c r="G182" s="91">
        <f>+'Composition-Rec. Acct. Analysis'!$J$10</f>
        <v>1.0110991806111747E-2</v>
      </c>
      <c r="H182" s="91">
        <f>+'Composition-Rec. Acct. Analysis'!$J$11</f>
        <v>0.2212600097029204</v>
      </c>
      <c r="I182" s="91">
        <f>+'Composition-Rec. Acct. Analysis'!$J$12</f>
        <v>3.5002955571066317E-3</v>
      </c>
      <c r="J182" s="91">
        <f>+'Composition-Rec. Acct. Analysis'!$J$13</f>
        <v>1.2321057188454798E-2</v>
      </c>
      <c r="K182" s="91">
        <f>+'Composition-Rec. Acct. Analysis'!$J$14</f>
        <v>4.2492663877160023E-4</v>
      </c>
      <c r="L182" s="91">
        <f>+'Composition-Rec. Acct. Analysis'!$J$15</f>
        <v>3.4973939979399218E-3</v>
      </c>
      <c r="M182" s="86">
        <f>SUM(C182:L182)</f>
        <v>0.84218186181486143</v>
      </c>
      <c r="N182" s="99"/>
    </row>
    <row r="183" spans="2:14">
      <c r="C183" s="92">
        <f t="shared" ref="C183:L183" si="107">+C182*$M183</f>
        <v>0</v>
      </c>
      <c r="D183" s="92">
        <f t="shared" si="107"/>
        <v>1712.6150835343317</v>
      </c>
      <c r="E183" s="92">
        <f t="shared" si="107"/>
        <v>840.51508463816413</v>
      </c>
      <c r="F183" s="92">
        <f t="shared" si="107"/>
        <v>22.498294893724047</v>
      </c>
      <c r="G183" s="92">
        <f t="shared" si="107"/>
        <v>44.059556784394481</v>
      </c>
      <c r="H183" s="92">
        <f t="shared" si="107"/>
        <v>964.16040568134872</v>
      </c>
      <c r="I183" s="92">
        <f t="shared" si="107"/>
        <v>15.252852916692285</v>
      </c>
      <c r="J183" s="92">
        <f t="shared" si="107"/>
        <v>53.690115593838733</v>
      </c>
      <c r="K183" s="92">
        <f t="shared" si="107"/>
        <v>1.8516560718447372</v>
      </c>
      <c r="L183" s="92">
        <f t="shared" si="107"/>
        <v>15.24020911148302</v>
      </c>
      <c r="M183" s="87">
        <f>+'2022-2023 Recy. Tons &amp; Revenue'!D10</f>
        <v>4357.5899999999992</v>
      </c>
      <c r="N183" s="99"/>
    </row>
    <row r="184" spans="2:14">
      <c r="C184" s="57">
        <f t="shared" ref="C184:L184" si="108">+C183*C10</f>
        <v>0</v>
      </c>
      <c r="D184" s="57">
        <f t="shared" si="108"/>
        <v>105651.22450323292</v>
      </c>
      <c r="E184" s="57">
        <f t="shared" si="108"/>
        <v>126001.61633810718</v>
      </c>
      <c r="F184" s="57">
        <f t="shared" si="108"/>
        <v>43329.691118772083</v>
      </c>
      <c r="G184" s="57">
        <f t="shared" si="108"/>
        <v>9024.7190161475228</v>
      </c>
      <c r="H184" s="57">
        <f t="shared" si="108"/>
        <v>-61224.185760765642</v>
      </c>
      <c r="I184" s="57">
        <f t="shared" si="108"/>
        <v>3660.6847000061484</v>
      </c>
      <c r="J184" s="57">
        <f t="shared" si="108"/>
        <v>48321.10403445486</v>
      </c>
      <c r="K184" s="57">
        <f t="shared" si="108"/>
        <v>592.52994299031593</v>
      </c>
      <c r="L184" s="57">
        <f t="shared" si="108"/>
        <v>-2857.5392084030664</v>
      </c>
      <c r="M184" s="87">
        <f>SUM(C184:L184)</f>
        <v>272499.84468454233</v>
      </c>
      <c r="N184" s="99"/>
    </row>
    <row r="185" spans="2:14">
      <c r="C185" s="91"/>
      <c r="D185" s="91"/>
      <c r="E185" s="91"/>
      <c r="F185" s="91"/>
      <c r="G185" s="91"/>
      <c r="H185" s="91"/>
      <c r="I185" s="91"/>
      <c r="J185" s="91"/>
      <c r="K185" s="91"/>
      <c r="L185" s="91"/>
      <c r="N185" s="99"/>
    </row>
    <row r="186" spans="2:14">
      <c r="B186" s="11" t="s">
        <v>49</v>
      </c>
      <c r="C186" s="91"/>
      <c r="D186" s="91">
        <f>+'Composition-Rec. Acct. Analysis'!$L$7</f>
        <v>0.37329750017776259</v>
      </c>
      <c r="E186" s="91">
        <f>+'Composition-Rec. Acct. Analysis'!$L$8</f>
        <v>0.22658534958973167</v>
      </c>
      <c r="F186" s="91">
        <f>+'Composition-Rec. Acct. Analysis'!$L$9</f>
        <v>6.752226522682675E-3</v>
      </c>
      <c r="G186" s="91">
        <f>+'Composition-Rec. Acct. Analysis'!$L$10</f>
        <v>1.0684261597059671E-2</v>
      </c>
      <c r="H186" s="91">
        <f>+'Composition-Rec. Acct. Analysis'!$L$11</f>
        <v>0.22229960153608702</v>
      </c>
      <c r="I186" s="91">
        <f>+'Composition-Rec. Acct. Analysis'!$L$12</f>
        <v>6.2479502347632257E-3</v>
      </c>
      <c r="J186" s="91">
        <f>+'Composition-Rec. Acct. Analysis'!$L$13</f>
        <v>1.0861543345892035E-2</v>
      </c>
      <c r="K186" s="91">
        <f>+'Composition-Rec. Acct. Analysis'!$L$14</f>
        <v>5.9247095817473118E-4</v>
      </c>
      <c r="L186" s="91">
        <f>+'Composition-Rec. Acct. Analysis'!$L$15</f>
        <v>1.0342282598841821E-2</v>
      </c>
      <c r="M186" s="86">
        <f>SUM(C186:L186)</f>
        <v>0.86766318656099561</v>
      </c>
      <c r="N186" s="99"/>
    </row>
    <row r="187" spans="2:14">
      <c r="C187" s="92">
        <f t="shared" ref="C187:L187" si="109">+C186*$M187</f>
        <v>0</v>
      </c>
      <c r="D187" s="92">
        <f t="shared" si="109"/>
        <v>1224.2702145579919</v>
      </c>
      <c r="E187" s="92">
        <f t="shared" si="109"/>
        <v>743.11157836797986</v>
      </c>
      <c r="F187" s="92">
        <f t="shared" si="109"/>
        <v>22.144669626055329</v>
      </c>
      <c r="G187" s="92">
        <f t="shared" si="109"/>
        <v>35.040211176332868</v>
      </c>
      <c r="H187" s="92">
        <f t="shared" si="109"/>
        <v>729.05599619376642</v>
      </c>
      <c r="I187" s="92">
        <f t="shared" si="109"/>
        <v>20.490840069431822</v>
      </c>
      <c r="J187" s="92">
        <f t="shared" si="109"/>
        <v>35.621626172620978</v>
      </c>
      <c r="K187" s="92">
        <f t="shared" si="109"/>
        <v>1.9430736791394303</v>
      </c>
      <c r="L187" s="92">
        <f t="shared" si="109"/>
        <v>33.918653433987629</v>
      </c>
      <c r="M187" s="87">
        <f>+'2022-2023 Recy. Tons &amp; Revenue'!D11</f>
        <v>3279.61</v>
      </c>
      <c r="N187" s="99"/>
    </row>
    <row r="188" spans="2:14">
      <c r="C188" s="57">
        <f t="shared" ref="C188:L188" si="110">+C187*C11</f>
        <v>0</v>
      </c>
      <c r="D188" s="57">
        <f t="shared" si="110"/>
        <v>62596.93607035013</v>
      </c>
      <c r="E188" s="57">
        <f t="shared" si="110"/>
        <v>117961.53195013313</v>
      </c>
      <c r="F188" s="57">
        <f t="shared" si="110"/>
        <v>47303.007341520533</v>
      </c>
      <c r="G188" s="57">
        <f t="shared" si="110"/>
        <v>7111.060456124992</v>
      </c>
      <c r="H188" s="57">
        <f t="shared" si="110"/>
        <v>-46295.055758304166</v>
      </c>
      <c r="I188" s="57">
        <f t="shared" si="110"/>
        <v>5566.1317964604596</v>
      </c>
      <c r="J188" s="57">
        <f t="shared" si="110"/>
        <v>32059.463555358881</v>
      </c>
      <c r="K188" s="57">
        <f t="shared" si="110"/>
        <v>544.06063015904044</v>
      </c>
      <c r="L188" s="57">
        <f t="shared" si="110"/>
        <v>-6359.7475188726803</v>
      </c>
      <c r="M188" s="87">
        <f>SUM(C188:L188)</f>
        <v>220487.38852293033</v>
      </c>
      <c r="N188" s="99"/>
    </row>
    <row r="189" spans="2:14">
      <c r="N189" s="99"/>
    </row>
    <row r="190" spans="2:14">
      <c r="B190" s="11" t="s">
        <v>50</v>
      </c>
      <c r="C190" s="91"/>
      <c r="D190" s="91">
        <f>+'Composition-Rec. Acct. Analysis'!N$7</f>
        <v>0.41003541068917587</v>
      </c>
      <c r="E190" s="91">
        <f>+'Composition-Rec. Acct. Analysis'!N$8</f>
        <v>0.180445094319683</v>
      </c>
      <c r="F190" s="91">
        <f>+'Composition-Rec. Acct. Analysis'!N$9</f>
        <v>4.9297948595097649E-3</v>
      </c>
      <c r="G190" s="91">
        <f>+'Composition-Rec. Acct. Analysis'!N$10</f>
        <v>6.5517014813198243E-3</v>
      </c>
      <c r="H190" s="91">
        <f>+'Composition-Rec. Acct. Analysis'!N$11</f>
        <v>0.21240877162020805</v>
      </c>
      <c r="I190" s="91">
        <f>+'Composition-Rec. Acct. Analysis'!N$12</f>
        <v>4.4010579296255821E-3</v>
      </c>
      <c r="J190" s="91">
        <f>+'Composition-Rec. Acct. Analysis'!N$13</f>
        <v>1.5948294494911436E-2</v>
      </c>
      <c r="K190" s="91">
        <f>+'Composition-Rec. Acct. Analysis'!N$14</f>
        <v>2.8226687988120343E-3</v>
      </c>
      <c r="L190" s="91">
        <f>+'Composition-Rec. Acct. Analysis'!N$15</f>
        <v>5.118199066450474E-3</v>
      </c>
      <c r="M190" s="86">
        <f>SUM(C190:L190)</f>
        <v>0.84266099325969579</v>
      </c>
      <c r="N190" s="99"/>
    </row>
    <row r="191" spans="2:14">
      <c r="C191" s="92">
        <f t="shared" ref="C191:L191" si="111">+C190*$M191</f>
        <v>0</v>
      </c>
      <c r="D191" s="92">
        <f t="shared" si="111"/>
        <v>1546.4444510601197</v>
      </c>
      <c r="E191" s="92">
        <f t="shared" si="111"/>
        <v>680.54686877574125</v>
      </c>
      <c r="F191" s="92">
        <f t="shared" si="111"/>
        <v>18.592672014692482</v>
      </c>
      <c r="G191" s="92">
        <f t="shared" si="111"/>
        <v>24.709676619782904</v>
      </c>
      <c r="H191" s="92">
        <f t="shared" si="111"/>
        <v>801.09755807789838</v>
      </c>
      <c r="I191" s="92">
        <f t="shared" si="111"/>
        <v>16.598545971003585</v>
      </c>
      <c r="J191" s="92">
        <f t="shared" si="111"/>
        <v>60.148833204613531</v>
      </c>
      <c r="K191" s="92">
        <f t="shared" si="111"/>
        <v>10.645667148031599</v>
      </c>
      <c r="L191" s="92">
        <f t="shared" si="111"/>
        <v>19.303236597127295</v>
      </c>
      <c r="M191" s="87">
        <f>+'2022-2023 Recy. Tons &amp; Revenue'!D12</f>
        <v>3771.49</v>
      </c>
      <c r="N191" s="99"/>
    </row>
    <row r="192" spans="2:14">
      <c r="C192" s="57">
        <f t="shared" ref="C192:L192" si="112">+C191*C12</f>
        <v>0</v>
      </c>
      <c r="D192" s="57">
        <f t="shared" si="112"/>
        <v>79054.240338193311</v>
      </c>
      <c r="E192" s="57">
        <f t="shared" si="112"/>
        <v>109282.21618800853</v>
      </c>
      <c r="F192" s="57">
        <f t="shared" si="112"/>
        <v>44124.315151988347</v>
      </c>
      <c r="G192" s="57">
        <f t="shared" si="112"/>
        <v>5921.9210986971711</v>
      </c>
      <c r="H192" s="57">
        <f t="shared" si="112"/>
        <v>-50869.694937946544</v>
      </c>
      <c r="I192" s="57">
        <f t="shared" si="112"/>
        <v>5379.7547346619722</v>
      </c>
      <c r="J192" s="57">
        <f t="shared" si="112"/>
        <v>49322.043227783099</v>
      </c>
      <c r="K192" s="57">
        <f t="shared" si="112"/>
        <v>4151.8101877323234</v>
      </c>
      <c r="L192" s="57">
        <f t="shared" si="112"/>
        <v>-3619.3568619613679</v>
      </c>
      <c r="M192" s="87">
        <f>SUM(C192:L192)</f>
        <v>242747.24912715692</v>
      </c>
      <c r="N192" s="99"/>
    </row>
    <row r="193" spans="2:14">
      <c r="N193" s="99"/>
    </row>
    <row r="194" spans="2:14">
      <c r="B194" s="11" t="s">
        <v>51</v>
      </c>
      <c r="C194" s="91"/>
      <c r="D194" s="91">
        <f>+'Composition-Rec. Acct. Analysis'!P$7</f>
        <v>0.42369203654325316</v>
      </c>
      <c r="E194" s="91">
        <f>+'Composition-Rec. Acct. Analysis'!P$8</f>
        <v>0.20471746696021817</v>
      </c>
      <c r="F194" s="91">
        <f>+'Composition-Rec. Acct. Analysis'!P$9</f>
        <v>4.4582556313537769E-3</v>
      </c>
      <c r="G194" s="91">
        <f>+'Composition-Rec. Acct. Analysis'!P$10</f>
        <v>4.9692266455568955E-3</v>
      </c>
      <c r="H194" s="91">
        <f>+'Composition-Rec. Acct. Analysis'!P$11</f>
        <v>0.19807368670938816</v>
      </c>
      <c r="I194" s="91">
        <f>+'Composition-Rec. Acct. Analysis'!P$12</f>
        <v>7.4789701730690614E-3</v>
      </c>
      <c r="J194" s="91">
        <f>+'Composition-Rec. Acct. Analysis'!P$13</f>
        <v>1.0942393629644023E-2</v>
      </c>
      <c r="K194" s="91">
        <f>+'Composition-Rec. Acct. Analysis'!P$14</f>
        <v>1.1473890852125642E-3</v>
      </c>
      <c r="L194" s="91">
        <f>+'Composition-Rec. Acct. Analysis'!P$15</f>
        <v>2.5535478776841807E-3</v>
      </c>
      <c r="M194" s="91">
        <f>+M97</f>
        <v>0.85803297325538008</v>
      </c>
      <c r="N194" s="99"/>
    </row>
    <row r="195" spans="2:14">
      <c r="C195" s="92">
        <f>+C194*$M195</f>
        <v>0</v>
      </c>
      <c r="D195" s="92">
        <f>+D194*$M195</f>
        <v>1428.7107318256769</v>
      </c>
      <c r="E195" s="92">
        <f>+E194*$M195</f>
        <v>690.31753446320374</v>
      </c>
      <c r="F195" s="92">
        <f>+F194*$M195</f>
        <v>15.033460901706505</v>
      </c>
      <c r="G195" s="92">
        <f t="shared" ref="G195:L195" si="113">+G194*$M195</f>
        <v>16.756480710150129</v>
      </c>
      <c r="H195" s="92">
        <f t="shared" si="113"/>
        <v>667.9143752683924</v>
      </c>
      <c r="I195" s="92">
        <f t="shared" si="113"/>
        <v>25.21946137209753</v>
      </c>
      <c r="J195" s="92">
        <f t="shared" si="113"/>
        <v>36.898298438841131</v>
      </c>
      <c r="K195" s="92">
        <f t="shared" si="113"/>
        <v>3.8690533647910272</v>
      </c>
      <c r="L195" s="92">
        <f t="shared" si="113"/>
        <v>8.6106911209449422</v>
      </c>
      <c r="M195" s="87">
        <f>+'2022-2023 Recy. Tons &amp; Revenue'!D13</f>
        <v>3372.05</v>
      </c>
      <c r="N195" s="99"/>
    </row>
    <row r="196" spans="2:14">
      <c r="C196" s="57">
        <f t="shared" ref="C196:L196" si="114">+C195*C13</f>
        <v>0</v>
      </c>
      <c r="D196" s="57">
        <f t="shared" si="114"/>
        <v>70178.27114727725</v>
      </c>
      <c r="E196" s="57">
        <f t="shared" si="114"/>
        <v>107247.73215420335</v>
      </c>
      <c r="F196" s="57">
        <f t="shared" si="114"/>
        <v>33636.015756087152</v>
      </c>
      <c r="G196" s="57">
        <f t="shared" si="114"/>
        <v>4588.2595480533082</v>
      </c>
      <c r="H196" s="57">
        <f t="shared" si="114"/>
        <v>-42412.56282954292</v>
      </c>
      <c r="I196" s="57">
        <f t="shared" si="114"/>
        <v>12790.806418700426</v>
      </c>
      <c r="J196" s="57">
        <f t="shared" si="114"/>
        <v>31732.536657403372</v>
      </c>
      <c r="K196" s="57">
        <f t="shared" si="114"/>
        <v>1779.7645478038726</v>
      </c>
      <c r="L196" s="57">
        <f t="shared" si="114"/>
        <v>-1614.5045851771768</v>
      </c>
      <c r="M196" s="87">
        <f>SUM(C196:L196)</f>
        <v>217926.31881480868</v>
      </c>
      <c r="N196" s="99"/>
    </row>
    <row r="198" spans="2:14">
      <c r="B198" s="11" t="s">
        <v>52</v>
      </c>
      <c r="C198" s="91"/>
      <c r="D198" s="91">
        <f>+'Composition-Rec. Acct. Analysis'!R$7</f>
        <v>0.48051031095582108</v>
      </c>
      <c r="E198" s="91">
        <f>+'Composition-Rec. Acct. Analysis'!R$8</f>
        <v>0.16755061895505494</v>
      </c>
      <c r="F198" s="91">
        <f>+'Composition-Rec. Acct. Analysis'!R$9</f>
        <v>4.2942582017795735E-3</v>
      </c>
      <c r="G198" s="91">
        <f>+'Composition-Rec. Acct. Analysis'!R$10</f>
        <v>5.8181517238117238E-3</v>
      </c>
      <c r="H198" s="91">
        <f>+'Composition-Rec. Acct. Analysis'!R$11</f>
        <v>0.20051502492818421</v>
      </c>
      <c r="I198" s="91">
        <f>+'Composition-Rec. Acct. Analysis'!R$12</f>
        <v>6.6758077713021504E-3</v>
      </c>
      <c r="J198" s="91">
        <f>+'Composition-Rec. Acct. Analysis'!R$13</f>
        <v>1.1926686134958502E-2</v>
      </c>
      <c r="K198" s="91">
        <f>+'Composition-Rec. Acct. Analysis'!R$14</f>
        <v>1.6738140773935818E-3</v>
      </c>
      <c r="L198" s="91">
        <f>+'Composition-Rec. Acct. Analysis'!R$15</f>
        <v>7.7464747705162612E-4</v>
      </c>
      <c r="M198" s="91">
        <f>+M101</f>
        <v>0.87973932022535728</v>
      </c>
    </row>
    <row r="199" spans="2:14">
      <c r="C199" s="92">
        <f>+C198*$M199</f>
        <v>0</v>
      </c>
      <c r="D199" s="92">
        <f>+D198*$M199</f>
        <v>1824.5457017303484</v>
      </c>
      <c r="E199" s="92">
        <f>+E198*$M199</f>
        <v>636.20645523423912</v>
      </c>
      <c r="F199" s="92">
        <f>+F198*$M199</f>
        <v>16.305727817977221</v>
      </c>
      <c r="G199" s="92">
        <f t="shared" ref="G199:L199" si="115">+G198*$M199</f>
        <v>22.092103910485498</v>
      </c>
      <c r="H199" s="92">
        <f t="shared" si="115"/>
        <v>761.37560115480835</v>
      </c>
      <c r="I199" s="92">
        <f t="shared" si="115"/>
        <v>25.348709688411397</v>
      </c>
      <c r="J199" s="92">
        <f t="shared" si="115"/>
        <v>45.286819923050928</v>
      </c>
      <c r="K199" s="92">
        <f t="shared" si="115"/>
        <v>6.3556394332711701</v>
      </c>
      <c r="L199" s="92">
        <f t="shared" si="115"/>
        <v>2.9414139351127297</v>
      </c>
      <c r="M199" s="87">
        <f>+'2022-2023 Recy. Tons &amp; Revenue'!D14</f>
        <v>3797.1000000000004</v>
      </c>
    </row>
    <row r="200" spans="2:14">
      <c r="C200" s="57">
        <f t="shared" ref="C200:L200" si="116">+C199*C14</f>
        <v>0</v>
      </c>
      <c r="D200" s="57">
        <f t="shared" si="116"/>
        <v>63877.345017579493</v>
      </c>
      <c r="E200" s="57">
        <f t="shared" si="116"/>
        <v>98656.535013173459</v>
      </c>
      <c r="F200" s="57">
        <f t="shared" si="116"/>
        <v>30204.404095464648</v>
      </c>
      <c r="G200" s="57">
        <f t="shared" si="116"/>
        <v>5565.8846592077161</v>
      </c>
      <c r="H200" s="57">
        <f t="shared" si="116"/>
        <v>-48347.350673330329</v>
      </c>
      <c r="I200" s="57">
        <f t="shared" si="116"/>
        <v>15975.010332733747</v>
      </c>
      <c r="J200" s="57">
        <f t="shared" si="116"/>
        <v>48909.765516895</v>
      </c>
      <c r="K200" s="57">
        <f t="shared" si="116"/>
        <v>3050.7069279701618</v>
      </c>
      <c r="L200" s="57">
        <f t="shared" si="116"/>
        <v>-551.51511283363686</v>
      </c>
      <c r="M200" s="87">
        <f>SUM(C200:L200)</f>
        <v>217340.78577686026</v>
      </c>
    </row>
    <row r="202" spans="2:14">
      <c r="B202" s="11" t="s">
        <v>53</v>
      </c>
      <c r="C202" s="91"/>
      <c r="D202" s="91">
        <f>+'Composition-Rec. Acct. Analysis'!T$7</f>
        <v>0.42148185091608609</v>
      </c>
      <c r="E202" s="91">
        <f>+'Composition-Rec. Acct. Analysis'!T$8</f>
        <v>0.19934396939619972</v>
      </c>
      <c r="F202" s="91">
        <f>+'Composition-Rec. Acct. Analysis'!T$9</f>
        <v>5.7341020820887746E-3</v>
      </c>
      <c r="G202" s="91">
        <f>+'Composition-Rec. Acct. Analysis'!T$10</f>
        <v>2.9677574933821469E-3</v>
      </c>
      <c r="H202" s="91">
        <f>+'Composition-Rec. Acct. Analysis'!T$11</f>
        <v>0.24610601717627326</v>
      </c>
      <c r="I202" s="91">
        <f>+'Composition-Rec. Acct. Analysis'!T$12</f>
        <v>2.3539276886567536E-3</v>
      </c>
      <c r="J202" s="91">
        <f>+'Composition-Rec. Acct. Analysis'!T$13</f>
        <v>1.6859767292736527E-2</v>
      </c>
      <c r="K202" s="91">
        <f>+'Composition-Rec. Acct. Analysis'!T$14</f>
        <v>9.8651218616581057E-5</v>
      </c>
      <c r="L202" s="91">
        <f>+'Composition-Rec. Acct. Analysis'!T$15</f>
        <v>4.6379774307934293E-3</v>
      </c>
      <c r="M202" s="91">
        <f>+M105</f>
        <v>0.89958402069483334</v>
      </c>
    </row>
    <row r="203" spans="2:14">
      <c r="C203" s="92">
        <f>+C202*$M203</f>
        <v>0</v>
      </c>
      <c r="D203" s="92">
        <f>+D202*$M203</f>
        <v>1653.039174837362</v>
      </c>
      <c r="E203" s="92">
        <f>+E202*$M203</f>
        <v>781.82106765281333</v>
      </c>
      <c r="F203" s="92">
        <f>+F202*$M203</f>
        <v>22.48897634288971</v>
      </c>
      <c r="G203" s="92">
        <f t="shared" ref="G203:L203" si="117">+G202*$M203</f>
        <v>11.639455856319978</v>
      </c>
      <c r="H203" s="92">
        <f t="shared" si="117"/>
        <v>965.22041618482842</v>
      </c>
      <c r="I203" s="92">
        <f t="shared" si="117"/>
        <v>9.2320337770811278</v>
      </c>
      <c r="J203" s="92">
        <f t="shared" si="117"/>
        <v>66.123501529093872</v>
      </c>
      <c r="K203" s="92">
        <f t="shared" si="117"/>
        <v>0.3869071198776724</v>
      </c>
      <c r="L203" s="92">
        <f t="shared" si="117"/>
        <v>18.190008344248906</v>
      </c>
      <c r="M203" s="87">
        <f>+'2022-2023 Recy. Tons &amp; Revenue'!D15</f>
        <v>3921.97</v>
      </c>
    </row>
    <row r="204" spans="2:14">
      <c r="C204" s="57">
        <f t="shared" ref="C204:L204" si="118">+C203*C15</f>
        <v>0</v>
      </c>
      <c r="D204" s="57">
        <f t="shared" si="118"/>
        <v>77957.327485329981</v>
      </c>
      <c r="E204" s="57">
        <f t="shared" si="118"/>
        <v>115318.60747878997</v>
      </c>
      <c r="F204" s="57">
        <f t="shared" si="118"/>
        <v>37339.346981153503</v>
      </c>
      <c r="G204" s="57">
        <f t="shared" si="118"/>
        <v>2450.3382468724822</v>
      </c>
      <c r="H204" s="57">
        <f t="shared" si="118"/>
        <v>-61291.496427736602</v>
      </c>
      <c r="I204" s="57">
        <f t="shared" si="118"/>
        <v>5418.5575847822256</v>
      </c>
      <c r="J204" s="57">
        <f t="shared" si="118"/>
        <v>75711.409250812489</v>
      </c>
      <c r="K204" s="57">
        <f t="shared" si="118"/>
        <v>185.71541754128276</v>
      </c>
      <c r="L204" s="57">
        <f t="shared" si="118"/>
        <v>-3410.6265645466697</v>
      </c>
      <c r="M204" s="87">
        <f>SUM(C204:L204)</f>
        <v>249679.17945299865</v>
      </c>
    </row>
    <row r="206" spans="2:14">
      <c r="B206" s="11" t="s">
        <v>54</v>
      </c>
      <c r="C206" s="91"/>
      <c r="D206" s="91">
        <f>+'Composition-Rec. Acct. Analysis'!V$7</f>
        <v>0.35023837510677608</v>
      </c>
      <c r="E206" s="91">
        <f>+'Composition-Rec. Acct. Analysis'!V$8</f>
        <v>0.29998758843241902</v>
      </c>
      <c r="F206" s="91">
        <f>+'Composition-Rec. Acct. Analysis'!V$9</f>
        <v>9.2327460958319049E-3</v>
      </c>
      <c r="G206" s="91">
        <f>+'Composition-Rec. Acct. Analysis'!V$10</f>
        <v>7.6586672896786882E-3</v>
      </c>
      <c r="H206" s="91">
        <f>+'Composition-Rec. Acct. Analysis'!V$11</f>
        <v>0.20667742335857023</v>
      </c>
      <c r="I206" s="91">
        <f>+'Composition-Rec. Acct. Analysis'!V$12</f>
        <v>1.296935802991918E-2</v>
      </c>
      <c r="J206" s="91">
        <f>+'Composition-Rec. Acct. Analysis'!V$13</f>
        <v>1.2161876044944479E-2</v>
      </c>
      <c r="K206" s="91">
        <f>+'Composition-Rec. Acct. Analysis'!V$14</f>
        <v>1.1915104877746061E-3</v>
      </c>
      <c r="L206" s="91">
        <f>+'Composition-Rec. Acct. Analysis'!V$15</f>
        <v>2.2997904635355449E-3</v>
      </c>
      <c r="M206" s="91">
        <f>+M109</f>
        <v>0.90241733530944979</v>
      </c>
    </row>
    <row r="207" spans="2:14">
      <c r="C207" s="92">
        <f>+C206*$M207</f>
        <v>0</v>
      </c>
      <c r="D207" s="92">
        <f>+D206*$M207</f>
        <v>1164.4095066474899</v>
      </c>
      <c r="E207" s="92">
        <f>+E206*$M207</f>
        <v>997.344736254189</v>
      </c>
      <c r="F207" s="92">
        <f>+F206*$M207</f>
        <v>30.695372325124669</v>
      </c>
      <c r="G207" s="92">
        <f t="shared" ref="G207:L207" si="119">+G206*$M207</f>
        <v>25.462158444611564</v>
      </c>
      <c r="H207" s="92">
        <f t="shared" si="119"/>
        <v>687.12389524636978</v>
      </c>
      <c r="I207" s="92">
        <f t="shared" si="119"/>
        <v>43.11818709342991</v>
      </c>
      <c r="J207" s="92">
        <f t="shared" si="119"/>
        <v>40.433616336543317</v>
      </c>
      <c r="K207" s="92">
        <f t="shared" si="119"/>
        <v>3.9613195978652112</v>
      </c>
      <c r="L207" s="92">
        <f t="shared" si="119"/>
        <v>7.6459293708795437</v>
      </c>
      <c r="M207" s="87">
        <f>+'2022-2023 Recy. Tons &amp; Revenue'!D16</f>
        <v>3324.6200000000003</v>
      </c>
    </row>
    <row r="208" spans="2:14">
      <c r="C208" s="57">
        <f t="shared" ref="C208:L208" si="120">+C207*C16</f>
        <v>0</v>
      </c>
      <c r="D208" s="57">
        <f t="shared" si="120"/>
        <v>58301.983997839823</v>
      </c>
      <c r="E208" s="57">
        <f t="shared" si="120"/>
        <v>159036.59164309298</v>
      </c>
      <c r="F208" s="57">
        <f t="shared" si="120"/>
        <v>46432.275808769584</v>
      </c>
      <c r="G208" s="57">
        <f t="shared" si="120"/>
        <v>4280.4434561236503</v>
      </c>
      <c r="H208" s="57">
        <f t="shared" si="120"/>
        <v>-43632.367348144478</v>
      </c>
      <c r="I208" s="57">
        <f t="shared" si="120"/>
        <v>12073.092386160375</v>
      </c>
      <c r="J208" s="57">
        <f t="shared" si="120"/>
        <v>34772.91004942725</v>
      </c>
      <c r="K208" s="57">
        <f t="shared" si="120"/>
        <v>1346.8486632741717</v>
      </c>
      <c r="L208" s="57">
        <f t="shared" si="120"/>
        <v>-1433.6117570399144</v>
      </c>
      <c r="M208" s="87">
        <f>SUM(C208:L208)</f>
        <v>271178.1668995035</v>
      </c>
    </row>
    <row r="209" spans="2:13">
      <c r="C209" s="57"/>
      <c r="D209" s="57"/>
      <c r="E209" s="57"/>
      <c r="F209" s="57"/>
      <c r="G209" s="57"/>
      <c r="H209" s="57"/>
      <c r="I209" s="57"/>
      <c r="J209" s="57"/>
      <c r="K209" s="57"/>
      <c r="L209" s="57"/>
      <c r="M209" s="87"/>
    </row>
    <row r="210" spans="2:13">
      <c r="B210" s="11" t="s">
        <v>55</v>
      </c>
      <c r="C210" s="91"/>
      <c r="D210" s="91">
        <f>+'Composition-Rec. Acct. Analysis'!X$7</f>
        <v>0.31733506205052459</v>
      </c>
      <c r="E210" s="91">
        <f>+'Composition-Rec. Acct. Analysis'!X$8</f>
        <v>0.30845337315492688</v>
      </c>
      <c r="F210" s="91">
        <f>+'Composition-Rec. Acct. Analysis'!X$9</f>
        <v>1.0268526205699376E-2</v>
      </c>
      <c r="G210" s="91">
        <f>+'Composition-Rec. Acct. Analysis'!X$10</f>
        <v>5.2238886432984357E-3</v>
      </c>
      <c r="H210" s="91">
        <f>+'Composition-Rec. Acct. Analysis'!X$11</f>
        <v>0.21255404487476684</v>
      </c>
      <c r="I210" s="91">
        <f>+'Composition-Rec. Acct. Analysis'!X$12</f>
        <v>1.0504382891090817E-2</v>
      </c>
      <c r="J210" s="91">
        <f>+'Composition-Rec. Acct. Analysis'!X$13</f>
        <v>1.298424746892083E-2</v>
      </c>
      <c r="K210" s="91">
        <f>+'Composition-Rec. Acct. Analysis'!X$14</f>
        <v>4.1376001380098547E-4</v>
      </c>
      <c r="L210" s="91">
        <f>+'Composition-Rec. Acct. Analysis'!X$15</f>
        <v>1.0647244654813634E-4</v>
      </c>
      <c r="M210" s="91">
        <f>+M113</f>
        <v>0.8778437577495769</v>
      </c>
    </row>
    <row r="211" spans="2:13">
      <c r="C211" s="92">
        <f>+C210*$M211</f>
        <v>0</v>
      </c>
      <c r="D211" s="92">
        <f>+D210*$M211</f>
        <v>1147.4994511277994</v>
      </c>
      <c r="E211" s="92">
        <f>+E210*$M211</f>
        <v>1115.3828199968734</v>
      </c>
      <c r="F211" s="92">
        <f>+F210*$M211</f>
        <v>37.13150418611923</v>
      </c>
      <c r="G211" s="92">
        <f t="shared" ref="G211:L211" si="121">+G210*$M211</f>
        <v>18.88984252859931</v>
      </c>
      <c r="H211" s="92">
        <f t="shared" si="121"/>
        <v>768.6060539694007</v>
      </c>
      <c r="I211" s="92">
        <f t="shared" si="121"/>
        <v>37.984373753328953</v>
      </c>
      <c r="J211" s="92">
        <f t="shared" si="121"/>
        <v>46.95168805999117</v>
      </c>
      <c r="K211" s="92">
        <f t="shared" si="121"/>
        <v>1.4961768979050536</v>
      </c>
      <c r="L211" s="92">
        <f t="shared" si="121"/>
        <v>0.3850096903403884</v>
      </c>
      <c r="M211" s="87">
        <f>+'2022-2023 Recy. Tons &amp; Revenue'!D17</f>
        <v>3616.05</v>
      </c>
    </row>
    <row r="212" spans="2:13">
      <c r="C212" s="57">
        <f t="shared" ref="C212:L212" si="122">+C211*C17</f>
        <v>0</v>
      </c>
      <c r="D212" s="57">
        <f t="shared" si="122"/>
        <v>35882.307836766289</v>
      </c>
      <c r="E212" s="57">
        <f t="shared" si="122"/>
        <v>130287.86720383479</v>
      </c>
      <c r="F212" s="57">
        <f t="shared" si="122"/>
        <v>49393.069498459525</v>
      </c>
      <c r="G212" s="57">
        <f t="shared" si="122"/>
        <v>2923.7698265766012</v>
      </c>
      <c r="H212" s="57">
        <f t="shared" si="122"/>
        <v>-48806.484427056945</v>
      </c>
      <c r="I212" s="57">
        <f t="shared" si="122"/>
        <v>2744.3710036780167</v>
      </c>
      <c r="J212" s="57">
        <f t="shared" si="122"/>
        <v>36622.316686793114</v>
      </c>
      <c r="K212" s="57">
        <f t="shared" si="122"/>
        <v>448.85306937151609</v>
      </c>
      <c r="L212" s="57">
        <f t="shared" si="122"/>
        <v>-72.189316938822827</v>
      </c>
      <c r="M212" s="87">
        <f>SUM(C212:L212)</f>
        <v>209423.88138148407</v>
      </c>
    </row>
    <row r="214" spans="2:13">
      <c r="B214" s="11" t="s">
        <v>56</v>
      </c>
      <c r="C214" s="91"/>
      <c r="D214" s="91">
        <f>+'Composition-Rec. Acct. Analysis'!Z$7</f>
        <v>0.36558295163577381</v>
      </c>
      <c r="E214" s="91">
        <f>+'Composition-Rec. Acct. Analysis'!Z$8</f>
        <v>0.26118314341967008</v>
      </c>
      <c r="F214" s="91">
        <f>+'Composition-Rec. Acct. Analysis'!Z$9</f>
        <v>9.2336076503703787E-3</v>
      </c>
      <c r="G214" s="91">
        <f>+'Composition-Rec. Acct. Analysis'!Z$10</f>
        <v>7.6684412020594905E-3</v>
      </c>
      <c r="H214" s="91">
        <f>+'Composition-Rec. Acct. Analysis'!Z$11</f>
        <v>0.18265084400944928</v>
      </c>
      <c r="I214" s="91">
        <f>+'Composition-Rec. Acct. Analysis'!Z$12</f>
        <v>1.2423690849022645E-2</v>
      </c>
      <c r="J214" s="91">
        <f>+'Composition-Rec. Acct. Analysis'!Z$13</f>
        <v>7.7602526417648778E-3</v>
      </c>
      <c r="K214" s="91">
        <f>+'Composition-Rec. Acct. Analysis'!Z$14</f>
        <v>2.4949394408829055E-3</v>
      </c>
      <c r="L214" s="91">
        <f>+'Composition-Rec. Acct. Analysis'!Z$15</f>
        <v>2.0796019755490104E-3</v>
      </c>
      <c r="M214" s="91">
        <f>+M117</f>
        <v>0.85107747282454238</v>
      </c>
    </row>
    <row r="215" spans="2:13">
      <c r="C215" s="92">
        <f>+C214*$M215</f>
        <v>0</v>
      </c>
      <c r="D215" s="92">
        <f>+D214*$M215</f>
        <v>1258.7558057340605</v>
      </c>
      <c r="E215" s="92">
        <f>+E214*$M215</f>
        <v>899.29192996649124</v>
      </c>
      <c r="F215" s="92">
        <f>+F214*$M215</f>
        <v>31.792667534874198</v>
      </c>
      <c r="G215" s="92">
        <f t="shared" ref="G215:L215" si="123">+G214*$M215</f>
        <v>26.403569534171091</v>
      </c>
      <c r="H215" s="92">
        <f t="shared" si="123"/>
        <v>628.89368689210664</v>
      </c>
      <c r="I215" s="92">
        <f t="shared" si="123"/>
        <v>42.776592603346359</v>
      </c>
      <c r="J215" s="92">
        <f t="shared" si="123"/>
        <v>26.719689807955351</v>
      </c>
      <c r="K215" s="92">
        <f t="shared" si="123"/>
        <v>8.5904429955341897</v>
      </c>
      <c r="L215" s="92">
        <f t="shared" si="123"/>
        <v>7.1603750903196781</v>
      </c>
      <c r="M215" s="87">
        <f>+'2022-2023 Recy. Tons &amp; Revenue'!D18</f>
        <v>3443.1468975833004</v>
      </c>
    </row>
    <row r="216" spans="2:13">
      <c r="C216" s="57">
        <f t="shared" ref="C216:L216" si="124">+C215*C18</f>
        <v>0</v>
      </c>
      <c r="D216" s="57">
        <f t="shared" si="124"/>
        <v>6872.8066993079701</v>
      </c>
      <c r="E216" s="57">
        <f t="shared" si="124"/>
        <v>74326.478011730505</v>
      </c>
      <c r="F216" s="57">
        <f t="shared" si="124"/>
        <v>38790.551585975358</v>
      </c>
      <c r="G216" s="57">
        <f t="shared" si="124"/>
        <v>3906.4081125806124</v>
      </c>
      <c r="H216" s="57">
        <f t="shared" si="124"/>
        <v>-39934.749117648775</v>
      </c>
      <c r="I216" s="57">
        <f t="shared" si="124"/>
        <v>3422.1274082677087</v>
      </c>
      <c r="J216" s="57">
        <f t="shared" si="124"/>
        <v>12503.211648734627</v>
      </c>
      <c r="K216" s="57">
        <f t="shared" si="124"/>
        <v>944.94872950876083</v>
      </c>
      <c r="L216" s="57">
        <f t="shared" si="124"/>
        <v>-1342.5703294349396</v>
      </c>
      <c r="M216" s="87">
        <f>SUM(C216:L216)</f>
        <v>99489.212749021826</v>
      </c>
    </row>
    <row r="218" spans="2:13">
      <c r="B218" s="11" t="s">
        <v>57</v>
      </c>
      <c r="C218" s="91"/>
      <c r="D218" s="91">
        <f>+'Composition-Rec. Acct. Analysis'!AB$7</f>
        <v>0.37035238582620161</v>
      </c>
      <c r="E218" s="91">
        <f>+'Composition-Rec. Acct. Analysis'!AB$8</f>
        <v>0.2405498753533272</v>
      </c>
      <c r="F218" s="91">
        <f>+'Composition-Rec. Acct. Analysis'!AB$9</f>
        <v>9.7898989983374613E-3</v>
      </c>
      <c r="G218" s="91">
        <f>+'Composition-Rec. Acct. Analysis'!AB$10</f>
        <v>9.6685214712743696E-3</v>
      </c>
      <c r="H218" s="91">
        <f>+'Composition-Rec. Acct. Analysis'!AB$11</f>
        <v>0.20360580425562186</v>
      </c>
      <c r="I218" s="91">
        <f>+'Composition-Rec. Acct. Analysis'!AB$12</f>
        <v>1.7023778075201928E-2</v>
      </c>
      <c r="J218" s="91">
        <f>+'Composition-Rec. Acct. Analysis'!AB$13</f>
        <v>4.9718208967549802E-3</v>
      </c>
      <c r="K218" s="91">
        <f>+'Composition-Rec. Acct. Analysis'!AB$14</f>
        <v>3.8138833386306505E-3</v>
      </c>
      <c r="L218" s="91">
        <f>+'Composition-Rec. Acct. Analysis'!AB$15</f>
        <v>2.7500842509851809E-3</v>
      </c>
      <c r="M218" s="91">
        <f>+M121</f>
        <v>0.8625260524663354</v>
      </c>
    </row>
    <row r="219" spans="2:13">
      <c r="C219" s="92">
        <f>+C218*$M219</f>
        <v>0</v>
      </c>
      <c r="D219" s="92">
        <f>+D218*$M219</f>
        <v>1231.7889598672721</v>
      </c>
      <c r="E219" s="92">
        <f>+E218*$M219</f>
        <v>800.06688790909311</v>
      </c>
      <c r="F219" s="92">
        <f>+F218*$M219</f>
        <v>32.561122773559831</v>
      </c>
      <c r="G219" s="92">
        <f t="shared" ref="G219:L219" si="125">+G218*$M219</f>
        <v>32.157422126461881</v>
      </c>
      <c r="H219" s="92">
        <f t="shared" si="125"/>
        <v>677.19121422014166</v>
      </c>
      <c r="I219" s="92">
        <f t="shared" si="125"/>
        <v>56.620944513382675</v>
      </c>
      <c r="J219" s="92">
        <f t="shared" si="125"/>
        <v>16.536235016814921</v>
      </c>
      <c r="K219" s="92">
        <f t="shared" si="125"/>
        <v>12.684944313958304</v>
      </c>
      <c r="L219" s="92">
        <f t="shared" si="125"/>
        <v>9.146757382192467</v>
      </c>
      <c r="M219" s="87">
        <f>+'2022-2023 Recy. Tons &amp; Revenue'!D19</f>
        <v>3325.9916960419532</v>
      </c>
    </row>
    <row r="220" spans="2:13">
      <c r="C220" s="57">
        <f t="shared" ref="C220:L220" si="126">+C219*C19</f>
        <v>0</v>
      </c>
      <c r="D220" s="57">
        <f t="shared" si="126"/>
        <v>-16912.462418977648</v>
      </c>
      <c r="E220" s="57">
        <f t="shared" si="126"/>
        <v>41955.507601952842</v>
      </c>
      <c r="F220" s="57">
        <f t="shared" si="126"/>
        <v>37703.500893188138</v>
      </c>
      <c r="G220" s="57">
        <f t="shared" si="126"/>
        <v>4612.6606298196921</v>
      </c>
      <c r="H220" s="57">
        <f t="shared" si="126"/>
        <v>-43001.642102978993</v>
      </c>
      <c r="I220" s="57">
        <f t="shared" si="126"/>
        <v>4529.6755610706141</v>
      </c>
      <c r="J220" s="57">
        <f t="shared" si="126"/>
        <v>12898.263313115638</v>
      </c>
      <c r="K220" s="57">
        <f t="shared" si="126"/>
        <v>1649.0427608145797</v>
      </c>
      <c r="L220" s="57">
        <f t="shared" si="126"/>
        <v>-1715.0170091610876</v>
      </c>
      <c r="M220" s="87">
        <f>SUM(C220:L220)</f>
        <v>41719.529228843763</v>
      </c>
    </row>
    <row r="221" spans="2:13">
      <c r="C221" s="57"/>
      <c r="D221" s="57"/>
      <c r="E221" s="57"/>
      <c r="F221" s="57"/>
      <c r="G221" s="57"/>
      <c r="H221" s="57"/>
      <c r="I221" s="57"/>
      <c r="J221" s="57"/>
      <c r="K221" s="57"/>
      <c r="L221" s="57"/>
      <c r="M221" s="87"/>
    </row>
    <row r="222" spans="2:13">
      <c r="B222" s="11" t="s">
        <v>58</v>
      </c>
      <c r="C222" s="91"/>
      <c r="D222" s="91">
        <f>+'Composition-Rec. Acct. Analysis'!AZ$7</f>
        <v>0.38617724889044619</v>
      </c>
      <c r="E222" s="91">
        <f>+'Composition-Rec. Acct. Analysis'!AZ$8</f>
        <v>0.21783333337159533</v>
      </c>
      <c r="F222" s="91">
        <f>+'Composition-Rec. Acct. Analysis'!AZ$9</f>
        <v>6.6786065195573261E-3</v>
      </c>
      <c r="G222" s="91">
        <f>+'Composition-Rec. Acct. Analysis'!AZ$10</f>
        <v>7.6794457489440518E-3</v>
      </c>
      <c r="H222" s="91">
        <f>+'Composition-Rec. Acct. Analysis'!AZ$11</f>
        <v>0.21485720293080565</v>
      </c>
      <c r="I222" s="91">
        <f>+'Composition-Rec. Acct. Analysis'!AZ$12</f>
        <v>6.9192159415937303E-3</v>
      </c>
      <c r="J222" s="91">
        <f>+'Composition-Rec. Acct. Analysis'!AZ$13</f>
        <v>1.195341905226883E-2</v>
      </c>
      <c r="K222" s="91">
        <f>+'Composition-Rec. Acct. Analysis'!AZ$14</f>
        <v>1.2803290557800446E-3</v>
      </c>
      <c r="L222" s="91">
        <f>+'Composition-Rec. Acct. Analysis'!AZ$15</f>
        <v>3.4012561580883268E-3</v>
      </c>
      <c r="M222" s="91">
        <f>+M125</f>
        <v>0.8567800576690795</v>
      </c>
    </row>
    <row r="223" spans="2:13">
      <c r="C223" s="92">
        <f>+C222*$M223</f>
        <v>0</v>
      </c>
      <c r="D223" s="92">
        <f>+D222*$M223</f>
        <v>1321.3129787367814</v>
      </c>
      <c r="E223" s="92">
        <f>+E222*$M223</f>
        <v>745.32099291804138</v>
      </c>
      <c r="F223" s="92">
        <f>+F222*$M223</f>
        <v>22.850982287334567</v>
      </c>
      <c r="G223" s="92">
        <f t="shared" ref="G223:L223" si="127">+G222*$M223</f>
        <v>26.275373204244211</v>
      </c>
      <c r="H223" s="92">
        <f t="shared" si="127"/>
        <v>735.13810464814071</v>
      </c>
      <c r="I223" s="92">
        <f t="shared" si="127"/>
        <v>23.674232111234076</v>
      </c>
      <c r="J223" s="92">
        <f t="shared" si="127"/>
        <v>40.898856106675893</v>
      </c>
      <c r="K223" s="92">
        <f t="shared" si="127"/>
        <v>4.3806708015984146</v>
      </c>
      <c r="L223" s="92">
        <f t="shared" si="127"/>
        <v>11.637464191903849</v>
      </c>
      <c r="M223" s="87">
        <f>+'2022-2023 Recy. Tons &amp; Revenue'!D20</f>
        <v>3421.5194772171103</v>
      </c>
    </row>
    <row r="224" spans="2:13">
      <c r="C224" s="57">
        <f t="shared" ref="C224:L224" si="128">+C223*C20</f>
        <v>0</v>
      </c>
      <c r="D224" s="57">
        <f t="shared" si="128"/>
        <v>-3911.0864170608729</v>
      </c>
      <c r="E224" s="57">
        <f t="shared" si="128"/>
        <v>37087.172607601737</v>
      </c>
      <c r="F224" s="57">
        <f t="shared" si="128"/>
        <v>29354.828865955729</v>
      </c>
      <c r="G224" s="57">
        <f t="shared" si="128"/>
        <v>3880.6098685348275</v>
      </c>
      <c r="H224" s="57">
        <f t="shared" si="128"/>
        <v>-46681.269645156935</v>
      </c>
      <c r="I224" s="57">
        <f t="shared" si="128"/>
        <v>1924.0048436799932</v>
      </c>
      <c r="J224" s="57">
        <f t="shared" si="128"/>
        <v>44579.753156276725</v>
      </c>
      <c r="K224" s="57">
        <f t="shared" si="128"/>
        <v>700.90732825574628</v>
      </c>
      <c r="L224" s="57">
        <f t="shared" si="128"/>
        <v>-2182.0245359819714</v>
      </c>
      <c r="M224" s="87">
        <f>SUM(C224:L224)</f>
        <v>64752.896072104988</v>
      </c>
    </row>
    <row r="226" spans="2:13">
      <c r="B226" s="11" t="s">
        <v>48</v>
      </c>
      <c r="C226" s="91">
        <f>C222</f>
        <v>0</v>
      </c>
      <c r="D226" s="91">
        <f>D222</f>
        <v>0.38617724889044619</v>
      </c>
      <c r="E226" s="91">
        <f t="shared" ref="E226:L226" si="129">E222</f>
        <v>0.21783333337159533</v>
      </c>
      <c r="F226" s="91">
        <f t="shared" si="129"/>
        <v>6.6786065195573261E-3</v>
      </c>
      <c r="G226" s="91">
        <f t="shared" si="129"/>
        <v>7.6794457489440518E-3</v>
      </c>
      <c r="H226" s="91">
        <f t="shared" si="129"/>
        <v>0.21485720293080565</v>
      </c>
      <c r="I226" s="91">
        <f t="shared" si="129"/>
        <v>6.9192159415937303E-3</v>
      </c>
      <c r="J226" s="91">
        <f t="shared" si="129"/>
        <v>1.195341905226883E-2</v>
      </c>
      <c r="K226" s="91">
        <f t="shared" si="129"/>
        <v>1.2803290557800446E-3</v>
      </c>
      <c r="L226" s="91">
        <f t="shared" si="129"/>
        <v>3.4012561580883268E-3</v>
      </c>
      <c r="M226" s="91">
        <f>+M129</f>
        <v>0.8567800576690795</v>
      </c>
    </row>
    <row r="227" spans="2:13">
      <c r="C227" s="92">
        <f>+C226*$M227</f>
        <v>0</v>
      </c>
      <c r="D227" s="92">
        <f>+D226*$M227</f>
        <v>1269.7860432015548</v>
      </c>
      <c r="E227" s="92">
        <f>+E226*$M227</f>
        <v>716.25588315740413</v>
      </c>
      <c r="F227" s="92">
        <f>+F226*$M227</f>
        <v>21.959867835131298</v>
      </c>
      <c r="G227" s="92">
        <f t="shared" ref="G227:L227" si="130">+G226*$M227</f>
        <v>25.250718574306742</v>
      </c>
      <c r="H227" s="92">
        <f t="shared" si="130"/>
        <v>706.47009461776361</v>
      </c>
      <c r="I227" s="92">
        <f t="shared" si="130"/>
        <v>22.751013576736838</v>
      </c>
      <c r="J227" s="92">
        <f t="shared" si="130"/>
        <v>39.303932908322132</v>
      </c>
      <c r="K227" s="92">
        <f t="shared" si="130"/>
        <v>4.2098387991679163</v>
      </c>
      <c r="L227" s="92">
        <f t="shared" si="130"/>
        <v>11.183640702042259</v>
      </c>
      <c r="M227" s="87">
        <f>+'2022-2023 Recy. Tons &amp; Revenue'!D21</f>
        <v>3288.0912763500928</v>
      </c>
    </row>
    <row r="228" spans="2:13">
      <c r="C228" s="57">
        <f t="shared" ref="C228:L228" si="131">+C227*C21</f>
        <v>0</v>
      </c>
      <c r="D228" s="57">
        <f t="shared" si="131"/>
        <v>9053.574488027085</v>
      </c>
      <c r="E228" s="57">
        <f t="shared" si="131"/>
        <v>47315.863641378121</v>
      </c>
      <c r="F228" s="57">
        <f t="shared" si="131"/>
        <v>29452.135543121396</v>
      </c>
      <c r="G228" s="57">
        <f t="shared" si="131"/>
        <v>4147.4305258298828</v>
      </c>
      <c r="H228" s="57">
        <f t="shared" si="131"/>
        <v>-44860.85100822799</v>
      </c>
      <c r="I228" s="57">
        <f t="shared" si="131"/>
        <v>1937.0212959233745</v>
      </c>
      <c r="J228" s="57">
        <f t="shared" si="131"/>
        <v>42841.286870071126</v>
      </c>
      <c r="K228" s="57">
        <f t="shared" si="131"/>
        <v>336.78710393343329</v>
      </c>
      <c r="L228" s="57">
        <f t="shared" si="131"/>
        <v>-2096.9326316329239</v>
      </c>
      <c r="M228" s="87">
        <f>SUM(C228:L228)</f>
        <v>88126.315828423511</v>
      </c>
    </row>
    <row r="230" spans="2:13">
      <c r="B230" s="283" t="s">
        <v>280</v>
      </c>
      <c r="C230" s="91">
        <f>C226</f>
        <v>0</v>
      </c>
      <c r="D230" s="91">
        <f>D226</f>
        <v>0.38617724889044619</v>
      </c>
      <c r="E230" s="91">
        <f t="shared" ref="E230:L230" si="132">E226</f>
        <v>0.21783333337159533</v>
      </c>
      <c r="F230" s="91">
        <f t="shared" si="132"/>
        <v>6.6786065195573261E-3</v>
      </c>
      <c r="G230" s="91">
        <f t="shared" si="132"/>
        <v>7.6794457489440518E-3</v>
      </c>
      <c r="H230" s="91">
        <f t="shared" si="132"/>
        <v>0.21485720293080565</v>
      </c>
      <c r="I230" s="91">
        <f t="shared" si="132"/>
        <v>6.9192159415937303E-3</v>
      </c>
      <c r="J230" s="91">
        <f t="shared" si="132"/>
        <v>1.195341905226883E-2</v>
      </c>
      <c r="K230" s="91">
        <f t="shared" si="132"/>
        <v>1.2803290557800446E-3</v>
      </c>
      <c r="L230" s="91">
        <f t="shared" si="132"/>
        <v>3.4012561580883268E-3</v>
      </c>
      <c r="M230" s="86">
        <f>SUM(C230:L230)</f>
        <v>0.8567800576690795</v>
      </c>
    </row>
    <row r="231" spans="2:13">
      <c r="C231" s="92">
        <f t="shared" ref="C231:L231" si="133">+C230*$M231</f>
        <v>0</v>
      </c>
      <c r="D231" s="92">
        <f t="shared" si="133"/>
        <v>1579.1235886610534</v>
      </c>
      <c r="E231" s="92">
        <f t="shared" si="133"/>
        <v>890.745780887102</v>
      </c>
      <c r="F231" s="92">
        <f t="shared" si="133"/>
        <v>27.309597146698675</v>
      </c>
      <c r="G231" s="92">
        <f t="shared" si="133"/>
        <v>31.402144908439769</v>
      </c>
      <c r="H231" s="92">
        <f t="shared" si="133"/>
        <v>878.57603811875879</v>
      </c>
      <c r="I231" s="92">
        <f t="shared" si="133"/>
        <v>28.293476997423845</v>
      </c>
      <c r="J231" s="92">
        <f t="shared" si="133"/>
        <v>48.878917763337824</v>
      </c>
      <c r="K231" s="92">
        <f t="shared" si="133"/>
        <v>5.2354140981618569</v>
      </c>
      <c r="L231" s="92">
        <f t="shared" si="133"/>
        <v>13.908131164504812</v>
      </c>
      <c r="M231" s="87">
        <f>+'2022-2023 Recy. Tons &amp; Revenue'!D22</f>
        <v>4089.1160553816876</v>
      </c>
    </row>
    <row r="232" spans="2:13">
      <c r="C232" s="57">
        <f t="shared" ref="C232:L232" si="134">+C231*C22</f>
        <v>0</v>
      </c>
      <c r="D232" s="57">
        <f t="shared" si="134"/>
        <v>35056.543668275386</v>
      </c>
      <c r="E232" s="57">
        <f t="shared" si="134"/>
        <v>64614.698945550386</v>
      </c>
      <c r="F232" s="57">
        <f t="shared" si="134"/>
        <v>43516.204477435538</v>
      </c>
      <c r="G232" s="57">
        <f t="shared" si="134"/>
        <v>6118.0798925113204</v>
      </c>
      <c r="H232" s="57">
        <f t="shared" si="134"/>
        <v>-55789.578420541184</v>
      </c>
      <c r="I232" s="57">
        <f t="shared" si="134"/>
        <v>3325.6152862771987</v>
      </c>
      <c r="J232" s="57">
        <f t="shared" si="134"/>
        <v>54744.387894938365</v>
      </c>
      <c r="K232" s="57">
        <f t="shared" si="134"/>
        <v>0</v>
      </c>
      <c r="L232" s="57">
        <f t="shared" si="134"/>
        <v>-2607.7745933446522</v>
      </c>
      <c r="M232" s="87">
        <f>SUM(C232:L232)</f>
        <v>148978.17715110234</v>
      </c>
    </row>
    <row r="233" spans="2:13">
      <c r="C233" s="91"/>
      <c r="D233" s="91"/>
      <c r="E233" s="91"/>
      <c r="F233" s="91"/>
      <c r="G233" s="91"/>
      <c r="H233" s="91"/>
      <c r="I233" s="91"/>
      <c r="J233" s="91"/>
      <c r="K233" s="91"/>
      <c r="L233" s="91"/>
    </row>
    <row r="234" spans="2:13">
      <c r="B234" s="11" t="s">
        <v>49</v>
      </c>
      <c r="C234" s="91">
        <f>C230</f>
        <v>0</v>
      </c>
      <c r="D234" s="91">
        <f>D230</f>
        <v>0.38617724889044619</v>
      </c>
      <c r="E234" s="91">
        <f t="shared" ref="E234:L234" si="135">E230</f>
        <v>0.21783333337159533</v>
      </c>
      <c r="F234" s="91">
        <f t="shared" si="135"/>
        <v>6.6786065195573261E-3</v>
      </c>
      <c r="G234" s="91">
        <f t="shared" si="135"/>
        <v>7.6794457489440518E-3</v>
      </c>
      <c r="H234" s="91">
        <f t="shared" si="135"/>
        <v>0.21485720293080565</v>
      </c>
      <c r="I234" s="91">
        <f t="shared" si="135"/>
        <v>6.9192159415937303E-3</v>
      </c>
      <c r="J234" s="91">
        <f t="shared" si="135"/>
        <v>1.195341905226883E-2</v>
      </c>
      <c r="K234" s="91">
        <f t="shared" si="135"/>
        <v>1.2803290557800446E-3</v>
      </c>
      <c r="L234" s="91">
        <f t="shared" si="135"/>
        <v>3.4012561580883268E-3</v>
      </c>
      <c r="M234" s="86">
        <f>SUM(C234:L234)</f>
        <v>0.8567800576690795</v>
      </c>
    </row>
    <row r="235" spans="2:13">
      <c r="C235" s="92">
        <f t="shared" ref="C235:L235" si="136">+C234*$M235</f>
        <v>0</v>
      </c>
      <c r="D235" s="92">
        <f t="shared" si="136"/>
        <v>1169.4972023541227</v>
      </c>
      <c r="E235" s="92">
        <f t="shared" si="136"/>
        <v>659.68535093538026</v>
      </c>
      <c r="F235" s="92">
        <f t="shared" si="136"/>
        <v>20.225457772790943</v>
      </c>
      <c r="G235" s="92">
        <f t="shared" si="136"/>
        <v>23.256394168285549</v>
      </c>
      <c r="H235" s="92">
        <f t="shared" si="136"/>
        <v>650.6724527536652</v>
      </c>
      <c r="I235" s="92">
        <f t="shared" si="136"/>
        <v>20.954118113968743</v>
      </c>
      <c r="J235" s="92">
        <f t="shared" si="136"/>
        <v>36.19967302672633</v>
      </c>
      <c r="K235" s="92">
        <f t="shared" si="136"/>
        <v>3.8773419540627452</v>
      </c>
      <c r="L235" s="92">
        <f t="shared" si="136"/>
        <v>10.3003467262839</v>
      </c>
      <c r="M235" s="87">
        <f>+'2022-2023 Recy. Tons &amp; Revenue'!D23</f>
        <v>3028.3948775187814</v>
      </c>
    </row>
    <row r="236" spans="2:13">
      <c r="C236" s="57">
        <f t="shared" ref="C236:L236" si="137">+C235*C23</f>
        <v>0</v>
      </c>
      <c r="D236" s="57">
        <f t="shared" si="137"/>
        <v>34090.843448622676</v>
      </c>
      <c r="E236" s="57">
        <f t="shared" si="137"/>
        <v>61852.098503701258</v>
      </c>
      <c r="F236" s="57">
        <f t="shared" si="137"/>
        <v>30627.208450759597</v>
      </c>
      <c r="G236" s="57">
        <f t="shared" si="137"/>
        <v>5040.5908720342104</v>
      </c>
      <c r="H236" s="57">
        <f t="shared" si="137"/>
        <v>-41317.700749857737</v>
      </c>
      <c r="I236" s="57">
        <f t="shared" si="137"/>
        <v>2467.7664902820989</v>
      </c>
      <c r="J236" s="57">
        <f t="shared" si="137"/>
        <v>43439.607632071595</v>
      </c>
      <c r="K236" s="57">
        <f t="shared" si="137"/>
        <v>0</v>
      </c>
      <c r="L236" s="57">
        <f t="shared" si="137"/>
        <v>-1931.3150111782313</v>
      </c>
      <c r="M236" s="87">
        <f>SUM(C236:L236)</f>
        <v>134269.09963643548</v>
      </c>
    </row>
    <row r="238" spans="2:13">
      <c r="B238" s="11" t="s">
        <v>50</v>
      </c>
      <c r="C238" s="91">
        <f>C234</f>
        <v>0</v>
      </c>
      <c r="D238" s="91">
        <f>D234</f>
        <v>0.38617724889044619</v>
      </c>
      <c r="E238" s="91">
        <f t="shared" ref="E238:L238" si="138">E234</f>
        <v>0.21783333337159533</v>
      </c>
      <c r="F238" s="91">
        <f t="shared" si="138"/>
        <v>6.6786065195573261E-3</v>
      </c>
      <c r="G238" s="91">
        <f t="shared" si="138"/>
        <v>7.6794457489440518E-3</v>
      </c>
      <c r="H238" s="91">
        <f t="shared" si="138"/>
        <v>0.21485720293080565</v>
      </c>
      <c r="I238" s="91">
        <f t="shared" si="138"/>
        <v>6.9192159415937303E-3</v>
      </c>
      <c r="J238" s="91">
        <f t="shared" si="138"/>
        <v>1.195341905226883E-2</v>
      </c>
      <c r="K238" s="91">
        <f t="shared" si="138"/>
        <v>1.2803290557800446E-3</v>
      </c>
      <c r="L238" s="91">
        <f t="shared" si="138"/>
        <v>3.4012561580883268E-3</v>
      </c>
      <c r="M238" s="86">
        <f>SUM(C238:L238)</f>
        <v>0.8567800576690795</v>
      </c>
    </row>
    <row r="239" spans="2:13">
      <c r="C239" s="92">
        <f t="shared" ref="C239:L239" si="139">+C238*$M239</f>
        <v>0</v>
      </c>
      <c r="D239" s="92">
        <f t="shared" si="139"/>
        <v>1331.1821147039566</v>
      </c>
      <c r="E239" s="92">
        <f t="shared" si="139"/>
        <v>750.88793605465571</v>
      </c>
      <c r="F239" s="92">
        <f t="shared" si="139"/>
        <v>23.021660585971141</v>
      </c>
      <c r="G239" s="92">
        <f t="shared" si="139"/>
        <v>26.471628924814574</v>
      </c>
      <c r="H239" s="92">
        <f t="shared" si="139"/>
        <v>740.62898987077745</v>
      </c>
      <c r="I239" s="92">
        <f t="shared" si="139"/>
        <v>23.851059418150871</v>
      </c>
      <c r="J239" s="92">
        <f t="shared" si="139"/>
        <v>41.204337380465091</v>
      </c>
      <c r="K239" s="92">
        <f t="shared" si="139"/>
        <v>4.4133908584389534</v>
      </c>
      <c r="L239" s="92">
        <f t="shared" si="139"/>
        <v>11.724386607918284</v>
      </c>
      <c r="M239" s="87">
        <f>+'2022-2023 Recy. Tons &amp; Revenue'!D24</f>
        <v>3447.0754518260001</v>
      </c>
    </row>
    <row r="240" spans="2:13">
      <c r="C240" s="57">
        <f t="shared" ref="C240:L240" si="140">+C239*C24</f>
        <v>0</v>
      </c>
      <c r="D240" s="57">
        <f t="shared" si="140"/>
        <v>45113.761867317087</v>
      </c>
      <c r="E240" s="57">
        <f t="shared" si="140"/>
        <v>73143.993851084015</v>
      </c>
      <c r="F240" s="57">
        <f t="shared" si="140"/>
        <v>33059.334818060415</v>
      </c>
      <c r="G240" s="57">
        <f t="shared" si="140"/>
        <v>6497.1966033064891</v>
      </c>
      <c r="H240" s="57">
        <f t="shared" si="140"/>
        <v>-47029.940856794368</v>
      </c>
      <c r="I240" s="57">
        <f t="shared" si="140"/>
        <v>4225.4536865196087</v>
      </c>
      <c r="J240" s="57">
        <f t="shared" si="140"/>
        <v>52329.508473190668</v>
      </c>
      <c r="K240" s="57">
        <f t="shared" si="140"/>
        <v>0</v>
      </c>
      <c r="L240" s="57">
        <f t="shared" si="140"/>
        <v>-2198.3224889846783</v>
      </c>
      <c r="M240" s="87">
        <f>SUM(C240:L240)</f>
        <v>165140.98595369927</v>
      </c>
    </row>
    <row r="242" spans="2:13">
      <c r="B242" s="11" t="s">
        <v>51</v>
      </c>
      <c r="C242" s="91">
        <f>C238</f>
        <v>0</v>
      </c>
      <c r="D242" s="91">
        <f>D238</f>
        <v>0.38617724889044619</v>
      </c>
      <c r="E242" s="91">
        <f t="shared" ref="E242:L242" si="141">E238</f>
        <v>0.21783333337159533</v>
      </c>
      <c r="F242" s="91">
        <f t="shared" si="141"/>
        <v>6.6786065195573261E-3</v>
      </c>
      <c r="G242" s="91">
        <f t="shared" si="141"/>
        <v>7.6794457489440518E-3</v>
      </c>
      <c r="H242" s="91">
        <f t="shared" si="141"/>
        <v>0.21485720293080565</v>
      </c>
      <c r="I242" s="91">
        <f t="shared" si="141"/>
        <v>6.9192159415937303E-3</v>
      </c>
      <c r="J242" s="91">
        <f t="shared" si="141"/>
        <v>1.195341905226883E-2</v>
      </c>
      <c r="K242" s="91">
        <f t="shared" si="141"/>
        <v>1.2803290557800446E-3</v>
      </c>
      <c r="L242" s="91">
        <f t="shared" si="141"/>
        <v>3.4012561580883268E-3</v>
      </c>
      <c r="M242" s="86">
        <f>SUM(C242:L242)</f>
        <v>0.8567800576690795</v>
      </c>
    </row>
    <row r="243" spans="2:13">
      <c r="C243" s="92">
        <f t="shared" ref="C243:L243" si="142">+C242*$M243</f>
        <v>0</v>
      </c>
      <c r="D243" s="92">
        <f>+D242*$M243</f>
        <v>1149.5145079097467</v>
      </c>
      <c r="E243" s="92">
        <f t="shared" si="142"/>
        <v>648.41359178055927</v>
      </c>
      <c r="F243" s="92">
        <f t="shared" si="142"/>
        <v>19.879874096440314</v>
      </c>
      <c r="G243" s="92">
        <f t="shared" si="142"/>
        <v>22.859022188594313</v>
      </c>
      <c r="H243" s="92">
        <f t="shared" si="142"/>
        <v>639.55469310398269</v>
      </c>
      <c r="I243" s="92">
        <f t="shared" si="142"/>
        <v>20.596084132544977</v>
      </c>
      <c r="J243" s="92">
        <f t="shared" si="142"/>
        <v>35.581144821936014</v>
      </c>
      <c r="K243" s="92">
        <f t="shared" si="142"/>
        <v>3.8110914838876697</v>
      </c>
      <c r="L243" s="92">
        <f t="shared" si="142"/>
        <v>10.124349142973617</v>
      </c>
      <c r="M243" s="87">
        <f>+'2022-2023 Recy. Tons &amp; Revenue'!D25</f>
        <v>2976.65</v>
      </c>
    </row>
    <row r="244" spans="2:13">
      <c r="C244" s="57">
        <f t="shared" ref="C244:L244" si="143">+C243*C25</f>
        <v>0</v>
      </c>
      <c r="D244" s="57">
        <f t="shared" si="143"/>
        <v>36543.066206450851</v>
      </c>
      <c r="E244" s="57">
        <f t="shared" si="143"/>
        <v>72207.337580683074</v>
      </c>
      <c r="F244" s="57">
        <f t="shared" si="143"/>
        <v>28950.663049164101</v>
      </c>
      <c r="G244" s="57">
        <f t="shared" si="143"/>
        <v>5488.6798177033806</v>
      </c>
      <c r="H244" s="57">
        <f t="shared" si="143"/>
        <v>-40611.723012102899</v>
      </c>
      <c r="I244" s="57">
        <f t="shared" si="143"/>
        <v>4119.2168265089958</v>
      </c>
      <c r="J244" s="57">
        <f t="shared" si="143"/>
        <v>44298.525303310336</v>
      </c>
      <c r="K244" s="57">
        <f t="shared" si="143"/>
        <v>1028.9947006496709</v>
      </c>
      <c r="L244" s="57">
        <f t="shared" si="143"/>
        <v>-1898.3154643075532</v>
      </c>
      <c r="M244" s="87">
        <f>SUM(C244:L244)</f>
        <v>150126.44500805996</v>
      </c>
    </row>
    <row r="246" spans="2:13">
      <c r="B246" s="11" t="s">
        <v>52</v>
      </c>
      <c r="C246" s="91">
        <f>C242</f>
        <v>0</v>
      </c>
      <c r="D246" s="91">
        <f>D242</f>
        <v>0.38617724889044619</v>
      </c>
      <c r="E246" s="91">
        <f t="shared" ref="E246:L246" si="144">E242</f>
        <v>0.21783333337159533</v>
      </c>
      <c r="F246" s="91">
        <f t="shared" si="144"/>
        <v>6.6786065195573261E-3</v>
      </c>
      <c r="G246" s="91">
        <f t="shared" si="144"/>
        <v>7.6794457489440518E-3</v>
      </c>
      <c r="H246" s="91">
        <f t="shared" si="144"/>
        <v>0.21485720293080565</v>
      </c>
      <c r="I246" s="91">
        <f t="shared" si="144"/>
        <v>6.9192159415937303E-3</v>
      </c>
      <c r="J246" s="91">
        <f t="shared" si="144"/>
        <v>1.195341905226883E-2</v>
      </c>
      <c r="K246" s="91">
        <f t="shared" si="144"/>
        <v>1.2803290557800446E-3</v>
      </c>
      <c r="L246" s="91">
        <f t="shared" si="144"/>
        <v>3.4012561580883268E-3</v>
      </c>
      <c r="M246" s="86">
        <f>SUM(C246:L246)</f>
        <v>0.8567800576690795</v>
      </c>
    </row>
    <row r="247" spans="2:13">
      <c r="C247" s="92">
        <f t="shared" ref="C247:L247" si="145">+C246*$M247</f>
        <v>0</v>
      </c>
      <c r="D247" s="92">
        <f t="shared" si="145"/>
        <v>1401.2867986190722</v>
      </c>
      <c r="E247" s="92">
        <f t="shared" si="145"/>
        <v>790.43230855735567</v>
      </c>
      <c r="F247" s="92">
        <f t="shared" si="145"/>
        <v>24.234061369270055</v>
      </c>
      <c r="G247" s="92">
        <f t="shared" si="145"/>
        <v>27.865717049943168</v>
      </c>
      <c r="H247" s="92">
        <f t="shared" si="145"/>
        <v>779.63309055673744</v>
      </c>
      <c r="I247" s="92">
        <f t="shared" si="145"/>
        <v>25.107139231033546</v>
      </c>
      <c r="J247" s="92">
        <f t="shared" si="145"/>
        <v>43.374301216428812</v>
      </c>
      <c r="K247" s="92">
        <f t="shared" si="145"/>
        <v>4.645815383759091</v>
      </c>
      <c r="L247" s="92">
        <f t="shared" si="145"/>
        <v>12.34183361848717</v>
      </c>
      <c r="M247" s="87">
        <f>+'2022-2023 Recy. Tons &amp; Revenue'!D26</f>
        <v>3628.6104441553994</v>
      </c>
    </row>
    <row r="248" spans="2:13">
      <c r="C248" s="57">
        <f t="shared" ref="C248:L248" si="146">+C247*C26</f>
        <v>0</v>
      </c>
      <c r="D248" s="57">
        <f t="shared" si="146"/>
        <v>41351.97342724882</v>
      </c>
      <c r="E248" s="57">
        <f t="shared" si="146"/>
        <v>84718.534831177385</v>
      </c>
      <c r="F248" s="57">
        <f t="shared" si="146"/>
        <v>36095.422706459285</v>
      </c>
      <c r="G248" s="57">
        <f t="shared" si="146"/>
        <v>5701.8830227593708</v>
      </c>
      <c r="H248" s="57">
        <f t="shared" si="146"/>
        <v>-49506.701250352824</v>
      </c>
      <c r="I248" s="57">
        <f t="shared" si="146"/>
        <v>5021.4278462067095</v>
      </c>
      <c r="J248" s="57">
        <f t="shared" si="146"/>
        <v>59856.53567867176</v>
      </c>
      <c r="K248" s="57">
        <f t="shared" si="146"/>
        <v>0</v>
      </c>
      <c r="L248" s="57">
        <f t="shared" si="146"/>
        <v>-2314.0938034663445</v>
      </c>
      <c r="M248" s="87">
        <f>SUM(C248:L248)</f>
        <v>180924.98245870418</v>
      </c>
    </row>
    <row r="250" spans="2:13">
      <c r="B250" s="11" t="s">
        <v>59</v>
      </c>
      <c r="C250" s="91">
        <f>C246</f>
        <v>0</v>
      </c>
      <c r="D250" s="91">
        <f>D246</f>
        <v>0.38617724889044619</v>
      </c>
      <c r="E250" s="91">
        <f t="shared" ref="E250:L250" si="147">E246</f>
        <v>0.21783333337159533</v>
      </c>
      <c r="F250" s="91">
        <f t="shared" si="147"/>
        <v>6.6786065195573261E-3</v>
      </c>
      <c r="G250" s="91">
        <f t="shared" si="147"/>
        <v>7.6794457489440518E-3</v>
      </c>
      <c r="H250" s="91">
        <f t="shared" si="147"/>
        <v>0.21485720293080565</v>
      </c>
      <c r="I250" s="91">
        <f t="shared" si="147"/>
        <v>6.9192159415937303E-3</v>
      </c>
      <c r="J250" s="91">
        <f t="shared" si="147"/>
        <v>1.195341905226883E-2</v>
      </c>
      <c r="K250" s="91">
        <f t="shared" si="147"/>
        <v>1.2803290557800446E-3</v>
      </c>
      <c r="L250" s="91">
        <f t="shared" si="147"/>
        <v>3.4012561580883268E-3</v>
      </c>
      <c r="M250" s="86">
        <f>SUM(C250:L250)</f>
        <v>0.8567800576690795</v>
      </c>
    </row>
    <row r="251" spans="2:13">
      <c r="C251" s="92">
        <f t="shared" ref="C251:L251" si="148">+C250*$M251</f>
        <v>0</v>
      </c>
      <c r="D251" s="92">
        <f t="shared" si="148"/>
        <v>1337.6472650782334</v>
      </c>
      <c r="E251" s="92">
        <f t="shared" si="148"/>
        <v>754.53477247711123</v>
      </c>
      <c r="F251" s="92">
        <f t="shared" si="148"/>
        <v>23.133469853771413</v>
      </c>
      <c r="G251" s="92">
        <f t="shared" si="148"/>
        <v>26.600193649175406</v>
      </c>
      <c r="H251" s="92">
        <f t="shared" si="148"/>
        <v>744.2260016831907</v>
      </c>
      <c r="I251" s="92">
        <f t="shared" si="148"/>
        <v>23.966896826136516</v>
      </c>
      <c r="J251" s="92">
        <f t="shared" si="148"/>
        <v>41.404454430036772</v>
      </c>
      <c r="K251" s="92">
        <f t="shared" si="148"/>
        <v>4.4348253678461145</v>
      </c>
      <c r="L251" s="92">
        <f t="shared" si="148"/>
        <v>11.781328420484034</v>
      </c>
      <c r="M251" s="87">
        <f>+'2022-2023 Recy. Tons &amp; Revenue'!D27</f>
        <v>3463.8168585060994</v>
      </c>
    </row>
    <row r="252" spans="2:13">
      <c r="C252" s="57">
        <f t="shared" ref="C252:L252" si="149">+C251*C27</f>
        <v>0</v>
      </c>
      <c r="D252" s="57">
        <f t="shared" si="149"/>
        <v>53907.184782652803</v>
      </c>
      <c r="E252" s="57">
        <f t="shared" si="149"/>
        <v>72706.970675894438</v>
      </c>
      <c r="F252" s="57">
        <f t="shared" si="149"/>
        <v>32908.286205783981</v>
      </c>
      <c r="G252" s="57">
        <f t="shared" si="149"/>
        <v>4863.5794068152309</v>
      </c>
      <c r="H252" s="57">
        <f t="shared" si="149"/>
        <v>-47258.351106882612</v>
      </c>
      <c r="I252" s="57">
        <f t="shared" si="149"/>
        <v>3272.9194305772025</v>
      </c>
      <c r="J252" s="57">
        <f t="shared" si="149"/>
        <v>46045.065682555287</v>
      </c>
      <c r="K252" s="57">
        <f t="shared" si="149"/>
        <v>-453.54959036962214</v>
      </c>
      <c r="L252" s="57">
        <f t="shared" si="149"/>
        <v>-2208.9990788407563</v>
      </c>
      <c r="M252" s="87">
        <f>SUM(C252:L252)</f>
        <v>163783.10640818594</v>
      </c>
    </row>
    <row r="254" spans="2:13">
      <c r="B254" s="11" t="s">
        <v>60</v>
      </c>
      <c r="C254" s="91">
        <f>C250</f>
        <v>0</v>
      </c>
      <c r="D254" s="91">
        <f>D250</f>
        <v>0.38617724889044619</v>
      </c>
      <c r="E254" s="91">
        <f t="shared" ref="E254:L254" si="150">E250</f>
        <v>0.21783333337159533</v>
      </c>
      <c r="F254" s="91">
        <f t="shared" si="150"/>
        <v>6.6786065195573261E-3</v>
      </c>
      <c r="G254" s="91">
        <f t="shared" si="150"/>
        <v>7.6794457489440518E-3</v>
      </c>
      <c r="H254" s="91">
        <f t="shared" si="150"/>
        <v>0.21485720293080565</v>
      </c>
      <c r="I254" s="91">
        <f t="shared" si="150"/>
        <v>6.9192159415937303E-3</v>
      </c>
      <c r="J254" s="91">
        <f t="shared" si="150"/>
        <v>1.195341905226883E-2</v>
      </c>
      <c r="K254" s="91">
        <f t="shared" si="150"/>
        <v>1.2803290557800446E-3</v>
      </c>
      <c r="L254" s="91">
        <f t="shared" si="150"/>
        <v>3.4012561580883268E-3</v>
      </c>
      <c r="M254" s="86">
        <f>SUM(C254:L254)</f>
        <v>0.8567800576690795</v>
      </c>
    </row>
    <row r="255" spans="2:13">
      <c r="C255" s="92">
        <f t="shared" ref="C255:L255" si="151">+C254*$M255</f>
        <v>0</v>
      </c>
      <c r="D255" s="92">
        <f t="shared" si="151"/>
        <v>1246.7942995498254</v>
      </c>
      <c r="E255" s="92">
        <f t="shared" si="151"/>
        <v>703.28679144091564</v>
      </c>
      <c r="F255" s="92">
        <f t="shared" si="151"/>
        <v>21.562245216270107</v>
      </c>
      <c r="G255" s="92">
        <f t="shared" si="151"/>
        <v>24.793509226644801</v>
      </c>
      <c r="H255" s="92">
        <f t="shared" si="151"/>
        <v>693.67819207636342</v>
      </c>
      <c r="I255" s="92">
        <f t="shared" si="151"/>
        <v>22.339065851548057</v>
      </c>
      <c r="J255" s="92">
        <f t="shared" si="151"/>
        <v>38.59226502161701</v>
      </c>
      <c r="K255" s="92">
        <f t="shared" si="151"/>
        <v>4.1336121505889718</v>
      </c>
      <c r="L255" s="92">
        <f t="shared" si="151"/>
        <v>10.981140917538339</v>
      </c>
      <c r="M255" s="87">
        <f>+'2022-2023 Recy. Tons &amp; Revenue'!D28</f>
        <v>3228.5545125511157</v>
      </c>
    </row>
    <row r="256" spans="2:13">
      <c r="C256" s="57">
        <f t="shared" ref="C256:L256" si="152">+C255*C28</f>
        <v>0</v>
      </c>
      <c r="D256" s="57">
        <f t="shared" si="152"/>
        <v>45769.818736474088</v>
      </c>
      <c r="E256" s="57">
        <f t="shared" si="152"/>
        <v>69344.077636074275</v>
      </c>
      <c r="F256" s="57">
        <f t="shared" si="152"/>
        <v>30101.97243417388</v>
      </c>
      <c r="G256" s="57">
        <f t="shared" si="152"/>
        <v>4492.0880016835054</v>
      </c>
      <c r="H256" s="57">
        <f t="shared" si="152"/>
        <v>-44048.565196849078</v>
      </c>
      <c r="I256" s="57">
        <f t="shared" si="152"/>
        <v>843.29973589593919</v>
      </c>
      <c r="J256" s="57">
        <f t="shared" si="152"/>
        <v>10033.988905620423</v>
      </c>
      <c r="K256" s="57">
        <f t="shared" si="152"/>
        <v>-594.12407440415291</v>
      </c>
      <c r="L256" s="57">
        <f t="shared" si="152"/>
        <v>-2058.9639220384383</v>
      </c>
      <c r="M256" s="87">
        <f>SUM(C256:L256)</f>
        <v>113883.59225663044</v>
      </c>
    </row>
    <row r="258" spans="2:13">
      <c r="B258" s="11" t="s">
        <v>61</v>
      </c>
      <c r="C258" s="91">
        <f>C254</f>
        <v>0</v>
      </c>
      <c r="D258" s="91">
        <f>D254</f>
        <v>0.38617724889044619</v>
      </c>
      <c r="E258" s="91">
        <f t="shared" ref="E258:L258" si="153">E254</f>
        <v>0.21783333337159533</v>
      </c>
      <c r="F258" s="91">
        <f t="shared" si="153"/>
        <v>6.6786065195573261E-3</v>
      </c>
      <c r="G258" s="91">
        <f t="shared" si="153"/>
        <v>7.6794457489440518E-3</v>
      </c>
      <c r="H258" s="91">
        <f t="shared" si="153"/>
        <v>0.21485720293080565</v>
      </c>
      <c r="I258" s="91">
        <f t="shared" si="153"/>
        <v>6.9192159415937303E-3</v>
      </c>
      <c r="J258" s="91">
        <f t="shared" si="153"/>
        <v>1.195341905226883E-2</v>
      </c>
      <c r="K258" s="91">
        <f t="shared" si="153"/>
        <v>1.2803290557800446E-3</v>
      </c>
      <c r="L258" s="91">
        <f t="shared" si="153"/>
        <v>3.4012561580883268E-3</v>
      </c>
      <c r="M258" s="86">
        <f>SUM(C258:L258)</f>
        <v>0.8567800576690795</v>
      </c>
    </row>
    <row r="259" spans="2:13">
      <c r="C259" s="92">
        <f t="shared" ref="C259:L259" si="154">+C258*$M259</f>
        <v>0</v>
      </c>
      <c r="D259" s="92">
        <f t="shared" si="154"/>
        <v>1319.4438273710414</v>
      </c>
      <c r="E259" s="92">
        <f t="shared" si="154"/>
        <v>744.26664941710999</v>
      </c>
      <c r="F259" s="92">
        <f t="shared" si="154"/>
        <v>22.81865690686967</v>
      </c>
      <c r="G259" s="92">
        <f t="shared" si="154"/>
        <v>26.238203623304354</v>
      </c>
      <c r="H259" s="92">
        <f t="shared" si="154"/>
        <v>734.0981660307026</v>
      </c>
      <c r="I259" s="92">
        <f t="shared" si="154"/>
        <v>23.640742147844882</v>
      </c>
      <c r="J259" s="92">
        <f t="shared" si="154"/>
        <v>40.840999903051767</v>
      </c>
      <c r="K259" s="92">
        <f t="shared" si="154"/>
        <v>4.3744738316575811</v>
      </c>
      <c r="L259" s="92">
        <f t="shared" si="154"/>
        <v>11.621001641063817</v>
      </c>
      <c r="M259" s="87">
        <f>+'2022-2023 Recy. Tons &amp; Revenue'!D29</f>
        <v>3416.6793387286043</v>
      </c>
    </row>
    <row r="260" spans="2:13">
      <c r="C260" s="57">
        <f t="shared" ref="C260:L260" si="155">+C259*C29</f>
        <v>0</v>
      </c>
      <c r="D260" s="57">
        <f t="shared" si="155"/>
        <v>42301.369105515587</v>
      </c>
      <c r="E260" s="57">
        <f t="shared" si="155"/>
        <v>86357.259331867273</v>
      </c>
      <c r="F260" s="57">
        <f t="shared" si="155"/>
        <v>29337.718998593267</v>
      </c>
      <c r="G260" s="57">
        <f t="shared" si="155"/>
        <v>3999.2269962640494</v>
      </c>
      <c r="H260" s="57">
        <f t="shared" si="155"/>
        <v>-46615.233542949616</v>
      </c>
      <c r="I260" s="57">
        <f t="shared" si="155"/>
        <v>945.62968591379536</v>
      </c>
      <c r="J260" s="57">
        <f t="shared" si="155"/>
        <v>16336.399961220706</v>
      </c>
      <c r="K260" s="57">
        <f t="shared" si="155"/>
        <v>568.68159811548549</v>
      </c>
      <c r="L260" s="57">
        <f t="shared" si="155"/>
        <v>-2178.9378076994658</v>
      </c>
      <c r="M260" s="87">
        <f>SUM(C260:L260)</f>
        <v>131052.11432684108</v>
      </c>
    </row>
    <row r="262" spans="2:13">
      <c r="B262" s="11" t="s">
        <v>62</v>
      </c>
      <c r="C262" s="91">
        <f>C258</f>
        <v>0</v>
      </c>
      <c r="D262" s="91">
        <f>D258</f>
        <v>0.38617724889044619</v>
      </c>
      <c r="E262" s="91">
        <f t="shared" ref="E262:L262" si="156">E258</f>
        <v>0.21783333337159533</v>
      </c>
      <c r="F262" s="91">
        <f t="shared" si="156"/>
        <v>6.6786065195573261E-3</v>
      </c>
      <c r="G262" s="91">
        <f t="shared" si="156"/>
        <v>7.6794457489440518E-3</v>
      </c>
      <c r="H262" s="91">
        <f t="shared" si="156"/>
        <v>0.21485720293080565</v>
      </c>
      <c r="I262" s="91">
        <f t="shared" si="156"/>
        <v>6.9192159415937303E-3</v>
      </c>
      <c r="J262" s="91">
        <f t="shared" si="156"/>
        <v>1.195341905226883E-2</v>
      </c>
      <c r="K262" s="91">
        <f t="shared" si="156"/>
        <v>1.2803290557800446E-3</v>
      </c>
      <c r="L262" s="91">
        <f t="shared" si="156"/>
        <v>3.4012561580883268E-3</v>
      </c>
      <c r="M262" s="86">
        <f>SUM(C262:L262)</f>
        <v>0.8567800576690795</v>
      </c>
    </row>
    <row r="263" spans="2:13">
      <c r="C263" s="92">
        <f t="shared" ref="C263:L263" si="157">+C262*$M263</f>
        <v>0</v>
      </c>
      <c r="D263" s="92">
        <f t="shared" si="157"/>
        <v>1235.7095691123345</v>
      </c>
      <c r="E263" s="92">
        <f t="shared" si="157"/>
        <v>697.03416058898983</v>
      </c>
      <c r="F263" s="92">
        <f t="shared" si="157"/>
        <v>21.370544246883473</v>
      </c>
      <c r="G263" s="92">
        <f t="shared" si="157"/>
        <v>24.573080430590768</v>
      </c>
      <c r="H263" s="92">
        <f t="shared" si="157"/>
        <v>687.5109872918141</v>
      </c>
      <c r="I263" s="92">
        <f t="shared" si="157"/>
        <v>22.14045849243583</v>
      </c>
      <c r="J263" s="92">
        <f t="shared" si="157"/>
        <v>38.249157217152963</v>
      </c>
      <c r="K263" s="92">
        <f t="shared" si="157"/>
        <v>4.0968619212697011</v>
      </c>
      <c r="L263" s="92">
        <f t="shared" si="157"/>
        <v>10.883512153105453</v>
      </c>
      <c r="M263" s="87">
        <f>+'2022-2023 Recy. Tons &amp; Revenue'!D30</f>
        <v>3199.8507749038586</v>
      </c>
    </row>
    <row r="264" spans="2:13">
      <c r="C264" s="57">
        <f t="shared" ref="C264:L264" si="158">+C263*C30</f>
        <v>0</v>
      </c>
      <c r="D264" s="57">
        <f t="shared" si="158"/>
        <v>50231.593984416395</v>
      </c>
      <c r="E264" s="57">
        <f t="shared" si="158"/>
        <v>84104.141816667514</v>
      </c>
      <c r="F264" s="57">
        <f t="shared" si="158"/>
        <v>26168.231430308813</v>
      </c>
      <c r="G264" s="57">
        <f t="shared" si="158"/>
        <v>4537.173570704279</v>
      </c>
      <c r="H264" s="57">
        <f t="shared" si="158"/>
        <v>-43656.947693030197</v>
      </c>
      <c r="I264" s="57">
        <f t="shared" si="158"/>
        <v>1516.1785975620057</v>
      </c>
      <c r="J264" s="57">
        <f t="shared" si="158"/>
        <v>17594.612319890362</v>
      </c>
      <c r="K264" s="57">
        <f t="shared" si="158"/>
        <v>459.13531551669536</v>
      </c>
      <c r="L264" s="57">
        <f t="shared" si="158"/>
        <v>-1808.2955442384712</v>
      </c>
      <c r="M264" s="87">
        <f>SUM(C264:L264)</f>
        <v>139145.82379779738</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3:CG30"/>
  <sheetViews>
    <sheetView zoomScaleNormal="100" workbookViewId="0">
      <pane xSplit="1" topLeftCell="N1" activePane="topRight" state="frozen"/>
      <selection pane="topRight" activeCell="AZ7" sqref="AZ7"/>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hidden="1" customWidth="1"/>
    <col min="30" max="30" width="7.7109375" hidden="1" customWidth="1"/>
    <col min="31" max="31" width="9.28515625" hidden="1" customWidth="1"/>
    <col min="32" max="32" width="7.7109375" hidden="1" customWidth="1"/>
    <col min="33" max="33" width="9.28515625" hidden="1" customWidth="1"/>
    <col min="34" max="34" width="7.7109375" hidden="1" customWidth="1"/>
    <col min="35" max="35" width="9.28515625" hidden="1" customWidth="1"/>
    <col min="36" max="36" width="7.7109375" hidden="1" customWidth="1"/>
    <col min="37" max="37" width="9.28515625" hidden="1" customWidth="1"/>
    <col min="38" max="38" width="7.7109375" hidden="1" customWidth="1"/>
    <col min="39" max="39" width="9.28515625" hidden="1" customWidth="1"/>
    <col min="40" max="40" width="7.7109375" hidden="1" customWidth="1"/>
    <col min="41" max="41" width="9.28515625" hidden="1" customWidth="1"/>
    <col min="42" max="42" width="7.7109375" hidden="1" customWidth="1"/>
    <col min="43" max="43" width="9.28515625" hidden="1" customWidth="1"/>
    <col min="44" max="44" width="7.7109375" hidden="1" customWidth="1"/>
    <col min="45" max="45" width="9.28515625" hidden="1" customWidth="1"/>
    <col min="46" max="46" width="7.7109375" hidden="1" customWidth="1"/>
    <col min="47" max="47" width="9.28515625" hidden="1" customWidth="1"/>
    <col min="48" max="48" width="7.7109375" hidden="1" customWidth="1"/>
    <col min="49" max="49" width="9.28515625" hidden="1" customWidth="1"/>
    <col min="50" max="50" width="7.7109375" hidden="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136</v>
      </c>
      <c r="B3" s="1"/>
      <c r="BD3" s="13"/>
    </row>
    <row r="4" spans="1:85" ht="15">
      <c r="A4" s="8"/>
      <c r="B4" s="265"/>
      <c r="C4" s="10">
        <v>44474</v>
      </c>
      <c r="D4" s="6"/>
      <c r="E4" s="10">
        <v>44505</v>
      </c>
      <c r="F4" s="6"/>
      <c r="G4" s="10">
        <v>44535</v>
      </c>
      <c r="H4" s="2"/>
      <c r="I4" s="10">
        <v>44572</v>
      </c>
      <c r="J4" s="6"/>
      <c r="K4" s="10">
        <v>44593</v>
      </c>
      <c r="L4" s="6"/>
      <c r="M4" s="10">
        <v>44625</v>
      </c>
      <c r="N4" s="6"/>
      <c r="O4" s="10">
        <v>44656</v>
      </c>
      <c r="P4" s="6"/>
      <c r="Q4" s="10">
        <v>44686</v>
      </c>
      <c r="R4" s="6"/>
      <c r="S4" s="10">
        <v>44717</v>
      </c>
      <c r="T4" s="6"/>
      <c r="U4" s="10">
        <v>44747</v>
      </c>
      <c r="V4" s="6"/>
      <c r="W4" s="10">
        <v>44778</v>
      </c>
      <c r="X4" s="6"/>
      <c r="Y4" s="10">
        <v>44809</v>
      </c>
      <c r="Z4" s="6"/>
      <c r="AA4" s="10">
        <v>44839</v>
      </c>
      <c r="AB4" s="6"/>
      <c r="AC4" s="10">
        <v>44870</v>
      </c>
      <c r="AD4" s="6"/>
      <c r="AE4" s="10">
        <v>44900</v>
      </c>
      <c r="AF4" s="6"/>
      <c r="AG4" s="10">
        <v>44931</v>
      </c>
      <c r="AH4" s="6"/>
      <c r="AI4" s="10">
        <v>44962</v>
      </c>
      <c r="AJ4" s="6"/>
      <c r="AK4" s="10">
        <v>44990</v>
      </c>
      <c r="AL4" s="6"/>
      <c r="AM4" s="10">
        <v>45021</v>
      </c>
      <c r="AN4" s="6"/>
      <c r="AO4" s="10">
        <v>45051</v>
      </c>
      <c r="AP4" s="6"/>
      <c r="AQ4" s="10">
        <v>45082</v>
      </c>
      <c r="AR4" s="6"/>
      <c r="AS4" s="10">
        <v>45112</v>
      </c>
      <c r="AT4" s="6"/>
      <c r="AU4" s="10">
        <v>45143</v>
      </c>
      <c r="AV4" s="6"/>
      <c r="AW4" s="10">
        <v>45174</v>
      </c>
      <c r="AX4" s="6"/>
      <c r="AY4" s="10" t="s">
        <v>71</v>
      </c>
      <c r="AZ4" s="6"/>
      <c r="BD4" s="1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row>
    <row r="5" spans="1:85" ht="15">
      <c r="A5" s="9"/>
      <c r="B5" s="266"/>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row>
    <row r="6" spans="1:85" ht="15">
      <c r="A6" s="9" t="s">
        <v>3</v>
      </c>
      <c r="B6" s="12"/>
      <c r="C6" s="411">
        <v>0</v>
      </c>
      <c r="D6" s="5">
        <f t="shared" ref="D6:D16" si="0">C6/$C$17</f>
        <v>0</v>
      </c>
      <c r="E6" s="414">
        <v>0</v>
      </c>
      <c r="F6" s="5">
        <f t="shared" ref="F6:F16" si="1">E6/E$17</f>
        <v>0</v>
      </c>
      <c r="G6" s="414">
        <v>0</v>
      </c>
      <c r="H6" s="5">
        <f t="shared" ref="H6:H16" si="2">G6/G$17</f>
        <v>0</v>
      </c>
      <c r="I6" s="414">
        <v>0</v>
      </c>
      <c r="J6" s="5">
        <f t="shared" ref="J6:J16" si="3">I6/I$17</f>
        <v>0</v>
      </c>
      <c r="K6" s="414">
        <v>0</v>
      </c>
      <c r="L6" s="5">
        <f t="shared" ref="L6:R16" si="4">K6/K$17</f>
        <v>0</v>
      </c>
      <c r="M6" s="414">
        <v>0</v>
      </c>
      <c r="N6" s="5">
        <f t="shared" si="4"/>
        <v>0</v>
      </c>
      <c r="O6" s="414">
        <v>0</v>
      </c>
      <c r="P6" s="5">
        <f t="shared" si="4"/>
        <v>0</v>
      </c>
      <c r="Q6" s="414">
        <v>0</v>
      </c>
      <c r="R6" s="5">
        <f t="shared" si="4"/>
        <v>0</v>
      </c>
      <c r="S6" s="414">
        <v>0</v>
      </c>
      <c r="T6" s="5">
        <f t="shared" ref="T6:T16" si="5">S6/S$17</f>
        <v>0</v>
      </c>
      <c r="U6" s="414">
        <v>0</v>
      </c>
      <c r="V6" s="5">
        <f t="shared" ref="V6:V16" si="6">U6/U$17</f>
        <v>0</v>
      </c>
      <c r="W6" s="414">
        <v>0</v>
      </c>
      <c r="X6" s="5">
        <f t="shared" ref="X6:X16" si="7">W6/W$17</f>
        <v>0</v>
      </c>
      <c r="Y6" s="427">
        <f>+W6</f>
        <v>0</v>
      </c>
      <c r="Z6" s="5">
        <f t="shared" ref="Z6:Z16" si="8">Y6/Y$17</f>
        <v>0</v>
      </c>
      <c r="AA6" s="414">
        <f>_xlfn.XLOOKUP(A6,[2]Composition!$A$6:$A$18,[2]Composition!$T$6:$T$18,0,0,1)</f>
        <v>0</v>
      </c>
      <c r="AB6" s="5">
        <f t="shared" ref="AB6:AB16" si="9">AA6/AA$17</f>
        <v>0</v>
      </c>
      <c r="AC6" s="414"/>
      <c r="AD6" s="96" t="e">
        <f t="shared" ref="AD6:AH16" si="10">AC6/AC$17</f>
        <v>#DIV/0!</v>
      </c>
      <c r="AE6" s="414"/>
      <c r="AF6" s="96" t="e">
        <f t="shared" si="10"/>
        <v>#DIV/0!</v>
      </c>
      <c r="AG6" s="414"/>
      <c r="AH6" s="96" t="e">
        <f t="shared" si="10"/>
        <v>#DIV/0!</v>
      </c>
      <c r="AI6" s="414"/>
      <c r="AJ6" s="96" t="e">
        <f t="shared" ref="AJ6:AJ16" si="11">AI6/AI$17</f>
        <v>#DIV/0!</v>
      </c>
      <c r="AK6" s="414"/>
      <c r="AL6" s="96" t="e">
        <f t="shared" ref="AL6:AL16" si="12">AK6/AK$17</f>
        <v>#DIV/0!</v>
      </c>
      <c r="AM6" s="414"/>
      <c r="AN6" s="96" t="e">
        <f t="shared" ref="AN6:AN16" si="13">AM6/AM$17</f>
        <v>#DIV/0!</v>
      </c>
      <c r="AO6" s="414"/>
      <c r="AP6" s="96" t="e">
        <f t="shared" ref="AP6:AP16" si="14">AO6/AO$17</f>
        <v>#DIV/0!</v>
      </c>
      <c r="AQ6" s="414"/>
      <c r="AR6" s="96" t="e">
        <f t="shared" ref="AR6:AR16" si="15">AQ6/AQ$17</f>
        <v>#DIV/0!</v>
      </c>
      <c r="AS6" s="414"/>
      <c r="AT6" s="96" t="e">
        <f t="shared" ref="AT6:AT16" si="16">AS6/AS$17</f>
        <v>#DIV/0!</v>
      </c>
      <c r="AU6" s="414"/>
      <c r="AV6" s="96" t="e">
        <f t="shared" ref="AV6:AV16" si="17">AU6/AU$17</f>
        <v>#DIV/0!</v>
      </c>
      <c r="AW6" s="414"/>
      <c r="AX6" s="96" t="e">
        <f t="shared" ref="AX6:AX16" si="18">AW6/AW$17</f>
        <v>#DIV/0!</v>
      </c>
      <c r="AY6" s="16">
        <f>+Y6+W6+U6+S6+Q6+O6+M6+K6+I6+G6+E6+C6+AA6+AC6+AE6+AG6+AI6+AK6+AM6+AO6+AQ6+AS6+AU6+AW6</f>
        <v>0</v>
      </c>
      <c r="AZ6" s="15">
        <f t="shared" ref="AZ6:AZ16" si="19">AY6/AY$17</f>
        <v>0</v>
      </c>
      <c r="BD6" s="13"/>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row>
    <row r="7" spans="1:85" ht="15">
      <c r="A7" s="9" t="s">
        <v>6</v>
      </c>
      <c r="B7" s="12"/>
      <c r="C7" s="411">
        <v>2441.9130176074977</v>
      </c>
      <c r="D7" s="5">
        <f t="shared" si="0"/>
        <v>0.34451473439966246</v>
      </c>
      <c r="E7" s="414">
        <v>3081.4085125228521</v>
      </c>
      <c r="F7" s="5">
        <f t="shared" si="1"/>
        <v>0.38993981205758893</v>
      </c>
      <c r="G7" s="414">
        <v>2443.5568093903544</v>
      </c>
      <c r="H7" s="5">
        <f t="shared" si="2"/>
        <v>0.37140199789171413</v>
      </c>
      <c r="I7" s="414">
        <v>3235.897584144433</v>
      </c>
      <c r="J7" s="5">
        <f t="shared" si="3"/>
        <v>0.39301886674384967</v>
      </c>
      <c r="K7" s="414">
        <v>2438.6944393746421</v>
      </c>
      <c r="L7" s="5">
        <f t="shared" si="4"/>
        <v>0.37329750017776259</v>
      </c>
      <c r="M7" s="414">
        <v>3193.3149408131139</v>
      </c>
      <c r="N7" s="5">
        <f t="shared" si="4"/>
        <v>0.41003541068917587</v>
      </c>
      <c r="O7" s="414">
        <v>2971.212408820496</v>
      </c>
      <c r="P7" s="5">
        <f t="shared" si="4"/>
        <v>0.42369203654325316</v>
      </c>
      <c r="Q7" s="414">
        <v>3489.5096546703803</v>
      </c>
      <c r="R7" s="5">
        <f t="shared" si="4"/>
        <v>0.48051031095582108</v>
      </c>
      <c r="S7" s="414">
        <v>3076.16</v>
      </c>
      <c r="T7" s="5">
        <f t="shared" si="5"/>
        <v>0.42148185091608609</v>
      </c>
      <c r="U7" s="414">
        <v>2398.59</v>
      </c>
      <c r="V7" s="5">
        <f t="shared" si="6"/>
        <v>0.35023837510677608</v>
      </c>
      <c r="W7" s="414">
        <v>2354.5500000000002</v>
      </c>
      <c r="X7" s="5">
        <f t="shared" si="7"/>
        <v>0.31733506205052459</v>
      </c>
      <c r="Y7" s="427">
        <v>2508.59</v>
      </c>
      <c r="Z7" s="5">
        <f t="shared" si="8"/>
        <v>0.36558295163577381</v>
      </c>
      <c r="AA7" s="414">
        <f>_xlfn.XLOOKUP(A7,[2]Composition!$A$6:$A$18,[2]Composition!$T$6:$T$18,0,0,1)</f>
        <v>2405.4202486376835</v>
      </c>
      <c r="AB7" s="5">
        <f t="shared" si="9"/>
        <v>0.37035238582620161</v>
      </c>
      <c r="AC7" s="414"/>
      <c r="AD7" s="96" t="e">
        <f t="shared" si="10"/>
        <v>#DIV/0!</v>
      </c>
      <c r="AE7" s="414"/>
      <c r="AF7" s="96" t="e">
        <f t="shared" si="10"/>
        <v>#DIV/0!</v>
      </c>
      <c r="AG7" s="414"/>
      <c r="AH7" s="96" t="e">
        <f t="shared" si="10"/>
        <v>#DIV/0!</v>
      </c>
      <c r="AI7" s="414"/>
      <c r="AJ7" s="96" t="e">
        <f t="shared" si="11"/>
        <v>#DIV/0!</v>
      </c>
      <c r="AK7" s="414"/>
      <c r="AL7" s="96" t="e">
        <f t="shared" si="12"/>
        <v>#DIV/0!</v>
      </c>
      <c r="AM7" s="414"/>
      <c r="AN7" s="96" t="e">
        <f t="shared" si="13"/>
        <v>#DIV/0!</v>
      </c>
      <c r="AO7" s="414"/>
      <c r="AP7" s="96" t="e">
        <f t="shared" si="14"/>
        <v>#DIV/0!</v>
      </c>
      <c r="AQ7" s="414"/>
      <c r="AR7" s="96" t="e">
        <f t="shared" si="15"/>
        <v>#DIV/0!</v>
      </c>
      <c r="AS7" s="414"/>
      <c r="AT7" s="96" t="e">
        <f t="shared" si="16"/>
        <v>#DIV/0!</v>
      </c>
      <c r="AU7" s="414"/>
      <c r="AV7" s="96" t="e">
        <f t="shared" si="17"/>
        <v>#DIV/0!</v>
      </c>
      <c r="AW7" s="414"/>
      <c r="AX7" s="96" t="e">
        <f t="shared" si="18"/>
        <v>#DIV/0!</v>
      </c>
      <c r="AY7" s="16">
        <f t="shared" ref="AY7:AY16" si="20">+Y7+W7+U7+S7+Q7+O7+M7+K7+I7+G7+E7+C7+AA7+AC7+AE7+AG7+AI7+AK7+AM7+AO7+AQ7+AS7+AU7+AW7</f>
        <v>36038.817615981454</v>
      </c>
      <c r="AZ7" s="15">
        <f t="shared" si="19"/>
        <v>0.38617724889044619</v>
      </c>
      <c r="BD7" s="13"/>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row>
    <row r="8" spans="1:85" ht="15">
      <c r="A8" s="9" t="s">
        <v>1</v>
      </c>
      <c r="B8" s="12"/>
      <c r="C8" s="411">
        <v>1351.1061666172122</v>
      </c>
      <c r="D8" s="5">
        <f t="shared" si="0"/>
        <v>0.19061939503231459</v>
      </c>
      <c r="E8" s="414">
        <v>1398.617448037005</v>
      </c>
      <c r="F8" s="5">
        <f t="shared" si="1"/>
        <v>0.17698939384752213</v>
      </c>
      <c r="G8" s="414">
        <v>1300.3116175065384</v>
      </c>
      <c r="H8" s="5">
        <f t="shared" si="2"/>
        <v>0.19763744831626137</v>
      </c>
      <c r="I8" s="414">
        <v>1588.1097614793177</v>
      </c>
      <c r="J8" s="5">
        <f t="shared" si="3"/>
        <v>0.19288530693299835</v>
      </c>
      <c r="K8" s="414">
        <v>1480.2468053632974</v>
      </c>
      <c r="L8" s="5">
        <f t="shared" si="4"/>
        <v>0.22658534958973167</v>
      </c>
      <c r="M8" s="414">
        <v>1405.2884230632285</v>
      </c>
      <c r="N8" s="5">
        <f t="shared" si="4"/>
        <v>0.180445094319683</v>
      </c>
      <c r="O8" s="414">
        <v>1435.6160269073293</v>
      </c>
      <c r="P8" s="5">
        <f t="shared" si="4"/>
        <v>0.20471746696021817</v>
      </c>
      <c r="Q8" s="414">
        <v>1216.7678594173137</v>
      </c>
      <c r="R8" s="5">
        <f t="shared" si="4"/>
        <v>0.16755061895505494</v>
      </c>
      <c r="S8" s="414">
        <v>1454.9</v>
      </c>
      <c r="T8" s="5">
        <f t="shared" si="5"/>
        <v>0.19934396939619972</v>
      </c>
      <c r="U8" s="414">
        <v>2054.4499999999998</v>
      </c>
      <c r="V8" s="5">
        <f t="shared" si="6"/>
        <v>0.29998758843241902</v>
      </c>
      <c r="W8" s="414">
        <v>2288.65</v>
      </c>
      <c r="X8" s="5">
        <f t="shared" si="7"/>
        <v>0.30845337315492688</v>
      </c>
      <c r="Y8" s="427">
        <v>1792.21</v>
      </c>
      <c r="Z8" s="5">
        <f t="shared" si="8"/>
        <v>0.26118314341967008</v>
      </c>
      <c r="AA8" s="414">
        <f>_xlfn.XLOOKUP(A8,[2]Composition!$A$6:$A$18,[2]Composition!$T$6:$T$18,0,0,1)</f>
        <v>1562.3594261215308</v>
      </c>
      <c r="AB8" s="5">
        <f t="shared" si="9"/>
        <v>0.2405498753533272</v>
      </c>
      <c r="AC8" s="414"/>
      <c r="AD8" s="96" t="e">
        <f t="shared" si="10"/>
        <v>#DIV/0!</v>
      </c>
      <c r="AE8" s="414"/>
      <c r="AF8" s="96" t="e">
        <f t="shared" si="10"/>
        <v>#DIV/0!</v>
      </c>
      <c r="AG8" s="414"/>
      <c r="AH8" s="96" t="e">
        <f t="shared" si="10"/>
        <v>#DIV/0!</v>
      </c>
      <c r="AI8" s="414"/>
      <c r="AJ8" s="96" t="e">
        <f t="shared" si="11"/>
        <v>#DIV/0!</v>
      </c>
      <c r="AK8" s="414"/>
      <c r="AL8" s="96" t="e">
        <f t="shared" si="12"/>
        <v>#DIV/0!</v>
      </c>
      <c r="AM8" s="414"/>
      <c r="AN8" s="96" t="e">
        <f t="shared" si="13"/>
        <v>#DIV/0!</v>
      </c>
      <c r="AO8" s="414"/>
      <c r="AP8" s="96" t="e">
        <f t="shared" si="14"/>
        <v>#DIV/0!</v>
      </c>
      <c r="AQ8" s="414"/>
      <c r="AR8" s="96" t="e">
        <f t="shared" si="15"/>
        <v>#DIV/0!</v>
      </c>
      <c r="AS8" s="414"/>
      <c r="AT8" s="96" t="e">
        <f t="shared" si="16"/>
        <v>#DIV/0!</v>
      </c>
      <c r="AU8" s="414"/>
      <c r="AV8" s="96" t="e">
        <f t="shared" si="17"/>
        <v>#DIV/0!</v>
      </c>
      <c r="AW8" s="414"/>
      <c r="AX8" s="96" t="e">
        <f t="shared" si="18"/>
        <v>#DIV/0!</v>
      </c>
      <c r="AY8" s="16">
        <f t="shared" si="20"/>
        <v>20328.633534512774</v>
      </c>
      <c r="AZ8" s="15">
        <f t="shared" si="19"/>
        <v>0.21783333337159533</v>
      </c>
      <c r="BD8" s="13"/>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row>
    <row r="9" spans="1:85" ht="15">
      <c r="A9" s="9" t="s">
        <v>0</v>
      </c>
      <c r="B9" s="12"/>
      <c r="C9" s="412">
        <v>42.388705361721698</v>
      </c>
      <c r="D9" s="5">
        <f t="shared" si="0"/>
        <v>5.9803659933584117E-3</v>
      </c>
      <c r="E9" s="414">
        <v>45.829264175743042</v>
      </c>
      <c r="F9" s="5">
        <f t="shared" si="1"/>
        <v>5.7995084347954671E-3</v>
      </c>
      <c r="G9" s="416">
        <v>39.364843753331762</v>
      </c>
      <c r="H9" s="5">
        <f t="shared" si="2"/>
        <v>5.9831560127837514E-3</v>
      </c>
      <c r="I9" s="414">
        <v>42.509364067802373</v>
      </c>
      <c r="J9" s="5">
        <f t="shared" si="3"/>
        <v>5.1630132467083987E-3</v>
      </c>
      <c r="K9" s="414">
        <v>44.111244426825486</v>
      </c>
      <c r="L9" s="5">
        <f t="shared" si="4"/>
        <v>6.752226522682675E-3</v>
      </c>
      <c r="M9" s="416">
        <v>38.392751381049891</v>
      </c>
      <c r="N9" s="5">
        <f t="shared" si="4"/>
        <v>4.9297948595097649E-3</v>
      </c>
      <c r="O9" s="414">
        <v>31.264275254368435</v>
      </c>
      <c r="P9" s="5">
        <f t="shared" si="4"/>
        <v>4.4582556313537769E-3</v>
      </c>
      <c r="Q9" s="414">
        <v>31.185294286296845</v>
      </c>
      <c r="R9" s="5">
        <f t="shared" si="4"/>
        <v>4.2942582017795735E-3</v>
      </c>
      <c r="S9" s="414">
        <v>41.85</v>
      </c>
      <c r="T9" s="5">
        <f t="shared" si="5"/>
        <v>5.7341020820887746E-3</v>
      </c>
      <c r="U9" s="414">
        <v>63.23</v>
      </c>
      <c r="V9" s="5">
        <f t="shared" si="6"/>
        <v>9.2327460958319049E-3</v>
      </c>
      <c r="W9" s="414">
        <v>76.19</v>
      </c>
      <c r="X9" s="5">
        <f t="shared" si="7"/>
        <v>1.0268526205699376E-2</v>
      </c>
      <c r="Y9" s="427">
        <v>63.36</v>
      </c>
      <c r="Z9" s="5">
        <f t="shared" si="8"/>
        <v>9.2336076503703787E-3</v>
      </c>
      <c r="AA9" s="414">
        <f>_xlfn.XLOOKUP(A9,[2]Composition!$A$6:$A$18,[2]Composition!$T$6:$T$18,0,0,1)</f>
        <v>63.584905036279856</v>
      </c>
      <c r="AB9" s="5">
        <f t="shared" si="9"/>
        <v>9.7898989983374613E-3</v>
      </c>
      <c r="AC9" s="414"/>
      <c r="AD9" s="96" t="e">
        <f t="shared" si="10"/>
        <v>#DIV/0!</v>
      </c>
      <c r="AE9" s="414"/>
      <c r="AF9" s="96" t="e">
        <f t="shared" si="10"/>
        <v>#DIV/0!</v>
      </c>
      <c r="AG9" s="414"/>
      <c r="AH9" s="96" t="e">
        <f t="shared" si="10"/>
        <v>#DIV/0!</v>
      </c>
      <c r="AI9" s="414"/>
      <c r="AJ9" s="96" t="e">
        <f t="shared" si="11"/>
        <v>#DIV/0!</v>
      </c>
      <c r="AK9" s="414"/>
      <c r="AL9" s="96" t="e">
        <f t="shared" si="12"/>
        <v>#DIV/0!</v>
      </c>
      <c r="AM9" s="414"/>
      <c r="AN9" s="96" t="e">
        <f t="shared" si="13"/>
        <v>#DIV/0!</v>
      </c>
      <c r="AO9" s="414"/>
      <c r="AP9" s="96" t="e">
        <f t="shared" si="14"/>
        <v>#DIV/0!</v>
      </c>
      <c r="AQ9" s="414"/>
      <c r="AR9" s="96" t="e">
        <f t="shared" si="15"/>
        <v>#DIV/0!</v>
      </c>
      <c r="AS9" s="414"/>
      <c r="AT9" s="96" t="e">
        <f t="shared" si="16"/>
        <v>#DIV/0!</v>
      </c>
      <c r="AU9" s="414"/>
      <c r="AV9" s="96" t="e">
        <f t="shared" si="17"/>
        <v>#DIV/0!</v>
      </c>
      <c r="AW9" s="414"/>
      <c r="AX9" s="96" t="e">
        <f t="shared" si="18"/>
        <v>#DIV/0!</v>
      </c>
      <c r="AY9" s="16">
        <f t="shared" si="20"/>
        <v>623.26064774341933</v>
      </c>
      <c r="AZ9" s="15">
        <f t="shared" si="19"/>
        <v>6.6786065195573261E-3</v>
      </c>
      <c r="BD9" s="13"/>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row>
    <row r="10" spans="1:85" ht="15">
      <c r="A10" s="9" t="s">
        <v>4</v>
      </c>
      <c r="B10" s="12"/>
      <c r="C10" s="412">
        <v>67.121856841863675</v>
      </c>
      <c r="D10" s="5">
        <f t="shared" si="0"/>
        <v>9.4698167033580045E-3</v>
      </c>
      <c r="E10" s="414">
        <v>69.305921261022348</v>
      </c>
      <c r="F10" s="5">
        <f t="shared" si="1"/>
        <v>8.7703846475307903E-3</v>
      </c>
      <c r="G10" s="416">
        <v>70.776220843434544</v>
      </c>
      <c r="H10" s="5">
        <f t="shared" si="2"/>
        <v>1.0757445754263024E-2</v>
      </c>
      <c r="I10" s="414">
        <v>83.248252761425888</v>
      </c>
      <c r="J10" s="5">
        <f t="shared" si="3"/>
        <v>1.0110991806111747E-2</v>
      </c>
      <c r="K10" s="414">
        <v>69.79861727754907</v>
      </c>
      <c r="L10" s="5">
        <f t="shared" si="4"/>
        <v>1.0684261597059671E-2</v>
      </c>
      <c r="M10" s="416">
        <v>51.023998617293799</v>
      </c>
      <c r="N10" s="5">
        <f t="shared" si="4"/>
        <v>6.5517014813198243E-3</v>
      </c>
      <c r="O10" s="414">
        <v>34.847546326287464</v>
      </c>
      <c r="P10" s="5">
        <f>O10/O$17</f>
        <v>4.9692266455568955E-3</v>
      </c>
      <c r="Q10" s="414">
        <v>42.251947876400038</v>
      </c>
      <c r="R10" s="5">
        <f t="shared" si="4"/>
        <v>5.8181517238117238E-3</v>
      </c>
      <c r="S10" s="414">
        <v>21.66</v>
      </c>
      <c r="T10" s="5">
        <f t="shared" si="5"/>
        <v>2.9677574933821469E-3</v>
      </c>
      <c r="U10" s="414">
        <v>52.45</v>
      </c>
      <c r="V10" s="5">
        <f t="shared" si="6"/>
        <v>7.6586672896786882E-3</v>
      </c>
      <c r="W10" s="414">
        <v>38.76</v>
      </c>
      <c r="X10" s="5">
        <f t="shared" si="7"/>
        <v>5.2238886432984357E-3</v>
      </c>
      <c r="Y10" s="427">
        <v>52.62</v>
      </c>
      <c r="Z10" s="5">
        <f t="shared" si="8"/>
        <v>7.6684412020594905E-3</v>
      </c>
      <c r="AA10" s="416">
        <f>_xlfn.XLOOKUP(A10,[2]Composition!$A$6:$A$18,[2]Composition!$T$6:$T$18,0,0,1)</f>
        <v>62.796564060223226</v>
      </c>
      <c r="AB10" s="5">
        <f t="shared" si="9"/>
        <v>9.6685214712743696E-3</v>
      </c>
      <c r="AC10" s="414"/>
      <c r="AD10" s="96" t="e">
        <f t="shared" si="10"/>
        <v>#DIV/0!</v>
      </c>
      <c r="AE10" s="414"/>
      <c r="AF10" s="96" t="e">
        <f t="shared" si="10"/>
        <v>#DIV/0!</v>
      </c>
      <c r="AG10" s="414"/>
      <c r="AH10" s="96" t="e">
        <f t="shared" si="10"/>
        <v>#DIV/0!</v>
      </c>
      <c r="AI10" s="414"/>
      <c r="AJ10" s="96" t="e">
        <f t="shared" si="11"/>
        <v>#DIV/0!</v>
      </c>
      <c r="AK10" s="414"/>
      <c r="AL10" s="96" t="e">
        <f t="shared" si="12"/>
        <v>#DIV/0!</v>
      </c>
      <c r="AM10" s="414"/>
      <c r="AN10" s="96" t="e">
        <f t="shared" si="13"/>
        <v>#DIV/0!</v>
      </c>
      <c r="AO10" s="414"/>
      <c r="AP10" s="96" t="e">
        <f t="shared" si="14"/>
        <v>#DIV/0!</v>
      </c>
      <c r="AQ10" s="414"/>
      <c r="AR10" s="96" t="e">
        <f t="shared" si="15"/>
        <v>#DIV/0!</v>
      </c>
      <c r="AS10" s="414"/>
      <c r="AT10" s="96" t="e">
        <f t="shared" si="16"/>
        <v>#DIV/0!</v>
      </c>
      <c r="AU10" s="414"/>
      <c r="AV10" s="96" t="e">
        <f t="shared" si="17"/>
        <v>#DIV/0!</v>
      </c>
      <c r="AW10" s="414"/>
      <c r="AX10" s="96" t="e">
        <f t="shared" si="18"/>
        <v>#DIV/0!</v>
      </c>
      <c r="AY10" s="16">
        <f t="shared" si="20"/>
        <v>716.66092586549996</v>
      </c>
      <c r="AZ10" s="15">
        <f t="shared" si="19"/>
        <v>7.6794457489440518E-3</v>
      </c>
      <c r="BD10" s="13"/>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row>
    <row r="11" spans="1:85" ht="15">
      <c r="A11" s="9" t="s">
        <v>2</v>
      </c>
      <c r="B11" s="12"/>
      <c r="C11" s="412">
        <v>1496.4790568600765</v>
      </c>
      <c r="D11" s="5">
        <f t="shared" si="0"/>
        <v>0.21112917662969571</v>
      </c>
      <c r="E11" s="414">
        <v>1774.0425019080053</v>
      </c>
      <c r="F11" s="5">
        <f t="shared" si="1"/>
        <v>0.22449791936539026</v>
      </c>
      <c r="G11" s="416">
        <v>1642.5421169243045</v>
      </c>
      <c r="H11" s="5">
        <f t="shared" si="2"/>
        <v>0.24965387401783901</v>
      </c>
      <c r="I11" s="414">
        <v>1821.7311977851969</v>
      </c>
      <c r="J11" s="5">
        <f t="shared" si="3"/>
        <v>0.2212600097029204</v>
      </c>
      <c r="K11" s="414">
        <v>1452.2486806986349</v>
      </c>
      <c r="L11" s="5">
        <f t="shared" si="4"/>
        <v>0.22229960153608702</v>
      </c>
      <c r="M11" s="416">
        <v>1654.2183584450022</v>
      </c>
      <c r="N11" s="5">
        <f t="shared" si="4"/>
        <v>0.21240877162020805</v>
      </c>
      <c r="O11" s="414">
        <v>1389.0253888490956</v>
      </c>
      <c r="P11" s="5">
        <f>O11/O$17</f>
        <v>0.19807368670938816</v>
      </c>
      <c r="Q11" s="414">
        <v>1456.1583787901322</v>
      </c>
      <c r="R11" s="5">
        <f t="shared" si="4"/>
        <v>0.20051502492818421</v>
      </c>
      <c r="S11" s="414">
        <v>1796.19</v>
      </c>
      <c r="T11" s="5">
        <f t="shared" si="5"/>
        <v>0.24610601717627326</v>
      </c>
      <c r="U11" s="414">
        <v>1415.42</v>
      </c>
      <c r="V11" s="5">
        <f t="shared" si="6"/>
        <v>0.20667742335857023</v>
      </c>
      <c r="W11" s="414">
        <v>1577.1</v>
      </c>
      <c r="X11" s="5">
        <f t="shared" si="7"/>
        <v>0.21255404487476684</v>
      </c>
      <c r="Y11" s="427">
        <v>1253.33</v>
      </c>
      <c r="Z11" s="5">
        <f t="shared" si="8"/>
        <v>0.18265084400944928</v>
      </c>
      <c r="AA11" s="416">
        <f>_xlfn.XLOOKUP(A11,[2]Composition!$A$6:$A$18,[2]Composition!$T$6:$T$18,0,0,1)</f>
        <v>1322.4095295189111</v>
      </c>
      <c r="AB11" s="5">
        <f t="shared" si="9"/>
        <v>0.20360580425562186</v>
      </c>
      <c r="AC11" s="414"/>
      <c r="AD11" s="96" t="e">
        <f t="shared" si="10"/>
        <v>#DIV/0!</v>
      </c>
      <c r="AE11" s="414"/>
      <c r="AF11" s="96" t="e">
        <f t="shared" si="10"/>
        <v>#DIV/0!</v>
      </c>
      <c r="AG11" s="414"/>
      <c r="AH11" s="96" t="e">
        <f t="shared" si="10"/>
        <v>#DIV/0!</v>
      </c>
      <c r="AI11" s="414"/>
      <c r="AJ11" s="96" t="e">
        <f t="shared" si="11"/>
        <v>#DIV/0!</v>
      </c>
      <c r="AK11" s="414"/>
      <c r="AL11" s="96" t="e">
        <f t="shared" si="12"/>
        <v>#DIV/0!</v>
      </c>
      <c r="AM11" s="414"/>
      <c r="AN11" s="96" t="e">
        <f t="shared" si="13"/>
        <v>#DIV/0!</v>
      </c>
      <c r="AO11" s="414"/>
      <c r="AP11" s="96" t="e">
        <f t="shared" si="14"/>
        <v>#DIV/0!</v>
      </c>
      <c r="AQ11" s="414"/>
      <c r="AR11" s="96" t="e">
        <f t="shared" si="15"/>
        <v>#DIV/0!</v>
      </c>
      <c r="AS11" s="414"/>
      <c r="AT11" s="96" t="e">
        <f t="shared" si="16"/>
        <v>#DIV/0!</v>
      </c>
      <c r="AU11" s="414"/>
      <c r="AV11" s="96" t="e">
        <f t="shared" si="17"/>
        <v>#DIV/0!</v>
      </c>
      <c r="AW11" s="414"/>
      <c r="AX11" s="96" t="e">
        <f t="shared" si="18"/>
        <v>#DIV/0!</v>
      </c>
      <c r="AY11" s="16">
        <f t="shared" si="20"/>
        <v>20050.895209779363</v>
      </c>
      <c r="AZ11" s="15">
        <f t="shared" si="19"/>
        <v>0.21485720293080565</v>
      </c>
      <c r="BD11" s="13"/>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row>
    <row r="12" spans="1:85" ht="15">
      <c r="A12" s="9" t="s">
        <v>8</v>
      </c>
      <c r="B12" s="12"/>
      <c r="C12" s="412">
        <v>49.398170410820661</v>
      </c>
      <c r="D12" s="5">
        <f t="shared" si="0"/>
        <v>6.9692890107884292E-3</v>
      </c>
      <c r="E12" s="414">
        <v>2.0078784286381155</v>
      </c>
      <c r="F12" s="5">
        <f t="shared" si="1"/>
        <v>2.5408891223468614E-4</v>
      </c>
      <c r="G12" s="416">
        <v>9.7109166225960184</v>
      </c>
      <c r="H12" s="5">
        <f t="shared" si="2"/>
        <v>1.4759852609654881E-3</v>
      </c>
      <c r="I12" s="414">
        <v>28.819476354591803</v>
      </c>
      <c r="J12" s="5">
        <f t="shared" si="3"/>
        <v>3.5002955571066317E-3</v>
      </c>
      <c r="K12" s="414">
        <v>40.816885962940695</v>
      </c>
      <c r="L12" s="5">
        <f t="shared" si="4"/>
        <v>6.2479502347632257E-3</v>
      </c>
      <c r="M12" s="416">
        <v>34.275000830869452</v>
      </c>
      <c r="N12" s="5">
        <f t="shared" si="4"/>
        <v>4.4010579296255821E-3</v>
      </c>
      <c r="O12" s="414">
        <v>52.447549320773334</v>
      </c>
      <c r="P12" s="5">
        <f t="shared" si="4"/>
        <v>7.4789701730690614E-3</v>
      </c>
      <c r="Q12" s="414">
        <v>48.480324229346692</v>
      </c>
      <c r="R12" s="5">
        <f t="shared" si="4"/>
        <v>6.6758077713021504E-3</v>
      </c>
      <c r="S12" s="414">
        <v>17.18</v>
      </c>
      <c r="T12" s="5">
        <f t="shared" si="5"/>
        <v>2.3539276886567536E-3</v>
      </c>
      <c r="U12" s="414">
        <v>88.82</v>
      </c>
      <c r="V12" s="5">
        <f t="shared" si="6"/>
        <v>1.296935802991918E-2</v>
      </c>
      <c r="W12" s="414">
        <v>77.94</v>
      </c>
      <c r="X12" s="5">
        <f t="shared" si="7"/>
        <v>1.0504382891090817E-2</v>
      </c>
      <c r="Y12" s="427">
        <v>85.25</v>
      </c>
      <c r="Z12" s="5">
        <f t="shared" si="8"/>
        <v>1.2423690849022645E-2</v>
      </c>
      <c r="AA12" s="416">
        <f>_xlfn.XLOOKUP(A12,[2]Composition!$A$6:$A$18,[2]Composition!$T$6:$T$18,0,0,1)</f>
        <v>110.56858834337741</v>
      </c>
      <c r="AB12" s="5">
        <f t="shared" si="9"/>
        <v>1.7023778075201928E-2</v>
      </c>
      <c r="AC12" s="414"/>
      <c r="AD12" s="96" t="e">
        <f t="shared" si="10"/>
        <v>#DIV/0!</v>
      </c>
      <c r="AE12" s="414"/>
      <c r="AF12" s="96" t="e">
        <f t="shared" si="10"/>
        <v>#DIV/0!</v>
      </c>
      <c r="AG12" s="414"/>
      <c r="AH12" s="96" t="e">
        <f t="shared" si="10"/>
        <v>#DIV/0!</v>
      </c>
      <c r="AI12" s="414"/>
      <c r="AJ12" s="96" t="e">
        <f t="shared" si="11"/>
        <v>#DIV/0!</v>
      </c>
      <c r="AK12" s="414"/>
      <c r="AL12" s="96" t="e">
        <f t="shared" si="12"/>
        <v>#DIV/0!</v>
      </c>
      <c r="AM12" s="414"/>
      <c r="AN12" s="96" t="e">
        <f t="shared" si="13"/>
        <v>#DIV/0!</v>
      </c>
      <c r="AO12" s="414"/>
      <c r="AP12" s="96" t="e">
        <f t="shared" si="14"/>
        <v>#DIV/0!</v>
      </c>
      <c r="AQ12" s="414"/>
      <c r="AR12" s="96" t="e">
        <f t="shared" si="15"/>
        <v>#DIV/0!</v>
      </c>
      <c r="AS12" s="414"/>
      <c r="AT12" s="96" t="e">
        <f t="shared" si="16"/>
        <v>#DIV/0!</v>
      </c>
      <c r="AU12" s="414"/>
      <c r="AV12" s="96" t="e">
        <f t="shared" si="17"/>
        <v>#DIV/0!</v>
      </c>
      <c r="AW12" s="414"/>
      <c r="AX12" s="96" t="e">
        <f t="shared" si="18"/>
        <v>#DIV/0!</v>
      </c>
      <c r="AY12" s="16">
        <f t="shared" si="20"/>
        <v>645.71479050395419</v>
      </c>
      <c r="AZ12" s="15">
        <f t="shared" si="19"/>
        <v>6.9192159415937303E-3</v>
      </c>
      <c r="BD12" s="13"/>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row>
    <row r="13" spans="1:85" ht="15">
      <c r="A13" s="9" t="s">
        <v>10</v>
      </c>
      <c r="B13" s="12"/>
      <c r="C13" s="412">
        <v>70.993089200718714</v>
      </c>
      <c r="D13" s="5">
        <f t="shared" si="0"/>
        <v>1.0015985456419092E-2</v>
      </c>
      <c r="E13" s="414">
        <v>115.38091248660281</v>
      </c>
      <c r="F13" s="5">
        <f t="shared" si="1"/>
        <v>1.4600988848837468E-2</v>
      </c>
      <c r="G13" s="416">
        <v>80.967487706026887</v>
      </c>
      <c r="H13" s="5">
        <f t="shared" si="2"/>
        <v>1.2306440588051543E-2</v>
      </c>
      <c r="I13" s="414">
        <v>101.4446953158902</v>
      </c>
      <c r="J13" s="5">
        <f t="shared" si="3"/>
        <v>1.2321057188454798E-2</v>
      </c>
      <c r="K13" s="414">
        <v>70.956771336641935</v>
      </c>
      <c r="L13" s="5">
        <f t="shared" si="4"/>
        <v>1.0861543345892035E-2</v>
      </c>
      <c r="M13" s="416">
        <v>124.20372914985565</v>
      </c>
      <c r="N13" s="5">
        <f t="shared" si="4"/>
        <v>1.5948294494911436E-2</v>
      </c>
      <c r="O13" s="414">
        <v>76.735394886936035</v>
      </c>
      <c r="P13" s="5">
        <f t="shared" si="4"/>
        <v>1.0942393629644023E-2</v>
      </c>
      <c r="Q13" s="414">
        <v>86.612681283310707</v>
      </c>
      <c r="R13" s="5">
        <f t="shared" si="4"/>
        <v>1.1926686134958502E-2</v>
      </c>
      <c r="S13" s="414">
        <v>123.05</v>
      </c>
      <c r="T13" s="5">
        <f t="shared" si="5"/>
        <v>1.6859767292736527E-2</v>
      </c>
      <c r="U13" s="414">
        <v>83.29</v>
      </c>
      <c r="V13" s="5">
        <f t="shared" si="6"/>
        <v>1.2161876044944479E-2</v>
      </c>
      <c r="W13" s="414">
        <v>96.34</v>
      </c>
      <c r="X13" s="5">
        <f t="shared" si="7"/>
        <v>1.298424746892083E-2</v>
      </c>
      <c r="Y13" s="427">
        <v>53.25</v>
      </c>
      <c r="Z13" s="5">
        <f t="shared" si="8"/>
        <v>7.7602526417648778E-3</v>
      </c>
      <c r="AA13" s="416">
        <f>_xlfn.XLOOKUP(A13,[2]Composition!$A$6:$A$18,[2]Composition!$T$6:$T$18,0,0,1)</f>
        <v>32.291728406109542</v>
      </c>
      <c r="AB13" s="5">
        <f t="shared" si="9"/>
        <v>4.9718208967549802E-3</v>
      </c>
      <c r="AC13" s="414"/>
      <c r="AD13" s="96" t="e">
        <f t="shared" si="10"/>
        <v>#DIV/0!</v>
      </c>
      <c r="AE13" s="414"/>
      <c r="AF13" s="96" t="e">
        <f t="shared" si="10"/>
        <v>#DIV/0!</v>
      </c>
      <c r="AG13" s="414"/>
      <c r="AH13" s="96" t="e">
        <f t="shared" si="10"/>
        <v>#DIV/0!</v>
      </c>
      <c r="AI13" s="414"/>
      <c r="AJ13" s="96" t="e">
        <f t="shared" si="11"/>
        <v>#DIV/0!</v>
      </c>
      <c r="AK13" s="414"/>
      <c r="AL13" s="96" t="e">
        <f t="shared" si="12"/>
        <v>#DIV/0!</v>
      </c>
      <c r="AM13" s="414"/>
      <c r="AN13" s="96" t="e">
        <f t="shared" si="13"/>
        <v>#DIV/0!</v>
      </c>
      <c r="AO13" s="414"/>
      <c r="AP13" s="96" t="e">
        <f t="shared" si="14"/>
        <v>#DIV/0!</v>
      </c>
      <c r="AQ13" s="414"/>
      <c r="AR13" s="96" t="e">
        <f t="shared" si="15"/>
        <v>#DIV/0!</v>
      </c>
      <c r="AS13" s="414"/>
      <c r="AT13" s="96" t="e">
        <f t="shared" si="16"/>
        <v>#DIV/0!</v>
      </c>
      <c r="AU13" s="414"/>
      <c r="AV13" s="96" t="e">
        <f t="shared" si="17"/>
        <v>#DIV/0!</v>
      </c>
      <c r="AW13" s="414"/>
      <c r="AX13" s="96" t="e">
        <f t="shared" si="18"/>
        <v>#DIV/0!</v>
      </c>
      <c r="AY13" s="16">
        <f t="shared" si="20"/>
        <v>1115.5164897720924</v>
      </c>
      <c r="AZ13" s="15">
        <f t="shared" si="19"/>
        <v>1.195341905226883E-2</v>
      </c>
      <c r="BD13" s="13"/>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row>
    <row r="14" spans="1:85" ht="15">
      <c r="A14" s="9" t="s">
        <v>11</v>
      </c>
      <c r="B14" s="12"/>
      <c r="C14" s="412">
        <v>9.8486220812804497</v>
      </c>
      <c r="D14" s="5">
        <f t="shared" si="0"/>
        <v>1.3894825065715588E-3</v>
      </c>
      <c r="E14" s="414">
        <v>4.0867833734679886</v>
      </c>
      <c r="F14" s="5">
        <f t="shared" si="1"/>
        <v>5.1716594346182731E-4</v>
      </c>
      <c r="G14" s="416">
        <v>2.1529855542787666</v>
      </c>
      <c r="H14" s="5">
        <f t="shared" si="2"/>
        <v>3.272373833169167E-4</v>
      </c>
      <c r="I14" s="414">
        <v>3.4986083371305559</v>
      </c>
      <c r="J14" s="5">
        <f t="shared" si="3"/>
        <v>4.2492663877160023E-4</v>
      </c>
      <c r="K14" s="414">
        <v>3.8705205111302634</v>
      </c>
      <c r="L14" s="5">
        <f t="shared" si="4"/>
        <v>5.9247095817473118E-4</v>
      </c>
      <c r="M14" s="416">
        <v>21.982663480365154</v>
      </c>
      <c r="N14" s="5">
        <f t="shared" si="4"/>
        <v>2.8226687988120343E-3</v>
      </c>
      <c r="O14" s="414">
        <v>8.046260948264818</v>
      </c>
      <c r="P14" s="5">
        <f t="shared" si="4"/>
        <v>1.1473890852125642E-3</v>
      </c>
      <c r="Q14" s="414">
        <v>12.155390321530708</v>
      </c>
      <c r="R14" s="5">
        <f t="shared" si="4"/>
        <v>1.6738140773935818E-3</v>
      </c>
      <c r="S14" s="414">
        <v>0.72</v>
      </c>
      <c r="T14" s="5">
        <f t="shared" si="5"/>
        <v>9.8651218616581057E-5</v>
      </c>
      <c r="U14" s="414">
        <v>8.16</v>
      </c>
      <c r="V14" s="5">
        <f t="shared" si="6"/>
        <v>1.1915104877746061E-3</v>
      </c>
      <c r="W14" s="414">
        <v>3.07</v>
      </c>
      <c r="X14" s="5">
        <f t="shared" si="7"/>
        <v>4.1376001380098547E-4</v>
      </c>
      <c r="Y14" s="427">
        <v>17.12</v>
      </c>
      <c r="Z14" s="5">
        <f t="shared" si="8"/>
        <v>2.4949394408829055E-3</v>
      </c>
      <c r="AA14" s="416">
        <f>_xlfn.XLOOKUP(A14,[2]Composition!$A$6:$A$18,[2]Composition!$T$6:$T$18,0,0,1)</f>
        <v>24.770981799450901</v>
      </c>
      <c r="AB14" s="5">
        <f t="shared" si="9"/>
        <v>3.8138833386306505E-3</v>
      </c>
      <c r="AC14" s="414"/>
      <c r="AD14" s="96" t="e">
        <f t="shared" si="10"/>
        <v>#DIV/0!</v>
      </c>
      <c r="AE14" s="414"/>
      <c r="AF14" s="96" t="e">
        <f t="shared" si="10"/>
        <v>#DIV/0!</v>
      </c>
      <c r="AG14" s="414"/>
      <c r="AH14" s="96" t="e">
        <f t="shared" si="10"/>
        <v>#DIV/0!</v>
      </c>
      <c r="AI14" s="414"/>
      <c r="AJ14" s="96" t="e">
        <f t="shared" si="11"/>
        <v>#DIV/0!</v>
      </c>
      <c r="AK14" s="414"/>
      <c r="AL14" s="96" t="e">
        <f t="shared" si="12"/>
        <v>#DIV/0!</v>
      </c>
      <c r="AM14" s="414"/>
      <c r="AN14" s="96" t="e">
        <f t="shared" si="13"/>
        <v>#DIV/0!</v>
      </c>
      <c r="AO14" s="414"/>
      <c r="AP14" s="96" t="e">
        <f t="shared" si="14"/>
        <v>#DIV/0!</v>
      </c>
      <c r="AQ14" s="414"/>
      <c r="AR14" s="96" t="e">
        <f t="shared" si="15"/>
        <v>#DIV/0!</v>
      </c>
      <c r="AS14" s="414"/>
      <c r="AT14" s="96" t="e">
        <f t="shared" si="16"/>
        <v>#DIV/0!</v>
      </c>
      <c r="AU14" s="414"/>
      <c r="AV14" s="96" t="e">
        <f t="shared" si="17"/>
        <v>#DIV/0!</v>
      </c>
      <c r="AW14" s="414"/>
      <c r="AX14" s="96" t="e">
        <f t="shared" si="18"/>
        <v>#DIV/0!</v>
      </c>
      <c r="AY14" s="16">
        <f t="shared" si="20"/>
        <v>119.48281640689964</v>
      </c>
      <c r="AZ14" s="15">
        <f t="shared" si="19"/>
        <v>1.2803290557800446E-3</v>
      </c>
      <c r="BD14" s="13"/>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row>
    <row r="15" spans="1:85" ht="15">
      <c r="A15" s="9" t="s">
        <v>9</v>
      </c>
      <c r="B15" s="12"/>
      <c r="C15" s="412">
        <v>15.102389886681834</v>
      </c>
      <c r="D15" s="5">
        <f t="shared" si="0"/>
        <v>2.1307048216271259E-3</v>
      </c>
      <c r="E15" s="414">
        <v>33.069660909669551</v>
      </c>
      <c r="F15" s="5">
        <f t="shared" si="1"/>
        <v>4.1848321335904359E-3</v>
      </c>
      <c r="G15" s="416">
        <v>26.965297240965292</v>
      </c>
      <c r="H15" s="5">
        <f t="shared" si="2"/>
        <v>4.0985195148939791E-3</v>
      </c>
      <c r="I15" s="414">
        <v>28.795586538879906</v>
      </c>
      <c r="J15" s="5">
        <f t="shared" si="3"/>
        <v>3.4973939979399218E-3</v>
      </c>
      <c r="K15" s="414">
        <v>67.564521734611745</v>
      </c>
      <c r="L15" s="5">
        <f t="shared" si="4"/>
        <v>1.0342282598841821E-2</v>
      </c>
      <c r="M15" s="416">
        <v>39.860024580514796</v>
      </c>
      <c r="N15" s="5">
        <f t="shared" si="4"/>
        <v>5.118199066450474E-3</v>
      </c>
      <c r="O15" s="414">
        <v>17.907188444213151</v>
      </c>
      <c r="P15" s="5">
        <f t="shared" si="4"/>
        <v>2.5535478776841807E-3</v>
      </c>
      <c r="Q15" s="414">
        <v>5.6255605519903868</v>
      </c>
      <c r="R15" s="5">
        <f t="shared" si="4"/>
        <v>7.7464747705162612E-4</v>
      </c>
      <c r="S15" s="414">
        <v>33.85</v>
      </c>
      <c r="T15" s="5">
        <f t="shared" si="5"/>
        <v>4.6379774307934293E-3</v>
      </c>
      <c r="U15" s="414">
        <v>15.75</v>
      </c>
      <c r="V15" s="5">
        <f t="shared" si="6"/>
        <v>2.2997904635355449E-3</v>
      </c>
      <c r="W15" s="414">
        <v>0.79</v>
      </c>
      <c r="X15" s="5">
        <f t="shared" si="7"/>
        <v>1.0647244654813634E-4</v>
      </c>
      <c r="Y15" s="427">
        <v>14.27</v>
      </c>
      <c r="Z15" s="5">
        <f t="shared" si="8"/>
        <v>2.0796019755490104E-3</v>
      </c>
      <c r="AA15" s="416">
        <f>_xlfn.XLOOKUP(A15,[2]Composition!$A$6:$A$18,[2]Composition!$T$6:$T$18,0,0,1)</f>
        <v>17.861659856792929</v>
      </c>
      <c r="AB15" s="5">
        <f t="shared" si="9"/>
        <v>2.7500842509851809E-3</v>
      </c>
      <c r="AC15" s="414"/>
      <c r="AD15" s="96" t="e">
        <f t="shared" si="10"/>
        <v>#DIV/0!</v>
      </c>
      <c r="AE15" s="414"/>
      <c r="AF15" s="96" t="e">
        <f t="shared" si="10"/>
        <v>#DIV/0!</v>
      </c>
      <c r="AG15" s="414"/>
      <c r="AH15" s="96" t="e">
        <f t="shared" si="10"/>
        <v>#DIV/0!</v>
      </c>
      <c r="AI15" s="414"/>
      <c r="AJ15" s="96" t="e">
        <f t="shared" si="11"/>
        <v>#DIV/0!</v>
      </c>
      <c r="AK15" s="414"/>
      <c r="AL15" s="96" t="e">
        <f t="shared" si="12"/>
        <v>#DIV/0!</v>
      </c>
      <c r="AM15" s="414"/>
      <c r="AN15" s="96" t="e">
        <f t="shared" si="13"/>
        <v>#DIV/0!</v>
      </c>
      <c r="AO15" s="414"/>
      <c r="AP15" s="96" t="e">
        <f t="shared" si="14"/>
        <v>#DIV/0!</v>
      </c>
      <c r="AQ15" s="414"/>
      <c r="AR15" s="96" t="e">
        <f t="shared" si="15"/>
        <v>#DIV/0!</v>
      </c>
      <c r="AS15" s="414"/>
      <c r="AT15" s="96" t="e">
        <f t="shared" si="16"/>
        <v>#DIV/0!</v>
      </c>
      <c r="AU15" s="414"/>
      <c r="AV15" s="96" t="e">
        <f t="shared" si="17"/>
        <v>#DIV/0!</v>
      </c>
      <c r="AW15" s="414"/>
      <c r="AX15" s="96" t="e">
        <f t="shared" si="18"/>
        <v>#DIV/0!</v>
      </c>
      <c r="AY15" s="16">
        <f t="shared" si="20"/>
        <v>317.41188974431964</v>
      </c>
      <c r="AZ15" s="15">
        <f t="shared" si="19"/>
        <v>3.4012561580883268E-3</v>
      </c>
      <c r="BD15" s="13"/>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row>
    <row r="16" spans="1:85" ht="16.5">
      <c r="A16" s="9" t="s">
        <v>5</v>
      </c>
      <c r="B16" s="12"/>
      <c r="C16" s="413">
        <v>1543.62738812204</v>
      </c>
      <c r="D16" s="72">
        <f t="shared" si="0"/>
        <v>0.21778104944620466</v>
      </c>
      <c r="E16" s="415">
        <v>1378.5181264214518</v>
      </c>
      <c r="F16" s="72">
        <f t="shared" si="1"/>
        <v>0.17444590580904812</v>
      </c>
      <c r="G16" s="417">
        <v>962.92920770627359</v>
      </c>
      <c r="H16" s="72">
        <f t="shared" si="2"/>
        <v>0.14635789525991083</v>
      </c>
      <c r="I16" s="415">
        <v>1299.3863025418061</v>
      </c>
      <c r="J16" s="72">
        <f t="shared" si="3"/>
        <v>0.1578181381851384</v>
      </c>
      <c r="K16" s="415">
        <v>864.53579492114955</v>
      </c>
      <c r="L16" s="72">
        <f t="shared" si="4"/>
        <v>0.13233681343900461</v>
      </c>
      <c r="M16" s="417">
        <v>1225.3405142546917</v>
      </c>
      <c r="N16" s="74">
        <f t="shared" si="4"/>
        <v>0.15733900674030415</v>
      </c>
      <c r="O16" s="415">
        <v>995.56790103583694</v>
      </c>
      <c r="P16" s="72">
        <f t="shared" si="4"/>
        <v>0.14196702674461983</v>
      </c>
      <c r="Q16" s="415">
        <v>873.34401277691222</v>
      </c>
      <c r="R16" s="72">
        <f t="shared" si="4"/>
        <v>0.12026067977464271</v>
      </c>
      <c r="S16" s="415">
        <f>0.34+732.54</f>
        <v>732.88</v>
      </c>
      <c r="T16" s="74">
        <f t="shared" si="5"/>
        <v>0.10041597930516656</v>
      </c>
      <c r="U16" s="415">
        <f>0.25+668.04</f>
        <v>668.29</v>
      </c>
      <c r="V16" s="74">
        <f t="shared" si="6"/>
        <v>9.7582664690550422E-2</v>
      </c>
      <c r="W16" s="415">
        <f>0.26+906.11</f>
        <v>906.37</v>
      </c>
      <c r="X16" s="5">
        <f t="shared" si="7"/>
        <v>0.12215624225042321</v>
      </c>
      <c r="Y16" s="428">
        <f>0.21+1021.68</f>
        <v>1021.89</v>
      </c>
      <c r="Z16" s="5">
        <f t="shared" si="8"/>
        <v>0.14892252717545748</v>
      </c>
      <c r="AA16" s="417">
        <f>_xlfn.XLOOKUP(A16,[2]Composition!$A$6:$A$18,[2]Composition!$T$6:$T$18,0,0,1)</f>
        <v>892.8864230749524</v>
      </c>
      <c r="AB16" s="5">
        <f t="shared" si="9"/>
        <v>0.13747394753366479</v>
      </c>
      <c r="AC16" s="414"/>
      <c r="AD16" s="96" t="e">
        <f t="shared" si="10"/>
        <v>#DIV/0!</v>
      </c>
      <c r="AE16" s="414"/>
      <c r="AF16" s="96" t="e">
        <f t="shared" si="10"/>
        <v>#DIV/0!</v>
      </c>
      <c r="AG16" s="414"/>
      <c r="AH16" s="96" t="e">
        <f t="shared" si="10"/>
        <v>#DIV/0!</v>
      </c>
      <c r="AI16" s="414"/>
      <c r="AJ16" s="96" t="e">
        <f t="shared" si="11"/>
        <v>#DIV/0!</v>
      </c>
      <c r="AK16" s="414"/>
      <c r="AL16" s="96" t="e">
        <f t="shared" si="12"/>
        <v>#DIV/0!</v>
      </c>
      <c r="AM16" s="414"/>
      <c r="AN16" s="96" t="e">
        <f t="shared" si="13"/>
        <v>#DIV/0!</v>
      </c>
      <c r="AO16" s="414"/>
      <c r="AP16" s="96" t="e">
        <f t="shared" si="14"/>
        <v>#DIV/0!</v>
      </c>
      <c r="AQ16" s="414"/>
      <c r="AR16" s="96" t="e">
        <f t="shared" si="15"/>
        <v>#DIV/0!</v>
      </c>
      <c r="AS16" s="414"/>
      <c r="AT16" s="74" t="e">
        <f t="shared" si="16"/>
        <v>#DIV/0!</v>
      </c>
      <c r="AU16" s="414"/>
      <c r="AV16" s="74" t="e">
        <f t="shared" si="17"/>
        <v>#DIV/0!</v>
      </c>
      <c r="AW16" s="415"/>
      <c r="AX16" s="74" t="e">
        <f t="shared" si="18"/>
        <v>#DIV/0!</v>
      </c>
      <c r="AY16" s="17">
        <f t="shared" si="20"/>
        <v>13365.565670855114</v>
      </c>
      <c r="AZ16" s="97">
        <f t="shared" si="19"/>
        <v>0.14321994233092031</v>
      </c>
      <c r="BD16" s="13"/>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row>
    <row r="17" spans="1:59" s="1" customFormat="1" ht="15">
      <c r="A17" s="18"/>
      <c r="B17" s="267"/>
      <c r="C17" s="46">
        <f t="shared" ref="C17:AZ17" si="21">SUM(C6:C16)</f>
        <v>7087.9784629899132</v>
      </c>
      <c r="D17" s="45">
        <f t="shared" si="21"/>
        <v>1</v>
      </c>
      <c r="E17" s="46">
        <f t="shared" si="21"/>
        <v>7902.2670095244575</v>
      </c>
      <c r="F17" s="45">
        <f t="shared" si="21"/>
        <v>1</v>
      </c>
      <c r="G17" s="46">
        <f t="shared" si="21"/>
        <v>6579.277503248104</v>
      </c>
      <c r="H17" s="20">
        <f t="shared" si="21"/>
        <v>1</v>
      </c>
      <c r="I17" s="46">
        <f t="shared" si="21"/>
        <v>8233.4408293264751</v>
      </c>
      <c r="J17" s="20">
        <f t="shared" si="21"/>
        <v>0.99999999999999978</v>
      </c>
      <c r="K17" s="46">
        <f t="shared" si="21"/>
        <v>6532.844281607423</v>
      </c>
      <c r="L17" s="20">
        <f t="shared" si="21"/>
        <v>1.0000000000000002</v>
      </c>
      <c r="M17" s="46">
        <f t="shared" si="21"/>
        <v>7787.9004046159835</v>
      </c>
      <c r="N17" s="45">
        <f t="shared" si="21"/>
        <v>1</v>
      </c>
      <c r="O17" s="46">
        <f t="shared" si="21"/>
        <v>7012.6699407936021</v>
      </c>
      <c r="P17" s="45">
        <f t="shared" si="21"/>
        <v>0.99999999999999989</v>
      </c>
      <c r="Q17" s="46">
        <f t="shared" si="21"/>
        <v>7262.0911042036132</v>
      </c>
      <c r="R17" s="45">
        <f t="shared" si="21"/>
        <v>1</v>
      </c>
      <c r="S17" s="46">
        <f t="shared" si="21"/>
        <v>7298.4400000000014</v>
      </c>
      <c r="T17" s="45">
        <f t="shared" si="21"/>
        <v>0.99999999999999989</v>
      </c>
      <c r="U17" s="46">
        <f t="shared" si="21"/>
        <v>6848.4499999999989</v>
      </c>
      <c r="V17" s="45">
        <f t="shared" si="21"/>
        <v>1.0000000000000002</v>
      </c>
      <c r="W17" s="46">
        <f t="shared" si="21"/>
        <v>7419.7599999999993</v>
      </c>
      <c r="X17" s="45">
        <f t="shared" si="21"/>
        <v>1</v>
      </c>
      <c r="Y17" s="46">
        <f t="shared" si="21"/>
        <v>6861.89</v>
      </c>
      <c r="Z17" s="45">
        <f t="shared" si="21"/>
        <v>0.99999999999999989</v>
      </c>
      <c r="AA17" s="46">
        <f t="shared" ref="AA17:AF17" si="22">SUM(AA6:AA16)</f>
        <v>6494.9500548553115</v>
      </c>
      <c r="AB17" s="45">
        <f t="shared" si="22"/>
        <v>1.0000000000000002</v>
      </c>
      <c r="AC17" s="46">
        <f t="shared" si="22"/>
        <v>0</v>
      </c>
      <c r="AD17" s="45" t="e">
        <f t="shared" si="22"/>
        <v>#DIV/0!</v>
      </c>
      <c r="AE17" s="46">
        <f t="shared" si="22"/>
        <v>0</v>
      </c>
      <c r="AF17" s="45" t="e">
        <f t="shared" si="22"/>
        <v>#DIV/0!</v>
      </c>
      <c r="AG17" s="46">
        <f t="shared" ref="AG17:AN17" si="23">SUM(AG6:AG16)</f>
        <v>0</v>
      </c>
      <c r="AH17" s="45" t="e">
        <f t="shared" si="23"/>
        <v>#DIV/0!</v>
      </c>
      <c r="AI17" s="46">
        <f t="shared" si="23"/>
        <v>0</v>
      </c>
      <c r="AJ17" s="45" t="e">
        <f t="shared" si="23"/>
        <v>#DIV/0!</v>
      </c>
      <c r="AK17" s="46">
        <f t="shared" si="23"/>
        <v>0</v>
      </c>
      <c r="AL17" s="45" t="e">
        <f t="shared" si="23"/>
        <v>#DIV/0!</v>
      </c>
      <c r="AM17" s="46">
        <f t="shared" si="23"/>
        <v>0</v>
      </c>
      <c r="AN17" s="45" t="e">
        <f t="shared" si="23"/>
        <v>#DIV/0!</v>
      </c>
      <c r="AO17" s="46">
        <f t="shared" ref="AO17:AT17" si="24">SUM(AO6:AO16)</f>
        <v>0</v>
      </c>
      <c r="AP17" s="45" t="e">
        <f t="shared" si="24"/>
        <v>#DIV/0!</v>
      </c>
      <c r="AQ17" s="46">
        <f t="shared" si="24"/>
        <v>0</v>
      </c>
      <c r="AR17" s="45" t="e">
        <f t="shared" si="24"/>
        <v>#DIV/0!</v>
      </c>
      <c r="AS17" s="46">
        <f t="shared" si="24"/>
        <v>0</v>
      </c>
      <c r="AT17" s="45" t="e">
        <f t="shared" si="24"/>
        <v>#DIV/0!</v>
      </c>
      <c r="AU17" s="46">
        <f>SUM(AU6:AU16)</f>
        <v>0</v>
      </c>
      <c r="AV17" s="45" t="e">
        <f>SUM(AV6:AV16)</f>
        <v>#DIV/0!</v>
      </c>
      <c r="AW17" s="46">
        <f>SUM(AW6:AW16)</f>
        <v>0</v>
      </c>
      <c r="AX17" s="45" t="e">
        <f>SUM(AX6:AX16)</f>
        <v>#DIV/0!</v>
      </c>
      <c r="AY17" s="19">
        <f t="shared" si="21"/>
        <v>93321.959591164908</v>
      </c>
      <c r="AZ17" s="20">
        <f t="shared" si="21"/>
        <v>0.99999999999999978</v>
      </c>
      <c r="BD17" s="13"/>
      <c r="BE17"/>
      <c r="BF17"/>
      <c r="BG17"/>
    </row>
    <row r="18" spans="1:59" ht="15">
      <c r="C18" s="47"/>
      <c r="E18" s="47"/>
      <c r="G18" s="47"/>
      <c r="I18" s="47"/>
      <c r="K18" s="47"/>
      <c r="M18" s="47"/>
      <c r="O18" s="47"/>
      <c r="Q18" s="47"/>
      <c r="S18" s="47"/>
      <c r="U18" s="47"/>
      <c r="Y18" s="47"/>
      <c r="BD18" s="13"/>
    </row>
    <row r="19" spans="1:59" ht="51.75">
      <c r="A19" s="498" t="s">
        <v>325</v>
      </c>
      <c r="C19" s="47"/>
      <c r="D19" s="47"/>
      <c r="E19" s="47"/>
      <c r="F19" s="47"/>
      <c r="G19" s="47"/>
      <c r="H19" s="47"/>
      <c r="I19" s="47"/>
      <c r="J19" s="47"/>
      <c r="K19" s="47"/>
      <c r="L19" s="47"/>
      <c r="M19" s="47"/>
      <c r="N19" s="47"/>
      <c r="O19" s="47"/>
      <c r="P19" s="47"/>
      <c r="Q19" s="66"/>
      <c r="Y19" s="47"/>
      <c r="AC19" s="181"/>
      <c r="AE19" s="181"/>
      <c r="BD19" s="13"/>
    </row>
    <row r="20" spans="1:59">
      <c r="A20" s="499"/>
      <c r="C20" s="181"/>
      <c r="D20" s="410"/>
    </row>
    <row r="21" spans="1:59">
      <c r="A21" s="499"/>
      <c r="C21" s="181"/>
      <c r="D21" s="410"/>
    </row>
    <row r="22" spans="1:59">
      <c r="A22" s="499"/>
      <c r="C22" s="181"/>
      <c r="D22" s="410"/>
    </row>
    <row r="23" spans="1:59">
      <c r="A23" s="499"/>
      <c r="C23" s="181"/>
      <c r="D23" s="410"/>
    </row>
    <row r="24" spans="1:59">
      <c r="A24" s="9"/>
      <c r="C24" s="181"/>
      <c r="D24" s="410"/>
    </row>
    <row r="25" spans="1:59">
      <c r="A25" s="9"/>
      <c r="C25" s="181"/>
      <c r="D25" s="410"/>
    </row>
    <row r="26" spans="1:59">
      <c r="A26" s="9"/>
      <c r="C26" s="181"/>
      <c r="D26" s="410"/>
    </row>
    <row r="27" spans="1:59">
      <c r="A27" s="9"/>
      <c r="C27" s="181"/>
      <c r="D27" s="410"/>
    </row>
    <row r="28" spans="1:59">
      <c r="A28" s="9"/>
      <c r="C28" s="181"/>
      <c r="D28" s="410"/>
    </row>
    <row r="29" spans="1:59" ht="15">
      <c r="A29" s="9"/>
      <c r="C29" s="73"/>
      <c r="D29" s="369"/>
    </row>
    <row r="30" spans="1:59">
      <c r="C30" s="181"/>
      <c r="D30" s="410"/>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2023-11-16T08:00:00+00:00</OpenedDate>
    <SignificantOrder xmlns="dc463f71-b30c-4ab2-9473-d307f9d35888">false</SignificantOrder>
    <Date1 xmlns="dc463f71-b30c-4ab2-9473-d307f9d35888">2023-11-16T08:00:00+00:00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Nickname xmlns="http://schemas.microsoft.com/sharepoint/v3" xsi:nil="true"/>
    <DocketNumber xmlns="dc463f71-b30c-4ab2-9473-d307f9d35888">230955</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4E5BA6FAC68244C8D36DB9C271118EE" ma:contentTypeVersion="24" ma:contentTypeDescription="" ma:contentTypeScope="" ma:versionID="8909f66fd57d5be572ade3cb1cef0e7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AAE1F13-434A-48A7-919A-6D3590F45606}"/>
</file>

<file path=customXml/itemProps3.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4.xml><?xml version="1.0" encoding="utf-8"?>
<ds:datastoreItem xmlns:ds="http://schemas.openxmlformats.org/officeDocument/2006/customXml" ds:itemID="{C50088DE-79D3-495C-AC91-4F0C9E163973}">
  <ds:schemaRefs>
    <ds:schemaRef ds:uri="http://schemas.microsoft.com/office/2006/metadata/longProperties"/>
  </ds:schemaRefs>
</ds:datastoreItem>
</file>

<file path=customXml/itemProps5.xml><?xml version="1.0" encoding="utf-8"?>
<ds:datastoreItem xmlns:ds="http://schemas.openxmlformats.org/officeDocument/2006/customXml" ds:itemID="{00EF5CB1-4955-4BE5-B747-2ADE7A6448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Rebate (Charge) Analysis</vt:lpstr>
      <vt:lpstr>Rate Sheet Summary</vt:lpstr>
      <vt:lpstr>Rebate (charge) Calculation</vt:lpstr>
      <vt:lpstr>2022-2023 Recy. Tons &amp; Revenue</vt:lpstr>
      <vt:lpstr>KC Tonnage - Enspire</vt:lpstr>
      <vt:lpstr>SC Tonnage - Enspire</vt:lpstr>
      <vt:lpstr>Customer Counts - Enspire</vt:lpstr>
      <vt:lpstr>Prices - Recy. Acct. Analysis</vt:lpstr>
      <vt:lpstr>Composition-Rec. Acct. Analysis</vt:lpstr>
      <vt:lpstr>SC 2024-2025 Budget</vt:lpstr>
      <vt:lpstr>KC 2024-2025 Budget</vt:lpstr>
      <vt:lpstr>SC 2022-2023 Budget vs. Actual</vt:lpstr>
      <vt:lpstr>KC 2022-2023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Burmester, Evan</cp:lastModifiedBy>
  <cp:lastPrinted>2019-12-13T16:30:59Z</cp:lastPrinted>
  <dcterms:created xsi:type="dcterms:W3CDTF">2003-10-21T02:01:02Z</dcterms:created>
  <dcterms:modified xsi:type="dcterms:W3CDTF">2023-11-16T23:34:51Z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0x0101006E56B4D1795A2E4DB2F0B01679ED314A00A4E5BA6FAC68244C8D36DB9C271118EE</vt:lpwstr>
  </property>
  <property fmtid="{D5CDD505-2E9C-101B-9397-08002B2CF9AE}" pid="8" name="_docset_NoMedatataSyncRequired">
    <vt:lpwstr>False</vt:lpwstr>
  </property>
</Properties>
</file>