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UTC Filings\Ada-Lin\Newman Lake\2023-11\"/>
    </mc:Choice>
  </mc:AlternateContent>
  <xr:revisionPtr revIDLastSave="0" documentId="13_ncr:1_{12319C31-452B-4D13-96F5-2BF07AEF74AD}" xr6:coauthVersionLast="47" xr6:coauthVersionMax="47" xr10:uidLastSave="{00000000-0000-0000-0000-000000000000}"/>
  <bookViews>
    <workbookView xWindow="-28920" yWindow="-120" windowWidth="29040" windowHeight="16440" activeTab="1" xr2:uid="{00000000-000D-0000-FFFF-FFFF00000000}"/>
  </bookViews>
  <sheets>
    <sheet name="Disposal" sheetId="2" r:id="rId1"/>
    <sheet name="Priceou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4" l="1"/>
  <c r="N12" i="4" s="1"/>
  <c r="J6" i="4" s="1"/>
  <c r="G12" i="4" l="1"/>
  <c r="G13" i="4"/>
  <c r="G14" i="4"/>
  <c r="F8" i="4"/>
  <c r="G8" i="4" s="1"/>
  <c r="F11" i="4"/>
  <c r="G11" i="4" s="1"/>
  <c r="F10" i="4"/>
  <c r="G10" i="4" s="1"/>
  <c r="F9" i="4"/>
  <c r="G9" i="4" s="1"/>
  <c r="F7" i="4"/>
  <c r="G7" i="4" s="1"/>
  <c r="G16" i="4" l="1"/>
  <c r="G17" i="4" s="1"/>
  <c r="C20" i="2" l="1"/>
  <c r="D20" i="2"/>
  <c r="E20" i="2"/>
  <c r="F20" i="2"/>
  <c r="G20" i="2"/>
  <c r="H20" i="2"/>
  <c r="I20" i="2"/>
  <c r="J20" i="2"/>
  <c r="K20" i="2"/>
  <c r="L20" i="2"/>
  <c r="M20" i="2"/>
  <c r="B20" i="2"/>
  <c r="N20" i="2" s="1"/>
  <c r="N22" i="2" s="1"/>
  <c r="I6" i="4" s="1"/>
  <c r="C14" i="2"/>
  <c r="D14" i="2"/>
  <c r="E14" i="2"/>
  <c r="F14" i="2"/>
  <c r="G14" i="2"/>
  <c r="H14" i="2"/>
  <c r="I14" i="2"/>
  <c r="J14" i="2"/>
  <c r="K14" i="2"/>
  <c r="L14" i="2"/>
  <c r="M14" i="2"/>
  <c r="B14" i="2"/>
  <c r="N14" i="2" s="1"/>
  <c r="G18" i="4" s="1"/>
  <c r="G19" i="4" s="1"/>
  <c r="H10" i="4" l="1"/>
  <c r="I10" i="4" s="1"/>
  <c r="J10" i="4" s="1"/>
  <c r="H8" i="4"/>
  <c r="I8" i="4" s="1"/>
  <c r="J8" i="4" s="1"/>
  <c r="K8" i="4" s="1"/>
  <c r="H7" i="4"/>
  <c r="I7" i="4" s="1"/>
  <c r="J7" i="4" s="1"/>
  <c r="K7" i="4" s="1"/>
  <c r="H14" i="4"/>
  <c r="I14" i="4" s="1"/>
  <c r="J14" i="4" s="1"/>
  <c r="K14" i="4" s="1"/>
  <c r="H12" i="4"/>
  <c r="I12" i="4" s="1"/>
  <c r="J12" i="4" s="1"/>
  <c r="K12" i="4" s="1"/>
  <c r="H13" i="4"/>
  <c r="I13" i="4" s="1"/>
  <c r="J13" i="4" s="1"/>
  <c r="K13" i="4" s="1"/>
  <c r="H9" i="4"/>
  <c r="I9" i="4" s="1"/>
  <c r="J9" i="4" s="1"/>
  <c r="H11" i="4"/>
  <c r="I11" i="4" s="1"/>
  <c r="J11" i="4" s="1"/>
  <c r="L11" i="4" l="1"/>
  <c r="K11" i="4"/>
  <c r="L9" i="4"/>
  <c r="K9" i="4"/>
  <c r="L10" i="4"/>
  <c r="K10" i="4"/>
</calcChain>
</file>

<file path=xl/sharedStrings.xml><?xml version="1.0" encoding="utf-8"?>
<sst xmlns="http://schemas.openxmlformats.org/spreadsheetml/2006/main" count="54" uniqueCount="42">
  <si>
    <t>Incinerator</t>
  </si>
  <si>
    <t>Transfer Station - Sullivan Rd</t>
  </si>
  <si>
    <t>Test YR Rate</t>
  </si>
  <si>
    <t>Test Year Tons</t>
  </si>
  <si>
    <t>Test Year Expense</t>
  </si>
  <si>
    <t>Pro Forma Rate</t>
  </si>
  <si>
    <t>Pro Forma Adj:</t>
  </si>
  <si>
    <t>Total PF Increase/Ton</t>
  </si>
  <si>
    <t>SPEC.ON CALL</t>
  </si>
  <si>
    <t>Extra Can</t>
  </si>
  <si>
    <t>Extra Bag</t>
  </si>
  <si>
    <t>96 Gal Tot Wkly</t>
  </si>
  <si>
    <t>64 GAL TOT WKL</t>
  </si>
  <si>
    <t>32 GL TOT WKL</t>
  </si>
  <si>
    <t>32 GAL TOT EOW</t>
  </si>
  <si>
    <t>1 Can Weekly</t>
  </si>
  <si>
    <t>Units</t>
  </si>
  <si>
    <t>Rate</t>
  </si>
  <si>
    <t>Service</t>
  </si>
  <si>
    <t>Revenue</t>
  </si>
  <si>
    <t>Projected</t>
  </si>
  <si>
    <t>Actual</t>
  </si>
  <si>
    <t>Lbs</t>
  </si>
  <si>
    <t>Monthly</t>
  </si>
  <si>
    <t>Annual</t>
  </si>
  <si>
    <t>/Unit</t>
  </si>
  <si>
    <t>Projected Tons:</t>
  </si>
  <si>
    <t>Actual Tons</t>
  </si>
  <si>
    <t>Adj:</t>
  </si>
  <si>
    <t>Increase</t>
  </si>
  <si>
    <t>/Lb</t>
  </si>
  <si>
    <t>Grossup</t>
  </si>
  <si>
    <t>B&amp;O</t>
  </si>
  <si>
    <t>UTC</t>
  </si>
  <si>
    <t>Bad Debt</t>
  </si>
  <si>
    <t>Total</t>
  </si>
  <si>
    <t>Divider</t>
  </si>
  <si>
    <t>Proposed</t>
  </si>
  <si>
    <t>Ada-Lin Waste Systems Inc. / Newman Lake</t>
  </si>
  <si>
    <t>Test Year Disposal expense and tonnages.</t>
  </si>
  <si>
    <t>12 Months ended 9/30/2023</t>
  </si>
  <si>
    <t>Customer Pricoeut and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</si>
</sst>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71" formatCode="_(* #,##0.0000_);_(* \(#,##0.0000\);_(* &quot;-&quot;??_);_(@_)"/>
  </numFmts>
  <fonts count="5" x14ac:knownFonts="1">
    <font>
      <sz val="9"/>
      <name val="Segoe UI"/>
    </font>
    <font>
      <sz val="9"/>
      <name val="Segoe UI"/>
    </font>
    <font>
      <sz val="9"/>
      <name val="Segoe UI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/>
    <xf numFmtId="0" fontId="3" fillId="0" borderId="0">
      <alignment vertical="top"/>
    </xf>
    <xf numFmtId="43" fontId="3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14" fontId="0" fillId="0" borderId="1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4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2" applyAlignment="1">
      <alignment horizontal="center"/>
    </xf>
    <xf numFmtId="0" fontId="4" fillId="0" borderId="2" xfId="0" quotePrefix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64" fontId="0" fillId="0" borderId="0" xfId="0" applyNumberFormat="1">
      <alignment vertical="center"/>
    </xf>
    <xf numFmtId="10" fontId="0" fillId="0" borderId="0" xfId="4" applyNumberFormat="1" applyFont="1" applyAlignment="1">
      <alignment vertical="center"/>
    </xf>
    <xf numFmtId="0" fontId="3" fillId="0" borderId="0" xfId="2" quotePrefix="1" applyAlignment="1">
      <alignment horizontal="center"/>
    </xf>
    <xf numFmtId="171" fontId="4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43" fontId="0" fillId="0" borderId="0" xfId="1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top"/>
    </xf>
  </cellXfs>
  <cellStyles count="5">
    <cellStyle name="Comma" xfId="1" builtinId="3"/>
    <cellStyle name="Comma 2" xfId="3" xr:uid="{FEA92F82-D4BA-4DA4-8533-A9388990DDA7}"/>
    <cellStyle name="Normal" xfId="0" builtinId="0"/>
    <cellStyle name="Normal 2" xfId="2" xr:uid="{EA252770-2928-4DFD-BFA0-5E5D99B39834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9E7B-376F-43CB-B097-CB5ECF44008A}">
  <dimension ref="A1:N22"/>
  <sheetViews>
    <sheetView workbookViewId="0">
      <selection sqref="A1:A3"/>
    </sheetView>
  </sheetViews>
  <sheetFormatPr defaultRowHeight="12" x14ac:dyDescent="0.2"/>
  <cols>
    <col min="1" max="1" width="27.1640625" bestFit="1" customWidth="1"/>
    <col min="2" max="4" width="10.83203125" bestFit="1" customWidth="1"/>
    <col min="5" max="13" width="9.83203125" bestFit="1" customWidth="1"/>
    <col min="14" max="14" width="9.5" bestFit="1" customWidth="1"/>
    <col min="15" max="15" width="10" bestFit="1" customWidth="1"/>
    <col min="16" max="16" width="10.6640625" bestFit="1" customWidth="1"/>
    <col min="17" max="17" width="11" bestFit="1" customWidth="1"/>
    <col min="18" max="18" width="9.6640625" bestFit="1" customWidth="1"/>
    <col min="19" max="19" width="11" bestFit="1" customWidth="1"/>
    <col min="20" max="20" width="10.1640625" bestFit="1" customWidth="1"/>
    <col min="21" max="21" width="11" bestFit="1" customWidth="1"/>
    <col min="22" max="22" width="9.5" bestFit="1" customWidth="1"/>
    <col min="23" max="23" width="10.6640625" bestFit="1" customWidth="1"/>
    <col min="24" max="24" width="11" bestFit="1" customWidth="1"/>
    <col min="26" max="26" width="11" bestFit="1" customWidth="1"/>
    <col min="27" max="27" width="10" bestFit="1" customWidth="1"/>
    <col min="28" max="28" width="11" bestFit="1" customWidth="1"/>
    <col min="29" max="29" width="9.83203125" bestFit="1" customWidth="1"/>
    <col min="30" max="30" width="10.6640625" bestFit="1" customWidth="1"/>
    <col min="31" max="31" width="11" bestFit="1" customWidth="1"/>
    <col min="32" max="32" width="12" bestFit="1" customWidth="1"/>
  </cols>
  <sheetData>
    <row r="1" spans="1:14" x14ac:dyDescent="0.2">
      <c r="A1" t="s">
        <v>38</v>
      </c>
    </row>
    <row r="2" spans="1:14" x14ac:dyDescent="0.2">
      <c r="A2" t="s">
        <v>39</v>
      </c>
    </row>
    <row r="3" spans="1:14" x14ac:dyDescent="0.2">
      <c r="A3" t="s">
        <v>40</v>
      </c>
    </row>
    <row r="5" spans="1:14" x14ac:dyDescent="0.2">
      <c r="B5" s="4">
        <v>44864</v>
      </c>
      <c r="C5" s="4">
        <v>44895</v>
      </c>
      <c r="D5" s="4">
        <v>44925</v>
      </c>
      <c r="E5" s="4">
        <v>44956</v>
      </c>
      <c r="F5" s="4">
        <v>44985</v>
      </c>
      <c r="G5" s="4">
        <v>45015</v>
      </c>
      <c r="H5" s="4">
        <v>45046</v>
      </c>
      <c r="I5" s="4">
        <v>45076</v>
      </c>
      <c r="J5" s="4">
        <v>45107</v>
      </c>
      <c r="K5" s="4">
        <v>45137</v>
      </c>
      <c r="L5" s="4">
        <v>45168</v>
      </c>
      <c r="M5" s="4">
        <v>45199</v>
      </c>
    </row>
    <row r="6" spans="1:14" x14ac:dyDescent="0.2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">
      <c r="A7" t="s">
        <v>0</v>
      </c>
      <c r="B7" s="6"/>
      <c r="C7" s="6"/>
      <c r="D7" s="6"/>
      <c r="E7" s="6">
        <v>450.39</v>
      </c>
      <c r="F7" s="6">
        <v>1569.72</v>
      </c>
      <c r="G7" s="6"/>
      <c r="H7" s="6"/>
      <c r="I7" s="6"/>
      <c r="J7" s="6"/>
      <c r="K7" s="6"/>
      <c r="L7" s="6"/>
      <c r="M7" s="6">
        <v>1241.7</v>
      </c>
      <c r="N7" s="6">
        <v>3261.8100000000004</v>
      </c>
    </row>
    <row r="8" spans="1:14" x14ac:dyDescent="0.2">
      <c r="A8" t="s">
        <v>1</v>
      </c>
      <c r="B8" s="6">
        <v>4252.8</v>
      </c>
      <c r="C8" s="6">
        <v>3952.4</v>
      </c>
      <c r="D8" s="6">
        <v>4191.84</v>
      </c>
      <c r="E8" s="6">
        <v>3474.74</v>
      </c>
      <c r="F8" s="6">
        <v>1813.48</v>
      </c>
      <c r="G8" s="6">
        <v>4509.58</v>
      </c>
      <c r="H8" s="6">
        <v>3755.18</v>
      </c>
      <c r="I8" s="6">
        <v>4164.4399999999996</v>
      </c>
      <c r="J8" s="6">
        <v>5470.5999999999995</v>
      </c>
      <c r="K8" s="6">
        <v>4344.5600000000004</v>
      </c>
      <c r="L8" s="6">
        <v>4213.46</v>
      </c>
      <c r="M8" s="6">
        <v>4092.69</v>
      </c>
      <c r="N8" s="6">
        <v>48235.770000000004</v>
      </c>
    </row>
    <row r="9" spans="1:14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2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2" t="s">
        <v>0</v>
      </c>
      <c r="B11" s="1">
        <v>117.16</v>
      </c>
      <c r="C11" s="1">
        <v>117.16</v>
      </c>
      <c r="D11" s="1">
        <v>117.16</v>
      </c>
      <c r="E11" s="1">
        <v>120.56</v>
      </c>
      <c r="F11" s="1">
        <v>120.56</v>
      </c>
      <c r="G11" s="1">
        <v>120.56</v>
      </c>
      <c r="H11" s="1">
        <v>120.56</v>
      </c>
      <c r="I11" s="1">
        <v>120.56</v>
      </c>
      <c r="J11" s="1">
        <v>120.56</v>
      </c>
      <c r="K11" s="1">
        <v>120.56</v>
      </c>
      <c r="L11" s="1">
        <v>120.56</v>
      </c>
      <c r="M11" s="1">
        <v>120.56</v>
      </c>
    </row>
    <row r="12" spans="1:14" x14ac:dyDescent="0.2">
      <c r="A12" s="2" t="s">
        <v>1</v>
      </c>
      <c r="B12" s="1">
        <v>112</v>
      </c>
      <c r="C12" s="1">
        <v>112</v>
      </c>
      <c r="D12" s="1">
        <v>112</v>
      </c>
      <c r="E12" s="1">
        <v>114</v>
      </c>
      <c r="F12" s="1">
        <v>114</v>
      </c>
      <c r="G12" s="1">
        <v>114</v>
      </c>
      <c r="H12" s="1">
        <v>114</v>
      </c>
      <c r="I12" s="1">
        <v>114</v>
      </c>
      <c r="J12" s="1">
        <v>114</v>
      </c>
      <c r="K12" s="1">
        <v>114</v>
      </c>
      <c r="L12" s="1">
        <v>114</v>
      </c>
      <c r="M12" s="1">
        <v>114</v>
      </c>
    </row>
    <row r="13" spans="1:14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x14ac:dyDescent="0.2">
      <c r="A14" s="2" t="s">
        <v>3</v>
      </c>
      <c r="B14" s="1">
        <f>+B7/B11+B8/B12</f>
        <v>37.971428571428575</v>
      </c>
      <c r="C14" s="1">
        <f t="shared" ref="C14:M14" si="0">+C7/C11+C8/C12</f>
        <v>35.289285714285718</v>
      </c>
      <c r="D14" s="1">
        <f t="shared" si="0"/>
        <v>37.427142857142861</v>
      </c>
      <c r="E14" s="1">
        <f t="shared" si="0"/>
        <v>34.215991629704654</v>
      </c>
      <c r="F14" s="1">
        <f t="shared" si="0"/>
        <v>28.927958183448006</v>
      </c>
      <c r="G14" s="1">
        <f t="shared" si="0"/>
        <v>39.557719298245615</v>
      </c>
      <c r="H14" s="1">
        <f t="shared" si="0"/>
        <v>32.940175438596491</v>
      </c>
      <c r="I14" s="1">
        <f t="shared" si="0"/>
        <v>36.530175438596487</v>
      </c>
      <c r="J14" s="1">
        <f t="shared" si="0"/>
        <v>47.987719298245608</v>
      </c>
      <c r="K14" s="1">
        <f t="shared" si="0"/>
        <v>38.110175438596492</v>
      </c>
      <c r="L14" s="1">
        <f t="shared" si="0"/>
        <v>36.960175438596494</v>
      </c>
      <c r="M14" s="1">
        <f t="shared" si="0"/>
        <v>46.200225439178574</v>
      </c>
      <c r="N14" s="7">
        <f>SUM(B14:M14)</f>
        <v>452.11817274606557</v>
      </c>
    </row>
    <row r="16" spans="1:14" x14ac:dyDescent="0.2">
      <c r="A16" s="2" t="s">
        <v>5</v>
      </c>
    </row>
    <row r="17" spans="1:14" x14ac:dyDescent="0.2">
      <c r="A17" s="2" t="s">
        <v>0</v>
      </c>
      <c r="B17">
        <v>132.62</v>
      </c>
      <c r="C17" s="1">
        <v>132.62</v>
      </c>
      <c r="D17" s="1">
        <v>132.62</v>
      </c>
      <c r="E17" s="1">
        <v>132.62</v>
      </c>
      <c r="F17" s="1">
        <v>132.62</v>
      </c>
      <c r="G17" s="1">
        <v>132.62</v>
      </c>
      <c r="H17" s="1">
        <v>132.62</v>
      </c>
      <c r="I17" s="1">
        <v>132.62</v>
      </c>
      <c r="J17" s="1">
        <v>132.62</v>
      </c>
      <c r="K17" s="1">
        <v>132.62</v>
      </c>
      <c r="L17" s="1">
        <v>132.62</v>
      </c>
      <c r="M17" s="1">
        <v>132.62</v>
      </c>
    </row>
    <row r="18" spans="1:14" x14ac:dyDescent="0.2">
      <c r="A18" s="2" t="s">
        <v>1</v>
      </c>
      <c r="B18">
        <v>125.5</v>
      </c>
      <c r="C18" s="1">
        <v>125.5</v>
      </c>
      <c r="D18" s="1">
        <v>125.5</v>
      </c>
      <c r="E18" s="1">
        <v>125.5</v>
      </c>
      <c r="F18" s="1">
        <v>125.5</v>
      </c>
      <c r="G18" s="1">
        <v>125.5</v>
      </c>
      <c r="H18" s="1">
        <v>125.5</v>
      </c>
      <c r="I18" s="1">
        <v>125.5</v>
      </c>
      <c r="J18" s="1">
        <v>125.5</v>
      </c>
      <c r="K18" s="1">
        <v>125.5</v>
      </c>
      <c r="L18" s="1">
        <v>125.5</v>
      </c>
      <c r="M18" s="1">
        <v>125.5</v>
      </c>
    </row>
    <row r="20" spans="1:14" x14ac:dyDescent="0.2">
      <c r="A20" s="2" t="s">
        <v>6</v>
      </c>
      <c r="B20" s="7">
        <f>+((B17/B11)*B7-B7)+(B18/B12*B8-B8)</f>
        <v>512.61428571428496</v>
      </c>
      <c r="C20" s="7">
        <f t="shared" ref="C20:M20" si="1">+((C17/C11)*C7-C7)+(C18/C12*C8-C8)</f>
        <v>476.40535714285716</v>
      </c>
      <c r="D20" s="7">
        <f t="shared" si="1"/>
        <v>505.26642857142815</v>
      </c>
      <c r="E20" s="7">
        <f t="shared" si="1"/>
        <v>395.5759608086239</v>
      </c>
      <c r="F20" s="7">
        <f t="shared" si="1"/>
        <v>339.96285288536546</v>
      </c>
      <c r="G20" s="7">
        <f t="shared" si="1"/>
        <v>454.91377192982418</v>
      </c>
      <c r="H20" s="7">
        <f t="shared" si="1"/>
        <v>378.81201754385938</v>
      </c>
      <c r="I20" s="7">
        <f t="shared" si="1"/>
        <v>420.09701754385969</v>
      </c>
      <c r="J20" s="7">
        <f t="shared" si="1"/>
        <v>551.8587719298248</v>
      </c>
      <c r="K20" s="7">
        <f t="shared" si="1"/>
        <v>438.26701754385977</v>
      </c>
      <c r="L20" s="7">
        <f t="shared" si="1"/>
        <v>425.0420175438594</v>
      </c>
      <c r="M20" s="7">
        <f t="shared" si="1"/>
        <v>537.0702766912309</v>
      </c>
      <c r="N20" s="7">
        <f>SUM(B20:M20)</f>
        <v>5435.8857758488775</v>
      </c>
    </row>
    <row r="22" spans="1:14" x14ac:dyDescent="0.2">
      <c r="M22" s="8" t="s">
        <v>7</v>
      </c>
      <c r="N22" s="7">
        <f>+N20/N14</f>
        <v>12.023152581619341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359F-139A-4B1D-922F-7B6775E54396}">
  <dimension ref="A1:N19"/>
  <sheetViews>
    <sheetView tabSelected="1" workbookViewId="0">
      <selection activeCell="A3" sqref="A3"/>
    </sheetView>
  </sheetViews>
  <sheetFormatPr defaultRowHeight="12" x14ac:dyDescent="0.2"/>
  <cols>
    <col min="1" max="1" width="17.5" bestFit="1" customWidth="1"/>
    <col min="2" max="2" width="7" bestFit="1" customWidth="1"/>
    <col min="3" max="3" width="7" customWidth="1"/>
    <col min="4" max="4" width="8.6640625" bestFit="1" customWidth="1"/>
    <col min="7" max="7" width="11.5" bestFit="1" customWidth="1"/>
    <col min="9" max="9" width="9" customWidth="1"/>
  </cols>
  <sheetData>
    <row r="1" spans="1:14" x14ac:dyDescent="0.2">
      <c r="A1" t="s">
        <v>38</v>
      </c>
    </row>
    <row r="2" spans="1:14" x14ac:dyDescent="0.2">
      <c r="A2" t="s">
        <v>41</v>
      </c>
    </row>
    <row r="3" spans="1:14" x14ac:dyDescent="0.2">
      <c r="A3" t="s">
        <v>40</v>
      </c>
    </row>
    <row r="4" spans="1:14" ht="12.75" x14ac:dyDescent="0.2">
      <c r="E4" s="9"/>
      <c r="F4" s="9"/>
      <c r="G4" s="10" t="s">
        <v>20</v>
      </c>
      <c r="H4" s="10" t="s">
        <v>21</v>
      </c>
      <c r="I4" s="11" t="s">
        <v>29</v>
      </c>
      <c r="J4" s="18"/>
    </row>
    <row r="5" spans="1:14" ht="12.75" x14ac:dyDescent="0.2">
      <c r="E5" s="10" t="s">
        <v>22</v>
      </c>
      <c r="F5" s="10" t="s">
        <v>23</v>
      </c>
      <c r="G5" s="10" t="s">
        <v>24</v>
      </c>
      <c r="H5" s="10" t="s">
        <v>24</v>
      </c>
      <c r="I5" s="16" t="s">
        <v>30</v>
      </c>
      <c r="J5" s="10" t="s">
        <v>31</v>
      </c>
      <c r="K5" s="10" t="s">
        <v>37</v>
      </c>
    </row>
    <row r="6" spans="1:14" ht="13.5" thickBot="1" x14ac:dyDescent="0.25">
      <c r="A6" s="19" t="s">
        <v>18</v>
      </c>
      <c r="B6" s="19" t="s">
        <v>16</v>
      </c>
      <c r="C6" s="19" t="s">
        <v>17</v>
      </c>
      <c r="D6" s="19" t="s">
        <v>19</v>
      </c>
      <c r="E6" s="12" t="s">
        <v>25</v>
      </c>
      <c r="F6" s="13" t="s">
        <v>16</v>
      </c>
      <c r="G6" s="13" t="s">
        <v>22</v>
      </c>
      <c r="H6" s="13" t="s">
        <v>22</v>
      </c>
      <c r="I6" s="17">
        <f>+Disposal!N22/2000</f>
        <v>6.01157629080967E-3</v>
      </c>
      <c r="J6" s="20">
        <f>+N12</f>
        <v>0.97489999999999999</v>
      </c>
      <c r="K6" s="22" t="s">
        <v>17</v>
      </c>
    </row>
    <row r="7" spans="1:14" x14ac:dyDescent="0.2">
      <c r="A7" t="s">
        <v>15</v>
      </c>
      <c r="B7" s="6">
        <v>1.700207468879668</v>
      </c>
      <c r="C7" s="1">
        <v>19.28</v>
      </c>
      <c r="D7" s="6">
        <v>32.78</v>
      </c>
      <c r="E7">
        <v>34</v>
      </c>
      <c r="F7" s="1">
        <f>13/3</f>
        <v>4.333333333333333</v>
      </c>
      <c r="G7" s="14">
        <f>+F7*E7*B7</f>
        <v>250.49723374827104</v>
      </c>
      <c r="H7" s="6">
        <f>+G7*$G$19</f>
        <v>182.59581728655365</v>
      </c>
      <c r="I7" s="7">
        <f>+H7*$I$6/B7</f>
        <v>0.64562043520733947</v>
      </c>
      <c r="J7" s="21">
        <f>+I7/$J$6</f>
        <v>0.66224272767190429</v>
      </c>
      <c r="K7" s="7">
        <f>ROUND(J7+C7,2)</f>
        <v>19.940000000000001</v>
      </c>
      <c r="N7" t="s">
        <v>31</v>
      </c>
    </row>
    <row r="8" spans="1:14" x14ac:dyDescent="0.2">
      <c r="A8" t="s">
        <v>14</v>
      </c>
      <c r="B8" s="6">
        <v>21.666936790923824</v>
      </c>
      <c r="C8" s="1">
        <v>12.34</v>
      </c>
      <c r="D8" s="6">
        <v>267.37000000000006</v>
      </c>
      <c r="E8">
        <v>34</v>
      </c>
      <c r="F8" s="1">
        <f>13/6</f>
        <v>2.1666666666666665</v>
      </c>
      <c r="G8" s="14">
        <f t="shared" ref="G8:G14" si="0">+F8*E8*B8</f>
        <v>1596.1310102647215</v>
      </c>
      <c r="H8" s="6">
        <f>+G8*$G$19</f>
        <v>1163.4733124780903</v>
      </c>
      <c r="I8" s="7">
        <f t="shared" ref="I8:I14" si="1">+H8*$I$6/B8</f>
        <v>0.32281021760366974</v>
      </c>
      <c r="J8" s="21">
        <f t="shared" ref="J8:J14" si="2">+I8/$J$6</f>
        <v>0.33112136383595214</v>
      </c>
      <c r="K8" s="7">
        <f t="shared" ref="K8:K14" si="3">ROUND(J8+C8,2)</f>
        <v>12.67</v>
      </c>
      <c r="M8" t="s">
        <v>32</v>
      </c>
      <c r="N8">
        <v>1.7500000000000002E-2</v>
      </c>
    </row>
    <row r="9" spans="1:14" x14ac:dyDescent="0.2">
      <c r="A9" t="s">
        <v>13</v>
      </c>
      <c r="B9" s="6">
        <v>2437.2567427385893</v>
      </c>
      <c r="C9" s="1">
        <v>19.28</v>
      </c>
      <c r="D9" s="6">
        <v>46990.310000000012</v>
      </c>
      <c r="E9">
        <v>34</v>
      </c>
      <c r="F9" s="1">
        <f>13/3</f>
        <v>4.333333333333333</v>
      </c>
      <c r="G9" s="14">
        <f t="shared" si="0"/>
        <v>359089.16009681876</v>
      </c>
      <c r="H9" s="6">
        <f>+G9*$G$19</f>
        <v>261752.10674187049</v>
      </c>
      <c r="I9" s="7">
        <f t="shared" si="1"/>
        <v>0.64562043520733947</v>
      </c>
      <c r="J9" s="21">
        <f t="shared" si="2"/>
        <v>0.66224272767190429</v>
      </c>
      <c r="K9" s="7">
        <f t="shared" si="3"/>
        <v>19.940000000000001</v>
      </c>
      <c r="L9" s="1">
        <f>+J9/4.33</f>
        <v>0.15294289322676774</v>
      </c>
      <c r="M9" t="s">
        <v>33</v>
      </c>
      <c r="N9">
        <v>5.1000000000000004E-3</v>
      </c>
    </row>
    <row r="10" spans="1:14" x14ac:dyDescent="0.2">
      <c r="A10" t="s">
        <v>12</v>
      </c>
      <c r="B10" s="6">
        <v>2443.681333791681</v>
      </c>
      <c r="C10" s="1">
        <v>29.09</v>
      </c>
      <c r="D10" s="6">
        <v>71086.690000000017</v>
      </c>
      <c r="E10">
        <v>47</v>
      </c>
      <c r="F10" s="1">
        <f>13/3</f>
        <v>4.333333333333333</v>
      </c>
      <c r="G10" s="14">
        <f t="shared" si="0"/>
        <v>497696.43164890568</v>
      </c>
      <c r="H10" s="6">
        <f>+G10*$G$19</f>
        <v>362787.58586554875</v>
      </c>
      <c r="I10" s="7">
        <f t="shared" si="1"/>
        <v>0.89247530749249893</v>
      </c>
      <c r="J10" s="21">
        <f t="shared" si="2"/>
        <v>0.91545318236998563</v>
      </c>
      <c r="K10" s="7">
        <f t="shared" si="3"/>
        <v>30.01</v>
      </c>
      <c r="L10" s="1">
        <f>+J10/4.33</f>
        <v>0.21142105828406135</v>
      </c>
      <c r="M10" t="s">
        <v>34</v>
      </c>
      <c r="N10">
        <v>2.5000000000000001E-3</v>
      </c>
    </row>
    <row r="11" spans="1:14" x14ac:dyDescent="0.2">
      <c r="A11" t="s">
        <v>11</v>
      </c>
      <c r="B11" s="6">
        <v>1310.562806673209</v>
      </c>
      <c r="C11" s="1">
        <v>40.76</v>
      </c>
      <c r="D11" s="6">
        <v>53418.539999999994</v>
      </c>
      <c r="E11">
        <v>67</v>
      </c>
      <c r="F11" s="1">
        <f>13/3</f>
        <v>4.333333333333333</v>
      </c>
      <c r="G11" s="14">
        <f t="shared" si="0"/>
        <v>380500.06820412166</v>
      </c>
      <c r="H11" s="6">
        <f>+G11*$G$19</f>
        <v>277359.2342386517</v>
      </c>
      <c r="I11" s="7">
        <f t="shared" si="1"/>
        <v>1.2722520340850516</v>
      </c>
      <c r="J11" s="21">
        <f t="shared" si="2"/>
        <v>1.3050077280593411</v>
      </c>
      <c r="K11" s="7">
        <f t="shared" si="3"/>
        <v>42.07</v>
      </c>
      <c r="L11" s="1">
        <f>+J11/4.33</f>
        <v>0.30138746606451294</v>
      </c>
      <c r="M11" t="s">
        <v>35</v>
      </c>
      <c r="N11">
        <f>+N8+N9+N10</f>
        <v>2.5100000000000001E-2</v>
      </c>
    </row>
    <row r="12" spans="1:14" x14ac:dyDescent="0.2">
      <c r="A12" t="s">
        <v>10</v>
      </c>
      <c r="B12" s="6">
        <v>9</v>
      </c>
      <c r="C12" s="1">
        <v>6.28</v>
      </c>
      <c r="D12" s="6">
        <v>56.519999999999996</v>
      </c>
      <c r="E12">
        <v>34</v>
      </c>
      <c r="F12" s="1">
        <v>1</v>
      </c>
      <c r="G12" s="14">
        <f t="shared" si="0"/>
        <v>306</v>
      </c>
      <c r="H12" s="6">
        <f>+G12*$G$19</f>
        <v>223.05364116649079</v>
      </c>
      <c r="I12" s="7">
        <f t="shared" si="1"/>
        <v>0.14898933120169378</v>
      </c>
      <c r="J12" s="21">
        <f t="shared" si="2"/>
        <v>0.15282524484736257</v>
      </c>
      <c r="K12" s="7">
        <f t="shared" si="3"/>
        <v>6.43</v>
      </c>
      <c r="M12" t="s">
        <v>36</v>
      </c>
      <c r="N12">
        <f>1-N11</f>
        <v>0.97489999999999999</v>
      </c>
    </row>
    <row r="13" spans="1:14" x14ac:dyDescent="0.2">
      <c r="A13" t="s">
        <v>9</v>
      </c>
      <c r="B13" s="6">
        <v>17</v>
      </c>
      <c r="C13" s="1">
        <v>6.28</v>
      </c>
      <c r="D13" s="6">
        <v>106.76</v>
      </c>
      <c r="E13">
        <v>34</v>
      </c>
      <c r="F13" s="1">
        <v>1</v>
      </c>
      <c r="G13" s="14">
        <f t="shared" si="0"/>
        <v>578</v>
      </c>
      <c r="H13" s="6">
        <f>+G13*$G$19</f>
        <v>421.3235444255937</v>
      </c>
      <c r="I13" s="7">
        <f t="shared" si="1"/>
        <v>0.14898933120169375</v>
      </c>
      <c r="J13" s="21">
        <f t="shared" si="2"/>
        <v>0.15282524484736254</v>
      </c>
      <c r="K13" s="7">
        <f t="shared" si="3"/>
        <v>6.43</v>
      </c>
    </row>
    <row r="14" spans="1:14" x14ac:dyDescent="0.2">
      <c r="A14" t="s">
        <v>8</v>
      </c>
      <c r="B14" s="6">
        <v>14</v>
      </c>
      <c r="C14" s="1">
        <v>6.28</v>
      </c>
      <c r="D14" s="6">
        <v>87.92</v>
      </c>
      <c r="E14">
        <v>34</v>
      </c>
      <c r="F14" s="1">
        <v>1</v>
      </c>
      <c r="G14" s="14">
        <f t="shared" si="0"/>
        <v>476</v>
      </c>
      <c r="H14" s="6">
        <f>+G14*$G$19</f>
        <v>346.97233070343009</v>
      </c>
      <c r="I14" s="7">
        <f t="shared" si="1"/>
        <v>0.14898933120169375</v>
      </c>
      <c r="J14" s="21">
        <f t="shared" si="2"/>
        <v>0.15282524484736254</v>
      </c>
      <c r="K14" s="7">
        <f t="shared" si="3"/>
        <v>6.43</v>
      </c>
    </row>
    <row r="15" spans="1:14" x14ac:dyDescent="0.2">
      <c r="C15" s="1"/>
      <c r="F15" s="1"/>
    </row>
    <row r="16" spans="1:14" x14ac:dyDescent="0.2">
      <c r="C16" s="1"/>
      <c r="F16" s="1"/>
      <c r="G16" s="14">
        <f>SUM(G7:G15)</f>
        <v>1240492.2881938592</v>
      </c>
    </row>
    <row r="17" spans="3:7" x14ac:dyDescent="0.2">
      <c r="C17" s="1"/>
      <c r="F17" t="s">
        <v>26</v>
      </c>
      <c r="G17" s="7">
        <f>+G16/2000</f>
        <v>620.24614409692958</v>
      </c>
    </row>
    <row r="18" spans="3:7" x14ac:dyDescent="0.2">
      <c r="C18" s="1"/>
      <c r="F18" t="s">
        <v>27</v>
      </c>
      <c r="G18" s="7">
        <f>+Disposal!N14</f>
        <v>452.11817274606557</v>
      </c>
    </row>
    <row r="19" spans="3:7" x14ac:dyDescent="0.2">
      <c r="C19" s="1"/>
      <c r="F19" t="s">
        <v>28</v>
      </c>
      <c r="G19" s="15">
        <f>+G18/G17</f>
        <v>0.72893346786434898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451D1BA5CE2A45B83B007AA651C4E0" ma:contentTypeVersion="24" ma:contentTypeDescription="" ma:contentTypeScope="" ma:versionID="a8929dc153a2cc2112c6f47982be13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Ada-Lin Waste Systems, Inc.  </CaseCompanyNames>
    <Nickname xmlns="http://schemas.microsoft.com/sharepoint/v3" xsi:nil="true"/>
    <DocketNumber xmlns="dc463f71-b30c-4ab2-9473-d307f9d35888">230945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2C7488-A244-418F-85C2-B42EA3A83C02}"/>
</file>

<file path=customXml/itemProps2.xml><?xml version="1.0" encoding="utf-8"?>
<ds:datastoreItem xmlns:ds="http://schemas.openxmlformats.org/officeDocument/2006/customXml" ds:itemID="{9D71FCAD-E6A2-4EA3-A457-35597615242B}"/>
</file>

<file path=customXml/itemProps3.xml><?xml version="1.0" encoding="utf-8"?>
<ds:datastoreItem xmlns:ds="http://schemas.openxmlformats.org/officeDocument/2006/customXml" ds:itemID="{24C093B2-AEF9-459C-9D50-029BBFA8FE2E}"/>
</file>

<file path=customXml/itemProps4.xml><?xml version="1.0" encoding="utf-8"?>
<ds:datastoreItem xmlns:ds="http://schemas.openxmlformats.org/officeDocument/2006/customXml" ds:itemID="{72F2142E-B28A-4766-B260-E58DD37F3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Disposal</vt:lpstr>
      <vt:lpstr>Priceout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2023-11-14T22:11:54Z</dcterms:created>
  <dcterms:modified xsi:type="dcterms:W3CDTF">2023-11-15T17:35:08Z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0x0101006E56B4D1795A2E4DB2F0B01679ED314A00C8451D1BA5CE2A45B83B007AA651C4E0</vt:lpwstr>
  </property>
  <property fmtid="{D5CDD505-2E9C-101B-9397-08002B2CF9AE}" pid="3" name="_docset_NoMedatataSyncRequired">
    <vt:lpwstr>False</vt:lpwstr>
  </property>
</Properties>
</file>