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activeX/activeX1.xml" ContentType="application/vnd.ms-office.activeX+xml"/>
  <Override PartName="/xl/activeX/activeX1.bin" ContentType="application/vnd.ms-office.activeX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ystal\Desktop\"/>
    </mc:Choice>
  </mc:AlternateContent>
  <bookViews>
    <workbookView xWindow="0" yWindow="0" windowWidth="30720" windowHeight="14976" activeTab="1"/>
  </bookViews>
  <sheets>
    <sheet name="2023 RATE APPEAL " sheetId="1" r:id="rId1"/>
    <sheet name="RESULTS OF OPERATIONS" sheetId="4" r:id="rId2"/>
    <sheet name="LG Nonpublic 2018 V5.2a" sheetId="36" r:id="rId3"/>
    <sheet name="2022 REV (2)" sheetId="35" r:id="rId4"/>
    <sheet name="2022 DEPREC" sheetId="2" r:id="rId5"/>
    <sheet name="PA INDEX" sheetId="6" r:id="rId6"/>
    <sheet name="PA 1 RENT" sheetId="8" r:id="rId7"/>
    <sheet name="PA 2 DEPREC" sheetId="9" r:id="rId8"/>
    <sheet name="PA 3 GROUP INS" sheetId="15" r:id="rId9"/>
    <sheet name="PA 4 PROP TAX" sheetId="12" r:id="rId10"/>
    <sheet name="PA 5 TARIFF PREP" sheetId="11" r:id="rId11"/>
    <sheet name="PA 6 GAIN LOSS" sheetId="13" r:id="rId12"/>
    <sheet name="PA 7 CC FEES" sheetId="14" r:id="rId13"/>
    <sheet name="PA 8 INTEREST" sheetId="16" r:id="rId14"/>
    <sheet name="PA 9 MANAGER INS" sheetId="10" r:id="rId15"/>
    <sheet name="PA 10 WRRA" sheetId="7" r:id="rId16"/>
    <sheet name="PA 11 PAYROLL" sheetId="5" r:id="rId17"/>
    <sheet name="PA 12 PROP INS" sheetId="34" r:id="rId18"/>
    <sheet name="EXTRA" sheetId="3" r:id="rId19"/>
  </sheets>
  <definedNames>
    <definedName name="Debt_Rate" localSheetId="2">'LG Nonpublic 2018 V5.2a'!$K$27</definedName>
    <definedName name="debtP" localSheetId="2">'LG Nonpublic 2018 V5.2a'!$I$27</definedName>
    <definedName name="Equity_percent" localSheetId="2">'LG Nonpublic 2018 V5.2a'!$S$58</definedName>
    <definedName name="equityP" localSheetId="2">'LG Nonpublic 2018 V5.2a'!$I$26</definedName>
    <definedName name="expenses" localSheetId="2">'LG Nonpublic 2018 V5.2a'!$I$8</definedName>
    <definedName name="INPUT" localSheetId="2">'LG Nonpublic 2018 V5.2a'!#REF!</definedName>
    <definedName name="INPUT">#REF!</definedName>
    <definedName name="INPUTc">#REF!</definedName>
    <definedName name="Investment" localSheetId="2">'LG Nonpublic 2018 V5.2a'!$J$28</definedName>
    <definedName name="Pfd_weighted" localSheetId="2">'LG Nonpublic 2018 V5.2a'!$U$57</definedName>
    <definedName name="_xlnm.Print_Area" localSheetId="2">'LG Nonpublic 2018 V5.2a'!$F$2:$N$49</definedName>
    <definedName name="Print_Area_MI">#REF!</definedName>
    <definedName name="Print_Area_MIc">#REF!</definedName>
    <definedName name="regDebt_weighted" localSheetId="2">'LG Nonpublic 2018 V5.2a'!$U$56</definedName>
    <definedName name="Revenue" localSheetId="2">'LG Nonpublic 2018 V5.2a'!$I$7</definedName>
    <definedName name="slope">'LG Nonpublic 2018 V5.2a'!$Y$58</definedName>
    <definedName name="taxrate" localSheetId="2">'LG Nonpublic 2018 V5.2a'!$J$38</definedName>
    <definedName name="y_inter1">'LG Nonpublic 2018 V5.2a'!$X$55</definedName>
    <definedName name="y_inter2">'LG Nonpublic 2018 V5.2a'!$X$56</definedName>
    <definedName name="y_inter3">'LG Nonpublic 2018 V5.2a'!$Z$55</definedName>
    <definedName name="y_inter4">'LG Nonpublic 2018 V5.2a'!$Z$56</definedName>
  </definedNames>
  <calcPr calcId="152511" iterate="1" iterateCount="5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5" l="1"/>
  <c r="L7" i="35" l="1"/>
  <c r="L8" i="35"/>
  <c r="L6" i="35"/>
  <c r="I175" i="35"/>
  <c r="J175" i="35"/>
  <c r="K175" i="35"/>
  <c r="L175" i="35"/>
  <c r="H9" i="35"/>
  <c r="H7" i="35"/>
  <c r="Y120" i="2" l="1"/>
  <c r="Y119" i="2"/>
  <c r="Y118" i="2"/>
  <c r="L65" i="35" l="1"/>
  <c r="L63" i="35"/>
  <c r="L176" i="35"/>
  <c r="L127" i="35"/>
  <c r="J128" i="35"/>
  <c r="L128" i="35" s="1"/>
  <c r="J129" i="35"/>
  <c r="L129" i="35" s="1"/>
  <c r="J130" i="35"/>
  <c r="L130" i="35" s="1"/>
  <c r="J131" i="35"/>
  <c r="L131" i="35" s="1"/>
  <c r="J132" i="35"/>
  <c r="L132" i="35" s="1"/>
  <c r="J133" i="35"/>
  <c r="L133" i="35" s="1"/>
  <c r="J134" i="35"/>
  <c r="L134" i="35" s="1"/>
  <c r="J135" i="35"/>
  <c r="L135" i="35" s="1"/>
  <c r="J136" i="35"/>
  <c r="L136" i="35" s="1"/>
  <c r="J137" i="35"/>
  <c r="L137" i="35" s="1"/>
  <c r="J138" i="35"/>
  <c r="L138" i="35" s="1"/>
  <c r="J139" i="35"/>
  <c r="L139" i="35" s="1"/>
  <c r="J140" i="35"/>
  <c r="L140" i="35" s="1"/>
  <c r="J141" i="35"/>
  <c r="L141" i="35" s="1"/>
  <c r="J142" i="35"/>
  <c r="L142" i="35" s="1"/>
  <c r="J143" i="35"/>
  <c r="L143" i="35" s="1"/>
  <c r="J144" i="35"/>
  <c r="L144" i="35" s="1"/>
  <c r="J145" i="35"/>
  <c r="L145" i="35" s="1"/>
  <c r="J146" i="35"/>
  <c r="L146" i="35" s="1"/>
  <c r="J147" i="35"/>
  <c r="L147" i="35" s="1"/>
  <c r="J148" i="35"/>
  <c r="L148" i="35" s="1"/>
  <c r="J149" i="35"/>
  <c r="L149" i="35" s="1"/>
  <c r="J150" i="35"/>
  <c r="L150" i="35" s="1"/>
  <c r="J151" i="35"/>
  <c r="L151" i="35" s="1"/>
  <c r="J152" i="35"/>
  <c r="L152" i="35" s="1"/>
  <c r="J153" i="35"/>
  <c r="L153" i="35" s="1"/>
  <c r="J154" i="35"/>
  <c r="L154" i="35" s="1"/>
  <c r="J155" i="35"/>
  <c r="L155" i="35" s="1"/>
  <c r="J156" i="35"/>
  <c r="L156" i="35" s="1"/>
  <c r="J157" i="35"/>
  <c r="L157" i="35" s="1"/>
  <c r="J158" i="35"/>
  <c r="L158" i="35" s="1"/>
  <c r="J159" i="35"/>
  <c r="L159" i="35" s="1"/>
  <c r="J160" i="35"/>
  <c r="L160" i="35" s="1"/>
  <c r="J161" i="35"/>
  <c r="L161" i="35" s="1"/>
  <c r="J162" i="35"/>
  <c r="L162" i="35" s="1"/>
  <c r="J163" i="35"/>
  <c r="L163" i="35" s="1"/>
  <c r="J164" i="35"/>
  <c r="L164" i="35" s="1"/>
  <c r="J165" i="35"/>
  <c r="L165" i="35" s="1"/>
  <c r="J166" i="35"/>
  <c r="L166" i="35" s="1"/>
  <c r="J167" i="35"/>
  <c r="L167" i="35" s="1"/>
  <c r="J168" i="35"/>
  <c r="L168" i="35" s="1"/>
  <c r="J169" i="35"/>
  <c r="L169" i="35" s="1"/>
  <c r="J170" i="35"/>
  <c r="L170" i="35" s="1"/>
  <c r="J171" i="35"/>
  <c r="L171" i="35" s="1"/>
  <c r="J172" i="35"/>
  <c r="J173" i="35"/>
  <c r="L173" i="35" s="1"/>
  <c r="J174" i="35"/>
  <c r="L174" i="35" s="1"/>
  <c r="J176" i="35"/>
  <c r="J127" i="35"/>
  <c r="L126" i="35"/>
  <c r="H108" i="35"/>
  <c r="H109" i="35"/>
  <c r="H110" i="35"/>
  <c r="H111" i="35"/>
  <c r="H112" i="35"/>
  <c r="H113" i="35"/>
  <c r="H114" i="35"/>
  <c r="H115" i="35"/>
  <c r="H116" i="35"/>
  <c r="H117" i="35"/>
  <c r="H118" i="35"/>
  <c r="H107" i="35"/>
  <c r="L108" i="35"/>
  <c r="L112" i="35"/>
  <c r="L115" i="35"/>
  <c r="L116" i="35"/>
  <c r="L107" i="35"/>
  <c r="J108" i="35"/>
  <c r="J109" i="35"/>
  <c r="L109" i="35" s="1"/>
  <c r="J110" i="35"/>
  <c r="L110" i="35" s="1"/>
  <c r="J111" i="35"/>
  <c r="L111" i="35" s="1"/>
  <c r="J112" i="35"/>
  <c r="J113" i="35"/>
  <c r="L113" i="35" s="1"/>
  <c r="J114" i="35"/>
  <c r="L114" i="35" s="1"/>
  <c r="J115" i="35"/>
  <c r="J116" i="35"/>
  <c r="J117" i="35"/>
  <c r="L117" i="35" s="1"/>
  <c r="J118" i="35"/>
  <c r="L118" i="35" s="1"/>
  <c r="J119" i="35"/>
  <c r="L119" i="35" s="1"/>
  <c r="J107" i="35"/>
  <c r="I101" i="35"/>
  <c r="J98" i="35"/>
  <c r="J99" i="35"/>
  <c r="H76" i="35"/>
  <c r="H77" i="35"/>
  <c r="H78" i="35"/>
  <c r="H79" i="35"/>
  <c r="H80" i="35"/>
  <c r="H81" i="35"/>
  <c r="H82" i="35"/>
  <c r="H83" i="35"/>
  <c r="H85" i="35"/>
  <c r="H86" i="35"/>
  <c r="H87" i="35"/>
  <c r="H91" i="35"/>
  <c r="L51" i="35"/>
  <c r="L52" i="35"/>
  <c r="L54" i="35"/>
  <c r="L55" i="35"/>
  <c r="L66" i="35"/>
  <c r="L68" i="35"/>
  <c r="L70" i="35"/>
  <c r="L71" i="35"/>
  <c r="L72" i="35"/>
  <c r="L73" i="35"/>
  <c r="L74" i="35"/>
  <c r="L100" i="35"/>
  <c r="L102" i="35"/>
  <c r="L103" i="35"/>
  <c r="L104" i="35"/>
  <c r="L172" i="35" l="1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4" i="35"/>
  <c r="H55" i="35"/>
  <c r="H56" i="35"/>
  <c r="H57" i="35"/>
  <c r="H58" i="35"/>
  <c r="H59" i="35"/>
  <c r="H60" i="35"/>
  <c r="H61" i="35"/>
  <c r="H62" i="35"/>
  <c r="H64" i="35"/>
  <c r="H66" i="35"/>
  <c r="H68" i="35"/>
  <c r="H75" i="35"/>
  <c r="H101" i="35" s="1"/>
  <c r="H100" i="35"/>
  <c r="H102" i="35"/>
  <c r="H103" i="35"/>
  <c r="H104" i="35"/>
  <c r="H119" i="35"/>
  <c r="H120" i="35" s="1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3" i="35"/>
  <c r="H174" i="35"/>
  <c r="H177" i="35"/>
  <c r="H22" i="35"/>
  <c r="H23" i="35"/>
  <c r="H24" i="35"/>
  <c r="H25" i="35"/>
  <c r="H26" i="35"/>
  <c r="H27" i="35"/>
  <c r="H28" i="35"/>
  <c r="H21" i="35"/>
  <c r="H172" i="35" l="1"/>
  <c r="M172" i="35" s="1"/>
  <c r="H67" i="35"/>
  <c r="H175" i="35" s="1"/>
  <c r="H53" i="35"/>
  <c r="J191" i="35"/>
  <c r="K191" i="35"/>
  <c r="L191" i="35"/>
  <c r="H69" i="35" l="1"/>
  <c r="H71" i="35" s="1"/>
  <c r="H72" i="35" s="1"/>
  <c r="I14" i="4"/>
  <c r="J181" i="35"/>
  <c r="J188" i="35" s="1"/>
  <c r="I9" i="35"/>
  <c r="J69" i="35"/>
  <c r="Q32" i="6" l="1"/>
  <c r="E76" i="4"/>
  <c r="I30" i="14"/>
  <c r="I28" i="14"/>
  <c r="I26" i="14"/>
  <c r="K167" i="35" l="1"/>
  <c r="K133" i="35"/>
  <c r="K134" i="35"/>
  <c r="K135" i="35"/>
  <c r="K136" i="35"/>
  <c r="K137" i="35"/>
  <c r="K138" i="35"/>
  <c r="K139" i="35"/>
  <c r="K140" i="35"/>
  <c r="K141" i="35"/>
  <c r="K142" i="35"/>
  <c r="K143" i="35"/>
  <c r="K144" i="35"/>
  <c r="K145" i="35"/>
  <c r="K146" i="35"/>
  <c r="K147" i="35"/>
  <c r="K148" i="35"/>
  <c r="K149" i="35"/>
  <c r="K150" i="35"/>
  <c r="K151" i="35"/>
  <c r="K152" i="35"/>
  <c r="K153" i="35"/>
  <c r="K154" i="35"/>
  <c r="K155" i="35"/>
  <c r="K156" i="35"/>
  <c r="K157" i="35"/>
  <c r="K158" i="35"/>
  <c r="K159" i="35"/>
  <c r="K160" i="35"/>
  <c r="K161" i="35"/>
  <c r="K162" i="35"/>
  <c r="K163" i="35"/>
  <c r="K164" i="35"/>
  <c r="K165" i="35"/>
  <c r="K166" i="35"/>
  <c r="K168" i="35"/>
  <c r="K169" i="35"/>
  <c r="K170" i="35"/>
  <c r="K171" i="35"/>
  <c r="K172" i="35"/>
  <c r="K173" i="35"/>
  <c r="K174" i="35"/>
  <c r="K176" i="35"/>
  <c r="K132" i="35"/>
  <c r="K131" i="35"/>
  <c r="K115" i="35"/>
  <c r="K110" i="35"/>
  <c r="K111" i="35"/>
  <c r="K112" i="35"/>
  <c r="K113" i="35"/>
  <c r="K114" i="35"/>
  <c r="K116" i="35"/>
  <c r="K117" i="35"/>
  <c r="K109" i="35"/>
  <c r="K78" i="35"/>
  <c r="K86" i="35"/>
  <c r="J76" i="35"/>
  <c r="L76" i="35" s="1"/>
  <c r="J77" i="35"/>
  <c r="L77" i="35" s="1"/>
  <c r="J78" i="35"/>
  <c r="L78" i="35" s="1"/>
  <c r="J79" i="35"/>
  <c r="L79" i="35" s="1"/>
  <c r="J80" i="35"/>
  <c r="L80" i="35" s="1"/>
  <c r="J81" i="35"/>
  <c r="L81" i="35" s="1"/>
  <c r="J82" i="35"/>
  <c r="L82" i="35" s="1"/>
  <c r="J83" i="35"/>
  <c r="L83" i="35" s="1"/>
  <c r="J84" i="35"/>
  <c r="J85" i="35"/>
  <c r="L85" i="35" s="1"/>
  <c r="J86" i="35"/>
  <c r="L86" i="35" s="1"/>
  <c r="J87" i="35"/>
  <c r="L87" i="35" s="1"/>
  <c r="J88" i="35"/>
  <c r="J89" i="35"/>
  <c r="J90" i="35"/>
  <c r="J91" i="35"/>
  <c r="L91" i="35" s="1"/>
  <c r="J92" i="35"/>
  <c r="J93" i="35"/>
  <c r="J94" i="35"/>
  <c r="J95" i="35"/>
  <c r="J96" i="35"/>
  <c r="J97" i="35"/>
  <c r="J75" i="35"/>
  <c r="L75" i="35" s="1"/>
  <c r="L101" i="35" s="1"/>
  <c r="K65" i="35"/>
  <c r="K63" i="35"/>
  <c r="J57" i="35"/>
  <c r="J58" i="35"/>
  <c r="J59" i="35"/>
  <c r="J60" i="35"/>
  <c r="J61" i="35"/>
  <c r="L61" i="35" s="1"/>
  <c r="M61" i="35" s="1"/>
  <c r="J62" i="35"/>
  <c r="J63" i="35"/>
  <c r="J64" i="35"/>
  <c r="L64" i="35" s="1"/>
  <c r="J65" i="35"/>
  <c r="J56" i="35"/>
  <c r="J22" i="35"/>
  <c r="J23" i="35"/>
  <c r="J24" i="35"/>
  <c r="J25" i="35"/>
  <c r="L25" i="35" s="1"/>
  <c r="M25" i="35" s="1"/>
  <c r="J26" i="35"/>
  <c r="J27" i="35"/>
  <c r="J28" i="35"/>
  <c r="J29" i="35"/>
  <c r="J30" i="35"/>
  <c r="J31" i="35"/>
  <c r="L31" i="35" s="1"/>
  <c r="J32" i="35"/>
  <c r="L32" i="35" s="1"/>
  <c r="J33" i="35"/>
  <c r="L33" i="35" s="1"/>
  <c r="M33" i="35" s="1"/>
  <c r="J34" i="35"/>
  <c r="J35" i="35"/>
  <c r="J36" i="35"/>
  <c r="J37" i="35"/>
  <c r="J38" i="35"/>
  <c r="J39" i="35"/>
  <c r="J40" i="35"/>
  <c r="J41" i="35"/>
  <c r="L41" i="35" s="1"/>
  <c r="M41" i="35" s="1"/>
  <c r="J42" i="35"/>
  <c r="J43" i="35"/>
  <c r="J44" i="35"/>
  <c r="J45" i="35"/>
  <c r="J46" i="35"/>
  <c r="J47" i="35"/>
  <c r="J48" i="35"/>
  <c r="J49" i="35"/>
  <c r="L49" i="35" s="1"/>
  <c r="M49" i="35" s="1"/>
  <c r="J50" i="35"/>
  <c r="J21" i="35"/>
  <c r="K33" i="35" l="1"/>
  <c r="K23" i="35"/>
  <c r="L23" i="35"/>
  <c r="M23" i="35" s="1"/>
  <c r="K32" i="35"/>
  <c r="K46" i="35"/>
  <c r="L46" i="35"/>
  <c r="M46" i="35" s="1"/>
  <c r="K38" i="35"/>
  <c r="L38" i="35"/>
  <c r="M38" i="35" s="1"/>
  <c r="K30" i="35"/>
  <c r="L30" i="35"/>
  <c r="M30" i="35" s="1"/>
  <c r="K22" i="35"/>
  <c r="K53" i="35" s="1"/>
  <c r="L22" i="35"/>
  <c r="M22" i="35" s="1"/>
  <c r="K59" i="35"/>
  <c r="L59" i="35"/>
  <c r="M59" i="35" s="1"/>
  <c r="K49" i="35"/>
  <c r="K60" i="35"/>
  <c r="L60" i="35"/>
  <c r="M60" i="35" s="1"/>
  <c r="K31" i="35"/>
  <c r="K45" i="35"/>
  <c r="L45" i="35"/>
  <c r="M45" i="35" s="1"/>
  <c r="K37" i="35"/>
  <c r="L37" i="35"/>
  <c r="M37" i="35" s="1"/>
  <c r="K29" i="35"/>
  <c r="L29" i="35"/>
  <c r="K56" i="35"/>
  <c r="L56" i="35"/>
  <c r="K58" i="35"/>
  <c r="L58" i="35"/>
  <c r="M58" i="35" s="1"/>
  <c r="K41" i="35"/>
  <c r="K48" i="35"/>
  <c r="L48" i="35"/>
  <c r="M48" i="35" s="1"/>
  <c r="K24" i="35"/>
  <c r="L24" i="35"/>
  <c r="M24" i="35" s="1"/>
  <c r="K36" i="35"/>
  <c r="L36" i="35"/>
  <c r="M36" i="35" s="1"/>
  <c r="M101" i="35"/>
  <c r="J7" i="35"/>
  <c r="K47" i="35"/>
  <c r="L47" i="35"/>
  <c r="M47" i="35" s="1"/>
  <c r="K25" i="35"/>
  <c r="K28" i="35"/>
  <c r="L28" i="35"/>
  <c r="M28" i="35" s="1"/>
  <c r="K57" i="35"/>
  <c r="L57" i="35"/>
  <c r="K21" i="35"/>
  <c r="L21" i="35"/>
  <c r="K43" i="35"/>
  <c r="L43" i="35"/>
  <c r="M43" i="35" s="1"/>
  <c r="K35" i="35"/>
  <c r="L35" i="35"/>
  <c r="K27" i="35"/>
  <c r="L27" i="35"/>
  <c r="M27" i="35" s="1"/>
  <c r="K40" i="35"/>
  <c r="L40" i="35"/>
  <c r="M40" i="35" s="1"/>
  <c r="K39" i="35"/>
  <c r="L39" i="35"/>
  <c r="M39" i="35" s="1"/>
  <c r="K44" i="35"/>
  <c r="L44" i="35"/>
  <c r="M44" i="35" s="1"/>
  <c r="K50" i="35"/>
  <c r="L50" i="35"/>
  <c r="M50" i="35" s="1"/>
  <c r="K42" i="35"/>
  <c r="L42" i="35"/>
  <c r="M42" i="35" s="1"/>
  <c r="K34" i="35"/>
  <c r="L34" i="35"/>
  <c r="K26" i="35"/>
  <c r="L26" i="35"/>
  <c r="M26" i="35" s="1"/>
  <c r="K62" i="35"/>
  <c r="M62" i="35"/>
  <c r="L62" i="35"/>
  <c r="K61" i="35"/>
  <c r="K75" i="35"/>
  <c r="K76" i="35"/>
  <c r="K99" i="35"/>
  <c r="K91" i="35"/>
  <c r="K83" i="35"/>
  <c r="K98" i="35"/>
  <c r="K90" i="35"/>
  <c r="K82" i="35"/>
  <c r="K97" i="35"/>
  <c r="K89" i="35"/>
  <c r="K81" i="35"/>
  <c r="K84" i="35"/>
  <c r="K96" i="35"/>
  <c r="K88" i="35"/>
  <c r="K80" i="35"/>
  <c r="K92" i="35"/>
  <c r="K95" i="35"/>
  <c r="K87" i="35"/>
  <c r="K79" i="35"/>
  <c r="K94" i="35"/>
  <c r="K93" i="35"/>
  <c r="K85" i="35"/>
  <c r="K77" i="35"/>
  <c r="K177" i="35"/>
  <c r="C5" i="36"/>
  <c r="C11" i="4"/>
  <c r="Z115" i="2"/>
  <c r="T113" i="2"/>
  <c r="Q113" i="2"/>
  <c r="M113" i="2"/>
  <c r="G113" i="2"/>
  <c r="S59" i="36"/>
  <c r="U57" i="36"/>
  <c r="U56" i="36"/>
  <c r="V34" i="36" s="1"/>
  <c r="J46" i="36"/>
  <c r="J45" i="36"/>
  <c r="J44" i="36"/>
  <c r="J43" i="36"/>
  <c r="V39" i="36"/>
  <c r="AA38" i="36"/>
  <c r="K38" i="36"/>
  <c r="Z68" i="36" s="1"/>
  <c r="J38" i="36"/>
  <c r="Y68" i="36" s="1"/>
  <c r="V37" i="36"/>
  <c r="AA36" i="36"/>
  <c r="AA33" i="36"/>
  <c r="V33" i="36"/>
  <c r="AA31" i="36"/>
  <c r="V29" i="36"/>
  <c r="V28" i="36"/>
  <c r="V27" i="36"/>
  <c r="K27" i="36"/>
  <c r="AA37" i="36" s="1"/>
  <c r="AA26" i="36"/>
  <c r="V26" i="36"/>
  <c r="I26" i="36"/>
  <c r="I28" i="36" s="1"/>
  <c r="AA24" i="36"/>
  <c r="V24" i="36"/>
  <c r="AA23" i="36"/>
  <c r="V23" i="36"/>
  <c r="AA22" i="36"/>
  <c r="V22" i="36"/>
  <c r="AA21" i="36"/>
  <c r="V21" i="36"/>
  <c r="AA19" i="36"/>
  <c r="V19" i="36"/>
  <c r="AA18" i="36"/>
  <c r="V18" i="36"/>
  <c r="AA17" i="36"/>
  <c r="V17" i="36"/>
  <c r="AA16" i="36"/>
  <c r="V16" i="36"/>
  <c r="AA14" i="36"/>
  <c r="V14" i="36"/>
  <c r="AA13" i="36"/>
  <c r="V13" i="36"/>
  <c r="AA12" i="36"/>
  <c r="V12" i="36"/>
  <c r="AA11" i="36"/>
  <c r="V11" i="36"/>
  <c r="F11" i="36"/>
  <c r="F12" i="36" s="1"/>
  <c r="F13" i="36" s="1"/>
  <c r="F14" i="36" s="1"/>
  <c r="F15" i="36" s="1"/>
  <c r="F16" i="36" s="1"/>
  <c r="F17" i="36" s="1"/>
  <c r="F18" i="36" s="1"/>
  <c r="F19" i="36" s="1"/>
  <c r="F20" i="36" s="1"/>
  <c r="F21" i="36" s="1"/>
  <c r="F22" i="36" s="1"/>
  <c r="F23" i="36" s="1"/>
  <c r="F24" i="36" s="1"/>
  <c r="F25" i="36" s="1"/>
  <c r="F26" i="36" s="1"/>
  <c r="F27" i="36" s="1"/>
  <c r="F28" i="36" s="1"/>
  <c r="F29" i="36" s="1"/>
  <c r="F30" i="36" s="1"/>
  <c r="F31" i="36" s="1"/>
  <c r="F32" i="36" s="1"/>
  <c r="F33" i="36" s="1"/>
  <c r="F34" i="36" s="1"/>
  <c r="F35" i="36" s="1"/>
  <c r="F36" i="36" s="1"/>
  <c r="F37" i="36" s="1"/>
  <c r="F38" i="36" s="1"/>
  <c r="F39" i="36" s="1"/>
  <c r="F40" i="36" s="1"/>
  <c r="F41" i="36" s="1"/>
  <c r="F42" i="36" s="1"/>
  <c r="F43" i="36" s="1"/>
  <c r="F44" i="36" s="1"/>
  <c r="F45" i="36" s="1"/>
  <c r="F46" i="36" s="1"/>
  <c r="F47" i="36" s="1"/>
  <c r="F48" i="36" s="1"/>
  <c r="F49" i="36" s="1"/>
  <c r="AA9" i="36"/>
  <c r="V9" i="36"/>
  <c r="AA8" i="36"/>
  <c r="V8" i="36"/>
  <c r="F8" i="36"/>
  <c r="F9" i="36" s="1"/>
  <c r="F10" i="36" s="1"/>
  <c r="AA7" i="36"/>
  <c r="V7" i="36"/>
  <c r="AA6" i="36"/>
  <c r="V6" i="36"/>
  <c r="K67" i="35" l="1"/>
  <c r="K69" i="35" s="1"/>
  <c r="M21" i="35"/>
  <c r="L53" i="35"/>
  <c r="M53" i="35" s="1"/>
  <c r="L67" i="35"/>
  <c r="M56" i="35"/>
  <c r="K101" i="35"/>
  <c r="K7" i="35"/>
  <c r="O113" i="2"/>
  <c r="R113" i="2" s="1"/>
  <c r="S113" i="2" s="1"/>
  <c r="J47" i="36"/>
  <c r="AA32" i="36"/>
  <c r="AA34" i="36"/>
  <c r="L27" i="36"/>
  <c r="AA28" i="36"/>
  <c r="V31" i="36"/>
  <c r="AA39" i="36"/>
  <c r="V36" i="36"/>
  <c r="V38" i="36"/>
  <c r="AA27" i="36"/>
  <c r="AA29" i="36"/>
  <c r="V32" i="36"/>
  <c r="L69" i="35" l="1"/>
  <c r="M67" i="35"/>
  <c r="N92" i="2"/>
  <c r="O92" i="2" s="1"/>
  <c r="N93" i="2"/>
  <c r="O93" i="2" s="1"/>
  <c r="N94" i="2"/>
  <c r="O94" i="2" s="1"/>
  <c r="N91" i="2"/>
  <c r="Q92" i="2"/>
  <c r="Q93" i="2"/>
  <c r="Q91" i="2"/>
  <c r="M92" i="2"/>
  <c r="M93" i="2"/>
  <c r="M94" i="2"/>
  <c r="M91" i="2"/>
  <c r="O91" i="2"/>
  <c r="T92" i="2"/>
  <c r="T93" i="2"/>
  <c r="T95" i="2"/>
  <c r="T91" i="2"/>
  <c r="Q95" i="2"/>
  <c r="Q75" i="2"/>
  <c r="U77" i="2"/>
  <c r="V77" i="2" s="1"/>
  <c r="O76" i="2"/>
  <c r="N76" i="2"/>
  <c r="N75" i="2"/>
  <c r="O75" i="2" s="1"/>
  <c r="O74" i="2"/>
  <c r="N74" i="2"/>
  <c r="W55" i="2"/>
  <c r="T55" i="2"/>
  <c r="G145" i="2"/>
  <c r="G139" i="2"/>
  <c r="O22" i="2"/>
  <c r="G24" i="2"/>
  <c r="G25" i="2"/>
  <c r="G26" i="2"/>
  <c r="E114" i="35"/>
  <c r="E77" i="35"/>
  <c r="E50" i="35"/>
  <c r="E46" i="35"/>
  <c r="E44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21" i="35"/>
  <c r="J6" i="35" l="1"/>
  <c r="H6" i="35" s="1"/>
  <c r="M69" i="35"/>
  <c r="E51" i="35"/>
  <c r="K6" i="35" l="1"/>
  <c r="G9" i="35"/>
  <c r="F62" i="4"/>
  <c r="F68" i="4" s="1"/>
  <c r="I61" i="6"/>
  <c r="P61" i="6"/>
  <c r="F17" i="34" l="1"/>
  <c r="E17" i="34"/>
  <c r="E19" i="34"/>
  <c r="E16" i="34"/>
  <c r="F16" i="34" s="1"/>
  <c r="F19" i="34" s="1"/>
  <c r="E10" i="34"/>
  <c r="Q62" i="6"/>
  <c r="Q23" i="6"/>
  <c r="Q24" i="6"/>
  <c r="Q25" i="6"/>
  <c r="Q26" i="6"/>
  <c r="Q27" i="6"/>
  <c r="Q28" i="6"/>
  <c r="Q29" i="6"/>
  <c r="Q30" i="6"/>
  <c r="Q31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3" i="6"/>
  <c r="Q64" i="6"/>
  <c r="Q65" i="6"/>
  <c r="Q66" i="6"/>
  <c r="Q22" i="6"/>
  <c r="G16" i="16"/>
  <c r="G13" i="16"/>
  <c r="H181" i="35" l="1"/>
  <c r="Q61" i="6"/>
  <c r="E7" i="11"/>
  <c r="E8" i="11"/>
  <c r="E12" i="11"/>
  <c r="E14" i="11" s="1"/>
  <c r="E6" i="11"/>
  <c r="E10" i="11" s="1"/>
  <c r="E11" i="15"/>
  <c r="E8" i="15"/>
  <c r="E15" i="11" l="1"/>
  <c r="E17" i="11" s="1"/>
  <c r="E19" i="11" s="1"/>
  <c r="D10" i="7"/>
  <c r="D12" i="7" s="1"/>
  <c r="D13" i="12"/>
  <c r="D10" i="12"/>
  <c r="H16" i="14"/>
  <c r="I13" i="14"/>
  <c r="I16" i="14" s="1"/>
  <c r="G8" i="14"/>
  <c r="I8" i="14" s="1"/>
  <c r="G10" i="10" l="1"/>
  <c r="E10" i="9" l="1"/>
  <c r="C10" i="8"/>
  <c r="F61" i="6" l="1"/>
  <c r="G61" i="6"/>
  <c r="H61" i="6"/>
  <c r="J61" i="6"/>
  <c r="K61" i="6"/>
  <c r="Q68" i="6" s="1"/>
  <c r="L61" i="6"/>
  <c r="M61" i="6"/>
  <c r="N61" i="6"/>
  <c r="O61" i="6"/>
  <c r="E61" i="6"/>
  <c r="E28" i="5" l="1"/>
  <c r="E27" i="5"/>
  <c r="F27" i="5" s="1"/>
  <c r="E26" i="5"/>
  <c r="F26" i="5" s="1"/>
  <c r="F28" i="5" s="1"/>
  <c r="D9" i="5"/>
  <c r="F9" i="5" s="1"/>
  <c r="D10" i="5"/>
  <c r="F10" i="5" s="1"/>
  <c r="D8" i="5"/>
  <c r="F8" i="5" s="1"/>
  <c r="H10" i="4" l="1"/>
  <c r="H12" i="4"/>
  <c r="H13" i="4"/>
  <c r="J13" i="4" s="1"/>
  <c r="H16" i="4"/>
  <c r="J16" i="4" s="1"/>
  <c r="H1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7" i="4"/>
  <c r="H58" i="4"/>
  <c r="H59" i="4"/>
  <c r="H60" i="4"/>
  <c r="H61" i="4"/>
  <c r="H62" i="4"/>
  <c r="H76" i="4" s="1"/>
  <c r="H63" i="4"/>
  <c r="H64" i="4"/>
  <c r="H67" i="4"/>
  <c r="H9" i="4"/>
  <c r="E62" i="4"/>
  <c r="E17" i="4"/>
  <c r="H17" i="4" s="1"/>
  <c r="J17" i="4" s="1"/>
  <c r="E14" i="4"/>
  <c r="E19" i="4" s="1"/>
  <c r="E65" i="4" s="1"/>
  <c r="E68" i="4" s="1"/>
  <c r="H68" i="4" s="1"/>
  <c r="B62" i="4"/>
  <c r="B76" i="4" s="1"/>
  <c r="B17" i="4"/>
  <c r="B14" i="4"/>
  <c r="B19" i="4" s="1"/>
  <c r="I8" i="36" l="1"/>
  <c r="K8" i="36" s="1"/>
  <c r="C6" i="36"/>
  <c r="H65" i="4"/>
  <c r="H14" i="4"/>
  <c r="H19" i="4"/>
  <c r="I7" i="36" s="1"/>
  <c r="I9" i="36" l="1"/>
  <c r="J19" i="36"/>
  <c r="I16" i="36"/>
  <c r="B65" i="4"/>
  <c r="B68" i="4" s="1"/>
  <c r="Z99" i="2" l="1"/>
  <c r="Z78" i="2"/>
  <c r="Z66" i="2"/>
  <c r="Z80" i="2" s="1"/>
  <c r="Z31" i="2"/>
  <c r="J115" i="2" l="1"/>
  <c r="E31" i="2" l="1"/>
  <c r="F149" i="2"/>
  <c r="I149" i="2"/>
  <c r="J149" i="2"/>
  <c r="Q149" i="2"/>
  <c r="T149" i="2"/>
  <c r="W149" i="2"/>
  <c r="E149" i="2"/>
  <c r="T135" i="2"/>
  <c r="Y64" i="2"/>
  <c r="Y65" i="2"/>
  <c r="Y79" i="2"/>
  <c r="L63" i="2"/>
  <c r="G63" i="2" s="1"/>
  <c r="E66" i="2"/>
  <c r="H63" i="2"/>
  <c r="K63" i="2" s="1"/>
  <c r="Q31" i="2"/>
  <c r="U50" i="2"/>
  <c r="X50" i="2" s="1"/>
  <c r="Y50" i="2" s="1"/>
  <c r="F135" i="2"/>
  <c r="E135" i="2"/>
  <c r="H26" i="2"/>
  <c r="K26" i="2" s="1"/>
  <c r="W26" i="2" s="1"/>
  <c r="X26" i="2" s="1"/>
  <c r="H23" i="2"/>
  <c r="K23" i="2" s="1"/>
  <c r="H24" i="2"/>
  <c r="H25" i="2"/>
  <c r="K25" i="2" s="1"/>
  <c r="W25" i="2" s="1"/>
  <c r="X25" i="2" s="1"/>
  <c r="H22" i="2"/>
  <c r="W63" i="2" l="1"/>
  <c r="X63" i="2" s="1"/>
  <c r="Y63" i="2" s="1"/>
  <c r="K24" i="2"/>
  <c r="W24" i="2" s="1"/>
  <c r="Y25" i="2"/>
  <c r="Y26" i="2"/>
  <c r="V50" i="2"/>
  <c r="I80" i="2"/>
  <c r="N80" i="2"/>
  <c r="E78" i="2"/>
  <c r="H77" i="2"/>
  <c r="L77" i="2"/>
  <c r="G77" i="2" s="1"/>
  <c r="U24" i="2"/>
  <c r="L62" i="2"/>
  <c r="G62" i="2" s="1"/>
  <c r="H62" i="2"/>
  <c r="L61" i="2"/>
  <c r="G61" i="2" s="1"/>
  <c r="H61" i="2"/>
  <c r="W23" i="2"/>
  <c r="L23" i="2"/>
  <c r="G23" i="2" s="1"/>
  <c r="X24" i="2" l="1"/>
  <c r="K77" i="2"/>
  <c r="W77" i="2" s="1"/>
  <c r="X77" i="2" s="1"/>
  <c r="Y77" i="2" s="1"/>
  <c r="K62" i="2"/>
  <c r="K61" i="2"/>
  <c r="T61" i="2" s="1"/>
  <c r="E80" i="2"/>
  <c r="T77" i="2"/>
  <c r="T78" i="2" s="1"/>
  <c r="T23" i="2"/>
  <c r="T31" i="2" s="1"/>
  <c r="R106" i="2"/>
  <c r="K106" i="2"/>
  <c r="H128" i="2"/>
  <c r="H130" i="2"/>
  <c r="H132" i="2"/>
  <c r="H10" i="2"/>
  <c r="H12" i="2"/>
  <c r="H133" i="2"/>
  <c r="H13" i="2"/>
  <c r="H14" i="2"/>
  <c r="H15" i="2"/>
  <c r="H16" i="2"/>
  <c r="H17" i="2"/>
  <c r="H18" i="2"/>
  <c r="H19" i="2"/>
  <c r="H20" i="2"/>
  <c r="H21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9" i="2"/>
  <c r="H70" i="2"/>
  <c r="H71" i="2"/>
  <c r="H72" i="2"/>
  <c r="H73" i="2"/>
  <c r="H74" i="2"/>
  <c r="H75" i="2"/>
  <c r="H76" i="2"/>
  <c r="H86" i="2"/>
  <c r="H87" i="2"/>
  <c r="H142" i="2"/>
  <c r="H143" i="2"/>
  <c r="H144" i="2"/>
  <c r="H145" i="2"/>
  <c r="H146" i="2"/>
  <c r="H147" i="2"/>
  <c r="H88" i="2"/>
  <c r="H89" i="2"/>
  <c r="H90" i="2"/>
  <c r="H91" i="2"/>
  <c r="H92" i="2"/>
  <c r="H93" i="2"/>
  <c r="H94" i="2"/>
  <c r="H95" i="2"/>
  <c r="F99" i="2"/>
  <c r="H113" i="2"/>
  <c r="Q99" i="2"/>
  <c r="T99" i="2"/>
  <c r="E99" i="2"/>
  <c r="R95" i="2"/>
  <c r="U95" i="2" s="1"/>
  <c r="L95" i="2"/>
  <c r="G95" i="2" s="1"/>
  <c r="K139" i="2"/>
  <c r="P31" i="2"/>
  <c r="K22" i="2"/>
  <c r="P22" i="2" s="1"/>
  <c r="L22" i="2"/>
  <c r="G22" i="2" s="1"/>
  <c r="W62" i="2" l="1"/>
  <c r="T62" i="2"/>
  <c r="S31" i="2"/>
  <c r="Y24" i="2"/>
  <c r="W61" i="2"/>
  <c r="M77" i="2"/>
  <c r="U62" i="2"/>
  <c r="V62" i="2" s="1"/>
  <c r="E115" i="2"/>
  <c r="H66" i="2"/>
  <c r="H31" i="2"/>
  <c r="H149" i="2"/>
  <c r="V95" i="2"/>
  <c r="K95" i="2"/>
  <c r="W95" i="2" s="1"/>
  <c r="W99" i="2" s="1"/>
  <c r="H135" i="2"/>
  <c r="W22" i="2"/>
  <c r="Q139" i="2"/>
  <c r="R139" i="2" s="1"/>
  <c r="U61" i="2"/>
  <c r="S106" i="2"/>
  <c r="U106" i="2"/>
  <c r="H78" i="2"/>
  <c r="U23" i="2"/>
  <c r="H99" i="2"/>
  <c r="S95" i="2"/>
  <c r="T66" i="2" l="1"/>
  <c r="T115" i="2" s="1"/>
  <c r="X62" i="2"/>
  <c r="Y62" i="2" s="1"/>
  <c r="I115" i="2"/>
  <c r="V106" i="2"/>
  <c r="X106" i="2"/>
  <c r="Y106" i="2" s="1"/>
  <c r="X95" i="2"/>
  <c r="Y95" i="2" s="1"/>
  <c r="V23" i="2"/>
  <c r="X23" i="2"/>
  <c r="Y23" i="2" s="1"/>
  <c r="V61" i="2"/>
  <c r="X61" i="2"/>
  <c r="Y61" i="2" s="1"/>
  <c r="H80" i="2"/>
  <c r="H115" i="2" s="1"/>
  <c r="R22" i="2"/>
  <c r="S139" i="2"/>
  <c r="U139" i="2"/>
  <c r="V139" i="2" s="1"/>
  <c r="Y139" i="2" s="1"/>
  <c r="Q78" i="2"/>
  <c r="Q66" i="2"/>
  <c r="S130" i="2"/>
  <c r="S10" i="2"/>
  <c r="S18" i="2"/>
  <c r="S128" i="2"/>
  <c r="L128" i="2"/>
  <c r="M128" i="2" s="1"/>
  <c r="K129" i="2"/>
  <c r="N129" i="2" s="1"/>
  <c r="L129" i="2"/>
  <c r="K130" i="2"/>
  <c r="L130" i="2"/>
  <c r="M130" i="2" s="1"/>
  <c r="K131" i="2"/>
  <c r="L131" i="2"/>
  <c r="K132" i="2"/>
  <c r="L132" i="2"/>
  <c r="M132" i="2" s="1"/>
  <c r="L10" i="2"/>
  <c r="M10" i="2" s="1"/>
  <c r="L11" i="2"/>
  <c r="G11" i="2" s="1"/>
  <c r="K12" i="2"/>
  <c r="N12" i="2" s="1"/>
  <c r="L12" i="2"/>
  <c r="K133" i="2"/>
  <c r="L133" i="2"/>
  <c r="M133" i="2" s="1"/>
  <c r="K13" i="2"/>
  <c r="L13" i="2"/>
  <c r="K14" i="2"/>
  <c r="N14" i="2" s="1"/>
  <c r="L14" i="2"/>
  <c r="K15" i="2"/>
  <c r="L15" i="2"/>
  <c r="K16" i="2"/>
  <c r="O16" i="2" s="1"/>
  <c r="P16" i="2" s="1"/>
  <c r="S16" i="2" s="1"/>
  <c r="L16" i="2"/>
  <c r="K17" i="2"/>
  <c r="L17" i="2"/>
  <c r="K18" i="2"/>
  <c r="L18" i="2"/>
  <c r="G18" i="2" s="1"/>
  <c r="K19" i="2"/>
  <c r="L19" i="2"/>
  <c r="G19" i="2" s="1"/>
  <c r="K20" i="2"/>
  <c r="P20" i="2" s="1"/>
  <c r="L20" i="2"/>
  <c r="G20" i="2" s="1"/>
  <c r="K21" i="2"/>
  <c r="L21" i="2"/>
  <c r="G21" i="2" s="1"/>
  <c r="K43" i="2"/>
  <c r="L43" i="2"/>
  <c r="K44" i="2"/>
  <c r="L44" i="2"/>
  <c r="K45" i="2"/>
  <c r="L45" i="2"/>
  <c r="K46" i="2"/>
  <c r="N46" i="2" s="1"/>
  <c r="L46" i="2"/>
  <c r="K47" i="2"/>
  <c r="L47" i="2"/>
  <c r="K48" i="2"/>
  <c r="L48" i="2"/>
  <c r="K49" i="2"/>
  <c r="N49" i="2" s="1"/>
  <c r="L49" i="2"/>
  <c r="N50" i="2"/>
  <c r="M50" i="2"/>
  <c r="K51" i="2"/>
  <c r="N51" i="2" s="1"/>
  <c r="L51" i="2"/>
  <c r="K52" i="2"/>
  <c r="L52" i="2"/>
  <c r="K53" i="2"/>
  <c r="L53" i="2"/>
  <c r="K54" i="2"/>
  <c r="N54" i="2" s="1"/>
  <c r="L54" i="2"/>
  <c r="G54" i="2" s="1"/>
  <c r="K55" i="2"/>
  <c r="L55" i="2"/>
  <c r="G55" i="2" s="1"/>
  <c r="K56" i="2"/>
  <c r="W56" i="2" s="1"/>
  <c r="L56" i="2"/>
  <c r="G56" i="2" s="1"/>
  <c r="K57" i="2"/>
  <c r="W57" i="2" s="1"/>
  <c r="L57" i="2"/>
  <c r="G57" i="2" s="1"/>
  <c r="L58" i="2"/>
  <c r="G58" i="2" s="1"/>
  <c r="K59" i="2"/>
  <c r="L59" i="2"/>
  <c r="G59" i="2" s="1"/>
  <c r="K60" i="2"/>
  <c r="W60" i="2" s="1"/>
  <c r="L60" i="2"/>
  <c r="G60" i="2" s="1"/>
  <c r="K69" i="2"/>
  <c r="L69" i="2"/>
  <c r="K70" i="2"/>
  <c r="L70" i="2"/>
  <c r="K71" i="2"/>
  <c r="L71" i="2"/>
  <c r="K72" i="2"/>
  <c r="L72" i="2"/>
  <c r="K73" i="2"/>
  <c r="N73" i="2" s="1"/>
  <c r="L73" i="2"/>
  <c r="L74" i="2"/>
  <c r="G74" i="2" s="1"/>
  <c r="K75" i="2"/>
  <c r="L75" i="2"/>
  <c r="G75" i="2" s="1"/>
  <c r="K76" i="2"/>
  <c r="W76" i="2" s="1"/>
  <c r="L76" i="2"/>
  <c r="G76" i="2" s="1"/>
  <c r="L86" i="2"/>
  <c r="K87" i="2"/>
  <c r="N87" i="2" s="1"/>
  <c r="L87" i="2"/>
  <c r="K142" i="2"/>
  <c r="N142" i="2" s="1"/>
  <c r="L142" i="2"/>
  <c r="K143" i="2"/>
  <c r="L143" i="2"/>
  <c r="K144" i="2"/>
  <c r="L144" i="2"/>
  <c r="N145" i="2"/>
  <c r="M145" i="2"/>
  <c r="K146" i="2"/>
  <c r="L146" i="2"/>
  <c r="K147" i="2"/>
  <c r="L147" i="2"/>
  <c r="K88" i="2"/>
  <c r="N88" i="2" s="1"/>
  <c r="L88" i="2"/>
  <c r="K89" i="2"/>
  <c r="L89" i="2"/>
  <c r="G89" i="2" s="1"/>
  <c r="K90" i="2"/>
  <c r="L90" i="2"/>
  <c r="G90" i="2" s="1"/>
  <c r="K91" i="2"/>
  <c r="L91" i="2"/>
  <c r="G91" i="2" s="1"/>
  <c r="K92" i="2"/>
  <c r="L92" i="2"/>
  <c r="G92" i="2" s="1"/>
  <c r="K93" i="2"/>
  <c r="P93" i="2" s="1"/>
  <c r="L93" i="2"/>
  <c r="G93" i="2" s="1"/>
  <c r="K94" i="2"/>
  <c r="L94" i="2"/>
  <c r="G94" i="2" s="1"/>
  <c r="K113" i="2"/>
  <c r="L113" i="2"/>
  <c r="W19" i="2" l="1"/>
  <c r="P19" i="2"/>
  <c r="M88" i="2"/>
  <c r="G88" i="2"/>
  <c r="M144" i="2"/>
  <c r="G144" i="2"/>
  <c r="M86" i="2"/>
  <c r="G86" i="2"/>
  <c r="M72" i="2"/>
  <c r="G72" i="2"/>
  <c r="M51" i="2"/>
  <c r="G51" i="2"/>
  <c r="M47" i="2"/>
  <c r="G47" i="2"/>
  <c r="M43" i="2"/>
  <c r="G43" i="2"/>
  <c r="M14" i="2"/>
  <c r="G14" i="2"/>
  <c r="M46" i="2"/>
  <c r="G46" i="2"/>
  <c r="M17" i="2"/>
  <c r="G17" i="2"/>
  <c r="M13" i="2"/>
  <c r="G13" i="2"/>
  <c r="M147" i="2"/>
  <c r="G147" i="2"/>
  <c r="M71" i="2"/>
  <c r="G71" i="2"/>
  <c r="M146" i="2"/>
  <c r="G146" i="2"/>
  <c r="M142" i="2"/>
  <c r="G142" i="2"/>
  <c r="M70" i="2"/>
  <c r="G70" i="2"/>
  <c r="W21" i="2"/>
  <c r="P21" i="2"/>
  <c r="M53" i="2"/>
  <c r="G53" i="2"/>
  <c r="M49" i="2"/>
  <c r="G49" i="2"/>
  <c r="M45" i="2"/>
  <c r="G45" i="2"/>
  <c r="M16" i="2"/>
  <c r="G16" i="2"/>
  <c r="M87" i="2"/>
  <c r="G87" i="2"/>
  <c r="M73" i="2"/>
  <c r="G73" i="2"/>
  <c r="M69" i="2"/>
  <c r="G69" i="2"/>
  <c r="M143" i="2"/>
  <c r="G143" i="2"/>
  <c r="M52" i="2"/>
  <c r="G52" i="2"/>
  <c r="M48" i="2"/>
  <c r="G48" i="2"/>
  <c r="M44" i="2"/>
  <c r="G44" i="2"/>
  <c r="M15" i="2"/>
  <c r="G15" i="2"/>
  <c r="M12" i="2"/>
  <c r="G12" i="2"/>
  <c r="T80" i="2"/>
  <c r="M149" i="2"/>
  <c r="Q115" i="2"/>
  <c r="U22" i="2"/>
  <c r="S22" i="2"/>
  <c r="Q80" i="2"/>
  <c r="W20" i="2"/>
  <c r="M89" i="2"/>
  <c r="K86" i="2"/>
  <c r="O86" i="2" s="1"/>
  <c r="K128" i="2"/>
  <c r="N128" i="2" s="1"/>
  <c r="R93" i="2"/>
  <c r="N16" i="2"/>
  <c r="R16" i="2"/>
  <c r="U16" i="2" s="1"/>
  <c r="O87" i="2"/>
  <c r="K58" i="2"/>
  <c r="K74" i="2"/>
  <c r="M59" i="2"/>
  <c r="O50" i="2"/>
  <c r="N70" i="2"/>
  <c r="O70" i="2"/>
  <c r="M55" i="2"/>
  <c r="N15" i="2"/>
  <c r="O15" i="2"/>
  <c r="N130" i="2"/>
  <c r="O130" i="2"/>
  <c r="R130" i="2" s="1"/>
  <c r="U130" i="2" s="1"/>
  <c r="O43" i="2"/>
  <c r="N43" i="2"/>
  <c r="M75" i="2"/>
  <c r="M129" i="2"/>
  <c r="M21" i="2"/>
  <c r="O21" i="2" s="1"/>
  <c r="M20" i="2"/>
  <c r="O20" i="2" s="1"/>
  <c r="O146" i="2"/>
  <c r="N146" i="2"/>
  <c r="M76" i="2"/>
  <c r="N48" i="2"/>
  <c r="O48" i="2"/>
  <c r="N45" i="2"/>
  <c r="O45" i="2"/>
  <c r="N133" i="2"/>
  <c r="O133" i="2"/>
  <c r="N71" i="2"/>
  <c r="O71" i="2"/>
  <c r="O69" i="2"/>
  <c r="N69" i="2"/>
  <c r="N53" i="2"/>
  <c r="O53" i="2"/>
  <c r="N13" i="2"/>
  <c r="O13" i="2"/>
  <c r="N143" i="2"/>
  <c r="O143" i="2"/>
  <c r="O17" i="2"/>
  <c r="N17" i="2"/>
  <c r="N47" i="2"/>
  <c r="O47" i="2"/>
  <c r="M19" i="2"/>
  <c r="O19" i="2" s="1"/>
  <c r="O132" i="2"/>
  <c r="N132" i="2"/>
  <c r="N52" i="2"/>
  <c r="O52" i="2"/>
  <c r="O44" i="2"/>
  <c r="N44" i="2"/>
  <c r="M56" i="2"/>
  <c r="N89" i="2"/>
  <c r="O89" i="2"/>
  <c r="N72" i="2"/>
  <c r="O72" i="2"/>
  <c r="K11" i="2"/>
  <c r="O11" i="2" s="1"/>
  <c r="M57" i="2"/>
  <c r="N57" i="2" s="1"/>
  <c r="O57" i="2" s="1"/>
  <c r="N18" i="2"/>
  <c r="O18" i="2"/>
  <c r="R18" i="2" s="1"/>
  <c r="U18" i="2" s="1"/>
  <c r="N131" i="2"/>
  <c r="O131" i="2"/>
  <c r="P131" i="2" s="1"/>
  <c r="M131" i="2"/>
  <c r="M90" i="2"/>
  <c r="N90" i="2"/>
  <c r="O90" i="2"/>
  <c r="O147" i="2"/>
  <c r="N147" i="2"/>
  <c r="N144" i="2"/>
  <c r="O144" i="2"/>
  <c r="M60" i="2"/>
  <c r="O88" i="2"/>
  <c r="O51" i="2"/>
  <c r="O46" i="2"/>
  <c r="O12" i="2"/>
  <c r="O142" i="2"/>
  <c r="O73" i="2"/>
  <c r="O49" i="2"/>
  <c r="O14" i="2"/>
  <c r="K10" i="2"/>
  <c r="O129" i="2"/>
  <c r="P129" i="2" s="1"/>
  <c r="O54" i="2"/>
  <c r="O145" i="2"/>
  <c r="N59" i="2" l="1"/>
  <c r="O59" i="2" s="1"/>
  <c r="N55" i="2"/>
  <c r="O55" i="2" s="1"/>
  <c r="N60" i="2"/>
  <c r="O60" i="2" s="1"/>
  <c r="N56" i="2"/>
  <c r="O56" i="2"/>
  <c r="P56" i="2" s="1"/>
  <c r="N149" i="2"/>
  <c r="O149" i="2"/>
  <c r="V22" i="2"/>
  <c r="X22" i="2"/>
  <c r="Y22" i="2" s="1"/>
  <c r="W58" i="2"/>
  <c r="W66" i="2" s="1"/>
  <c r="M74" i="2"/>
  <c r="M78" i="2" s="1"/>
  <c r="W74" i="2"/>
  <c r="W78" i="2" s="1"/>
  <c r="S93" i="2"/>
  <c r="U93" i="2"/>
  <c r="W130" i="2"/>
  <c r="V130" i="2"/>
  <c r="W16" i="2"/>
  <c r="X16" i="2" s="1"/>
  <c r="Y16" i="2" s="1"/>
  <c r="V16" i="2"/>
  <c r="W18" i="2"/>
  <c r="X18" i="2" s="1"/>
  <c r="Y18" i="2" s="1"/>
  <c r="V18" i="2"/>
  <c r="O128" i="2"/>
  <c r="R128" i="2" s="1"/>
  <c r="M99" i="2"/>
  <c r="R86" i="2"/>
  <c r="U86" i="2" s="1"/>
  <c r="O99" i="2"/>
  <c r="N86" i="2"/>
  <c r="N99" i="2" s="1"/>
  <c r="M58" i="2"/>
  <c r="P15" i="2"/>
  <c r="S15" i="2" s="1"/>
  <c r="R15" i="2"/>
  <c r="U15" i="2" s="1"/>
  <c r="P49" i="2"/>
  <c r="R49" i="2"/>
  <c r="U49" i="2" s="1"/>
  <c r="P12" i="2"/>
  <c r="S12" i="2" s="1"/>
  <c r="R12" i="2"/>
  <c r="U12" i="2" s="1"/>
  <c r="P113" i="2"/>
  <c r="P89" i="2"/>
  <c r="R89" i="2"/>
  <c r="P48" i="2"/>
  <c r="R48" i="2"/>
  <c r="U48" i="2" s="1"/>
  <c r="P46" i="2"/>
  <c r="R46" i="2"/>
  <c r="U46" i="2" s="1"/>
  <c r="P17" i="2"/>
  <c r="S17" i="2" s="1"/>
  <c r="R17" i="2"/>
  <c r="U17" i="2" s="1"/>
  <c r="P145" i="2"/>
  <c r="R145" i="2"/>
  <c r="P71" i="2"/>
  <c r="R71" i="2"/>
  <c r="S19" i="2"/>
  <c r="R19" i="2"/>
  <c r="P94" i="2"/>
  <c r="R94" i="2"/>
  <c r="P70" i="2"/>
  <c r="R70" i="2"/>
  <c r="P54" i="2"/>
  <c r="R54" i="2"/>
  <c r="P91" i="2"/>
  <c r="R91" i="2"/>
  <c r="U91" i="2" s="1"/>
  <c r="P88" i="2"/>
  <c r="R88" i="2"/>
  <c r="P147" i="2"/>
  <c r="R147" i="2"/>
  <c r="P13" i="2"/>
  <c r="S13" i="2" s="1"/>
  <c r="R13" i="2"/>
  <c r="U13" i="2" s="1"/>
  <c r="P133" i="2"/>
  <c r="S133" i="2" s="1"/>
  <c r="R133" i="2"/>
  <c r="U133" i="2" s="1"/>
  <c r="P76" i="2"/>
  <c r="R76" i="2"/>
  <c r="P92" i="2"/>
  <c r="R92" i="2"/>
  <c r="U92" i="2" s="1"/>
  <c r="P87" i="2"/>
  <c r="R87" i="2"/>
  <c r="P51" i="2"/>
  <c r="R51" i="2"/>
  <c r="P132" i="2"/>
  <c r="S132" i="2" s="1"/>
  <c r="R132" i="2"/>
  <c r="U132" i="2" s="1"/>
  <c r="P90" i="2"/>
  <c r="R90" i="2"/>
  <c r="P73" i="2"/>
  <c r="R73" i="2"/>
  <c r="P14" i="2"/>
  <c r="S14" i="2" s="1"/>
  <c r="R14" i="2"/>
  <c r="U14" i="2" s="1"/>
  <c r="P57" i="2"/>
  <c r="R57" i="2"/>
  <c r="P72" i="2"/>
  <c r="R72" i="2"/>
  <c r="P44" i="2"/>
  <c r="R44" i="2"/>
  <c r="U44" i="2" s="1"/>
  <c r="P47" i="2"/>
  <c r="R47" i="2"/>
  <c r="U47" i="2" s="1"/>
  <c r="P53" i="2"/>
  <c r="R53" i="2"/>
  <c r="P45" i="2"/>
  <c r="R45" i="2"/>
  <c r="U45" i="2" s="1"/>
  <c r="P146" i="2"/>
  <c r="R146" i="2"/>
  <c r="S21" i="2"/>
  <c r="R21" i="2"/>
  <c r="P75" i="2"/>
  <c r="R75" i="2"/>
  <c r="P144" i="2"/>
  <c r="R144" i="2"/>
  <c r="P69" i="2"/>
  <c r="R69" i="2"/>
  <c r="U69" i="2" s="1"/>
  <c r="X69" i="2" s="1"/>
  <c r="P143" i="2"/>
  <c r="R143" i="2"/>
  <c r="S20" i="2"/>
  <c r="R20" i="2"/>
  <c r="P142" i="2"/>
  <c r="R142" i="2"/>
  <c r="P52" i="2"/>
  <c r="R52" i="2"/>
  <c r="P43" i="2"/>
  <c r="R43" i="2"/>
  <c r="U43" i="2" s="1"/>
  <c r="O78" i="2"/>
  <c r="P50" i="2"/>
  <c r="S131" i="2"/>
  <c r="R131" i="2"/>
  <c r="U131" i="2" s="1"/>
  <c r="S129" i="2"/>
  <c r="R129" i="2"/>
  <c r="U129" i="2" s="1"/>
  <c r="P11" i="2"/>
  <c r="M11" i="2"/>
  <c r="P86" i="2"/>
  <c r="O10" i="2"/>
  <c r="R10" i="2" s="1"/>
  <c r="N10" i="2"/>
  <c r="P59" i="2" l="1"/>
  <c r="R59" i="2"/>
  <c r="P60" i="2"/>
  <c r="R60" i="2"/>
  <c r="P55" i="2"/>
  <c r="R55" i="2"/>
  <c r="S55" i="2" s="1"/>
  <c r="M66" i="2"/>
  <c r="M115" i="2" s="1"/>
  <c r="N58" i="2"/>
  <c r="O58" i="2" s="1"/>
  <c r="R56" i="2"/>
  <c r="S135" i="2"/>
  <c r="U113" i="2"/>
  <c r="R149" i="2"/>
  <c r="U128" i="2"/>
  <c r="U135" i="2" s="1"/>
  <c r="R135" i="2"/>
  <c r="Y69" i="2"/>
  <c r="P149" i="2"/>
  <c r="W80" i="2"/>
  <c r="X86" i="2"/>
  <c r="V86" i="2"/>
  <c r="X93" i="2"/>
  <c r="Y93" i="2" s="1"/>
  <c r="V93" i="2"/>
  <c r="X91" i="2"/>
  <c r="Y91" i="2" s="1"/>
  <c r="V91" i="2"/>
  <c r="X92" i="2"/>
  <c r="Y92" i="2" s="1"/>
  <c r="V92" i="2"/>
  <c r="X45" i="2"/>
  <c r="Y45" i="2" s="1"/>
  <c r="V45" i="2"/>
  <c r="X44" i="2"/>
  <c r="Y44" i="2" s="1"/>
  <c r="V44" i="2"/>
  <c r="X46" i="2"/>
  <c r="Y46" i="2" s="1"/>
  <c r="V46" i="2"/>
  <c r="U10" i="2"/>
  <c r="V10" i="2" s="1"/>
  <c r="X43" i="2"/>
  <c r="V43" i="2"/>
  <c r="X48" i="2"/>
  <c r="Y48" i="2" s="1"/>
  <c r="V48" i="2"/>
  <c r="X47" i="2"/>
  <c r="Y47" i="2" s="1"/>
  <c r="V47" i="2"/>
  <c r="X49" i="2"/>
  <c r="Y49" i="2" s="1"/>
  <c r="V49" i="2"/>
  <c r="S53" i="2"/>
  <c r="U53" i="2"/>
  <c r="S87" i="2"/>
  <c r="U87" i="2"/>
  <c r="S52" i="2"/>
  <c r="U52" i="2"/>
  <c r="S146" i="2"/>
  <c r="U146" i="2"/>
  <c r="U55" i="2"/>
  <c r="S147" i="2"/>
  <c r="U147" i="2"/>
  <c r="S94" i="2"/>
  <c r="U94" i="2"/>
  <c r="S75" i="2"/>
  <c r="U75" i="2"/>
  <c r="S57" i="2"/>
  <c r="U57" i="2"/>
  <c r="S45" i="2"/>
  <c r="S44" i="2"/>
  <c r="S60" i="2"/>
  <c r="U60" i="2"/>
  <c r="S73" i="2"/>
  <c r="U73" i="2"/>
  <c r="X73" i="2" s="1"/>
  <c r="Y73" i="2" s="1"/>
  <c r="S51" i="2"/>
  <c r="U51" i="2"/>
  <c r="S76" i="2"/>
  <c r="U76" i="2"/>
  <c r="S56" i="2"/>
  <c r="U56" i="2"/>
  <c r="S88" i="2"/>
  <c r="U88" i="2"/>
  <c r="S70" i="2"/>
  <c r="U70" i="2"/>
  <c r="X70" i="2" s="1"/>
  <c r="Y70" i="2" s="1"/>
  <c r="S71" i="2"/>
  <c r="U71" i="2"/>
  <c r="X71" i="2" s="1"/>
  <c r="Y71" i="2" s="1"/>
  <c r="S46" i="2"/>
  <c r="S143" i="2"/>
  <c r="U143" i="2"/>
  <c r="S47" i="2"/>
  <c r="S54" i="2"/>
  <c r="U54" i="2"/>
  <c r="S89" i="2"/>
  <c r="U89" i="2"/>
  <c r="S49" i="2"/>
  <c r="S142" i="2"/>
  <c r="U142" i="2"/>
  <c r="S144" i="2"/>
  <c r="U144" i="2"/>
  <c r="S72" i="2"/>
  <c r="U72" i="2"/>
  <c r="X72" i="2" s="1"/>
  <c r="Y72" i="2" s="1"/>
  <c r="S90" i="2"/>
  <c r="U90" i="2"/>
  <c r="S59" i="2"/>
  <c r="U59" i="2"/>
  <c r="S145" i="2"/>
  <c r="U145" i="2"/>
  <c r="S48" i="2"/>
  <c r="U21" i="2"/>
  <c r="U20" i="2"/>
  <c r="U19" i="2"/>
  <c r="W133" i="2"/>
  <c r="V133" i="2"/>
  <c r="W12" i="2"/>
  <c r="X12" i="2" s="1"/>
  <c r="Y12" i="2" s="1"/>
  <c r="V12" i="2"/>
  <c r="W15" i="2"/>
  <c r="X15" i="2" s="1"/>
  <c r="Y15" i="2" s="1"/>
  <c r="V15" i="2"/>
  <c r="W129" i="2"/>
  <c r="V129" i="2"/>
  <c r="V13" i="2"/>
  <c r="W13" i="2"/>
  <c r="X13" i="2" s="1"/>
  <c r="Y13" i="2" s="1"/>
  <c r="W17" i="2"/>
  <c r="X17" i="2" s="1"/>
  <c r="Y17" i="2" s="1"/>
  <c r="V17" i="2"/>
  <c r="V131" i="2"/>
  <c r="W131" i="2"/>
  <c r="W14" i="2"/>
  <c r="X14" i="2" s="1"/>
  <c r="Y14" i="2" s="1"/>
  <c r="V14" i="2"/>
  <c r="V132" i="2"/>
  <c r="W132" i="2"/>
  <c r="M31" i="2"/>
  <c r="N115" i="2" s="1"/>
  <c r="N31" i="2"/>
  <c r="P99" i="2"/>
  <c r="O31" i="2"/>
  <c r="S86" i="2"/>
  <c r="R99" i="2"/>
  <c r="P74" i="2"/>
  <c r="P78" i="2" s="1"/>
  <c r="R74" i="2"/>
  <c r="S43" i="2"/>
  <c r="S69" i="2"/>
  <c r="S11" i="2"/>
  <c r="R11" i="2"/>
  <c r="R31" i="2" s="1"/>
  <c r="P58" i="2" l="1"/>
  <c r="P66" i="2" s="1"/>
  <c r="P115" i="2" s="1"/>
  <c r="R58" i="2"/>
  <c r="O66" i="2"/>
  <c r="O80" i="2" s="1"/>
  <c r="M80" i="2"/>
  <c r="W128" i="2"/>
  <c r="W135" i="2" s="1"/>
  <c r="U149" i="2"/>
  <c r="V128" i="2"/>
  <c r="V135" i="2" s="1"/>
  <c r="Y135" i="2" s="1"/>
  <c r="S149" i="2"/>
  <c r="Y43" i="2"/>
  <c r="V113" i="2"/>
  <c r="X113" i="2"/>
  <c r="V76" i="2"/>
  <c r="X76" i="2"/>
  <c r="Y76" i="2" s="1"/>
  <c r="V75" i="2"/>
  <c r="X75" i="2"/>
  <c r="Y75" i="2" s="1"/>
  <c r="O115" i="2"/>
  <c r="X87" i="2"/>
  <c r="Y87" i="2" s="1"/>
  <c r="V87" i="2"/>
  <c r="X90" i="2"/>
  <c r="Y90" i="2" s="1"/>
  <c r="V90" i="2"/>
  <c r="X142" i="2"/>
  <c r="V142" i="2"/>
  <c r="X146" i="2"/>
  <c r="Y143" i="2" s="1"/>
  <c r="V146" i="2"/>
  <c r="X145" i="2"/>
  <c r="Y142" i="2" s="1"/>
  <c r="V145" i="2"/>
  <c r="X143" i="2"/>
  <c r="Y140" i="2" s="1"/>
  <c r="V143" i="2"/>
  <c r="Y86" i="2"/>
  <c r="X89" i="2"/>
  <c r="Y89" i="2" s="1"/>
  <c r="V89" i="2"/>
  <c r="X147" i="2"/>
  <c r="Y144" i="2" s="1"/>
  <c r="V147" i="2"/>
  <c r="X144" i="2"/>
  <c r="Y141" i="2" s="1"/>
  <c r="V144" i="2"/>
  <c r="X88" i="2"/>
  <c r="Y88" i="2" s="1"/>
  <c r="V88" i="2"/>
  <c r="X94" i="2"/>
  <c r="Y94" i="2" s="1"/>
  <c r="V94" i="2"/>
  <c r="V99" i="2" s="1"/>
  <c r="W10" i="2"/>
  <c r="V56" i="2"/>
  <c r="X56" i="2"/>
  <c r="Y56" i="2" s="1"/>
  <c r="V19" i="2"/>
  <c r="X19" i="2"/>
  <c r="Y19" i="2" s="1"/>
  <c r="V57" i="2"/>
  <c r="X57" i="2"/>
  <c r="Y57" i="2" s="1"/>
  <c r="V55" i="2"/>
  <c r="X55" i="2"/>
  <c r="Y55" i="2" s="1"/>
  <c r="V20" i="2"/>
  <c r="X20" i="2"/>
  <c r="Y20" i="2" s="1"/>
  <c r="V60" i="2"/>
  <c r="X60" i="2"/>
  <c r="Y60" i="2" s="1"/>
  <c r="U99" i="2"/>
  <c r="V21" i="2"/>
  <c r="X21" i="2"/>
  <c r="Y21" i="2" s="1"/>
  <c r="V59" i="2"/>
  <c r="X59" i="2"/>
  <c r="Y59" i="2" s="1"/>
  <c r="X53" i="2"/>
  <c r="Y53" i="2" s="1"/>
  <c r="V53" i="2"/>
  <c r="X51" i="2"/>
  <c r="Y51" i="2" s="1"/>
  <c r="V51" i="2"/>
  <c r="X54" i="2"/>
  <c r="Y54" i="2" s="1"/>
  <c r="V54" i="2"/>
  <c r="X52" i="2"/>
  <c r="Y52" i="2" s="1"/>
  <c r="V52" i="2"/>
  <c r="P80" i="2"/>
  <c r="S74" i="2"/>
  <c r="S78" i="2" s="1"/>
  <c r="U74" i="2"/>
  <c r="S99" i="2"/>
  <c r="R78" i="2"/>
  <c r="U11" i="2"/>
  <c r="R66" i="2" l="1"/>
  <c r="R115" i="2" s="1"/>
  <c r="S58" i="2"/>
  <c r="S66" i="2" s="1"/>
  <c r="U58" i="2"/>
  <c r="X10" i="2"/>
  <c r="Y152" i="2"/>
  <c r="S115" i="2"/>
  <c r="V74" i="2"/>
  <c r="V78" i="2" s="1"/>
  <c r="X74" i="2"/>
  <c r="Y113" i="2"/>
  <c r="Y115" i="2" s="1"/>
  <c r="C7" i="36" s="1"/>
  <c r="J28" i="36" s="1"/>
  <c r="X149" i="2"/>
  <c r="S80" i="2"/>
  <c r="V149" i="2"/>
  <c r="X99" i="2"/>
  <c r="Y99" i="2"/>
  <c r="U78" i="2"/>
  <c r="W11" i="2"/>
  <c r="V31" i="2" s="1"/>
  <c r="V11" i="2"/>
  <c r="U31" i="2" s="1"/>
  <c r="J27" i="36" l="1"/>
  <c r="M27" i="36" s="1"/>
  <c r="K11" i="36" s="1"/>
  <c r="J26" i="36"/>
  <c r="S9" i="36"/>
  <c r="S7" i="36"/>
  <c r="T7" i="36" s="1"/>
  <c r="U7" i="36" s="1"/>
  <c r="W7" i="36" s="1"/>
  <c r="X7" i="36" s="1"/>
  <c r="Y7" i="36" s="1"/>
  <c r="Z7" i="36" s="1"/>
  <c r="AB7" i="36" s="1"/>
  <c r="AC7" i="36" s="1"/>
  <c r="AD7" i="36" s="1"/>
  <c r="AE7" i="36" s="1"/>
  <c r="AF7" i="36" s="1"/>
  <c r="S6" i="36"/>
  <c r="T6" i="36" s="1"/>
  <c r="U6" i="36" s="1"/>
  <c r="W6" i="36" s="1"/>
  <c r="X6" i="36" s="1"/>
  <c r="Y6" i="36" s="1"/>
  <c r="Z6" i="36" s="1"/>
  <c r="AB6" i="36" s="1"/>
  <c r="AC6" i="36" s="1"/>
  <c r="AD6" i="36" s="1"/>
  <c r="AE6" i="36" s="1"/>
  <c r="AF6" i="36" s="1"/>
  <c r="S8" i="36"/>
  <c r="T8" i="36" s="1"/>
  <c r="U8" i="36" s="1"/>
  <c r="W8" i="36" s="1"/>
  <c r="X8" i="36" s="1"/>
  <c r="Y8" i="36" s="1"/>
  <c r="Z8" i="36" s="1"/>
  <c r="AB8" i="36" s="1"/>
  <c r="AC8" i="36" s="1"/>
  <c r="AD8" i="36" s="1"/>
  <c r="AE8" i="36" s="1"/>
  <c r="AF8" i="36" s="1"/>
  <c r="R80" i="2"/>
  <c r="U66" i="2"/>
  <c r="U80" i="2" s="1"/>
  <c r="V58" i="2"/>
  <c r="V66" i="2" s="1"/>
  <c r="X58" i="2"/>
  <c r="V80" i="2"/>
  <c r="V115" i="2" s="1"/>
  <c r="Y10" i="2"/>
  <c r="Y74" i="2"/>
  <c r="X78" i="2"/>
  <c r="W31" i="2"/>
  <c r="X11" i="2"/>
  <c r="Y11" i="2" s="1"/>
  <c r="M11" i="36" l="1"/>
  <c r="I11" i="36"/>
  <c r="T9" i="36"/>
  <c r="U9" i="36" s="1"/>
  <c r="W9" i="36" s="1"/>
  <c r="X9" i="36" s="1"/>
  <c r="Y9" i="36" s="1"/>
  <c r="Z9" i="36" s="1"/>
  <c r="AB9" i="36" s="1"/>
  <c r="AC9" i="36" s="1"/>
  <c r="AD9" i="36" s="1"/>
  <c r="AE9" i="36" s="1"/>
  <c r="AF9" i="36" s="1"/>
  <c r="U115" i="2"/>
  <c r="Y58" i="2"/>
  <c r="Y66" i="2" s="1"/>
  <c r="X66" i="2"/>
  <c r="X80" i="2"/>
  <c r="X31" i="2"/>
  <c r="X115" i="2" s="1"/>
  <c r="Y31" i="2"/>
  <c r="Y78" i="2"/>
  <c r="W115" i="2"/>
  <c r="Y80" i="2" l="1"/>
  <c r="K118" i="35"/>
  <c r="J10" i="4" l="1"/>
  <c r="L10" i="4"/>
  <c r="L120" i="35"/>
  <c r="K120" i="35"/>
  <c r="M120" i="35" l="1"/>
  <c r="J8" i="35"/>
  <c r="L181" i="35"/>
  <c r="L188" i="35" s="1"/>
  <c r="J12" i="4"/>
  <c r="L12" i="4"/>
  <c r="J9" i="4"/>
  <c r="J14" i="4" s="1"/>
  <c r="L9" i="4"/>
  <c r="J19" i="4" l="1"/>
  <c r="I76" i="4" s="1"/>
  <c r="L14" i="4"/>
  <c r="K181" i="35"/>
  <c r="K188" i="35" s="1"/>
  <c r="K8" i="35"/>
  <c r="J9" i="35"/>
  <c r="K9" i="35" s="1"/>
  <c r="AG6" i="36"/>
  <c r="AH6" i="36"/>
  <c r="AI6" i="36"/>
  <c r="J7" i="36"/>
  <c r="K7" i="36"/>
  <c r="L7" i="36"/>
  <c r="M7" i="36"/>
  <c r="AG7" i="36"/>
  <c r="AH7" i="36"/>
  <c r="AI7" i="36"/>
  <c r="L8" i="36"/>
  <c r="M8" i="36"/>
  <c r="AG8" i="36"/>
  <c r="AH8" i="36"/>
  <c r="AI8" i="36"/>
  <c r="K9" i="36"/>
  <c r="M9" i="36"/>
  <c r="AG9" i="36"/>
  <c r="AH9" i="36"/>
  <c r="AI9" i="36"/>
  <c r="S11" i="36"/>
  <c r="T11" i="36"/>
  <c r="U11" i="36"/>
  <c r="W11" i="36"/>
  <c r="X11" i="36"/>
  <c r="Y11" i="36"/>
  <c r="Z11" i="36"/>
  <c r="AB11" i="36"/>
  <c r="AC11" i="36"/>
  <c r="AD11" i="36"/>
  <c r="AE11" i="36"/>
  <c r="AF11" i="36"/>
  <c r="AG11" i="36"/>
  <c r="AH11" i="36"/>
  <c r="AI11" i="36"/>
  <c r="I12" i="36"/>
  <c r="J12" i="36"/>
  <c r="K12" i="36"/>
  <c r="M12" i="36"/>
  <c r="S12" i="36"/>
  <c r="T12" i="36"/>
  <c r="U12" i="36"/>
  <c r="W12" i="36"/>
  <c r="X12" i="36"/>
  <c r="Y12" i="36"/>
  <c r="Z12" i="36"/>
  <c r="AB12" i="36"/>
  <c r="AC12" i="36"/>
  <c r="AD12" i="36"/>
  <c r="AE12" i="36"/>
  <c r="AF12" i="36"/>
  <c r="AG12" i="36"/>
  <c r="AH12" i="36"/>
  <c r="AI12" i="36"/>
  <c r="S13" i="36"/>
  <c r="T13" i="36"/>
  <c r="U13" i="36"/>
  <c r="W13" i="36"/>
  <c r="X13" i="36"/>
  <c r="Y13" i="36"/>
  <c r="Z13" i="36"/>
  <c r="AB13" i="36"/>
  <c r="AC13" i="36"/>
  <c r="AD13" i="36"/>
  <c r="AE13" i="36"/>
  <c r="AF13" i="36"/>
  <c r="AG13" i="36"/>
  <c r="AH13" i="36"/>
  <c r="AI13" i="36"/>
  <c r="I14" i="36"/>
  <c r="K14" i="36"/>
  <c r="M14" i="36"/>
  <c r="S14" i="36"/>
  <c r="T14" i="36"/>
  <c r="U14" i="36"/>
  <c r="W14" i="36"/>
  <c r="X14" i="36"/>
  <c r="Y14" i="36"/>
  <c r="Z14" i="36"/>
  <c r="AB14" i="36"/>
  <c r="AC14" i="36"/>
  <c r="AD14" i="36"/>
  <c r="AE14" i="36"/>
  <c r="AF14" i="36"/>
  <c r="AG14" i="36"/>
  <c r="AH14" i="36"/>
  <c r="AI14" i="36"/>
  <c r="K16" i="36"/>
  <c r="M16" i="36"/>
  <c r="S16" i="36"/>
  <c r="T16" i="36"/>
  <c r="U16" i="36"/>
  <c r="W16" i="36"/>
  <c r="X16" i="36"/>
  <c r="Y16" i="36"/>
  <c r="Z16" i="36"/>
  <c r="AB16" i="36"/>
  <c r="AC16" i="36"/>
  <c r="AD16" i="36"/>
  <c r="AE16" i="36"/>
  <c r="AF16" i="36"/>
  <c r="AG16" i="36"/>
  <c r="AH16" i="36"/>
  <c r="AI16" i="36"/>
  <c r="S17" i="36"/>
  <c r="T17" i="36"/>
  <c r="U17" i="36"/>
  <c r="W17" i="36"/>
  <c r="X17" i="36"/>
  <c r="Y17" i="36"/>
  <c r="Z17" i="36"/>
  <c r="AB17" i="36"/>
  <c r="AC17" i="36"/>
  <c r="AD17" i="36"/>
  <c r="AE17" i="36"/>
  <c r="AF17" i="36"/>
  <c r="AG17" i="36"/>
  <c r="AH17" i="36"/>
  <c r="AI17" i="36"/>
  <c r="S18" i="36"/>
  <c r="T18" i="36"/>
  <c r="U18" i="36"/>
  <c r="W18" i="36"/>
  <c r="X18" i="36"/>
  <c r="Y18" i="36"/>
  <c r="Z18" i="36"/>
  <c r="AB18" i="36"/>
  <c r="AC18" i="36"/>
  <c r="AD18" i="36"/>
  <c r="AE18" i="36"/>
  <c r="AF18" i="36"/>
  <c r="AG18" i="36"/>
  <c r="AH18" i="36"/>
  <c r="AI18" i="36"/>
  <c r="M19" i="36"/>
  <c r="S19" i="36"/>
  <c r="T19" i="36"/>
  <c r="U19" i="36"/>
  <c r="W19" i="36"/>
  <c r="X19" i="36"/>
  <c r="Y19" i="36"/>
  <c r="Z19" i="36"/>
  <c r="AB19" i="36"/>
  <c r="AC19" i="36"/>
  <c r="AD19" i="36"/>
  <c r="AE19" i="36"/>
  <c r="AF19" i="36"/>
  <c r="AG19" i="36"/>
  <c r="AH19" i="36"/>
  <c r="AI19" i="36"/>
  <c r="J20" i="36"/>
  <c r="M20" i="36"/>
  <c r="J21" i="36"/>
  <c r="M21" i="36"/>
  <c r="S21" i="36"/>
  <c r="T21" i="36"/>
  <c r="U21" i="36"/>
  <c r="W21" i="36"/>
  <c r="X21" i="36"/>
  <c r="Y21" i="36"/>
  <c r="Z21" i="36"/>
  <c r="AB21" i="36"/>
  <c r="AC21" i="36"/>
  <c r="AD21" i="36"/>
  <c r="AE21" i="36"/>
  <c r="AF21" i="36"/>
  <c r="AG21" i="36"/>
  <c r="AH21" i="36"/>
  <c r="AI21" i="36"/>
  <c r="K22" i="36"/>
  <c r="S22" i="36"/>
  <c r="T22" i="36"/>
  <c r="U22" i="36"/>
  <c r="W22" i="36"/>
  <c r="X22" i="36"/>
  <c r="Y22" i="36"/>
  <c r="Z22" i="36"/>
  <c r="AB22" i="36"/>
  <c r="AC22" i="36"/>
  <c r="AD22" i="36"/>
  <c r="AE22" i="36"/>
  <c r="AF22" i="36"/>
  <c r="AG22" i="36"/>
  <c r="AH22" i="36"/>
  <c r="AI22" i="36"/>
  <c r="S23" i="36"/>
  <c r="T23" i="36"/>
  <c r="U23" i="36"/>
  <c r="W23" i="36"/>
  <c r="X23" i="36"/>
  <c r="Y23" i="36"/>
  <c r="Z23" i="36"/>
  <c r="AB23" i="36"/>
  <c r="AC23" i="36"/>
  <c r="AD23" i="36"/>
  <c r="AE23" i="36"/>
  <c r="AF23" i="36"/>
  <c r="AG23" i="36"/>
  <c r="AH23" i="36"/>
  <c r="AI23" i="36"/>
  <c r="S24" i="36"/>
  <c r="T24" i="36"/>
  <c r="U24" i="36"/>
  <c r="W24" i="36"/>
  <c r="X24" i="36"/>
  <c r="Y24" i="36"/>
  <c r="Z24" i="36"/>
  <c r="AB24" i="36"/>
  <c r="AC24" i="36"/>
  <c r="AD24" i="36"/>
  <c r="AE24" i="36"/>
  <c r="AF24" i="36"/>
  <c r="AG24" i="36"/>
  <c r="AH24" i="36"/>
  <c r="AI24" i="36"/>
  <c r="K26" i="36"/>
  <c r="L26" i="36"/>
  <c r="M26" i="36"/>
  <c r="S26" i="36"/>
  <c r="T26" i="36"/>
  <c r="U26" i="36"/>
  <c r="W26" i="36"/>
  <c r="X26" i="36"/>
  <c r="Y26" i="36"/>
  <c r="Z26" i="36"/>
  <c r="AB26" i="36"/>
  <c r="AC26" i="36"/>
  <c r="AD26" i="36"/>
  <c r="AE26" i="36"/>
  <c r="AF26" i="36"/>
  <c r="AG26" i="36"/>
  <c r="AH26" i="36"/>
  <c r="AI26" i="36"/>
  <c r="S27" i="36"/>
  <c r="T27" i="36"/>
  <c r="U27" i="36"/>
  <c r="W27" i="36"/>
  <c r="X27" i="36"/>
  <c r="Y27" i="36"/>
  <c r="Z27" i="36"/>
  <c r="AB27" i="36"/>
  <c r="AC27" i="36"/>
  <c r="AD27" i="36"/>
  <c r="AE27" i="36"/>
  <c r="AF27" i="36"/>
  <c r="AG27" i="36"/>
  <c r="AH27" i="36"/>
  <c r="AI27" i="36"/>
  <c r="L28" i="36"/>
  <c r="M28" i="36"/>
  <c r="S28" i="36"/>
  <c r="T28" i="36"/>
  <c r="U28" i="36"/>
  <c r="W28" i="36"/>
  <c r="X28" i="36"/>
  <c r="Y28" i="36"/>
  <c r="Z28" i="36"/>
  <c r="AB28" i="36"/>
  <c r="AC28" i="36"/>
  <c r="AD28" i="36"/>
  <c r="AE28" i="36"/>
  <c r="AF28" i="36"/>
  <c r="AG28" i="36"/>
  <c r="AH28" i="36"/>
  <c r="AI28" i="36"/>
  <c r="S29" i="36"/>
  <c r="T29" i="36"/>
  <c r="U29" i="36"/>
  <c r="W29" i="36"/>
  <c r="X29" i="36"/>
  <c r="Y29" i="36"/>
  <c r="Z29" i="36"/>
  <c r="AB29" i="36"/>
  <c r="AC29" i="36"/>
  <c r="AD29" i="36"/>
  <c r="AE29" i="36"/>
  <c r="AF29" i="36"/>
  <c r="AG29" i="36"/>
  <c r="AH29" i="36"/>
  <c r="AI29" i="36"/>
  <c r="S31" i="36"/>
  <c r="T31" i="36"/>
  <c r="U31" i="36"/>
  <c r="W31" i="36"/>
  <c r="X31" i="36"/>
  <c r="Y31" i="36"/>
  <c r="Z31" i="36"/>
  <c r="AB31" i="36"/>
  <c r="AC31" i="36"/>
  <c r="AD31" i="36"/>
  <c r="AE31" i="36"/>
  <c r="AF31" i="36"/>
  <c r="AG31" i="36"/>
  <c r="AH31" i="36"/>
  <c r="AI31" i="36"/>
  <c r="S32" i="36"/>
  <c r="T32" i="36"/>
  <c r="U32" i="36"/>
  <c r="W32" i="36"/>
  <c r="X32" i="36"/>
  <c r="Y32" i="36"/>
  <c r="Z32" i="36"/>
  <c r="AB32" i="36"/>
  <c r="AC32" i="36"/>
  <c r="AD32" i="36"/>
  <c r="AE32" i="36"/>
  <c r="AF32" i="36"/>
  <c r="AG32" i="36"/>
  <c r="AH32" i="36"/>
  <c r="AI32" i="36"/>
  <c r="J33" i="36"/>
  <c r="K33" i="36"/>
  <c r="S33" i="36"/>
  <c r="T33" i="36"/>
  <c r="U33" i="36"/>
  <c r="W33" i="36"/>
  <c r="X33" i="36"/>
  <c r="Y33" i="36"/>
  <c r="Z33" i="36"/>
  <c r="AB33" i="36"/>
  <c r="AC33" i="36"/>
  <c r="AD33" i="36"/>
  <c r="AE33" i="36"/>
  <c r="AF33" i="36"/>
  <c r="AG33" i="36"/>
  <c r="AH33" i="36"/>
  <c r="AI33" i="36"/>
  <c r="J34" i="36"/>
  <c r="K34" i="36"/>
  <c r="S34" i="36"/>
  <c r="T34" i="36"/>
  <c r="U34" i="36"/>
  <c r="W34" i="36"/>
  <c r="X34" i="36"/>
  <c r="Y34" i="36"/>
  <c r="Z34" i="36"/>
  <c r="AB34" i="36"/>
  <c r="AC34" i="36"/>
  <c r="AD34" i="36"/>
  <c r="AE34" i="36"/>
  <c r="AF34" i="36"/>
  <c r="AG34" i="36"/>
  <c r="AH34" i="36"/>
  <c r="AI34" i="36"/>
  <c r="J35" i="36"/>
  <c r="K35" i="36"/>
  <c r="J36" i="36"/>
  <c r="K36" i="36"/>
  <c r="S36" i="36"/>
  <c r="T36" i="36"/>
  <c r="U36" i="36"/>
  <c r="W36" i="36"/>
  <c r="X36" i="36"/>
  <c r="Y36" i="36"/>
  <c r="Z36" i="36"/>
  <c r="AB36" i="36"/>
  <c r="AC36" i="36"/>
  <c r="AD36" i="36"/>
  <c r="AE36" i="36"/>
  <c r="AF36" i="36"/>
  <c r="AG36" i="36"/>
  <c r="AH36" i="36"/>
  <c r="AI36" i="36"/>
  <c r="J37" i="36"/>
  <c r="K37" i="36"/>
  <c r="S37" i="36"/>
  <c r="T37" i="36"/>
  <c r="U37" i="36"/>
  <c r="W37" i="36"/>
  <c r="X37" i="36"/>
  <c r="Y37" i="36"/>
  <c r="Z37" i="36"/>
  <c r="AB37" i="36"/>
  <c r="AC37" i="36"/>
  <c r="AD37" i="36"/>
  <c r="AE37" i="36"/>
  <c r="AF37" i="36"/>
  <c r="AG37" i="36"/>
  <c r="AH37" i="36"/>
  <c r="AI37" i="36"/>
  <c r="S38" i="36"/>
  <c r="T38" i="36"/>
  <c r="U38" i="36"/>
  <c r="W38" i="36"/>
  <c r="X38" i="36"/>
  <c r="Y38" i="36"/>
  <c r="Z38" i="36"/>
  <c r="AB38" i="36"/>
  <c r="AC38" i="36"/>
  <c r="AD38" i="36"/>
  <c r="AE38" i="36"/>
  <c r="AF38" i="36"/>
  <c r="AG38" i="36"/>
  <c r="AH38" i="36"/>
  <c r="AI38" i="36"/>
  <c r="S39" i="36"/>
  <c r="T39" i="36"/>
  <c r="U39" i="36"/>
  <c r="W39" i="36"/>
  <c r="X39" i="36"/>
  <c r="Y39" i="36"/>
  <c r="Z39" i="36"/>
  <c r="AB39" i="36"/>
  <c r="AC39" i="36"/>
  <c r="AD39" i="36"/>
  <c r="AE39" i="36"/>
  <c r="AF39" i="36"/>
  <c r="AG39" i="36"/>
  <c r="AH39" i="36"/>
  <c r="AI39" i="36"/>
  <c r="K43" i="36"/>
  <c r="V43" i="36"/>
  <c r="K44" i="36"/>
  <c r="V44" i="36"/>
  <c r="K45" i="36"/>
  <c r="V45" i="36"/>
  <c r="K46" i="36"/>
  <c r="K47" i="36"/>
  <c r="R48" i="36"/>
  <c r="J49" i="36"/>
  <c r="R49" i="36"/>
  <c r="R51" i="36"/>
  <c r="Y63" i="36"/>
  <c r="Z63" i="36"/>
  <c r="Y64" i="36"/>
  <c r="Z64" i="36"/>
  <c r="Y65" i="36"/>
  <c r="Z65" i="36"/>
  <c r="Y66" i="36"/>
  <c r="Z66" i="36"/>
  <c r="Y67" i="36"/>
  <c r="Z67" i="36"/>
  <c r="B12" i="5"/>
  <c r="C12" i="5"/>
  <c r="D12" i="5"/>
  <c r="E12" i="5"/>
  <c r="F12" i="5"/>
  <c r="D15" i="5"/>
  <c r="D16" i="5"/>
  <c r="D17" i="5"/>
  <c r="D18" i="5"/>
  <c r="D19" i="5"/>
  <c r="F19" i="5"/>
</calcChain>
</file>

<file path=xl/comments1.xml><?xml version="1.0" encoding="utf-8"?>
<comments xmlns="http://schemas.openxmlformats.org/spreadsheetml/2006/main">
  <authors>
    <author>Hollie</author>
  </authors>
  <commentList>
    <comment ref="U5" authorId="0" shapeId="0">
      <text>
        <r>
          <rPr>
            <b/>
            <sz val="9"/>
            <color indexed="81"/>
            <rFont val="Tahoma"/>
            <family val="2"/>
          </rPr>
          <t>Hollie:</t>
        </r>
        <r>
          <rPr>
            <sz val="9"/>
            <color indexed="81"/>
            <rFont val="Tahoma"/>
            <family val="2"/>
          </rPr>
          <t xml:space="preserve">
total depreciation accumulated for life of assets so far through current year</t>
        </r>
      </text>
    </comment>
  </commentList>
</comments>
</file>

<file path=xl/sharedStrings.xml><?xml version="1.0" encoding="utf-8"?>
<sst xmlns="http://schemas.openxmlformats.org/spreadsheetml/2006/main" count="1189" uniqueCount="665">
  <si>
    <t>STANLEY'S SANITARY SERVICE</t>
  </si>
  <si>
    <t>Test Year</t>
  </si>
  <si>
    <t>Rate Year</t>
  </si>
  <si>
    <t>DEPREC</t>
  </si>
  <si>
    <t>YEAR</t>
  </si>
  <si>
    <t>PURCH</t>
  </si>
  <si>
    <t>N</t>
  </si>
  <si>
    <t>ORIG'L</t>
  </si>
  <si>
    <t>PER</t>
  </si>
  <si>
    <t xml:space="preserve">FULLY </t>
  </si>
  <si>
    <t>TEST YEAR</t>
  </si>
  <si>
    <t>Beg. Accum</t>
  </si>
  <si>
    <t>END ACCUM</t>
  </si>
  <si>
    <t>END BOOK</t>
  </si>
  <si>
    <t>DATE</t>
  </si>
  <si>
    <t>ASSET DESC</t>
  </si>
  <si>
    <t>U</t>
  </si>
  <si>
    <t>COST</t>
  </si>
  <si>
    <t>SALV</t>
  </si>
  <si>
    <t>BASE</t>
  </si>
  <si>
    <t xml:space="preserve"> M  L</t>
  </si>
  <si>
    <t>L</t>
  </si>
  <si>
    <t>DEPR</t>
  </si>
  <si>
    <t>Depr</t>
  </si>
  <si>
    <t>VALUE</t>
  </si>
  <si>
    <t>1222 COLLECTN EQUIP</t>
  </si>
  <si>
    <t>1987 FREIGHTLNR</t>
  </si>
  <si>
    <t xml:space="preserve">SL </t>
  </si>
  <si>
    <t>1987 FREIGHTLNR - Salvage Recovery</t>
  </si>
  <si>
    <t>ROLLOFF TRAILER</t>
  </si>
  <si>
    <t>ROLLOFF TRAILER - Salvage Recovery</t>
  </si>
  <si>
    <t>FRTLNR RETRO</t>
  </si>
  <si>
    <t>1999 FREIGHTLNR DB WHITE</t>
  </si>
  <si>
    <t>1999 FREIGHTLNR DB WHITE rearend</t>
  </si>
  <si>
    <t>1987 frtlnr turbo &amp; brakes</t>
  </si>
  <si>
    <t>LIFT FOR WHITE FRTLNER</t>
  </si>
  <si>
    <t>REBUILD WHITE FRTLNER LIFT</t>
  </si>
  <si>
    <t>WHITE FREIGHTLNR MAJOR RPR</t>
  </si>
  <si>
    <t>2 HYDRAULIC CYLINDERS</t>
  </si>
  <si>
    <t>2007 AUTOCAR TRUCK</t>
  </si>
  <si>
    <t>2006 AUTOCAR TRUCK</t>
  </si>
  <si>
    <t xml:space="preserve">AUTO CAR MODIFICATION </t>
  </si>
  <si>
    <t>COLLECTION EQ TOTALS</t>
  </si>
  <si>
    <t>1224 CONT/DROP BOXES</t>
  </si>
  <si>
    <t>CONTAINERS</t>
  </si>
  <si>
    <t>12-1 1/2 YD CONT</t>
  </si>
  <si>
    <t>SL</t>
  </si>
  <si>
    <t>24-1 1/2 YD CONT</t>
  </si>
  <si>
    <t>24 CONT (LEASEBUY}</t>
  </si>
  <si>
    <t>CONTAINER CART</t>
  </si>
  <si>
    <t>12  1 1/2 YD CONT</t>
  </si>
  <si>
    <t>12 1 1/2 YD CONT</t>
  </si>
  <si>
    <t>15 1 1/2 YD CONT</t>
  </si>
  <si>
    <t>24 1 1/2 YD CONT</t>
  </si>
  <si>
    <t>90 Toters</t>
  </si>
  <si>
    <t>u</t>
  </si>
  <si>
    <t>sl</t>
  </si>
  <si>
    <t>Container signage</t>
  </si>
  <si>
    <t>TOTAL CONTAINERS</t>
  </si>
  <si>
    <t>DROPBOXES</t>
  </si>
  <si>
    <t xml:space="preserve"> 2-30 YD DROPBOX</t>
  </si>
  <si>
    <t>3 30 YD DROPBOX</t>
  </si>
  <si>
    <t>2-40 YD DROPBOXES</t>
  </si>
  <si>
    <t>1-20 YD DROPBOX</t>
  </si>
  <si>
    <t>4 20 YS DROPBOXES</t>
  </si>
  <si>
    <t>4  DROP BOXES</t>
  </si>
  <si>
    <t>4  30 YD DROP BOXES</t>
  </si>
  <si>
    <t>TOTAL DROP BOXES</t>
  </si>
  <si>
    <t>1250 OFFICE FURN/EQUIP</t>
  </si>
  <si>
    <t>DESK/BOOKCASE</t>
  </si>
  <si>
    <t>FILE CABINETS</t>
  </si>
  <si>
    <t>DELL COMPUTER</t>
  </si>
  <si>
    <t>HP1300 PRINTER</t>
  </si>
  <si>
    <t>AT&amp;T Phones</t>
  </si>
  <si>
    <t>adj prior years</t>
  </si>
  <si>
    <t>SHREDDER</t>
  </si>
  <si>
    <t>hp Laserjest printer M201</t>
  </si>
  <si>
    <t>Rebuild Dell Desktop</t>
  </si>
  <si>
    <t>HP Laptop</t>
  </si>
  <si>
    <t>Upgrade HP Laptop</t>
  </si>
  <si>
    <t>Office Chair</t>
  </si>
  <si>
    <t>Dell Computer Tower</t>
  </si>
  <si>
    <t>Air Conditioner</t>
  </si>
  <si>
    <t>CELL PHONES</t>
  </si>
  <si>
    <t>1272 LEASEHOLD IMPROVEMENTS</t>
  </si>
  <si>
    <t>Gravel truckyard</t>
  </si>
  <si>
    <t>ACCUM</t>
  </si>
  <si>
    <t xml:space="preserve">ACCUM </t>
  </si>
  <si>
    <t>ACC DEP</t>
  </si>
  <si>
    <t xml:space="preserve">TEST YR </t>
  </si>
  <si>
    <t>BEGIN</t>
  </si>
  <si>
    <t>ACC</t>
  </si>
  <si>
    <t>ADJ 2019</t>
  </si>
  <si>
    <t>TRUCK SIGNAGE</t>
  </si>
  <si>
    <t>1230  SERVICE VEHICLES &amp; EQUIPMENT</t>
  </si>
  <si>
    <t>FORD SHOP TRUCK</t>
  </si>
  <si>
    <t>SHOP MODULAR OFFICE</t>
  </si>
  <si>
    <t>EST</t>
  </si>
  <si>
    <t>2015 PETERBILT</t>
  </si>
  <si>
    <t>50-96 gal toters</t>
  </si>
  <si>
    <t>DB REPAIR STEEL</t>
  </si>
  <si>
    <t>TOTAL CONT/DB</t>
  </si>
  <si>
    <t xml:space="preserve">RETIRED ASSETS </t>
  </si>
  <si>
    <t>1999 FREIGHTLNR DB WHITE - Salvage Recovery</t>
  </si>
  <si>
    <t>2010 CHEV SAT TK</t>
  </si>
  <si>
    <t>SL 5</t>
  </si>
  <si>
    <t>AUTOCAR 2 DIFFERINTIAL</t>
  </si>
  <si>
    <t>AUTOCAR 2 ENGINE RPR</t>
  </si>
  <si>
    <t>SL3</t>
  </si>
  <si>
    <t>2022 DEPRECIATION SCHEDULE</t>
  </si>
  <si>
    <t>OFFICE TOTALS</t>
  </si>
  <si>
    <t>TOTAL ASSETS</t>
  </si>
  <si>
    <t>CUSTOMER COUNT PROFORMA</t>
  </si>
  <si>
    <t>G-86 &amp; TOWN OF CATHLAMET</t>
  </si>
  <si>
    <t>PER PFIS</t>
  </si>
  <si>
    <t>ALL SERVICES</t>
  </si>
  <si>
    <t>RESIDENTIAL</t>
  </si>
  <si>
    <t>COMMERCIAL</t>
  </si>
  <si>
    <t>DROP BOX</t>
  </si>
  <si>
    <t>MONTHLY</t>
  </si>
  <si>
    <t>ANNUAL</t>
  </si>
  <si>
    <t>SCHEDULE</t>
  </si>
  <si>
    <t>CUSTOMER COUNT 12/31/12</t>
  </si>
  <si>
    <t>AVERAGE</t>
  </si>
  <si>
    <t>CURRENT</t>
  </si>
  <si>
    <t>PROPOSED</t>
  </si>
  <si>
    <t>CUSTOMERS</t>
  </si>
  <si>
    <t>RATE</t>
  </si>
  <si>
    <t>RATES</t>
  </si>
  <si>
    <t>ITEM 100</t>
  </si>
  <si>
    <t>1 MINICAN WEEK</t>
  </si>
  <si>
    <t>1 MINICAN EOW</t>
  </si>
  <si>
    <t>1 MINICAN MONTH</t>
  </si>
  <si>
    <t>1 CAN WEEK</t>
  </si>
  <si>
    <t>1 CAN EOW</t>
  </si>
  <si>
    <t>1 CAN PER MONTH</t>
  </si>
  <si>
    <t>2 CANS WEEK</t>
  </si>
  <si>
    <t>2 CANS EOW</t>
  </si>
  <si>
    <t>2 CAN PER MONTH</t>
  </si>
  <si>
    <t>3 CANS WEEK</t>
  </si>
  <si>
    <t>3 CANS EOW</t>
  </si>
  <si>
    <t>3 CANS MONTH</t>
  </si>
  <si>
    <t>4 CANS WEEK</t>
  </si>
  <si>
    <t>4 CANS EOW</t>
  </si>
  <si>
    <t>4 CANS MONTH</t>
  </si>
  <si>
    <t>5 CANS WEEK</t>
  </si>
  <si>
    <t>64 GAL CART WEEK</t>
  </si>
  <si>
    <t>64 GAL CART EOW</t>
  </si>
  <si>
    <t>64 GAL CART MONTH</t>
  </si>
  <si>
    <t>96 GAL CART WEEK</t>
  </si>
  <si>
    <t>96 GAL CART EOW</t>
  </si>
  <si>
    <t>96 GAL CART MONTH</t>
  </si>
  <si>
    <t>EXTRAS (ITEM 100)</t>
  </si>
  <si>
    <t>EXTRA CAN OR UNIT</t>
  </si>
  <si>
    <t>EXTRA MINI CAN</t>
  </si>
  <si>
    <t>EXTRA 64 GAL</t>
  </si>
  <si>
    <t>EXTRA 96 GAL</t>
  </si>
  <si>
    <t>EXTRA BAG</t>
  </si>
  <si>
    <t>ON CALL</t>
  </si>
  <si>
    <t>PREPAID ON CALL</t>
  </si>
  <si>
    <t>TOTAL EXTRAS</t>
  </si>
  <si>
    <t xml:space="preserve">COMMERCIAL </t>
  </si>
  <si>
    <t>ITEM 240</t>
  </si>
  <si>
    <t>CONTAINER RENT</t>
  </si>
  <si>
    <t>CONTAINER PER PICKUP</t>
  </si>
  <si>
    <t>CONTAINER ADDTNL PICKUP</t>
  </si>
  <si>
    <t>SPECIAL PICKUPS</t>
  </si>
  <si>
    <t>TEMP SVC - DELIVERY</t>
  </si>
  <si>
    <t>TEMP SVC - PICKUP</t>
  </si>
  <si>
    <t>TEMP SVC - RENT PER DAY</t>
  </si>
  <si>
    <t>TEMP SVC - RENT PER MONTH</t>
  </si>
  <si>
    <t>ITEM 245</t>
  </si>
  <si>
    <t>32 GAL SCHEDULED PICKUP</t>
  </si>
  <si>
    <t>32 GAL SPECIAL PICKUP</t>
  </si>
  <si>
    <t>32 GAL MINIMUM</t>
  </si>
  <si>
    <t>32 GAL TEMP ON CALL</t>
  </si>
  <si>
    <t>64 GAL SCHEDULED PICKUP</t>
  </si>
  <si>
    <t>64 GAL SPECIAL PICKUP</t>
  </si>
  <si>
    <t>64 GAL MINIMUM</t>
  </si>
  <si>
    <t>64 GAL TEMP ON CALL</t>
  </si>
  <si>
    <t>96 GAL SCHEDULED PICKUP</t>
  </si>
  <si>
    <t>96 GAL SPECIAL PICKUP</t>
  </si>
  <si>
    <t>96 GAL MINIMUM</t>
  </si>
  <si>
    <t>96 GAL TEMP ON CALL</t>
  </si>
  <si>
    <t>1.5 YD SCHEDULED PICKUP</t>
  </si>
  <si>
    <t>1.5 YD SPECIAL PICKUP</t>
  </si>
  <si>
    <t>1.5  YD  MINIMUM</t>
  </si>
  <si>
    <t>1.5 YD TEMP PICKUP</t>
  </si>
  <si>
    <t>1.5 YD TEMP ON CALL</t>
  </si>
  <si>
    <t>ITEM 260</t>
  </si>
  <si>
    <t>30 YD MONTHLY RENT</t>
  </si>
  <si>
    <t>30 YD FIRST PICKUP</t>
  </si>
  <si>
    <t>30 YD ADDTNL PICKUP</t>
  </si>
  <si>
    <t>30 YD DELIVERY</t>
  </si>
  <si>
    <t>TEMP - 30 YD DELIVERY</t>
  </si>
  <si>
    <t>TEMP - 30 YD PICKUP</t>
  </si>
  <si>
    <t>TEMP - 30 YD RENT PER DAY</t>
  </si>
  <si>
    <t>TEMP - 30 YD RENT PER MONTH</t>
  </si>
  <si>
    <t>EXCESS MILES</t>
  </si>
  <si>
    <t>ITEM 265</t>
  </si>
  <si>
    <t>CUST OWNED DB - EACH PICKUP</t>
  </si>
  <si>
    <t>CUST OWNED DB - SPECIAL PICKUP</t>
  </si>
  <si>
    <t>CUST OWNED DB - TEMP PICKUP</t>
  </si>
  <si>
    <t>MISC CHARGES</t>
  </si>
  <si>
    <t>ITEM 50</t>
  </si>
  <si>
    <t>RETURNED CHECK</t>
  </si>
  <si>
    <t>ITEM 51</t>
  </si>
  <si>
    <t>RESTART FEES</t>
  </si>
  <si>
    <t>ITEM 52</t>
  </si>
  <si>
    <t>REDELIVERY DROP BOX</t>
  </si>
  <si>
    <t>REDELIVERY CONTAINER</t>
  </si>
  <si>
    <t>ITEM 55</t>
  </si>
  <si>
    <t>OVERSIZED/OVERWEIGHT CAN</t>
  </si>
  <si>
    <t>ITEM 60</t>
  </si>
  <si>
    <t>OVERTIME</t>
  </si>
  <si>
    <t>ITEM 70</t>
  </si>
  <si>
    <t>RETURN TRIP CAN</t>
  </si>
  <si>
    <t>RETURN TRIP 64 GAL</t>
  </si>
  <si>
    <t>RETURN TRIP 96 GAL</t>
  </si>
  <si>
    <t>RETURN TRIP DB</t>
  </si>
  <si>
    <t>RETURN TRIP COMM CONTAINER</t>
  </si>
  <si>
    <t>ITEM 80</t>
  </si>
  <si>
    <t>CARRYOUT CANS &gt;25 FT</t>
  </si>
  <si>
    <t>CARRYOUT COMM &gt;25 FT</t>
  </si>
  <si>
    <t>DRIVE IN RESI 125-250</t>
  </si>
  <si>
    <t>DRIVE IN RESI 250-1/10</t>
  </si>
  <si>
    <t>DRIVE IN RESI OVER 1/10</t>
  </si>
  <si>
    <t>DRIVE IN COMM 125-251</t>
  </si>
  <si>
    <t>DRIVE IN COMM 250-1/11</t>
  </si>
  <si>
    <t>DRIVE IN COMM OVER 1/11</t>
  </si>
  <si>
    <t>ITEM 150</t>
  </si>
  <si>
    <t>BULKY 1-4</t>
  </si>
  <si>
    <t>BULKY ADDTNL PER YARD</t>
  </si>
  <si>
    <t>BULKY MINIMUM CHARGE</t>
  </si>
  <si>
    <t>LOOSE CUSTOMER LOAD 1-4</t>
  </si>
  <si>
    <t>LOOSE ADDTNL PER YARD</t>
  </si>
  <si>
    <t>LOOSE COMPANY LOAD 1-4</t>
  </si>
  <si>
    <t>LOOSE COMPANY LOAD ADDTNL PER YARD</t>
  </si>
  <si>
    <t>LOOSE COMPANY LOAD MINIMUM</t>
  </si>
  <si>
    <t>LARGE APPLIANCES</t>
  </si>
  <si>
    <t>SMALL APPLIANCES</t>
  </si>
  <si>
    <t>TIRES (PASSANGER)</t>
  </si>
  <si>
    <t>TIRES (TRUCK)</t>
  </si>
  <si>
    <t>MATTRESSES</t>
  </si>
  <si>
    <t>CHRISTMAS TREES</t>
  </si>
  <si>
    <t>ITEM 160</t>
  </si>
  <si>
    <t>TRUCK AND DRIVER NON-PACKER TRUCK</t>
  </si>
  <si>
    <t xml:space="preserve">NON-PACKER TRUCK EACH EXTRA </t>
  </si>
  <si>
    <t>NON-PACKER TRUCK MIN</t>
  </si>
  <si>
    <t>PACKER TRUCK AND DRIVER</t>
  </si>
  <si>
    <t>PACKER EACH EXTRA</t>
  </si>
  <si>
    <t>PACKER MINIMUM</t>
  </si>
  <si>
    <t>ITEM 205</t>
  </si>
  <si>
    <t>ROLLOUT PER CONTAINER</t>
  </si>
  <si>
    <t>ROLLOUT PER 5 FT</t>
  </si>
  <si>
    <t>ITEM 207</t>
  </si>
  <si>
    <t>OVERFILLED/OVERWEIGHT PER YARD</t>
  </si>
  <si>
    <t>TOTAL MISC CHARGES</t>
  </si>
  <si>
    <t xml:space="preserve">6 CANS WEEK </t>
  </si>
  <si>
    <t>2 96 GAL CARTS WEEK</t>
  </si>
  <si>
    <t>OVERFILLED/OVERWEIGHT ADDTNL1/2 YD</t>
  </si>
  <si>
    <t>CONTRACT REV</t>
  </si>
  <si>
    <t>CARRYOUT COMM &lt;25 FT</t>
  </si>
  <si>
    <t>CARRYOUT CANS &lt;25 FT</t>
  </si>
  <si>
    <t xml:space="preserve">TOTAL ITEM 100 </t>
  </si>
  <si>
    <t>1 1/2 YARD CONTAINER PICKUPS</t>
  </si>
  <si>
    <t>CONTAINER RENT MONTH</t>
  </si>
  <si>
    <t>PER REV REPORT</t>
  </si>
  <si>
    <t>BASED ON CUSTOMER COUNT 12/31/22</t>
  </si>
  <si>
    <t>LATE CHARGES</t>
  </si>
  <si>
    <t>REV NOT INCLUDED ABOVE</t>
  </si>
  <si>
    <t>DROP BOX TIP FEES</t>
  </si>
  <si>
    <t>TOTAL REVENUE  CUSTOMER PERFORMA</t>
  </si>
  <si>
    <t>TOTAL COMPANY PERFORMA REV</t>
  </si>
  <si>
    <t xml:space="preserve">VARIANCE </t>
  </si>
  <si>
    <t>MISC CHARGES/CAN # CHGS</t>
  </si>
  <si>
    <t>VACATION CREDIT</t>
  </si>
  <si>
    <t>ITEM 18</t>
  </si>
  <si>
    <t>COLLECTION ACCTS RECOVERY</t>
  </si>
  <si>
    <t>RECONCILIATION</t>
  </si>
  <si>
    <t xml:space="preserve">STANLEY'S SANITARY SERVICE </t>
  </si>
  <si>
    <t>RESULTS OF OPERATIONS G-86 &amp; TOWN OF CATHLAMET</t>
  </si>
  <si>
    <t>FOR 12 MONTH PERIOD 2022</t>
  </si>
  <si>
    <t>OPERATING REVENUE</t>
  </si>
  <si>
    <t>DROP BOX PASS THROUGH</t>
  </si>
  <si>
    <t>TOTAL G &amp; TOWN CONTRACT</t>
  </si>
  <si>
    <t>COUNTY RECYCLE HAUL</t>
  </si>
  <si>
    <t>TOTAL CONTRACT REVENUE</t>
  </si>
  <si>
    <t>TOTAL REVENUE</t>
  </si>
  <si>
    <t>OPERATING EXPENSES</t>
  </si>
  <si>
    <t>REPAIR COLLECTION EQUIP</t>
  </si>
  <si>
    <t>TIRES</t>
  </si>
  <si>
    <t>OTHER MAINTENANCE</t>
  </si>
  <si>
    <t>DRIVER/HELPER WAGES</t>
  </si>
  <si>
    <t>TRUCKING SUPERVISOR</t>
  </si>
  <si>
    <t>FUEL</t>
  </si>
  <si>
    <t>DISPOSAL FEES</t>
  </si>
  <si>
    <t>DROB BOX PASS THROOUGH</t>
  </si>
  <si>
    <t>ADVERTISING &amp; PROMOTION</t>
  </si>
  <si>
    <t>FIRE, THEFT, COLLISION INSUR</t>
  </si>
  <si>
    <t>WORKMAN'S COMP</t>
  </si>
  <si>
    <t>OTHER INSURANCE &amp; SAFETY</t>
  </si>
  <si>
    <t>MANAGER SALARY</t>
  </si>
  <si>
    <t>WAGES/BILLING</t>
  </si>
  <si>
    <t>OFFICE &amp; OTHER EXPENSE</t>
  </si>
  <si>
    <t>LEGAL &amp; ACCOUNTING</t>
  </si>
  <si>
    <t>COMMUNICATIONS, UTILITIES</t>
  </si>
  <si>
    <t>MANAGER MEDICAL INSURANCE</t>
  </si>
  <si>
    <t>EMPLOYEE WELFARE</t>
  </si>
  <si>
    <t>DEPRECIATION</t>
  </si>
  <si>
    <t>OTHER GENERAL EXPENSE</t>
  </si>
  <si>
    <t>VEHICLE LICENSE, REGISTRATION</t>
  </si>
  <si>
    <t>REAL/PERSONAL PROP TAX</t>
  </si>
  <si>
    <t>SOCIAL SECURITY TAX</t>
  </si>
  <si>
    <t>MEDICARE TAX</t>
  </si>
  <si>
    <t>FEDERAL UNEMPLOYMENT TAX</t>
  </si>
  <si>
    <t>STATE UNEMPLOYMENT TAX</t>
  </si>
  <si>
    <t>FAMILIY LEAVE TAX</t>
  </si>
  <si>
    <t>STATE REVENUE TAX</t>
  </si>
  <si>
    <t>OTHER TAXES &amp; LICENSES</t>
  </si>
  <si>
    <t>LEASE-LAND AND BUILDING</t>
  </si>
  <si>
    <t>OFFICE RENT</t>
  </si>
  <si>
    <t>UNCOLLECTABLE REVENUE</t>
  </si>
  <si>
    <t>REGULATORY EXPENSE</t>
  </si>
  <si>
    <t>TARIFF PREP &amp; MAILING</t>
  </si>
  <si>
    <t>TOTAL OPERATING EXPENSE</t>
  </si>
  <si>
    <t>NET OPERATING INCOME/LOSS</t>
  </si>
  <si>
    <t>OTHER EXPENSE</t>
  </si>
  <si>
    <t>INTEREST</t>
  </si>
  <si>
    <t>OPERATING INCOME BEFORE FIT</t>
  </si>
  <si>
    <t>FEDERAL INCOME TAX @21%</t>
  </si>
  <si>
    <t>NET OPERATING INCOME</t>
  </si>
  <si>
    <t>AVERGE RATE BASE (BEOY)</t>
  </si>
  <si>
    <t>OPERATING RATIO</t>
  </si>
  <si>
    <t>**NOTE:   RATE INCREASE NOT APPLIED TO CONTRCT REVENUE/WAHKIAKUM COUNTYI RECYCLE HAUL</t>
  </si>
  <si>
    <t>TEST PERIOD</t>
  </si>
  <si>
    <t>RESTATING</t>
  </si>
  <si>
    <t>RA #</t>
  </si>
  <si>
    <t xml:space="preserve">RESTATED </t>
  </si>
  <si>
    <t xml:space="preserve">RESULTS </t>
  </si>
  <si>
    <t xml:space="preserve">ADJUSTMENTS </t>
  </si>
  <si>
    <t xml:space="preserve">PROFORMA </t>
  </si>
  <si>
    <t>ADJUSTMENTS</t>
  </si>
  <si>
    <t>PA #</t>
  </si>
  <si>
    <t>EFFECT</t>
  </si>
  <si>
    <t xml:space="preserve">PROPOSED </t>
  </si>
  <si>
    <t xml:space="preserve">RATES </t>
  </si>
  <si>
    <t>RESULTS</t>
  </si>
  <si>
    <t>AFTER</t>
  </si>
  <si>
    <t>SALE</t>
  </si>
  <si>
    <t>PROCEEDS</t>
  </si>
  <si>
    <t>LOSS/GAIN</t>
  </si>
  <si>
    <t>TOTAL GAIN</t>
  </si>
  <si>
    <t>,</t>
  </si>
  <si>
    <t>GAIN/LOSS SALE OF RETIRED ASSETS</t>
  </si>
  <si>
    <t xml:space="preserve">WAGES MAINT &amp; COMPLIANCE </t>
  </si>
  <si>
    <t>PER BOOKS</t>
  </si>
  <si>
    <t xml:space="preserve">PA #11 PAYROLL </t>
  </si>
  <si>
    <t>EMPLOYEE</t>
  </si>
  <si>
    <t>HOURS</t>
  </si>
  <si>
    <t>PERFORMA</t>
  </si>
  <si>
    <t xml:space="preserve">PAYROLL </t>
  </si>
  <si>
    <t>PAYROLL</t>
  </si>
  <si>
    <t>INCREASE</t>
  </si>
  <si>
    <t>(DECREASE)</t>
  </si>
  <si>
    <t xml:space="preserve">PAYRATE </t>
  </si>
  <si>
    <t xml:space="preserve">EFFECTIVE </t>
  </si>
  <si>
    <t>SHUKREE DAWEN</t>
  </si>
  <si>
    <t>HOLLIE McKAY-BEACH</t>
  </si>
  <si>
    <t>PATRICK McKAY-BEACH</t>
  </si>
  <si>
    <t>TOTAL PERFORMA PAYROLL</t>
  </si>
  <si>
    <t>FEDERAL UNEMPLOYMT</t>
  </si>
  <si>
    <t>MEDICARE COMPANY</t>
  </si>
  <si>
    <t>SOCIAL SECURITY COMPANY</t>
  </si>
  <si>
    <t>SUI</t>
  </si>
  <si>
    <t>TOTAL INCREASED PAYROLL TAX EX</t>
  </si>
  <si>
    <t>PAY</t>
  </si>
  <si>
    <t xml:space="preserve"> RATE</t>
  </si>
  <si>
    <t xml:space="preserve">RATE </t>
  </si>
  <si>
    <t>INCREASED</t>
  </si>
  <si>
    <t xml:space="preserve">DECREASED </t>
  </si>
  <si>
    <t xml:space="preserve">EXPENSE </t>
  </si>
  <si>
    <t xml:space="preserve">OFFICE </t>
  </si>
  <si>
    <t>DRIVERS/HELP/MAINT</t>
  </si>
  <si>
    <t xml:space="preserve">WORKED </t>
  </si>
  <si>
    <t>STANLEY'S SANITARY PROFORMA INDEX</t>
  </si>
  <si>
    <t>3000 OPERATING REVENUE</t>
  </si>
  <si>
    <t>PA 3</t>
  </si>
  <si>
    <t>PA  2</t>
  </si>
  <si>
    <t>PA  1</t>
  </si>
  <si>
    <t>PA  4</t>
  </si>
  <si>
    <t>PA  5</t>
  </si>
  <si>
    <t>PA  6</t>
  </si>
  <si>
    <t>PA  7</t>
  </si>
  <si>
    <t>PA  8</t>
  </si>
  <si>
    <t>PA  9</t>
  </si>
  <si>
    <t>PA  10</t>
  </si>
  <si>
    <t>PA  11</t>
  </si>
  <si>
    <t>PA  12</t>
  </si>
  <si>
    <t>REFLECT</t>
  </si>
  <si>
    <t xml:space="preserve">WAGE RATE CHANGES </t>
  </si>
  <si>
    <t>INCREASED PAYROLL EXP RELATED TO WAGE INCREASES</t>
  </si>
  <si>
    <t>WORKMANS COMP RATE INCREASE</t>
  </si>
  <si>
    <t>PAYROLL TAX TO PA 11</t>
  </si>
  <si>
    <t>OFFICE RENT DECREASE</t>
  </si>
  <si>
    <t>2022 RENT</t>
  </si>
  <si>
    <t>RENT 2023</t>
  </si>
  <si>
    <t>DECREASE TO PA 1</t>
  </si>
  <si>
    <t xml:space="preserve">RENT </t>
  </si>
  <si>
    <t xml:space="preserve">DECREASE </t>
  </si>
  <si>
    <t>DEPRECTN</t>
  </si>
  <si>
    <t>2022 DEPRECIATION PER BOOKS</t>
  </si>
  <si>
    <t>REFLECT 2023 DEPRECIATION INCREASE PA 2</t>
  </si>
  <si>
    <t>INCREASED DEPRECIATION EXPENSE</t>
  </si>
  <si>
    <t>2003 DEPRECIATION PER DEPREC  SCHEDULE ESTIMATE</t>
  </si>
  <si>
    <t>PA 9 REFLECT MANAGER MEDICAL INSURANCE DECREASE</t>
  </si>
  <si>
    <t>2022 MANAGER MEDICAL INSURANCE EXP</t>
  </si>
  <si>
    <t>2023 MANAGER MEDICAL INSURANCE</t>
  </si>
  <si>
    <t>MANAGER MEDICAL INS DECREASE</t>
  </si>
  <si>
    <t>MANAGER</t>
  </si>
  <si>
    <t>MED INS</t>
  </si>
  <si>
    <t>DECREASE</t>
  </si>
  <si>
    <t>EXPENSE</t>
  </si>
  <si>
    <t>PA 6  REMOVE GAIN/LOSS ON DISPOSAL OF ASSESTS</t>
  </si>
  <si>
    <t>REMOVE GAIN/LOSS ON DISP OF ASSETS</t>
  </si>
  <si>
    <t xml:space="preserve">REFLECT </t>
  </si>
  <si>
    <t xml:space="preserve">REMOVE </t>
  </si>
  <si>
    <t>GAIN/LOSS</t>
  </si>
  <si>
    <t>CHANGE</t>
  </si>
  <si>
    <t>TAX</t>
  </si>
  <si>
    <t>PROPERTY</t>
  </si>
  <si>
    <t>TARIFF</t>
  </si>
  <si>
    <t>PREP</t>
  </si>
  <si>
    <t>EXPENS</t>
  </si>
  <si>
    <t xml:space="preserve">INTEREST </t>
  </si>
  <si>
    <t>REFELCT</t>
  </si>
  <si>
    <t>WRRA</t>
  </si>
  <si>
    <t>POLITICAL</t>
  </si>
  <si>
    <t>%</t>
  </si>
  <si>
    <t xml:space="preserve">REFLECT CHANGE IN ADDING ONLINE PAYMENT AND ACCOUNT LOOKUP </t>
  </si>
  <si>
    <t>for CUSTOMER CONVENIENCE effective 10/01/22</t>
  </si>
  <si>
    <t>2022 COST OF CREDIT CARD PROCESSING</t>
  </si>
  <si>
    <t>REVENUE</t>
  </si>
  <si>
    <t>6 MONTH ACTUAL</t>
  </si>
  <si>
    <t>NEW PROVIDER (TRASHFLO) OCTOBER 2022 THRU FEBRUARY 2023</t>
  </si>
  <si>
    <t>APRIL THRU SEPT 2022</t>
  </si>
  <si>
    <t>PERFORMA 7 EXPENSE INCREASE</t>
  </si>
  <si>
    <t>PA 7</t>
  </si>
  <si>
    <t>TO PAY 7</t>
  </si>
  <si>
    <t>CREDIT</t>
  </si>
  <si>
    <t>CARD PROC</t>
  </si>
  <si>
    <t>PA 2</t>
  </si>
  <si>
    <t xml:space="preserve">PA 4 </t>
  </si>
  <si>
    <t>PA 4  TO REFLECT PROPERTY TAX INCREASE</t>
  </si>
  <si>
    <t>PROP TAX FOR 2022 YEAR</t>
  </si>
  <si>
    <t>2023 PROP TAX PER STATEMENT</t>
  </si>
  <si>
    <t>TOTAL 2023</t>
  </si>
  <si>
    <t>2023 INCREASE</t>
  </si>
  <si>
    <t>TO  PA 4</t>
  </si>
  <si>
    <t>TO REDUCE WRRA POLITICAL % OF DUES</t>
  </si>
  <si>
    <t>WRRA 2022 DUES</t>
  </si>
  <si>
    <t>PA 10</t>
  </si>
  <si>
    <t>DEDUCT POLITICAL</t>
  </si>
  <si>
    <t>PROFORMA DUES</t>
  </si>
  <si>
    <t>DUES</t>
  </si>
  <si>
    <t>GROUP</t>
  </si>
  <si>
    <t>INSUR</t>
  </si>
  <si>
    <t>PA 3 TO REFLECT GROUP INS 2023 INCREASE</t>
  </si>
  <si>
    <t>2022  TOTAL GROUP INS</t>
  </si>
  <si>
    <t>2023 PREMIUM</t>
  </si>
  <si>
    <t>PER MO</t>
  </si>
  <si>
    <t>TOTAL</t>
  </si>
  <si>
    <t>INCREAASED RATE 2023</t>
  </si>
  <si>
    <t>TARIFF PREP EXPENSE ESTIMATE</t>
  </si>
  <si>
    <t>PA 5</t>
  </si>
  <si>
    <t>POSTAGE</t>
  </si>
  <si>
    <t>OFFICE LABOR</t>
  </si>
  <si>
    <t>PAYROL TAXES</t>
  </si>
  <si>
    <t>SOCIAL SECURITY</t>
  </si>
  <si>
    <t>MEDICARE</t>
  </si>
  <si>
    <t>qty</t>
  </si>
  <si>
    <t>PAPER</t>
  </si>
  <si>
    <t>ENVELOPES</t>
  </si>
  <si>
    <t>TOTAL EXPENSE ESTIMATE</t>
  </si>
  <si>
    <t>P A 8</t>
  </si>
  <si>
    <t>REFLECT DECREASE INTEREST ESTIMATE IN 2023</t>
  </si>
  <si>
    <t>2022 INTEREST PER BOOKS</t>
  </si>
  <si>
    <t>ESTIMATED 2023 INTEREST PER AMORTIZATION SCHED</t>
  </si>
  <si>
    <t>DECREASE TO PA 8</t>
  </si>
  <si>
    <t>NOTE:  REFER TO DEPRECIATION SCHEDULE IN TRANSMITTED WORKPAPER FILE</t>
  </si>
  <si>
    <t>TOTALS</t>
  </si>
  <si>
    <t>OF</t>
  </si>
  <si>
    <t>INSURANCE</t>
  </si>
  <si>
    <t>PA 12   REFLECT PROPERTY INSURANCE CHANGES</t>
  </si>
  <si>
    <t>2022 PROPERTY INSIURANCE PER BOOKS</t>
  </si>
  <si>
    <t>LIAB &amp; PROP DAMAGE</t>
  </si>
  <si>
    <t xml:space="preserve">VEHICLE </t>
  </si>
  <si>
    <t>TOTAL 2022</t>
  </si>
  <si>
    <t>2023 PER INVOICE FOR JUNE 2022 THRU MAY 2023 (RENEWAL RATE UNKNOWN)</t>
  </si>
  <si>
    <t>LIABILITY &amp;  PROP DAMAGE</t>
  </si>
  <si>
    <t>VEHICLE</t>
  </si>
  <si>
    <t>TO PA 12</t>
  </si>
  <si>
    <t>PA 12</t>
  </si>
  <si>
    <t>MONTHLY FEE FOR CLOUD ACCESSS TO ONLINE DATA  $103.42</t>
  </si>
  <si>
    <t>REVENE</t>
  </si>
  <si>
    <t>Total Residential</t>
  </si>
  <si>
    <t>ROP Residential Revenue</t>
  </si>
  <si>
    <t>Reconciliation Variance</t>
  </si>
  <si>
    <t>Average customer count</t>
  </si>
  <si>
    <t>ROP Commercial Revenue</t>
  </si>
  <si>
    <t>Total Commercial</t>
  </si>
  <si>
    <t>Total Drop Box</t>
  </si>
  <si>
    <t>ROP Drop Box Revenue</t>
  </si>
  <si>
    <t>Service</t>
  </si>
  <si>
    <t>Year in</t>
  </si>
  <si>
    <t>End</t>
  </si>
  <si>
    <t>Beg</t>
  </si>
  <si>
    <t>Non-Public Companies</t>
  </si>
  <si>
    <t>nonpubco</t>
  </si>
  <si>
    <r>
      <t xml:space="preserve">LURITO - GALLAGHER FORMULA  MODEL 2018  </t>
    </r>
    <r>
      <rPr>
        <sz val="8"/>
        <color indexed="9"/>
        <rFont val="Calibri"/>
        <family val="2"/>
      </rPr>
      <t>V5.0a</t>
    </r>
  </si>
  <si>
    <t>CALCULATION TABLES</t>
  </si>
  <si>
    <t>Revenue Senstive Taxes (RevS)</t>
  </si>
  <si>
    <t>(b) + (c)</t>
  </si>
  <si>
    <t>(d) + (e)</t>
  </si>
  <si>
    <t>Regession</t>
  </si>
  <si>
    <t>Hauler</t>
  </si>
  <si>
    <t>Revenue Req</t>
  </si>
  <si>
    <t>Revenue</t>
  </si>
  <si>
    <t xml:space="preserve">Revenue </t>
  </si>
  <si>
    <t>INPUTS - Test Year</t>
  </si>
  <si>
    <t>(a)</t>
  </si>
  <si>
    <t>(b)</t>
  </si>
  <si>
    <t>(c)</t>
  </si>
  <si>
    <t>(d)</t>
  </si>
  <si>
    <t>(e)</t>
  </si>
  <si>
    <t>(f)</t>
  </si>
  <si>
    <t>Before Tax</t>
  </si>
  <si>
    <t>Less</t>
  </si>
  <si>
    <t>Adjusted</t>
  </si>
  <si>
    <t>After Tax</t>
  </si>
  <si>
    <t>Weighted Cost</t>
  </si>
  <si>
    <t>Before RevS</t>
  </si>
  <si>
    <t xml:space="preserve"> Increase Before</t>
  </si>
  <si>
    <t>Increase After</t>
  </si>
  <si>
    <t xml:space="preserve">RevS </t>
  </si>
  <si>
    <t xml:space="preserve">Total </t>
  </si>
  <si>
    <t>Operating Revenue</t>
  </si>
  <si>
    <t>Line</t>
  </si>
  <si>
    <t>Historical</t>
  </si>
  <si>
    <t>Proforma</t>
  </si>
  <si>
    <t>Add: Revenue</t>
  </si>
  <si>
    <t>Profit Ratio</t>
  </si>
  <si>
    <t>BTROI</t>
  </si>
  <si>
    <t>WCDebt</t>
  </si>
  <si>
    <t>BTROE</t>
  </si>
  <si>
    <t>ROE</t>
  </si>
  <si>
    <t>Equity</t>
  </si>
  <si>
    <t>Equity BFT</t>
  </si>
  <si>
    <t>Debt</t>
  </si>
  <si>
    <t>BTROR</t>
  </si>
  <si>
    <t>Operating Ratio</t>
  </si>
  <si>
    <t>Taxes</t>
  </si>
  <si>
    <t>RevS Taxes</t>
  </si>
  <si>
    <t>Operating Expenses</t>
  </si>
  <si>
    <t>No.</t>
  </si>
  <si>
    <t>Change</t>
  </si>
  <si>
    <t xml:space="preserve"> Sensitive Taxes</t>
  </si>
  <si>
    <t>Requirment</t>
  </si>
  <si>
    <t>Investment</t>
  </si>
  <si>
    <t>Capital Structure - Debt %</t>
  </si>
  <si>
    <t>Capital Structure - Debt Cost</t>
  </si>
  <si>
    <t>Operating Income</t>
  </si>
  <si>
    <t>Federal Income Tax Rate</t>
  </si>
  <si>
    <t>2nd Iteration</t>
  </si>
  <si>
    <t>B&amp;O Tax Rate</t>
  </si>
  <si>
    <t>Interest Expense</t>
  </si>
  <si>
    <t>WUTC Fee</t>
  </si>
  <si>
    <t>Income Tax Expense</t>
  </si>
  <si>
    <t>City Tax</t>
  </si>
  <si>
    <t>Bad Debts</t>
  </si>
  <si>
    <t>Net Income</t>
  </si>
  <si>
    <t>3rd Iteration</t>
  </si>
  <si>
    <t>Check when input is complete</t>
  </si>
  <si>
    <t xml:space="preserve">Operating Ratio </t>
  </si>
  <si>
    <t>No</t>
  </si>
  <si>
    <t>For Intial input: Uncheck Checkbox Until Completed</t>
  </si>
  <si>
    <t>Revenue Requirement</t>
  </si>
  <si>
    <t>Historical Revenue</t>
  </si>
  <si>
    <t>Revenue Increase before taxes</t>
  </si>
  <si>
    <t>Rate Increase</t>
  </si>
  <si>
    <t>Rev Sensitive Taxes</t>
  </si>
  <si>
    <t>4th Iteration</t>
  </si>
  <si>
    <t>2018 Version Update Changes</t>
  </si>
  <si>
    <t>● Allows Income Tax Rate Changes,</t>
  </si>
  <si>
    <t>Percent Increase</t>
  </si>
  <si>
    <t>● Minimizes impact of changes in test-year revenue from</t>
  </si>
  <si>
    <t xml:space="preserve">   resulting revenue requirment,</t>
  </si>
  <si>
    <t>Captial Structure Financing Investment</t>
  </si>
  <si>
    <t>Financing Cost</t>
  </si>
  <si>
    <t>● Corrects interest rate transposition in LG.</t>
  </si>
  <si>
    <t>Type</t>
  </si>
  <si>
    <t>Percent</t>
  </si>
  <si>
    <t>Amount</t>
  </si>
  <si>
    <t>Cost of Capital</t>
  </si>
  <si>
    <t>Weighted</t>
  </si>
  <si>
    <t>5th Iteration</t>
  </si>
  <si>
    <t>Total</t>
  </si>
  <si>
    <t>Before</t>
  </si>
  <si>
    <t>After</t>
  </si>
  <si>
    <t>6th Iteration</t>
  </si>
  <si>
    <t>Operating Statistics</t>
  </si>
  <si>
    <t>Income Tax</t>
  </si>
  <si>
    <t>Return on Investment</t>
  </si>
  <si>
    <t>Return on Equity</t>
  </si>
  <si>
    <t>7th Iteration</t>
  </si>
  <si>
    <t>Profit Margin</t>
  </si>
  <si>
    <t>Final turnover</t>
  </si>
  <si>
    <t>Tax Rate</t>
  </si>
  <si>
    <t>Revenue Sensitive Taxes Charges</t>
  </si>
  <si>
    <t>Curve</t>
  </si>
  <si>
    <t>Rate</t>
  </si>
  <si>
    <t>Lookup Table</t>
  </si>
  <si>
    <t xml:space="preserve"> B &amp; O Tax</t>
  </si>
  <si>
    <t xml:space="preserve"> WUTC Fee</t>
  </si>
  <si>
    <t xml:space="preserve"> City Tax</t>
  </si>
  <si>
    <t>Percent Chg</t>
  </si>
  <si>
    <t xml:space="preserve"> Bad Debts</t>
  </si>
  <si>
    <t>Revenue Sensitive</t>
  </si>
  <si>
    <t>Curve turnover</t>
  </si>
  <si>
    <t>@EXP(5.72260-(.68367*@LN(T)))</t>
  </si>
  <si>
    <t>Conversion Factor</t>
  </si>
  <si>
    <t>Curve No. used</t>
  </si>
  <si>
    <t>@EXP(5.70827-(.68367*@LN(T)))</t>
  </si>
  <si>
    <t>@EXP(5.69850-(.68367*@LN(T)))</t>
  </si>
  <si>
    <t>@EXP(5.69220-(.68367*@LN(T)))</t>
  </si>
  <si>
    <t>Base Utility from LG Sample Study</t>
  </si>
  <si>
    <t>Regression Results</t>
  </si>
  <si>
    <t>Cost</t>
  </si>
  <si>
    <t>Y intercept (1)</t>
  </si>
  <si>
    <t>Y intercept (3)</t>
  </si>
  <si>
    <t>Y intercept (2)</t>
  </si>
  <si>
    <t>Y intercept (4)</t>
  </si>
  <si>
    <t>Pfd.</t>
  </si>
  <si>
    <t>Slope</t>
  </si>
  <si>
    <t>Pre-tax</t>
  </si>
  <si>
    <t>Disposal Fees</t>
  </si>
  <si>
    <t>COMPANY</t>
  </si>
  <si>
    <t>TEST</t>
  </si>
  <si>
    <t>685.065.91</t>
  </si>
  <si>
    <t>********************************************************************************************</t>
  </si>
  <si>
    <t>TO DETERMINE INCREASED COST OF NEW PROVIDER</t>
  </si>
  <si>
    <t>INCREASE PERCENTAGE</t>
  </si>
  <si>
    <t>INCREASED EXPENSE PROFORMA AT NEW PERCENTAGE</t>
  </si>
  <si>
    <t>REV AT NEW RATE</t>
  </si>
  <si>
    <t>EXPENSE PER GL</t>
  </si>
  <si>
    <t>PROFORMA  EXPENSE INCREASE</t>
  </si>
  <si>
    <t>9 MONTHS</t>
  </si>
  <si>
    <t>&amp; CLOUD</t>
  </si>
  <si>
    <t>*Note: $40,607 of non-regulated revenue removed from  calculation</t>
  </si>
  <si>
    <t>OF 15,72%</t>
  </si>
  <si>
    <t>PROFORMA</t>
  </si>
  <si>
    <t xml:space="preserve"> -   </t>
  </si>
  <si>
    <t>NET BOOK</t>
  </si>
  <si>
    <t>BEGINNING</t>
  </si>
  <si>
    <t>AVERGE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</si>
</sst>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-yy;@"/>
    <numFmt numFmtId="167" formatCode="&quot;$&quot;#,##0"/>
    <numFmt numFmtId="168" formatCode="0.0%"/>
    <numFmt numFmtId="169" formatCode="#,##0.0"/>
    <numFmt numFmtId="170" formatCode="0.000000%"/>
    <numFmt numFmtId="171" formatCode="0.0000%"/>
    <numFmt numFmtId="172" formatCode="#,##0.0000_);\(#,##0.0000\)"/>
    <numFmt numFmtId="173" formatCode="0.000%"/>
    <numFmt numFmtId="174" formatCode="#,##0.000_);\(#,##0.000\)"/>
    <numFmt numFmtId="175" formatCode="_(* #,##0_);_(* \(#,##0\);_(* &quot;-&quot;??_);_(@_)"/>
    <numFmt numFmtId="176" formatCode="#,##0.00000_);\(#,##0.00000\)"/>
    <numFmt numFmtId="177" formatCode="0.00000"/>
    <numFmt numFmtId="178" formatCode="0.000000"/>
    <numFmt numFmtId="179" formatCode="#,##0.00000000_);\(#,##0.00000000\)"/>
    <numFmt numFmtId="180" formatCode="0.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color rgb="FF00B050"/>
      <name val="Calibri"/>
      <family val="2"/>
      <scheme val="minor"/>
    </font>
    <font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u/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SWISS"/>
    </font>
    <font>
      <sz val="12"/>
      <color indexed="12"/>
      <name val="SWISS"/>
    </font>
    <font>
      <b/>
      <sz val="12"/>
      <name val="SWISS"/>
    </font>
    <font>
      <sz val="8"/>
      <color indexed="9"/>
      <name val="Calibri"/>
      <family val="2"/>
    </font>
    <font>
      <sz val="14"/>
      <color indexed="9"/>
      <name val="Calibri"/>
      <family val="2"/>
    </font>
    <font>
      <b/>
      <sz val="14"/>
      <name val="SWISS"/>
    </font>
    <font>
      <sz val="12"/>
      <name val="Times New Roman"/>
      <family val="1"/>
    </font>
    <font>
      <sz val="9"/>
      <color rgb="FF0070C0"/>
      <name val="SWISS"/>
    </font>
    <font>
      <b/>
      <sz val="12"/>
      <color indexed="12"/>
      <name val="Times New Roman"/>
      <family val="1"/>
    </font>
    <font>
      <sz val="12"/>
      <color indexed="39"/>
      <name val="SWISS"/>
    </font>
    <font>
      <sz val="12"/>
      <color indexed="39"/>
      <name val="Times New Roman"/>
      <family val="1"/>
    </font>
    <font>
      <b/>
      <sz val="12"/>
      <color indexed="39"/>
      <name val="Times New Roman"/>
      <family val="1"/>
    </font>
    <font>
      <sz val="12"/>
      <color indexed="10"/>
      <name val="SWISS"/>
    </font>
    <font>
      <sz val="12"/>
      <color indexed="8"/>
      <name val="SWISS"/>
    </font>
    <font>
      <sz val="9"/>
      <color indexed="39"/>
      <name val="Times New Roman"/>
      <family val="1"/>
    </font>
    <font>
      <u/>
      <sz val="12"/>
      <color indexed="12"/>
      <name val="Times New Roman"/>
      <family val="1"/>
    </font>
    <font>
      <b/>
      <u/>
      <sz val="12"/>
      <color indexed="39"/>
      <name val="Times New Roman"/>
      <family val="1"/>
    </font>
    <font>
      <sz val="12"/>
      <color indexed="18"/>
      <name val="Times New Roman"/>
      <family val="1"/>
    </font>
    <font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2"/>
      <name val="SWISS"/>
    </font>
    <font>
      <sz val="12"/>
      <color indexed="18"/>
      <name val="SWISS"/>
    </font>
    <font>
      <b/>
      <sz val="10"/>
      <name val="SWISS"/>
    </font>
    <font>
      <sz val="12"/>
      <color indexed="56"/>
      <name val="SWISS"/>
    </font>
    <font>
      <i/>
      <sz val="12"/>
      <name val="SWISS"/>
    </font>
    <font>
      <sz val="11"/>
      <name val="Times New Roman"/>
      <family val="1"/>
    </font>
    <font>
      <sz val="10"/>
      <color indexed="39"/>
      <name val="Times New Roman"/>
      <family val="1"/>
    </font>
    <font>
      <sz val="10"/>
      <color indexed="1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2" applyNumberFormat="0" applyFont="0" applyAlignment="0" applyProtection="0"/>
    <xf numFmtId="0" fontId="27" fillId="5" borderId="0" applyNumberFormat="0" applyBorder="0" applyAlignment="0" applyProtection="0"/>
    <xf numFmtId="0" fontId="28" fillId="6" borderId="0"/>
    <xf numFmtId="41" fontId="16" fillId="10" borderId="0">
      <alignment horizontal="left"/>
    </xf>
    <xf numFmtId="10" fontId="16" fillId="10" borderId="0"/>
  </cellStyleXfs>
  <cellXfs count="373">
    <xf numFmtId="0" fontId="0" fillId="0" borderId="0" xfId="0"/>
    <xf numFmtId="1" fontId="0" fillId="0" borderId="0" xfId="0" applyNumberFormat="1"/>
    <xf numFmtId="0" fontId="0" fillId="0" borderId="0" xfId="2" applyNumberFormat="1" applyFont="1" applyFill="1" applyBorder="1"/>
    <xf numFmtId="164" fontId="0" fillId="0" borderId="0" xfId="2" applyNumberFormat="1" applyFont="1" applyFill="1" applyBorder="1" applyAlignment="1">
      <alignment horizontal="right"/>
    </xf>
    <xf numFmtId="164" fontId="0" fillId="0" borderId="0" xfId="2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17" fontId="0" fillId="0" borderId="0" xfId="0" applyNumberFormat="1"/>
    <xf numFmtId="0" fontId="0" fillId="0" borderId="0" xfId="1" applyNumberFormat="1" applyFont="1" applyFill="1"/>
    <xf numFmtId="164" fontId="0" fillId="0" borderId="0" xfId="2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2" applyNumberFormat="1" applyFont="1" applyFill="1"/>
    <xf numFmtId="164" fontId="0" fillId="0" borderId="0" xfId="2" applyNumberFormat="1" applyFont="1" applyFill="1"/>
    <xf numFmtId="164" fontId="0" fillId="0" borderId="0" xfId="0" applyNumberFormat="1"/>
    <xf numFmtId="165" fontId="0" fillId="0" borderId="0" xfId="0" applyNumberFormat="1"/>
    <xf numFmtId="164" fontId="7" fillId="0" borderId="0" xfId="2" applyNumberFormat="1" applyFont="1" applyFill="1"/>
    <xf numFmtId="1" fontId="2" fillId="0" borderId="0" xfId="0" applyNumberFormat="1" applyFont="1" applyAlignment="1">
      <alignment horizontal="center"/>
    </xf>
    <xf numFmtId="164" fontId="2" fillId="0" borderId="0" xfId="2" applyNumberFormat="1" applyFont="1" applyFill="1"/>
    <xf numFmtId="164" fontId="2" fillId="0" borderId="0" xfId="0" applyNumberFormat="1" applyFont="1"/>
    <xf numFmtId="1" fontId="8" fillId="0" borderId="0" xfId="0" applyNumberFormat="1" applyFont="1" applyAlignment="1">
      <alignment horizontal="right"/>
    </xf>
    <xf numFmtId="1" fontId="8" fillId="0" borderId="0" xfId="0" applyNumberFormat="1" applyFont="1"/>
    <xf numFmtId="1" fontId="2" fillId="0" borderId="0" xfId="0" applyNumberFormat="1" applyFont="1"/>
    <xf numFmtId="17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2" applyNumberFormat="1" applyFont="1" applyFill="1" applyAlignment="1">
      <alignment horizontal="right"/>
    </xf>
    <xf numFmtId="3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0" fontId="8" fillId="0" borderId="0" xfId="0" applyFont="1" applyAlignment="1">
      <alignment horizontal="center"/>
    </xf>
    <xf numFmtId="3" fontId="2" fillId="0" borderId="0" xfId="0" applyNumberFormat="1" applyFont="1"/>
    <xf numFmtId="166" fontId="0" fillId="0" borderId="0" xfId="0" applyNumberFormat="1"/>
    <xf numFmtId="0" fontId="8" fillId="0" borderId="0" xfId="0" applyFont="1"/>
    <xf numFmtId="165" fontId="2" fillId="0" borderId="0" xfId="0" applyNumberFormat="1" applyFont="1"/>
    <xf numFmtId="17" fontId="2" fillId="0" borderId="0" xfId="0" applyNumberFormat="1" applyFont="1"/>
    <xf numFmtId="164" fontId="9" fillId="0" borderId="0" xfId="2" applyNumberFormat="1" applyFont="1" applyFill="1"/>
    <xf numFmtId="3" fontId="0" fillId="0" borderId="0" xfId="2" applyNumberFormat="1" applyFont="1" applyFill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2" fillId="0" borderId="0" xfId="2" applyNumberFormat="1" applyFont="1" applyFill="1" applyAlignment="1">
      <alignment vertical="center"/>
    </xf>
    <xf numFmtId="5" fontId="0" fillId="0" borderId="0" xfId="2" applyNumberFormat="1" applyFont="1" applyFill="1"/>
    <xf numFmtId="3" fontId="0" fillId="0" borderId="0" xfId="2" applyNumberFormat="1" applyFont="1" applyFill="1"/>
    <xf numFmtId="1" fontId="7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7" fontId="0" fillId="0" borderId="0" xfId="2" applyNumberFormat="1" applyFont="1" applyFill="1"/>
    <xf numFmtId="167" fontId="0" fillId="0" borderId="0" xfId="2" applyNumberFormat="1" applyFont="1" applyFill="1" applyAlignment="1">
      <alignment horizontal="right"/>
    </xf>
    <xf numFmtId="3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5" fontId="2" fillId="0" borderId="0" xfId="0" applyNumberFormat="1" applyFont="1"/>
    <xf numFmtId="167" fontId="2" fillId="0" borderId="0" xfId="2" applyNumberFormat="1" applyFont="1" applyFill="1"/>
    <xf numFmtId="0" fontId="0" fillId="0" borderId="0" xfId="1" applyNumberFormat="1" applyFont="1" applyFill="1" applyBorder="1"/>
    <xf numFmtId="167" fontId="0" fillId="0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/>
    <xf numFmtId="4" fontId="12" fillId="0" borderId="0" xfId="0" applyNumberFormat="1" applyFont="1"/>
    <xf numFmtId="4" fontId="13" fillId="0" borderId="0" xfId="0" applyNumberFormat="1" applyFont="1"/>
    <xf numFmtId="4" fontId="14" fillId="0" borderId="0" xfId="0" applyNumberFormat="1" applyFont="1"/>
    <xf numFmtId="10" fontId="15" fillId="0" borderId="0" xfId="3" applyNumberFormat="1" applyFont="1"/>
    <xf numFmtId="4" fontId="16" fillId="0" borderId="0" xfId="0" applyNumberFormat="1" applyFont="1"/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/>
    <xf numFmtId="4" fontId="15" fillId="0" borderId="0" xfId="0" applyNumberFormat="1" applyFont="1"/>
    <xf numFmtId="4" fontId="17" fillId="0" borderId="0" xfId="0" applyNumberFormat="1" applyFont="1"/>
    <xf numFmtId="4" fontId="1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168" fontId="12" fillId="0" borderId="0" xfId="3" applyNumberFormat="1" applyFont="1"/>
    <xf numFmtId="4" fontId="18" fillId="0" borderId="0" xfId="0" applyNumberFormat="1" applyFont="1"/>
    <xf numFmtId="169" fontId="12" fillId="0" borderId="0" xfId="0" applyNumberFormat="1" applyFont="1"/>
    <xf numFmtId="164" fontId="12" fillId="0" borderId="0" xfId="2" applyNumberFormat="1" applyFont="1"/>
    <xf numFmtId="164" fontId="15" fillId="0" borderId="0" xfId="2" applyNumberFormat="1" applyFont="1"/>
    <xf numFmtId="44" fontId="12" fillId="0" borderId="0" xfId="2" applyFont="1"/>
    <xf numFmtId="164" fontId="12" fillId="0" borderId="1" xfId="2" applyNumberFormat="1" applyFont="1" applyBorder="1"/>
    <xf numFmtId="4" fontId="13" fillId="0" borderId="0" xfId="0" applyNumberFormat="1" applyFont="1" applyAlignment="1">
      <alignment horizontal="left" indent="1"/>
    </xf>
    <xf numFmtId="164" fontId="13" fillId="0" borderId="0" xfId="2" applyNumberFormat="1" applyFont="1"/>
    <xf numFmtId="4" fontId="13" fillId="0" borderId="0" xfId="0" applyNumberFormat="1" applyFont="1" applyAlignment="1">
      <alignment horizontal="left"/>
    </xf>
    <xf numFmtId="164" fontId="15" fillId="0" borderId="0" xfId="2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4" fontId="13" fillId="0" borderId="0" xfId="2" applyFont="1"/>
    <xf numFmtId="4" fontId="12" fillId="2" borderId="2" xfId="4" applyNumberFormat="1" applyFont="1"/>
    <xf numFmtId="43" fontId="12" fillId="0" borderId="0" xfId="0" applyNumberFormat="1" applyFont="1"/>
    <xf numFmtId="43" fontId="12" fillId="0" borderId="0" xfId="2" applyNumberFormat="1" applyFont="1"/>
    <xf numFmtId="43" fontId="12" fillId="0" borderId="0" xfId="2" applyNumberFormat="1" applyFont="1" applyFill="1"/>
    <xf numFmtId="43" fontId="12" fillId="0" borderId="0" xfId="2" applyNumberFormat="1" applyFont="1" applyBorder="1"/>
    <xf numFmtId="43" fontId="13" fillId="0" borderId="0" xfId="2" applyNumberFormat="1" applyFont="1"/>
    <xf numFmtId="4" fontId="2" fillId="0" borderId="0" xfId="0" applyNumberFormat="1" applyFont="1"/>
    <xf numFmtId="170" fontId="13" fillId="0" borderId="0" xfId="0" applyNumberFormat="1" applyFont="1"/>
    <xf numFmtId="44" fontId="0" fillId="0" borderId="0" xfId="0" applyNumberFormat="1"/>
    <xf numFmtId="42" fontId="0" fillId="0" borderId="0" xfId="0" applyNumberFormat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2" fillId="0" borderId="0" xfId="0" applyNumberFormat="1" applyFont="1" applyAlignment="1">
      <alignment horizontal="center"/>
    </xf>
    <xf numFmtId="167" fontId="0" fillId="0" borderId="0" xfId="0" applyNumberFormat="1"/>
    <xf numFmtId="0" fontId="22" fillId="0" borderId="0" xfId="0" applyFont="1"/>
    <xf numFmtId="14" fontId="0" fillId="0" borderId="0" xfId="0" applyNumberFormat="1"/>
    <xf numFmtId="44" fontId="2" fillId="0" borderId="0" xfId="0" applyNumberFormat="1" applyFont="1"/>
    <xf numFmtId="44" fontId="23" fillId="0" borderId="0" xfId="0" applyNumberFormat="1" applyFont="1"/>
    <xf numFmtId="0" fontId="2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/>
    <xf numFmtId="0" fontId="26" fillId="0" borderId="0" xfId="0" applyFont="1"/>
    <xf numFmtId="44" fontId="2" fillId="0" borderId="0" xfId="0" applyNumberFormat="1" applyFont="1" applyAlignment="1">
      <alignment horizontal="center"/>
    </xf>
    <xf numFmtId="42" fontId="2" fillId="0" borderId="0" xfId="0" applyNumberFormat="1" applyFont="1"/>
    <xf numFmtId="44" fontId="20" fillId="0" borderId="0" xfId="0" applyNumberFormat="1" applyFont="1"/>
    <xf numFmtId="171" fontId="20" fillId="0" borderId="0" xfId="0" applyNumberFormat="1" applyFont="1"/>
    <xf numFmtId="44" fontId="12" fillId="0" borderId="0" xfId="2" applyFont="1" applyFill="1"/>
    <xf numFmtId="44" fontId="12" fillId="0" borderId="0" xfId="0" applyNumberFormat="1" applyFont="1"/>
    <xf numFmtId="164" fontId="12" fillId="0" borderId="0" xfId="2" applyNumberFormat="1" applyFont="1" applyFill="1"/>
    <xf numFmtId="44" fontId="19" fillId="0" borderId="0" xfId="0" applyNumberFormat="1" applyFont="1"/>
    <xf numFmtId="164" fontId="0" fillId="0" borderId="0" xfId="2" applyNumberFormat="1" applyFont="1"/>
    <xf numFmtId="164" fontId="2" fillId="0" borderId="0" xfId="2" applyNumberFormat="1" applyFont="1"/>
    <xf numFmtId="0" fontId="0" fillId="0" borderId="0" xfId="2" applyNumberFormat="1" applyFont="1"/>
    <xf numFmtId="0" fontId="2" fillId="0" borderId="0" xfId="2" applyNumberFormat="1" applyFont="1"/>
    <xf numFmtId="4" fontId="13" fillId="3" borderId="0" xfId="0" applyNumberFormat="1" applyFont="1" applyFill="1" applyAlignment="1">
      <alignment horizontal="center"/>
    </xf>
    <xf numFmtId="164" fontId="12" fillId="0" borderId="0" xfId="2" applyNumberFormat="1" applyFont="1" applyBorder="1"/>
    <xf numFmtId="164" fontId="12" fillId="0" borderId="0" xfId="0" applyNumberFormat="1" applyFont="1"/>
    <xf numFmtId="10" fontId="2" fillId="0" borderId="0" xfId="3" applyNumberFormat="1" applyFont="1"/>
    <xf numFmtId="169" fontId="0" fillId="0" borderId="0" xfId="0" applyNumberFormat="1"/>
    <xf numFmtId="169" fontId="12" fillId="0" borderId="1" xfId="0" applyNumberFormat="1" applyFont="1" applyBorder="1"/>
    <xf numFmtId="43" fontId="12" fillId="0" borderId="1" xfId="2" applyNumberFormat="1" applyFont="1" applyFill="1" applyBorder="1"/>
    <xf numFmtId="44" fontId="12" fillId="4" borderId="0" xfId="2" applyFont="1" applyFill="1"/>
    <xf numFmtId="10" fontId="13" fillId="0" borderId="0" xfId="0" applyNumberFormat="1" applyFont="1"/>
    <xf numFmtId="0" fontId="0" fillId="4" borderId="0" xfId="0" applyFill="1"/>
    <xf numFmtId="0" fontId="2" fillId="4" borderId="0" xfId="0" applyFont="1" applyFill="1" applyAlignment="1">
      <alignment horizontal="center"/>
    </xf>
    <xf numFmtId="164" fontId="0" fillId="4" borderId="0" xfId="2" applyNumberFormat="1" applyFont="1" applyFill="1"/>
    <xf numFmtId="0" fontId="0" fillId="4" borderId="0" xfId="2" applyNumberFormat="1" applyFont="1" applyFill="1"/>
    <xf numFmtId="164" fontId="0" fillId="4" borderId="0" xfId="2" applyNumberFormat="1" applyFont="1" applyFill="1" applyBorder="1"/>
    <xf numFmtId="164" fontId="1" fillId="0" borderId="0" xfId="2" applyNumberFormat="1" applyFont="1" applyFill="1"/>
    <xf numFmtId="5" fontId="1" fillId="0" borderId="0" xfId="2" applyNumberFormat="1" applyFont="1" applyFill="1"/>
    <xf numFmtId="164" fontId="0" fillId="4" borderId="0" xfId="0" applyNumberFormat="1" applyFill="1"/>
    <xf numFmtId="1" fontId="2" fillId="4" borderId="0" xfId="0" applyNumberFormat="1" applyFont="1" applyFill="1" applyAlignment="1">
      <alignment horizontal="center"/>
    </xf>
    <xf numFmtId="1" fontId="2" fillId="4" borderId="0" xfId="0" applyNumberFormat="1" applyFont="1" applyFill="1"/>
    <xf numFmtId="3" fontId="0" fillId="4" borderId="0" xfId="0" applyNumberFormat="1" applyFill="1"/>
    <xf numFmtId="164" fontId="0" fillId="0" borderId="1" xfId="2" applyNumberFormat="1" applyFont="1" applyFill="1" applyBorder="1" applyAlignment="1">
      <alignment horizontal="right"/>
    </xf>
    <xf numFmtId="1" fontId="0" fillId="0" borderId="1" xfId="0" applyNumberFormat="1" applyBorder="1"/>
    <xf numFmtId="0" fontId="0" fillId="0" borderId="1" xfId="2" applyNumberFormat="1" applyFont="1" applyFill="1" applyBorder="1"/>
    <xf numFmtId="164" fontId="0" fillId="0" borderId="1" xfId="2" applyNumberFormat="1" applyFont="1" applyFill="1" applyBorder="1"/>
    <xf numFmtId="3" fontId="0" fillId="0" borderId="1" xfId="0" applyNumberFormat="1" applyBorder="1"/>
    <xf numFmtId="164" fontId="0" fillId="0" borderId="1" xfId="0" applyNumberFormat="1" applyBorder="1"/>
    <xf numFmtId="164" fontId="0" fillId="4" borderId="1" xfId="0" applyNumberFormat="1" applyFill="1" applyBorder="1"/>
    <xf numFmtId="3" fontId="0" fillId="4" borderId="1" xfId="0" applyNumberFormat="1" applyFill="1" applyBorder="1"/>
    <xf numFmtId="0" fontId="0" fillId="4" borderId="1" xfId="0" applyFill="1" applyBorder="1"/>
    <xf numFmtId="1" fontId="0" fillId="4" borderId="0" xfId="0" applyNumberFormat="1" applyFill="1"/>
    <xf numFmtId="0" fontId="2" fillId="4" borderId="0" xfId="0" applyFont="1" applyFill="1"/>
    <xf numFmtId="0" fontId="28" fillId="7" borderId="0" xfId="6" applyFill="1"/>
    <xf numFmtId="0" fontId="29" fillId="7" borderId="0" xfId="6" applyFont="1" applyFill="1"/>
    <xf numFmtId="0" fontId="29" fillId="7" borderId="3" xfId="6" applyFont="1" applyFill="1" applyBorder="1"/>
    <xf numFmtId="0" fontId="29" fillId="0" borderId="4" xfId="6" applyFont="1" applyFill="1" applyBorder="1"/>
    <xf numFmtId="0" fontId="29" fillId="0" borderId="0" xfId="6" applyFont="1" applyFill="1" applyAlignment="1">
      <alignment horizontal="center"/>
    </xf>
    <xf numFmtId="0" fontId="29" fillId="0" borderId="0" xfId="6" applyFont="1" applyFill="1"/>
    <xf numFmtId="0" fontId="31" fillId="5" borderId="5" xfId="5" applyNumberFormat="1" applyFont="1" applyBorder="1" applyAlignment="1">
      <alignment horizontal="centerContinuous"/>
    </xf>
    <xf numFmtId="0" fontId="32" fillId="5" borderId="6" xfId="5" applyNumberFormat="1" applyFont="1" applyBorder="1" applyAlignment="1">
      <alignment horizontal="centerContinuous"/>
    </xf>
    <xf numFmtId="0" fontId="32" fillId="5" borderId="6" xfId="5" applyNumberFormat="1" applyFont="1" applyBorder="1" applyAlignment="1">
      <alignment horizontal="left"/>
    </xf>
    <xf numFmtId="0" fontId="28" fillId="6" borderId="0" xfId="6"/>
    <xf numFmtId="0" fontId="28" fillId="6" borderId="4" xfId="6" applyBorder="1"/>
    <xf numFmtId="0" fontId="33" fillId="6" borderId="7" xfId="6" applyFont="1" applyBorder="1" applyAlignment="1">
      <alignment horizontal="centerContinuous"/>
    </xf>
    <xf numFmtId="0" fontId="33" fillId="6" borderId="8" xfId="6" applyFont="1" applyBorder="1" applyAlignment="1">
      <alignment horizontal="centerContinuous"/>
    </xf>
    <xf numFmtId="0" fontId="28" fillId="6" borderId="8" xfId="6" applyBorder="1" applyAlignment="1">
      <alignment horizontal="centerContinuous"/>
    </xf>
    <xf numFmtId="0" fontId="34" fillId="6" borderId="10" xfId="6" applyFont="1" applyBorder="1"/>
    <xf numFmtId="0" fontId="34" fillId="6" borderId="0" xfId="6" applyFont="1"/>
    <xf numFmtId="0" fontId="35" fillId="6" borderId="0" xfId="6" applyFont="1" applyAlignment="1">
      <alignment horizontal="center"/>
    </xf>
    <xf numFmtId="0" fontId="28" fillId="6" borderId="0" xfId="6" applyAlignment="1">
      <alignment horizontal="center"/>
    </xf>
    <xf numFmtId="0" fontId="32" fillId="5" borderId="11" xfId="5" applyNumberFormat="1" applyFont="1" applyBorder="1" applyAlignment="1">
      <alignment horizontal="left"/>
    </xf>
    <xf numFmtId="0" fontId="32" fillId="5" borderId="7" xfId="5" applyNumberFormat="1" applyFont="1" applyBorder="1" applyAlignment="1">
      <alignment horizontal="left"/>
    </xf>
    <xf numFmtId="0" fontId="28" fillId="8" borderId="0" xfId="6" applyFill="1"/>
    <xf numFmtId="0" fontId="34" fillId="6" borderId="4" xfId="6" applyFont="1" applyBorder="1"/>
    <xf numFmtId="0" fontId="36" fillId="9" borderId="0" xfId="6" applyFont="1" applyFill="1" applyAlignment="1">
      <alignment horizontal="center"/>
    </xf>
    <xf numFmtId="0" fontId="37" fillId="7" borderId="0" xfId="6" applyFont="1" applyFill="1"/>
    <xf numFmtId="0" fontId="38" fillId="6" borderId="12" xfId="6" applyFont="1" applyBorder="1" applyAlignment="1">
      <alignment horizontal="right"/>
    </xf>
    <xf numFmtId="41" fontId="34" fillId="0" borderId="13" xfId="7" applyFont="1" applyFill="1" applyBorder="1">
      <alignment horizontal="left"/>
    </xf>
    <xf numFmtId="0" fontId="38" fillId="6" borderId="4" xfId="6" applyFont="1" applyBorder="1"/>
    <xf numFmtId="0" fontId="38" fillId="6" borderId="0" xfId="6" applyFont="1"/>
    <xf numFmtId="0" fontId="39" fillId="9" borderId="0" xfId="6" applyFont="1" applyFill="1" applyAlignment="1">
      <alignment horizontal="center"/>
    </xf>
    <xf numFmtId="41" fontId="28" fillId="7" borderId="0" xfId="6" applyNumberFormat="1" applyFill="1"/>
    <xf numFmtId="0" fontId="16" fillId="6" borderId="0" xfId="6" applyFont="1"/>
    <xf numFmtId="41" fontId="34" fillId="0" borderId="8" xfId="7" applyFont="1" applyFill="1" applyBorder="1">
      <alignment horizontal="left"/>
    </xf>
    <xf numFmtId="0" fontId="38" fillId="6" borderId="14" xfId="6" applyFont="1" applyBorder="1"/>
    <xf numFmtId="0" fontId="36" fillId="9" borderId="1" xfId="6" applyFont="1" applyFill="1" applyBorder="1"/>
    <xf numFmtId="0" fontId="39" fillId="9" borderId="1" xfId="6" applyFont="1" applyFill="1" applyBorder="1" applyAlignment="1">
      <alignment horizontal="center"/>
    </xf>
    <xf numFmtId="0" fontId="39" fillId="9" borderId="1" xfId="6" applyFont="1" applyFill="1" applyBorder="1"/>
    <xf numFmtId="0" fontId="28" fillId="6" borderId="15" xfId="6" applyBorder="1" applyAlignment="1">
      <alignment horizontal="center"/>
    </xf>
    <xf numFmtId="2" fontId="28" fillId="6" borderId="15" xfId="6" applyNumberFormat="1" applyBorder="1" applyAlignment="1">
      <alignment horizontal="center"/>
    </xf>
    <xf numFmtId="172" fontId="28" fillId="6" borderId="16" xfId="6" applyNumberFormat="1" applyBorder="1"/>
    <xf numFmtId="10" fontId="40" fillId="6" borderId="16" xfId="6" applyNumberFormat="1" applyFont="1" applyBorder="1"/>
    <xf numFmtId="41" fontId="28" fillId="6" borderId="17" xfId="6" applyNumberFormat="1" applyBorder="1"/>
    <xf numFmtId="41" fontId="28" fillId="6" borderId="15" xfId="6" applyNumberFormat="1" applyBorder="1"/>
    <xf numFmtId="41" fontId="28" fillId="6" borderId="16" xfId="6" applyNumberFormat="1" applyBorder="1"/>
    <xf numFmtId="0" fontId="38" fillId="6" borderId="18" xfId="6" applyFont="1" applyBorder="1" applyAlignment="1">
      <alignment horizontal="center"/>
    </xf>
    <xf numFmtId="0" fontId="38" fillId="6" borderId="0" xfId="6" applyFont="1" applyAlignment="1">
      <alignment horizontal="right"/>
    </xf>
    <xf numFmtId="41" fontId="38" fillId="6" borderId="0" xfId="6" applyNumberFormat="1" applyFont="1"/>
    <xf numFmtId="0" fontId="41" fillId="6" borderId="4" xfId="6" applyFont="1" applyBorder="1" applyAlignment="1">
      <alignment horizontal="center"/>
    </xf>
    <xf numFmtId="2" fontId="28" fillId="6" borderId="4" xfId="6" applyNumberFormat="1" applyBorder="1" applyAlignment="1">
      <alignment horizontal="center"/>
    </xf>
    <xf numFmtId="172" fontId="28" fillId="6" borderId="0" xfId="6" applyNumberFormat="1"/>
    <xf numFmtId="10" fontId="40" fillId="6" borderId="0" xfId="6" applyNumberFormat="1" applyFont="1"/>
    <xf numFmtId="41" fontId="28" fillId="6" borderId="19" xfId="6" applyNumberFormat="1" applyBorder="1"/>
    <xf numFmtId="41" fontId="28" fillId="6" borderId="4" xfId="6" applyNumberFormat="1" applyBorder="1"/>
    <xf numFmtId="41" fontId="28" fillId="6" borderId="0" xfId="6" applyNumberFormat="1"/>
    <xf numFmtId="10" fontId="34" fillId="0" borderId="8" xfId="8" applyFont="1" applyFill="1" applyBorder="1"/>
    <xf numFmtId="0" fontId="38" fillId="6" borderId="12" xfId="6" applyFont="1" applyBorder="1" applyAlignment="1">
      <alignment horizontal="center"/>
    </xf>
    <xf numFmtId="0" fontId="28" fillId="6" borderId="4" xfId="6" applyBorder="1" applyAlignment="1">
      <alignment horizontal="center"/>
    </xf>
    <xf numFmtId="41" fontId="38" fillId="6" borderId="20" xfId="6" applyNumberFormat="1" applyFont="1" applyBorder="1"/>
    <xf numFmtId="5" fontId="38" fillId="6" borderId="20" xfId="6" applyNumberFormat="1" applyFont="1" applyBorder="1"/>
    <xf numFmtId="0" fontId="28" fillId="6" borderId="14" xfId="6" applyBorder="1" applyAlignment="1">
      <alignment horizontal="center"/>
    </xf>
    <xf numFmtId="0" fontId="39" fillId="6" borderId="12" xfId="6" applyFont="1" applyBorder="1" applyAlignment="1">
      <alignment horizontal="right"/>
    </xf>
    <xf numFmtId="173" fontId="34" fillId="0" borderId="8" xfId="8" applyNumberFormat="1" applyFont="1" applyFill="1" applyBorder="1"/>
    <xf numFmtId="172" fontId="41" fillId="6" borderId="0" xfId="6" applyNumberFormat="1" applyFont="1"/>
    <xf numFmtId="0" fontId="38" fillId="6" borderId="21" xfId="6" applyFont="1" applyBorder="1" applyAlignment="1">
      <alignment horizontal="right"/>
    </xf>
    <xf numFmtId="41" fontId="38" fillId="6" borderId="22" xfId="6" applyNumberFormat="1" applyFont="1" applyBorder="1"/>
    <xf numFmtId="172" fontId="28" fillId="6" borderId="1" xfId="6" applyNumberFormat="1" applyBorder="1"/>
    <xf numFmtId="41" fontId="34" fillId="6" borderId="0" xfId="6" applyNumberFormat="1" applyFont="1"/>
    <xf numFmtId="0" fontId="38" fillId="6" borderId="23" xfId="6" applyFont="1" applyBorder="1" applyAlignment="1">
      <alignment horizontal="right"/>
    </xf>
    <xf numFmtId="10" fontId="38" fillId="6" borderId="0" xfId="6" applyNumberFormat="1" applyFont="1" applyAlignment="1">
      <alignment horizontal="right"/>
    </xf>
    <xf numFmtId="41" fontId="34" fillId="10" borderId="0" xfId="7" applyFont="1" applyAlignment="1">
      <alignment horizontal="right"/>
    </xf>
    <xf numFmtId="0" fontId="28" fillId="6" borderId="0" xfId="6" applyAlignment="1">
      <alignment horizontal="right"/>
    </xf>
    <xf numFmtId="0" fontId="36" fillId="9" borderId="15" xfId="6" applyFont="1" applyFill="1" applyBorder="1" applyAlignment="1">
      <alignment horizontal="left"/>
    </xf>
    <xf numFmtId="0" fontId="28" fillId="6" borderId="16" xfId="6" applyBorder="1"/>
    <xf numFmtId="0" fontId="28" fillId="6" borderId="17" xfId="6" applyBorder="1"/>
    <xf numFmtId="0" fontId="42" fillId="6" borderId="0" xfId="6" applyFont="1" applyAlignment="1">
      <alignment horizontal="left"/>
    </xf>
    <xf numFmtId="41" fontId="38" fillId="6" borderId="19" xfId="6" applyNumberFormat="1" applyFont="1" applyBorder="1"/>
    <xf numFmtId="0" fontId="30" fillId="7" borderId="0" xfId="6" applyFont="1" applyFill="1"/>
    <xf numFmtId="0" fontId="39" fillId="6" borderId="0" xfId="6" applyFont="1" applyAlignment="1">
      <alignment horizontal="right"/>
    </xf>
    <xf numFmtId="41" fontId="39" fillId="6" borderId="24" xfId="6" applyNumberFormat="1" applyFont="1" applyBorder="1"/>
    <xf numFmtId="41" fontId="39" fillId="6" borderId="25" xfId="6" applyNumberFormat="1" applyFont="1" applyBorder="1"/>
    <xf numFmtId="0" fontId="28" fillId="6" borderId="14" xfId="6" applyBorder="1"/>
    <xf numFmtId="0" fontId="28" fillId="6" borderId="1" xfId="6" applyBorder="1"/>
    <xf numFmtId="0" fontId="38" fillId="6" borderId="1" xfId="6" applyFont="1" applyBorder="1" applyAlignment="1">
      <alignment horizontal="right" vertical="center"/>
    </xf>
    <xf numFmtId="10" fontId="39" fillId="6" borderId="1" xfId="6" applyNumberFormat="1" applyFont="1" applyBorder="1" applyAlignment="1">
      <alignment horizontal="center" vertical="center"/>
    </xf>
    <xf numFmtId="0" fontId="28" fillId="6" borderId="13" xfId="6" applyBorder="1"/>
    <xf numFmtId="0" fontId="36" fillId="9" borderId="0" xfId="6" applyFont="1" applyFill="1" applyAlignment="1">
      <alignment horizontal="right"/>
    </xf>
    <xf numFmtId="0" fontId="36" fillId="10" borderId="0" xfId="6" applyFont="1" applyFill="1" applyAlignment="1">
      <alignment horizontal="centerContinuous"/>
    </xf>
    <xf numFmtId="0" fontId="43" fillId="6" borderId="0" xfId="6" applyFont="1" applyAlignment="1">
      <alignment horizontal="right"/>
    </xf>
    <xf numFmtId="41" fontId="43" fillId="6" borderId="0" xfId="6" applyNumberFormat="1" applyFont="1" applyAlignment="1">
      <alignment horizontal="center"/>
    </xf>
    <xf numFmtId="0" fontId="43" fillId="6" borderId="0" xfId="6" applyFont="1" applyAlignment="1">
      <alignment horizontal="center"/>
    </xf>
    <xf numFmtId="37" fontId="28" fillId="6" borderId="0" xfId="6" applyNumberFormat="1"/>
    <xf numFmtId="39" fontId="28" fillId="6" borderId="0" xfId="6" applyNumberFormat="1"/>
    <xf numFmtId="10" fontId="38" fillId="6" borderId="0" xfId="6" applyNumberFormat="1" applyFont="1" applyAlignment="1">
      <alignment horizontal="center"/>
    </xf>
    <xf numFmtId="41" fontId="38" fillId="6" borderId="0" xfId="6" applyNumberFormat="1" applyFont="1" applyProtection="1">
      <protection locked="0"/>
    </xf>
    <xf numFmtId="41" fontId="38" fillId="6" borderId="1" xfId="6" applyNumberFormat="1" applyFont="1" applyBorder="1" applyProtection="1">
      <protection locked="0"/>
    </xf>
    <xf numFmtId="9" fontId="38" fillId="6" borderId="0" xfId="6" applyNumberFormat="1" applyFont="1" applyAlignment="1">
      <alignment horizontal="center"/>
    </xf>
    <xf numFmtId="41" fontId="38" fillId="6" borderId="26" xfId="6" applyNumberFormat="1" applyFont="1" applyBorder="1"/>
    <xf numFmtId="0" fontId="34" fillId="6" borderId="0" xfId="6" applyFont="1" applyAlignment="1">
      <alignment horizontal="right"/>
    </xf>
    <xf numFmtId="10" fontId="38" fillId="6" borderId="26" xfId="6" applyNumberFormat="1" applyFont="1" applyBorder="1" applyAlignment="1">
      <alignment horizontal="center"/>
    </xf>
    <xf numFmtId="0" fontId="39" fillId="6" borderId="0" xfId="6" applyFont="1" applyAlignment="1">
      <alignment horizontal="center"/>
    </xf>
    <xf numFmtId="0" fontId="44" fillId="6" borderId="0" xfId="6" applyFont="1"/>
    <xf numFmtId="0" fontId="39" fillId="6" borderId="0" xfId="6" applyFont="1"/>
    <xf numFmtId="0" fontId="44" fillId="6" borderId="0" xfId="6" applyFont="1" applyAlignment="1">
      <alignment horizontal="right"/>
    </xf>
    <xf numFmtId="10" fontId="38" fillId="6" borderId="0" xfId="6" applyNumberFormat="1" applyFont="1"/>
    <xf numFmtId="10" fontId="28" fillId="7" borderId="0" xfId="6" applyNumberFormat="1" applyFill="1"/>
    <xf numFmtId="0" fontId="38" fillId="6" borderId="0" xfId="6" quotePrefix="1" applyFont="1" applyAlignment="1">
      <alignment horizontal="left"/>
    </xf>
    <xf numFmtId="174" fontId="28" fillId="6" borderId="0" xfId="6" applyNumberFormat="1"/>
    <xf numFmtId="0" fontId="45" fillId="6" borderId="0" xfId="6" applyFont="1"/>
    <xf numFmtId="39" fontId="38" fillId="6" borderId="0" xfId="6" applyNumberFormat="1" applyFont="1"/>
    <xf numFmtId="0" fontId="28" fillId="6" borderId="12" xfId="6" applyBorder="1"/>
    <xf numFmtId="0" fontId="46" fillId="6" borderId="0" xfId="6" applyFont="1"/>
    <xf numFmtId="0" fontId="28" fillId="6" borderId="15" xfId="6" applyBorder="1" applyAlignment="1">
      <alignment horizontal="centerContinuous"/>
    </xf>
    <xf numFmtId="0" fontId="28" fillId="6" borderId="17" xfId="6" applyBorder="1" applyAlignment="1">
      <alignment horizontal="centerContinuous"/>
    </xf>
    <xf numFmtId="10" fontId="16" fillId="10" borderId="0" xfId="8"/>
    <xf numFmtId="0" fontId="39" fillId="6" borderId="1" xfId="6" applyFont="1" applyBorder="1" applyAlignment="1">
      <alignment horizontal="right"/>
    </xf>
    <xf numFmtId="0" fontId="39" fillId="6" borderId="1" xfId="6" applyFont="1" applyBorder="1" applyAlignment="1">
      <alignment horizontal="center"/>
    </xf>
    <xf numFmtId="0" fontId="28" fillId="6" borderId="4" xfId="6" applyBorder="1" applyAlignment="1">
      <alignment horizontal="centerContinuous"/>
    </xf>
    <xf numFmtId="0" fontId="28" fillId="6" borderId="19" xfId="6" applyBorder="1" applyAlignment="1">
      <alignment horizontal="centerContinuous"/>
    </xf>
    <xf numFmtId="0" fontId="28" fillId="6" borderId="19" xfId="6" applyBorder="1"/>
    <xf numFmtId="0" fontId="47" fillId="6" borderId="0" xfId="6" applyFont="1"/>
    <xf numFmtId="173" fontId="38" fillId="6" borderId="0" xfId="6" applyNumberFormat="1" applyFont="1"/>
    <xf numFmtId="175" fontId="38" fillId="6" borderId="0" xfId="6" applyNumberFormat="1" applyFont="1" applyProtection="1">
      <protection locked="0"/>
    </xf>
    <xf numFmtId="0" fontId="28" fillId="6" borderId="19" xfId="6" applyBorder="1" applyAlignment="1">
      <alignment horizontal="center"/>
    </xf>
    <xf numFmtId="0" fontId="28" fillId="6" borderId="0" xfId="6" quotePrefix="1" applyAlignment="1">
      <alignment horizontal="right"/>
    </xf>
    <xf numFmtId="10" fontId="28" fillId="6" borderId="19" xfId="6" applyNumberFormat="1" applyBorder="1"/>
    <xf numFmtId="10" fontId="28" fillId="6" borderId="0" xfId="6" applyNumberFormat="1" applyAlignment="1">
      <alignment horizontal="center"/>
    </xf>
    <xf numFmtId="10" fontId="28" fillId="6" borderId="19" xfId="6" applyNumberFormat="1" applyBorder="1" applyAlignment="1">
      <alignment horizontal="right"/>
    </xf>
    <xf numFmtId="0" fontId="28" fillId="6" borderId="13" xfId="6" applyBorder="1" applyAlignment="1">
      <alignment horizontal="center"/>
    </xf>
    <xf numFmtId="173" fontId="38" fillId="6" borderId="26" xfId="6" applyNumberFormat="1" applyFont="1" applyBorder="1"/>
    <xf numFmtId="39" fontId="28" fillId="6" borderId="15" xfId="6" applyNumberFormat="1" applyBorder="1" applyAlignment="1">
      <alignment horizontal="center"/>
    </xf>
    <xf numFmtId="0" fontId="28" fillId="6" borderId="16" xfId="6" quotePrefix="1" applyBorder="1" applyAlignment="1">
      <alignment horizontal="left"/>
    </xf>
    <xf numFmtId="0" fontId="28" fillId="6" borderId="0" xfId="6" quotePrefix="1" applyAlignment="1">
      <alignment horizontal="left"/>
    </xf>
    <xf numFmtId="0" fontId="48" fillId="7" borderId="0" xfId="6" applyFont="1" applyFill="1"/>
    <xf numFmtId="2" fontId="48" fillId="7" borderId="0" xfId="6" applyNumberFormat="1" applyFont="1" applyFill="1"/>
    <xf numFmtId="10" fontId="28" fillId="6" borderId="14" xfId="6" applyNumberFormat="1" applyBorder="1" applyAlignment="1">
      <alignment horizontal="center"/>
    </xf>
    <xf numFmtId="0" fontId="49" fillId="6" borderId="13" xfId="6" applyFont="1" applyBorder="1"/>
    <xf numFmtId="0" fontId="49" fillId="7" borderId="0" xfId="6" applyFont="1" applyFill="1"/>
    <xf numFmtId="176" fontId="28" fillId="6" borderId="0" xfId="6" applyNumberFormat="1"/>
    <xf numFmtId="0" fontId="30" fillId="6" borderId="0" xfId="6" applyFont="1" applyAlignment="1">
      <alignment horizontal="centerContinuous"/>
    </xf>
    <xf numFmtId="0" fontId="28" fillId="6" borderId="0" xfId="6" applyAlignment="1">
      <alignment horizontal="centerContinuous"/>
    </xf>
    <xf numFmtId="0" fontId="28" fillId="7" borderId="0" xfId="6" applyFill="1" applyAlignment="1">
      <alignment horizontal="right"/>
    </xf>
    <xf numFmtId="0" fontId="28" fillId="6" borderId="15" xfId="6" applyBorder="1"/>
    <xf numFmtId="0" fontId="50" fillId="6" borderId="16" xfId="6" applyFont="1" applyBorder="1" applyAlignment="1">
      <alignment horizontal="center"/>
    </xf>
    <xf numFmtId="0" fontId="50" fillId="6" borderId="17" xfId="6" applyFont="1" applyBorder="1" applyAlignment="1">
      <alignment horizontal="center"/>
    </xf>
    <xf numFmtId="0" fontId="28" fillId="6" borderId="15" xfId="6" applyBorder="1" applyAlignment="1">
      <alignment horizontal="left"/>
    </xf>
    <xf numFmtId="177" fontId="51" fillId="6" borderId="16" xfId="6" applyNumberFormat="1" applyFont="1" applyBorder="1" applyAlignment="1">
      <alignment horizontal="center"/>
    </xf>
    <xf numFmtId="0" fontId="28" fillId="6" borderId="16" xfId="6" applyBorder="1" applyAlignment="1">
      <alignment horizontal="left"/>
    </xf>
    <xf numFmtId="177" fontId="51" fillId="6" borderId="17" xfId="6" applyNumberFormat="1" applyFont="1" applyBorder="1" applyAlignment="1">
      <alignment horizontal="center"/>
    </xf>
    <xf numFmtId="10" fontId="28" fillId="6" borderId="0" xfId="6" applyNumberFormat="1"/>
    <xf numFmtId="0" fontId="28" fillId="6" borderId="4" xfId="6" applyBorder="1" applyAlignment="1">
      <alignment horizontal="left"/>
    </xf>
    <xf numFmtId="177" fontId="51" fillId="6" borderId="0" xfId="6" applyNumberFormat="1" applyFont="1" applyAlignment="1">
      <alignment horizontal="center"/>
    </xf>
    <xf numFmtId="0" fontId="28" fillId="6" borderId="0" xfId="6" applyAlignment="1">
      <alignment horizontal="left"/>
    </xf>
    <xf numFmtId="177" fontId="51" fillId="6" borderId="19" xfId="6" applyNumberFormat="1" applyFont="1" applyBorder="1" applyAlignment="1">
      <alignment horizontal="center"/>
    </xf>
    <xf numFmtId="0" fontId="52" fillId="6" borderId="0" xfId="6" applyFont="1" applyAlignment="1">
      <alignment horizontal="centerContinuous"/>
    </xf>
    <xf numFmtId="177" fontId="28" fillId="6" borderId="19" xfId="6" applyNumberFormat="1" applyBorder="1" applyAlignment="1">
      <alignment horizontal="center"/>
    </xf>
    <xf numFmtId="0" fontId="49" fillId="7" borderId="0" xfId="6" applyFont="1" applyFill="1" applyAlignment="1">
      <alignment horizontal="fill"/>
    </xf>
    <xf numFmtId="10" fontId="28" fillId="6" borderId="1" xfId="6" applyNumberFormat="1" applyBorder="1"/>
    <xf numFmtId="10" fontId="53" fillId="10" borderId="0" xfId="8" applyFont="1"/>
    <xf numFmtId="173" fontId="53" fillId="10" borderId="19" xfId="8" applyNumberFormat="1" applyFont="1" applyBorder="1"/>
    <xf numFmtId="0" fontId="28" fillId="6" borderId="1" xfId="6" applyBorder="1" applyAlignment="1">
      <alignment horizontal="right"/>
    </xf>
    <xf numFmtId="177" fontId="51" fillId="6" borderId="1" xfId="6" applyNumberFormat="1" applyFont="1" applyBorder="1" applyAlignment="1">
      <alignment horizontal="left"/>
    </xf>
    <xf numFmtId="177" fontId="28" fillId="6" borderId="13" xfId="6" applyNumberFormat="1" applyBorder="1" applyAlignment="1">
      <alignment horizontal="center"/>
    </xf>
    <xf numFmtId="10" fontId="53" fillId="10" borderId="1" xfId="8" applyFont="1" applyBorder="1"/>
    <xf numFmtId="10" fontId="53" fillId="10" borderId="13" xfId="8" applyFont="1" applyBorder="1"/>
    <xf numFmtId="177" fontId="28" fillId="6" borderId="0" xfId="6" applyNumberFormat="1"/>
    <xf numFmtId="0" fontId="54" fillId="6" borderId="16" xfId="6" applyFont="1" applyBorder="1"/>
    <xf numFmtId="0" fontId="54" fillId="6" borderId="4" xfId="6" applyFont="1" applyBorder="1"/>
    <xf numFmtId="0" fontId="54" fillId="6" borderId="0" xfId="6" applyFont="1"/>
    <xf numFmtId="0" fontId="54" fillId="6" borderId="19" xfId="6" applyFont="1" applyBorder="1"/>
    <xf numFmtId="0" fontId="28" fillId="10" borderId="0" xfId="6" applyFill="1"/>
    <xf numFmtId="0" fontId="55" fillId="6" borderId="0" xfId="6" applyFont="1"/>
    <xf numFmtId="10" fontId="53" fillId="10" borderId="19" xfId="8" applyFont="1" applyBorder="1"/>
    <xf numFmtId="39" fontId="28" fillId="6" borderId="1" xfId="6" applyNumberFormat="1" applyBorder="1"/>
    <xf numFmtId="174" fontId="28" fillId="6" borderId="1" xfId="6" applyNumberFormat="1" applyBorder="1"/>
    <xf numFmtId="172" fontId="28" fillId="6" borderId="13" xfId="6" applyNumberFormat="1" applyBorder="1"/>
    <xf numFmtId="0" fontId="1" fillId="0" borderId="0" xfId="2" applyNumberFormat="1" applyFont="1" applyFill="1"/>
    <xf numFmtId="164" fontId="9" fillId="4" borderId="0" xfId="2" applyNumberFormat="1" applyFont="1" applyFill="1"/>
    <xf numFmtId="164" fontId="2" fillId="4" borderId="0" xfId="0" applyNumberFormat="1" applyFont="1" applyFill="1"/>
    <xf numFmtId="0" fontId="0" fillId="0" borderId="1" xfId="0" applyBorder="1"/>
    <xf numFmtId="4" fontId="12" fillId="0" borderId="0" xfId="0" applyNumberFormat="1" applyFont="1" applyBorder="1"/>
    <xf numFmtId="44" fontId="12" fillId="0" borderId="1" xfId="2" applyFont="1" applyFill="1" applyBorder="1"/>
    <xf numFmtId="44" fontId="12" fillId="0" borderId="1" xfId="2" applyFont="1" applyBorder="1"/>
    <xf numFmtId="164" fontId="0" fillId="0" borderId="1" xfId="2" applyNumberFormat="1" applyFont="1" applyBorder="1"/>
    <xf numFmtId="0" fontId="0" fillId="0" borderId="1" xfId="2" applyNumberFormat="1" applyFont="1" applyBorder="1"/>
    <xf numFmtId="10" fontId="0" fillId="0" borderId="0" xfId="3" applyNumberFormat="1" applyFont="1"/>
    <xf numFmtId="4" fontId="12" fillId="0" borderId="0" xfId="0" applyNumberFormat="1" applyFont="1" applyBorder="1" applyAlignment="1">
      <alignment horizontal="left" indent="1"/>
    </xf>
    <xf numFmtId="10" fontId="13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12" fillId="0" borderId="0" xfId="0" applyNumberFormat="1" applyFont="1"/>
    <xf numFmtId="44" fontId="13" fillId="0" borderId="0" xfId="0" applyNumberFormat="1" applyFont="1"/>
    <xf numFmtId="39" fontId="20" fillId="0" borderId="0" xfId="0" applyNumberFormat="1" applyFont="1"/>
    <xf numFmtId="2" fontId="21" fillId="0" borderId="0" xfId="0" applyNumberFormat="1" applyFont="1"/>
    <xf numFmtId="178" fontId="21" fillId="0" borderId="0" xfId="0" applyNumberFormat="1" applyFont="1"/>
    <xf numFmtId="44" fontId="21" fillId="0" borderId="0" xfId="0" applyNumberFormat="1" applyFont="1"/>
    <xf numFmtId="10" fontId="2" fillId="0" borderId="0" xfId="0" applyNumberFormat="1" applyFont="1"/>
    <xf numFmtId="10" fontId="0" fillId="0" borderId="0" xfId="0" applyNumberFormat="1"/>
    <xf numFmtId="179" fontId="0" fillId="0" borderId="0" xfId="0" applyNumberFormat="1"/>
    <xf numFmtId="180" fontId="0" fillId="0" borderId="0" xfId="0" applyNumberFormat="1"/>
    <xf numFmtId="180" fontId="12" fillId="0" borderId="0" xfId="0" applyNumberFormat="1" applyFont="1"/>
    <xf numFmtId="180" fontId="12" fillId="0" borderId="1" xfId="0" applyNumberFormat="1" applyFont="1" applyBorder="1"/>
    <xf numFmtId="180" fontId="0" fillId="0" borderId="1" xfId="0" applyNumberFormat="1" applyBorder="1"/>
    <xf numFmtId="180" fontId="13" fillId="0" borderId="0" xfId="0" applyNumberFormat="1" applyFont="1"/>
    <xf numFmtId="180" fontId="2" fillId="0" borderId="0" xfId="0" applyNumberFormat="1" applyFont="1"/>
    <xf numFmtId="8" fontId="0" fillId="0" borderId="0" xfId="0" applyNumberFormat="1"/>
    <xf numFmtId="42" fontId="12" fillId="0" borderId="0" xfId="0" applyNumberFormat="1" applyFont="1"/>
    <xf numFmtId="42" fontId="13" fillId="0" borderId="0" xfId="0" applyNumberFormat="1" applyFont="1"/>
    <xf numFmtId="42" fontId="12" fillId="0" borderId="0" xfId="0" applyNumberFormat="1" applyFont="1" applyBorder="1"/>
    <xf numFmtId="180" fontId="0" fillId="0" borderId="0" xfId="0" applyNumberFormat="1" applyAlignment="1">
      <alignment horizontal="center"/>
    </xf>
    <xf numFmtId="180" fontId="12" fillId="0" borderId="0" xfId="0" applyNumberFormat="1" applyFont="1" applyAlignment="1">
      <alignment horizontal="center"/>
    </xf>
    <xf numFmtId="42" fontId="12" fillId="0" borderId="0" xfId="0" applyNumberFormat="1" applyFont="1" applyAlignment="1">
      <alignment horizontal="center"/>
    </xf>
    <xf numFmtId="42" fontId="12" fillId="0" borderId="1" xfId="0" applyNumberFormat="1" applyFont="1" applyBorder="1"/>
    <xf numFmtId="10" fontId="12" fillId="0" borderId="0" xfId="2" applyNumberFormat="1" applyFont="1"/>
    <xf numFmtId="10" fontId="0" fillId="0" borderId="0" xfId="2" applyNumberFormat="1" applyFont="1"/>
    <xf numFmtId="0" fontId="34" fillId="7" borderId="20" xfId="6" applyFont="1" applyFill="1" applyBorder="1" applyAlignment="1">
      <alignment horizontal="center"/>
    </xf>
    <xf numFmtId="0" fontId="30" fillId="7" borderId="0" xfId="6" applyFont="1" applyFill="1" applyAlignment="1">
      <alignment horizontal="center"/>
    </xf>
    <xf numFmtId="0" fontId="28" fillId="6" borderId="9" xfId="6" applyBorder="1" applyAlignment="1">
      <alignment horizontal="center"/>
    </xf>
    <xf numFmtId="0" fontId="28" fillId="6" borderId="6" xfId="6" applyBorder="1" applyAlignment="1">
      <alignment horizontal="center"/>
    </xf>
    <xf numFmtId="0" fontId="28" fillId="6" borderId="5" xfId="6" applyBorder="1" applyAlignment="1">
      <alignment horizontal="center"/>
    </xf>
    <xf numFmtId="0" fontId="34" fillId="7" borderId="0" xfId="6" applyFont="1" applyFill="1" applyAlignment="1">
      <alignment horizontal="center"/>
    </xf>
    <xf numFmtId="0" fontId="34" fillId="7" borderId="16" xfId="6" applyFont="1" applyFill="1" applyBorder="1" applyAlignment="1">
      <alignment horizontal="center"/>
    </xf>
  </cellXfs>
  <cellStyles count="9">
    <cellStyle name="Accent5" xfId="5" builtinId="45"/>
    <cellStyle name="Comma" xfId="1" builtinId="3"/>
    <cellStyle name="Comma 2" xfId="7"/>
    <cellStyle name="Currency" xfId="2" builtinId="4"/>
    <cellStyle name="Normal" xfId="0" builtinId="0"/>
    <cellStyle name="Normal 2" xfId="6"/>
    <cellStyle name="Note" xfId="4" builtinId="10"/>
    <cellStyle name="Percent" xfId="3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14</xdr:row>
          <xdr:rowOff>175260</xdr:rowOff>
        </xdr:from>
        <xdr:to>
          <xdr:col>2</xdr:col>
          <xdr:colOff>358140</xdr:colOff>
          <xdr:row>16</xdr:row>
          <xdr:rowOff>30480</xdr:rowOff>
        </xdr:to>
        <xdr:sp macro="" textlink="">
          <xdr:nvSpPr>
            <xdr:cNvPr id="20481" name="CheckBox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xmlns="" id="{49487F0F-9E6F-4CF0-B83E-21ACF263B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13" sqref="V13"/>
    </sheetView>
  </sheetViews>
  <sheetFormatPr defaultRowHeight="14.4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17" sqref="F17"/>
    </sheetView>
  </sheetViews>
  <sheetFormatPr defaultRowHeight="14.4"/>
  <cols>
    <col min="1" max="1" width="26.5546875" customWidth="1"/>
    <col min="4" max="4" width="11.33203125" customWidth="1"/>
  </cols>
  <sheetData>
    <row r="1" spans="1:4" ht="25.8">
      <c r="A1" s="109" t="s">
        <v>453</v>
      </c>
    </row>
    <row r="6" spans="1:4">
      <c r="A6" t="s">
        <v>454</v>
      </c>
      <c r="D6" s="104">
        <v>1922.77</v>
      </c>
    </row>
    <row r="7" spans="1:4">
      <c r="D7" s="95"/>
    </row>
    <row r="8" spans="1:4">
      <c r="A8" t="s">
        <v>455</v>
      </c>
      <c r="D8" s="95">
        <v>1481.3</v>
      </c>
    </row>
    <row r="9" spans="1:4">
      <c r="D9" s="95">
        <v>506.75</v>
      </c>
    </row>
    <row r="10" spans="1:4">
      <c r="A10" t="s">
        <v>456</v>
      </c>
      <c r="D10" s="104">
        <f>SUM(D8:D9)</f>
        <v>1988.05</v>
      </c>
    </row>
    <row r="11" spans="1:4">
      <c r="D11" s="95"/>
    </row>
    <row r="12" spans="1:4">
      <c r="D12" s="95"/>
    </row>
    <row r="13" spans="1:4">
      <c r="A13" t="s">
        <v>457</v>
      </c>
      <c r="C13" t="s">
        <v>458</v>
      </c>
      <c r="D13" s="104">
        <f>D10-D6</f>
        <v>65.279999999999973</v>
      </c>
    </row>
    <row r="14" spans="1:4">
      <c r="D14" s="95"/>
    </row>
    <row r="15" spans="1:4">
      <c r="D15" s="95"/>
    </row>
    <row r="16" spans="1:4">
      <c r="D16" s="95"/>
    </row>
    <row r="17" spans="4:4">
      <c r="D17" s="95"/>
    </row>
    <row r="18" spans="4:4">
      <c r="D18" s="95"/>
    </row>
    <row r="19" spans="4:4">
      <c r="D19" s="95"/>
    </row>
    <row r="20" spans="4:4">
      <c r="D20" s="95"/>
    </row>
    <row r="21" spans="4:4">
      <c r="D21" s="95"/>
    </row>
    <row r="22" spans="4:4">
      <c r="D22" s="95"/>
    </row>
    <row r="23" spans="4:4">
      <c r="D23" s="95"/>
    </row>
    <row r="24" spans="4:4">
      <c r="D24" s="95"/>
    </row>
    <row r="25" spans="4:4">
      <c r="D25" s="9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E19" sqref="E19"/>
    </sheetView>
  </sheetViews>
  <sheetFormatPr defaultRowHeight="14.4"/>
  <cols>
    <col min="1" max="1" width="19.21875" customWidth="1"/>
    <col min="5" max="5" width="10.77734375" customWidth="1"/>
  </cols>
  <sheetData>
    <row r="2" spans="1:7" ht="25.8">
      <c r="A2" s="109" t="s">
        <v>473</v>
      </c>
      <c r="G2" s="109" t="s">
        <v>474</v>
      </c>
    </row>
    <row r="3" spans="1:7">
      <c r="E3" s="95"/>
    </row>
    <row r="4" spans="1:7">
      <c r="E4" s="95"/>
    </row>
    <row r="5" spans="1:7">
      <c r="C5" t="s">
        <v>480</v>
      </c>
      <c r="E5" s="95"/>
    </row>
    <row r="6" spans="1:7">
      <c r="A6" t="s">
        <v>475</v>
      </c>
      <c r="B6">
        <v>0.63</v>
      </c>
      <c r="C6">
        <v>1150</v>
      </c>
      <c r="E6" s="95">
        <f>B6*C6</f>
        <v>724.5</v>
      </c>
    </row>
    <row r="7" spans="1:7">
      <c r="A7" t="s">
        <v>482</v>
      </c>
      <c r="B7">
        <v>0.09</v>
      </c>
      <c r="C7">
        <v>1150</v>
      </c>
      <c r="E7" s="95">
        <f t="shared" ref="E7:E8" si="0">B7*C7</f>
        <v>103.5</v>
      </c>
    </row>
    <row r="8" spans="1:7">
      <c r="A8" t="s">
        <v>481</v>
      </c>
      <c r="B8">
        <v>5.24</v>
      </c>
      <c r="C8">
        <v>2.5</v>
      </c>
      <c r="E8" s="95">
        <f t="shared" si="0"/>
        <v>13.100000000000001</v>
      </c>
    </row>
    <row r="10" spans="1:7">
      <c r="E10" s="104">
        <f>SUM(E6:E9)</f>
        <v>841.1</v>
      </c>
    </row>
    <row r="12" spans="1:7">
      <c r="A12" t="s">
        <v>476</v>
      </c>
      <c r="B12">
        <v>12</v>
      </c>
      <c r="C12">
        <v>25</v>
      </c>
      <c r="E12" s="95">
        <f>B12*C12</f>
        <v>300</v>
      </c>
    </row>
    <row r="13" spans="1:7">
      <c r="A13" s="10" t="s">
        <v>477</v>
      </c>
      <c r="E13" s="95"/>
    </row>
    <row r="14" spans="1:7">
      <c r="A14" t="s">
        <v>478</v>
      </c>
      <c r="B14">
        <v>6.2E-2</v>
      </c>
      <c r="E14" s="95">
        <f>B14*E12</f>
        <v>18.600000000000001</v>
      </c>
    </row>
    <row r="15" spans="1:7">
      <c r="A15" t="s">
        <v>479</v>
      </c>
      <c r="B15">
        <v>1.4500000000000001E-2</v>
      </c>
      <c r="E15" s="95">
        <f>B15*E12</f>
        <v>4.3500000000000005</v>
      </c>
    </row>
    <row r="16" spans="1:7">
      <c r="E16" s="95"/>
    </row>
    <row r="17" spans="1:6">
      <c r="E17" s="104">
        <f>SUM(E12:E16)</f>
        <v>322.95000000000005</v>
      </c>
    </row>
    <row r="18" spans="1:6">
      <c r="E18" s="95"/>
    </row>
    <row r="19" spans="1:6">
      <c r="A19" t="s">
        <v>483</v>
      </c>
      <c r="E19" s="104">
        <f>E10+E17</f>
        <v>1164.0500000000002</v>
      </c>
      <c r="F19" t="s">
        <v>474</v>
      </c>
    </row>
    <row r="20" spans="1:6">
      <c r="E20" s="9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18" sqref="F18"/>
    </sheetView>
  </sheetViews>
  <sheetFormatPr defaultRowHeight="14.4"/>
  <cols>
    <col min="7" max="7" width="12.109375" bestFit="1" customWidth="1"/>
  </cols>
  <sheetData>
    <row r="1" spans="1:7" ht="25.8">
      <c r="A1" s="109" t="s">
        <v>423</v>
      </c>
    </row>
    <row r="5" spans="1:7">
      <c r="A5" t="s">
        <v>424</v>
      </c>
      <c r="E5" s="96"/>
      <c r="G5" s="112">
        <v>3960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I32" sqref="I32"/>
    </sheetView>
  </sheetViews>
  <sheetFormatPr defaultRowHeight="14.4"/>
  <cols>
    <col min="6" max="6" width="24.33203125" customWidth="1"/>
    <col min="7" max="7" width="14.44140625" customWidth="1"/>
    <col min="8" max="8" width="16.109375" customWidth="1"/>
    <col min="9" max="9" width="15.88671875" customWidth="1"/>
  </cols>
  <sheetData>
    <row r="1" spans="1:15" ht="25.8">
      <c r="A1" s="109" t="s">
        <v>439</v>
      </c>
    </row>
    <row r="2" spans="1:15" ht="25.8">
      <c r="B2" s="109" t="s">
        <v>440</v>
      </c>
      <c r="I2" s="109" t="s">
        <v>447</v>
      </c>
    </row>
    <row r="4" spans="1:15">
      <c r="A4" t="s">
        <v>650</v>
      </c>
      <c r="I4" t="s">
        <v>17</v>
      </c>
    </row>
    <row r="5" spans="1:15">
      <c r="H5" t="s">
        <v>442</v>
      </c>
      <c r="I5" t="s">
        <v>438</v>
      </c>
    </row>
    <row r="6" spans="1:15" ht="18">
      <c r="A6" s="98" t="s">
        <v>441</v>
      </c>
      <c r="B6" s="98"/>
      <c r="C6" s="98"/>
      <c r="D6" s="98"/>
      <c r="E6" s="98"/>
      <c r="F6" s="98" t="s">
        <v>445</v>
      </c>
      <c r="G6" s="113">
        <v>4530.7</v>
      </c>
      <c r="H6" s="95"/>
      <c r="I6" s="114"/>
      <c r="J6" s="98"/>
      <c r="K6" s="98"/>
      <c r="L6" s="98"/>
      <c r="M6" s="98"/>
      <c r="N6" s="98"/>
      <c r="O6" s="98"/>
    </row>
    <row r="7" spans="1:15" ht="18">
      <c r="A7" s="98"/>
      <c r="B7" s="98"/>
      <c r="C7" s="98"/>
      <c r="D7" s="98"/>
      <c r="E7" s="98"/>
      <c r="F7" s="98"/>
      <c r="G7" s="113"/>
      <c r="H7" s="113"/>
      <c r="I7" s="114"/>
      <c r="J7" s="98"/>
      <c r="K7" s="98"/>
      <c r="L7" s="98"/>
      <c r="M7" s="98"/>
      <c r="N7" s="98"/>
      <c r="O7" s="98"/>
    </row>
    <row r="8" spans="1:15" ht="18">
      <c r="A8" s="98"/>
      <c r="B8" s="98" t="s">
        <v>443</v>
      </c>
      <c r="C8" s="98"/>
      <c r="D8" s="98"/>
      <c r="E8" s="98"/>
      <c r="F8" s="98"/>
      <c r="G8" s="113">
        <f>G6-G7</f>
        <v>4530.7</v>
      </c>
      <c r="H8" s="113">
        <v>327397.94</v>
      </c>
      <c r="I8" s="114">
        <f>G8/H8</f>
        <v>1.3838511018120638E-2</v>
      </c>
      <c r="J8" s="98"/>
      <c r="K8" s="98"/>
      <c r="L8" s="98"/>
      <c r="M8" s="98"/>
      <c r="N8" s="98"/>
      <c r="O8" s="98"/>
    </row>
    <row r="9" spans="1:15" ht="18">
      <c r="A9" s="98"/>
      <c r="B9" s="98"/>
      <c r="C9" s="98"/>
      <c r="D9" s="98"/>
      <c r="E9" s="98"/>
      <c r="F9" s="98"/>
      <c r="G9" s="113"/>
      <c r="H9" s="113"/>
      <c r="I9" s="114"/>
      <c r="J9" s="98"/>
      <c r="K9" s="98"/>
      <c r="L9" s="98"/>
      <c r="M9" s="98"/>
      <c r="N9" s="98"/>
      <c r="O9" s="98"/>
    </row>
    <row r="10" spans="1:15" ht="18">
      <c r="A10" s="98"/>
      <c r="B10" s="98"/>
      <c r="C10" s="98"/>
      <c r="D10" s="98"/>
      <c r="E10" s="98"/>
      <c r="F10" s="98"/>
      <c r="G10" s="113"/>
      <c r="H10" s="113"/>
      <c r="I10" s="114"/>
      <c r="J10" s="98"/>
      <c r="K10" s="98"/>
      <c r="L10" s="98"/>
      <c r="M10" s="98"/>
      <c r="N10" s="98"/>
      <c r="O10" s="98"/>
    </row>
    <row r="11" spans="1:15" ht="18">
      <c r="A11" s="98" t="s">
        <v>444</v>
      </c>
      <c r="B11" s="98"/>
      <c r="C11" s="98"/>
      <c r="D11" s="98"/>
      <c r="E11" s="98"/>
      <c r="F11" s="98"/>
      <c r="G11" s="113"/>
      <c r="H11" s="113"/>
      <c r="I11" s="114"/>
      <c r="J11" s="98"/>
      <c r="K11" s="98"/>
      <c r="L11" s="98"/>
      <c r="M11" s="98"/>
      <c r="N11" s="98"/>
      <c r="O11" s="98"/>
    </row>
    <row r="12" spans="1:15" ht="18">
      <c r="A12" s="98"/>
      <c r="B12" s="98"/>
      <c r="C12" s="98"/>
      <c r="D12" s="98"/>
      <c r="E12" s="98"/>
      <c r="F12" s="98"/>
      <c r="G12" s="113"/>
      <c r="H12" s="113"/>
      <c r="I12" s="114"/>
      <c r="J12" s="98"/>
      <c r="K12" s="98"/>
      <c r="L12" s="98"/>
      <c r="M12" s="98"/>
      <c r="N12" s="98"/>
      <c r="O12" s="98"/>
    </row>
    <row r="13" spans="1:15" ht="18">
      <c r="A13" s="98"/>
      <c r="B13" s="98" t="s">
        <v>443</v>
      </c>
      <c r="C13" s="98"/>
      <c r="D13" s="98"/>
      <c r="E13" s="98"/>
      <c r="F13" s="98"/>
      <c r="G13" s="113">
        <v>4068.55</v>
      </c>
      <c r="H13" s="113">
        <v>285050.12</v>
      </c>
      <c r="I13" s="114">
        <f>G13/H13</f>
        <v>1.4273103972031305E-2</v>
      </c>
      <c r="J13" s="98"/>
      <c r="K13" s="98"/>
      <c r="L13" s="98"/>
      <c r="M13" s="98"/>
      <c r="N13" s="98"/>
      <c r="O13" s="98"/>
    </row>
    <row r="14" spans="1:15" ht="18">
      <c r="A14" s="98"/>
      <c r="B14" s="98"/>
      <c r="C14" s="98"/>
      <c r="D14" s="98"/>
      <c r="E14" s="98"/>
      <c r="F14" s="98"/>
      <c r="G14" s="113"/>
      <c r="H14" s="113"/>
      <c r="I14" s="114"/>
      <c r="J14" s="98"/>
      <c r="K14" s="98"/>
      <c r="L14" s="98"/>
      <c r="M14" s="98"/>
      <c r="N14" s="98"/>
      <c r="O14" s="98"/>
    </row>
    <row r="15" spans="1:15" ht="18">
      <c r="A15" s="98"/>
      <c r="B15" s="98"/>
      <c r="C15" s="98"/>
      <c r="D15" s="98"/>
      <c r="E15" s="98"/>
      <c r="F15" s="98"/>
      <c r="G15" s="113"/>
      <c r="H15" s="113"/>
      <c r="I15" s="114"/>
      <c r="J15" s="98"/>
      <c r="K15" s="98"/>
      <c r="L15" s="98"/>
      <c r="M15" s="98"/>
      <c r="N15" s="98"/>
      <c r="O15" s="98"/>
    </row>
    <row r="16" spans="1:15" ht="18">
      <c r="B16" s="98"/>
      <c r="C16" s="98"/>
      <c r="D16" s="98"/>
      <c r="E16" s="98"/>
      <c r="F16" s="98" t="s">
        <v>651</v>
      </c>
      <c r="G16" s="113"/>
      <c r="H16" s="113">
        <f>SUM(H6:H15)</f>
        <v>612448.06000000006</v>
      </c>
      <c r="I16" s="114">
        <f>I13-I8</f>
        <v>4.3459295391066674E-4</v>
      </c>
      <c r="J16" s="98"/>
      <c r="K16" s="98"/>
      <c r="L16" s="98"/>
      <c r="M16" s="98"/>
      <c r="N16" s="98"/>
      <c r="O16" s="98"/>
    </row>
    <row r="17" spans="1:15" ht="18">
      <c r="A17" s="98" t="s">
        <v>649</v>
      </c>
      <c r="B17" s="98"/>
      <c r="C17" s="98"/>
      <c r="D17" s="98"/>
      <c r="E17" s="98"/>
      <c r="F17" s="98"/>
      <c r="G17" s="113"/>
      <c r="H17" s="95"/>
      <c r="I17" s="98"/>
      <c r="J17" s="98"/>
      <c r="K17" s="98"/>
      <c r="L17" s="98"/>
      <c r="M17" s="98"/>
      <c r="N17" s="98"/>
      <c r="O17" s="98"/>
    </row>
    <row r="18" spans="1:15" ht="18">
      <c r="J18" s="98"/>
      <c r="K18" s="98"/>
      <c r="L18" s="98"/>
      <c r="M18" s="98"/>
      <c r="N18" s="98"/>
      <c r="O18" s="98"/>
    </row>
    <row r="19" spans="1:15" ht="18">
      <c r="J19" s="98"/>
      <c r="L19" s="98"/>
      <c r="M19" s="98"/>
      <c r="N19" s="98"/>
      <c r="O19" s="98"/>
    </row>
    <row r="20" spans="1:15" ht="18">
      <c r="J20" s="98"/>
      <c r="L20" s="98"/>
      <c r="M20" s="98"/>
      <c r="N20" s="98"/>
      <c r="O20" s="98"/>
    </row>
    <row r="21" spans="1:15" ht="18">
      <c r="J21" s="98"/>
      <c r="L21" s="98"/>
      <c r="M21" s="98"/>
      <c r="N21" s="98"/>
      <c r="O21" s="98"/>
    </row>
    <row r="22" spans="1:15" ht="18">
      <c r="A22" s="98" t="s">
        <v>652</v>
      </c>
      <c r="B22" s="98"/>
      <c r="C22" s="98"/>
      <c r="D22" s="98"/>
      <c r="E22" s="98"/>
      <c r="I22" s="343"/>
      <c r="J22" s="98"/>
      <c r="K22" s="98"/>
      <c r="L22" s="98"/>
      <c r="M22" s="98"/>
      <c r="N22" s="98"/>
      <c r="O22" s="98"/>
    </row>
    <row r="23" spans="1:15" ht="18">
      <c r="E23" s="98">
        <v>2023</v>
      </c>
      <c r="F23" t="s">
        <v>653</v>
      </c>
      <c r="G23" s="344" t="s">
        <v>648</v>
      </c>
      <c r="H23" s="345">
        <v>1.4272999999999999E-2</v>
      </c>
      <c r="I23" s="346">
        <v>9777.9500000000007</v>
      </c>
      <c r="M23" s="98"/>
      <c r="N23" s="98"/>
      <c r="O23" s="98"/>
    </row>
    <row r="24" spans="1:15" ht="18">
      <c r="E24" s="98">
        <v>2023</v>
      </c>
      <c r="F24" s="98" t="s">
        <v>654</v>
      </c>
      <c r="G24" s="99"/>
      <c r="H24" s="99"/>
      <c r="I24" s="346">
        <v>8601.6</v>
      </c>
      <c r="J24" s="98"/>
      <c r="K24" s="98"/>
      <c r="L24" s="98"/>
      <c r="M24" s="98"/>
      <c r="N24" s="98"/>
      <c r="O24" s="98"/>
    </row>
    <row r="25" spans="1:15" ht="18">
      <c r="E25" s="98"/>
      <c r="J25" s="98"/>
      <c r="K25" s="98"/>
      <c r="L25" s="98"/>
      <c r="M25" s="98"/>
      <c r="N25" s="98"/>
      <c r="O25" s="98"/>
    </row>
    <row r="26" spans="1:15" ht="18">
      <c r="F26" s="98" t="s">
        <v>655</v>
      </c>
      <c r="G26" s="98"/>
      <c r="H26" s="98"/>
      <c r="I26" s="113">
        <f>I23-I24</f>
        <v>1176.3500000000004</v>
      </c>
      <c r="J26" s="98"/>
      <c r="K26" s="98"/>
      <c r="L26" s="98"/>
      <c r="M26" s="98"/>
      <c r="N26" s="98"/>
      <c r="O26" s="98"/>
    </row>
    <row r="27" spans="1:15" ht="18">
      <c r="J27" s="98"/>
      <c r="K27" s="98"/>
      <c r="L27" s="98"/>
      <c r="M27" s="98"/>
      <c r="N27" s="98"/>
      <c r="O27" s="98"/>
    </row>
    <row r="28" spans="1:15" ht="18">
      <c r="A28" s="98" t="s">
        <v>503</v>
      </c>
      <c r="B28" s="98"/>
      <c r="C28" s="98"/>
      <c r="D28" s="98"/>
      <c r="E28" s="98"/>
      <c r="F28" s="98"/>
      <c r="G28" s="113" t="s">
        <v>656</v>
      </c>
      <c r="H28" s="113" t="s">
        <v>363</v>
      </c>
      <c r="I28" s="113">
        <f>103.42*9</f>
        <v>930.78</v>
      </c>
      <c r="J28" s="98"/>
      <c r="K28" s="98"/>
      <c r="L28" s="98"/>
      <c r="M28" s="98"/>
      <c r="N28" s="98"/>
      <c r="O28" s="98"/>
    </row>
    <row r="29" spans="1:15" ht="18">
      <c r="A29" s="98"/>
      <c r="B29" s="98"/>
      <c r="C29" s="98"/>
      <c r="D29" s="98"/>
      <c r="E29" s="98"/>
      <c r="F29" s="98"/>
      <c r="G29" s="113"/>
      <c r="H29" s="113"/>
      <c r="I29" s="98"/>
      <c r="J29" s="98"/>
      <c r="K29" s="98"/>
      <c r="L29" s="98"/>
      <c r="M29" s="98"/>
      <c r="N29" s="98"/>
      <c r="O29" s="98"/>
    </row>
    <row r="30" spans="1:15" ht="18">
      <c r="A30" s="98" t="s">
        <v>446</v>
      </c>
      <c r="B30" s="98"/>
      <c r="C30" s="98"/>
      <c r="D30" s="98"/>
      <c r="E30" s="98"/>
      <c r="F30" s="98"/>
      <c r="G30" s="113"/>
      <c r="H30" s="113"/>
      <c r="I30" s="113">
        <f>SUM(I26:I28)</f>
        <v>2107.13</v>
      </c>
      <c r="J30" s="98"/>
      <c r="K30" s="98"/>
      <c r="L30" s="98"/>
      <c r="M30" s="98"/>
      <c r="N30" s="98"/>
      <c r="O30" s="98"/>
    </row>
    <row r="31" spans="1:15" ht="18">
      <c r="A31" s="98"/>
      <c r="B31" s="98"/>
      <c r="C31" s="98"/>
      <c r="D31" s="98"/>
      <c r="E31" s="98"/>
      <c r="F31" s="98"/>
      <c r="G31" s="113"/>
      <c r="H31" s="113"/>
      <c r="J31" s="98"/>
      <c r="K31" s="98"/>
      <c r="L31" s="98"/>
      <c r="M31" s="98"/>
      <c r="N31" s="98"/>
      <c r="O31" s="98"/>
    </row>
    <row r="32" spans="1:15" ht="18">
      <c r="A32" s="98"/>
      <c r="B32" s="98"/>
      <c r="C32" s="98"/>
      <c r="D32" s="98"/>
      <c r="E32" s="98"/>
      <c r="F32" s="98"/>
      <c r="G32" s="98"/>
      <c r="H32" s="98"/>
      <c r="I32" s="98" t="s">
        <v>448</v>
      </c>
      <c r="J32" s="98"/>
      <c r="K32" s="98"/>
      <c r="L32" s="98"/>
      <c r="M32" s="98"/>
      <c r="N32" s="98"/>
      <c r="O32" s="98"/>
    </row>
    <row r="33" spans="1:15" ht="18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ht="18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ht="18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ht="18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ht="18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ht="18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</sheetData>
  <printOptions gridLines="1"/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workbookViewId="0">
      <selection activeCell="G17" sqref="G17"/>
    </sheetView>
  </sheetViews>
  <sheetFormatPr defaultRowHeight="14.4"/>
  <cols>
    <col min="6" max="6" width="26.6640625" customWidth="1"/>
    <col min="7" max="7" width="17.77734375" customWidth="1"/>
  </cols>
  <sheetData>
    <row r="1" spans="1:40" ht="25.8">
      <c r="A1" s="109" t="s">
        <v>484</v>
      </c>
      <c r="B1" s="109" t="s">
        <v>485</v>
      </c>
    </row>
    <row r="3" spans="1:40">
      <c r="G3" s="95"/>
    </row>
    <row r="4" spans="1:40">
      <c r="G4" s="95"/>
    </row>
    <row r="5" spans="1:40" ht="21">
      <c r="A5" s="97"/>
      <c r="B5" s="97"/>
      <c r="C5" s="97"/>
      <c r="D5" s="97"/>
      <c r="E5" s="97"/>
      <c r="F5" s="97"/>
      <c r="G5" s="118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1:40" ht="21">
      <c r="A6" s="97" t="s">
        <v>486</v>
      </c>
      <c r="B6" s="97"/>
      <c r="C6" s="97"/>
      <c r="D6" s="97"/>
      <c r="E6" s="97"/>
      <c r="F6" s="97"/>
      <c r="G6" s="118">
        <v>15852.26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21">
      <c r="A7" s="97"/>
      <c r="B7" s="97"/>
      <c r="C7" s="97"/>
      <c r="D7" s="97"/>
      <c r="E7" s="97"/>
      <c r="F7" s="97"/>
      <c r="G7" s="118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</row>
    <row r="8" spans="1:40" ht="21">
      <c r="A8" s="97"/>
      <c r="B8" s="97"/>
      <c r="C8" s="97"/>
      <c r="D8" s="97"/>
      <c r="E8" s="97"/>
      <c r="F8" s="97"/>
      <c r="G8" s="118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40" ht="21">
      <c r="A9" s="97" t="s">
        <v>487</v>
      </c>
      <c r="B9" s="97"/>
      <c r="C9" s="97"/>
      <c r="D9" s="97"/>
      <c r="E9" s="97"/>
      <c r="F9" s="97"/>
      <c r="G9" s="118">
        <v>2526.16</v>
      </c>
      <c r="H9" s="97">
        <v>3603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1:40" ht="21">
      <c r="A10" s="97"/>
      <c r="B10" s="97"/>
      <c r="C10" s="97"/>
      <c r="D10" s="97"/>
      <c r="E10" s="97"/>
      <c r="F10" s="97"/>
      <c r="G10" s="118">
        <v>9018.99</v>
      </c>
      <c r="H10" s="97">
        <v>3602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1:40" ht="21">
      <c r="A11" s="97"/>
      <c r="B11" s="97"/>
      <c r="C11" s="97"/>
      <c r="D11" s="97"/>
      <c r="E11" s="97"/>
      <c r="F11" s="97"/>
      <c r="G11" s="118">
        <v>996.23</v>
      </c>
      <c r="H11" s="97">
        <v>3604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1:40" ht="21">
      <c r="A12" s="97"/>
      <c r="B12" s="97"/>
      <c r="C12" s="97"/>
      <c r="D12" s="97"/>
      <c r="E12" s="97"/>
      <c r="F12" s="97"/>
      <c r="G12" s="118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1:40" ht="21">
      <c r="A13" s="97"/>
      <c r="B13" s="97"/>
      <c r="C13" s="97"/>
      <c r="D13" s="97"/>
      <c r="E13" s="97"/>
      <c r="F13" s="97"/>
      <c r="G13" s="118">
        <f>SUM(G9:G12)</f>
        <v>12541.38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1:40" ht="21">
      <c r="A14" s="97"/>
      <c r="B14" s="97"/>
      <c r="C14" s="97"/>
      <c r="D14" s="97"/>
      <c r="E14" s="97"/>
      <c r="F14" s="97"/>
      <c r="G14" s="118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1:40" ht="21">
      <c r="A15" s="97"/>
      <c r="B15" s="97"/>
      <c r="C15" s="97"/>
      <c r="D15" s="97"/>
      <c r="E15" s="97"/>
      <c r="F15" s="97"/>
      <c r="G15" s="118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1:40" ht="21">
      <c r="A16" s="97"/>
      <c r="B16" s="97"/>
      <c r="C16" s="97"/>
      <c r="D16" s="97"/>
      <c r="E16" s="97"/>
      <c r="F16" s="97" t="s">
        <v>488</v>
      </c>
      <c r="G16" s="118">
        <f>G13-G6</f>
        <v>-3310.880000000001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1:40" ht="21">
      <c r="A17" s="97"/>
      <c r="B17" s="97"/>
      <c r="C17" s="97"/>
      <c r="D17" s="97"/>
      <c r="E17" s="97"/>
      <c r="F17" s="97"/>
      <c r="G17" s="11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</row>
    <row r="18" spans="1:40" ht="2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</row>
    <row r="19" spans="1:40" ht="2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</row>
    <row r="20" spans="1:40" ht="2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</row>
    <row r="21" spans="1:40" ht="2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</row>
    <row r="22" spans="1:40" ht="2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</row>
    <row r="23" spans="1:40" ht="2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1:40" ht="2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2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ht="2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</row>
    <row r="27" spans="1:40" ht="2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ht="2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</row>
    <row r="29" spans="1:40" ht="2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</row>
    <row r="30" spans="1:40" ht="2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1:40" ht="2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</row>
    <row r="32" spans="1:40" ht="2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0" sqref="G10"/>
    </sheetView>
  </sheetViews>
  <sheetFormatPr defaultRowHeight="14.4"/>
  <cols>
    <col min="7" max="7" width="11.33203125" customWidth="1"/>
  </cols>
  <sheetData>
    <row r="1" spans="1:7" ht="25.8">
      <c r="A1" s="109" t="s">
        <v>415</v>
      </c>
    </row>
    <row r="4" spans="1:7">
      <c r="A4" t="s">
        <v>416</v>
      </c>
      <c r="G4" s="96">
        <v>8040</v>
      </c>
    </row>
    <row r="7" spans="1:7">
      <c r="A7" t="s">
        <v>417</v>
      </c>
      <c r="G7" s="96">
        <v>6892.56</v>
      </c>
    </row>
    <row r="8" spans="1:7">
      <c r="G8" s="96"/>
    </row>
    <row r="9" spans="1:7">
      <c r="G9" s="96"/>
    </row>
    <row r="10" spans="1:7" ht="21">
      <c r="A10" s="97" t="s">
        <v>418</v>
      </c>
      <c r="G10" s="96">
        <f>G7-G4</f>
        <v>-1147.4399999999996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F6" sqref="F6"/>
    </sheetView>
  </sheetViews>
  <sheetFormatPr defaultRowHeight="14.4"/>
  <cols>
    <col min="1" max="1" width="28.5546875" customWidth="1"/>
    <col min="4" max="4" width="17.88671875" customWidth="1"/>
    <col min="6" max="6" width="12.21875" customWidth="1"/>
    <col min="7" max="7" width="13.109375" customWidth="1"/>
    <col min="8" max="8" width="10.5546875" customWidth="1"/>
  </cols>
  <sheetData>
    <row r="1" spans="1:11" ht="25.8">
      <c r="A1" s="109" t="s">
        <v>459</v>
      </c>
      <c r="F1" s="109" t="s">
        <v>461</v>
      </c>
    </row>
    <row r="2" spans="1:11">
      <c r="B2" s="10"/>
      <c r="D2" s="95"/>
      <c r="E2" s="11"/>
      <c r="G2" s="10"/>
    </row>
    <row r="3" spans="1:11">
      <c r="A3" s="11"/>
      <c r="B3" s="11"/>
      <c r="C3" s="11"/>
      <c r="D3" s="111"/>
      <c r="E3" s="10"/>
      <c r="F3" s="11"/>
      <c r="G3" s="11"/>
      <c r="H3" s="11"/>
      <c r="I3" s="11"/>
      <c r="J3" s="11"/>
      <c r="K3" s="11"/>
    </row>
    <row r="4" spans="1:11">
      <c r="B4" s="11"/>
      <c r="C4" s="11"/>
      <c r="D4" s="111"/>
      <c r="E4" s="11"/>
      <c r="F4" s="11"/>
      <c r="G4" s="11"/>
      <c r="H4" s="11"/>
      <c r="I4" s="11"/>
      <c r="J4" s="11"/>
      <c r="K4" s="11"/>
    </row>
    <row r="5" spans="1:11">
      <c r="D5" s="95"/>
    </row>
    <row r="6" spans="1:11">
      <c r="D6" s="95"/>
    </row>
    <row r="7" spans="1:11">
      <c r="D7" s="95"/>
    </row>
    <row r="8" spans="1:11" ht="25.8">
      <c r="A8" s="109" t="s">
        <v>460</v>
      </c>
      <c r="D8" s="95">
        <v>3960</v>
      </c>
    </row>
    <row r="9" spans="1:11">
      <c r="A9" s="107"/>
      <c r="D9" s="95"/>
    </row>
    <row r="10" spans="1:11">
      <c r="A10" s="108" t="s">
        <v>462</v>
      </c>
      <c r="C10">
        <v>0.13650000000000001</v>
      </c>
      <c r="D10" s="95">
        <f>D8*C10</f>
        <v>540.54000000000008</v>
      </c>
      <c r="F10" s="95"/>
      <c r="G10" s="95"/>
    </row>
    <row r="11" spans="1:11">
      <c r="D11" s="95"/>
      <c r="F11" s="95"/>
      <c r="G11" s="95"/>
    </row>
    <row r="12" spans="1:11">
      <c r="B12" t="s">
        <v>463</v>
      </c>
      <c r="D12" s="104">
        <f>D8-D10</f>
        <v>3419.46</v>
      </c>
      <c r="F12" s="95"/>
      <c r="G12" s="104"/>
      <c r="H12" s="95"/>
    </row>
    <row r="13" spans="1:11">
      <c r="D13" s="95"/>
    </row>
    <row r="14" spans="1:11">
      <c r="D14" s="95"/>
    </row>
    <row r="15" spans="1:11">
      <c r="D15" s="95"/>
      <c r="F15" s="95"/>
      <c r="G15" s="95"/>
      <c r="H15" s="95"/>
    </row>
    <row r="16" spans="1:11">
      <c r="D16" s="95"/>
      <c r="F16" s="95"/>
      <c r="G16" s="95"/>
    </row>
    <row r="17" spans="1:8">
      <c r="D17" s="95"/>
      <c r="F17" s="95"/>
      <c r="G17" s="95"/>
    </row>
    <row r="18" spans="1:8">
      <c r="D18" s="95"/>
      <c r="F18" s="95"/>
      <c r="G18" s="95"/>
    </row>
    <row r="19" spans="1:8">
      <c r="D19" s="95"/>
      <c r="H19" s="95"/>
    </row>
    <row r="20" spans="1:8">
      <c r="D20" s="95"/>
      <c r="F20" s="95"/>
      <c r="G20" s="104"/>
      <c r="H20" s="104"/>
    </row>
    <row r="21" spans="1:8">
      <c r="D21" s="95"/>
      <c r="F21" s="95"/>
      <c r="G21" s="95"/>
    </row>
    <row r="22" spans="1:8">
      <c r="D22" s="95"/>
    </row>
    <row r="23" spans="1:8" ht="21">
      <c r="A23" s="97"/>
      <c r="D23" s="95"/>
      <c r="G23" s="104"/>
      <c r="H23" s="104"/>
    </row>
    <row r="24" spans="1:8">
      <c r="D24" s="95"/>
    </row>
    <row r="25" spans="1:8">
      <c r="D25" s="95"/>
    </row>
    <row r="26" spans="1:8">
      <c r="D26" s="95"/>
    </row>
    <row r="27" spans="1:8">
      <c r="D27" s="95"/>
    </row>
    <row r="28" spans="1:8">
      <c r="D28" s="95"/>
    </row>
    <row r="29" spans="1:8">
      <c r="D29" s="95"/>
    </row>
    <row r="30" spans="1:8">
      <c r="D30" s="95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F36" sqref="F36"/>
    </sheetView>
  </sheetViews>
  <sheetFormatPr defaultRowHeight="14.4"/>
  <cols>
    <col min="1" max="1" width="19.88671875" customWidth="1"/>
    <col min="2" max="2" width="6.33203125" customWidth="1"/>
    <col min="3" max="3" width="6.77734375" customWidth="1"/>
    <col min="4" max="4" width="11.6640625" customWidth="1"/>
    <col min="5" max="5" width="11.44140625" bestFit="1" customWidth="1"/>
    <col min="6" max="6" width="11.33203125" bestFit="1" customWidth="1"/>
    <col min="7" max="7" width="10.44140625" customWidth="1"/>
    <col min="8" max="8" width="11.44140625" customWidth="1"/>
    <col min="9" max="9" width="9.109375" customWidth="1"/>
    <col min="10" max="11" width="10.33203125" customWidth="1"/>
    <col min="12" max="12" width="10.88671875" customWidth="1"/>
    <col min="13" max="13" width="13.88671875" customWidth="1"/>
  </cols>
  <sheetData>
    <row r="1" spans="1:13" ht="31.2">
      <c r="A1" s="102" t="s">
        <v>357</v>
      </c>
    </row>
    <row r="3" spans="1:13" ht="18">
      <c r="A3" s="99" t="s">
        <v>400</v>
      </c>
    </row>
    <row r="4" spans="1:13">
      <c r="B4" s="11"/>
      <c r="C4" s="11">
        <v>2023</v>
      </c>
      <c r="D4" s="11"/>
      <c r="E4" s="11"/>
      <c r="F4" s="11"/>
      <c r="G4" s="11" t="s">
        <v>365</v>
      </c>
      <c r="K4" s="10"/>
    </row>
    <row r="5" spans="1:13">
      <c r="B5" s="11">
        <v>2022</v>
      </c>
      <c r="C5" s="11" t="s">
        <v>376</v>
      </c>
      <c r="D5" s="11" t="s">
        <v>360</v>
      </c>
      <c r="E5" s="11">
        <v>2022</v>
      </c>
      <c r="F5" s="11" t="s">
        <v>363</v>
      </c>
      <c r="G5" s="11" t="s">
        <v>366</v>
      </c>
      <c r="I5" s="11"/>
      <c r="J5" s="11"/>
      <c r="K5" s="11"/>
      <c r="L5" s="11"/>
    </row>
    <row r="6" spans="1:13" ht="21">
      <c r="A6" s="97" t="s">
        <v>358</v>
      </c>
      <c r="B6" s="11" t="s">
        <v>359</v>
      </c>
      <c r="C6" s="11" t="s">
        <v>377</v>
      </c>
      <c r="D6" s="11" t="s">
        <v>361</v>
      </c>
      <c r="E6" s="11" t="s">
        <v>362</v>
      </c>
      <c r="F6" s="11" t="s">
        <v>364</v>
      </c>
      <c r="G6" s="11" t="s">
        <v>14</v>
      </c>
      <c r="I6" s="11"/>
      <c r="M6" s="95"/>
    </row>
    <row r="7" spans="1:13">
      <c r="M7" s="95"/>
    </row>
    <row r="8" spans="1:13">
      <c r="A8" t="s">
        <v>367</v>
      </c>
      <c r="B8">
        <v>994</v>
      </c>
      <c r="C8">
        <v>33</v>
      </c>
      <c r="D8" s="95">
        <f>B8*C8</f>
        <v>32802</v>
      </c>
      <c r="E8" s="95">
        <v>28399.5</v>
      </c>
      <c r="F8" s="95">
        <f>D8-E8</f>
        <v>4402.5</v>
      </c>
      <c r="G8" s="103">
        <v>44866</v>
      </c>
      <c r="J8" s="95"/>
      <c r="K8" s="95"/>
      <c r="L8" s="95"/>
      <c r="M8" s="95"/>
    </row>
    <row r="9" spans="1:13">
      <c r="A9" t="s">
        <v>368</v>
      </c>
      <c r="B9">
        <v>1154.75</v>
      </c>
      <c r="C9">
        <v>23</v>
      </c>
      <c r="D9" s="95">
        <f>B9*C9</f>
        <v>26559.25</v>
      </c>
      <c r="E9" s="95">
        <v>23389</v>
      </c>
      <c r="F9" s="95">
        <f>D9-E9</f>
        <v>3170.25</v>
      </c>
      <c r="G9" s="103">
        <v>44866</v>
      </c>
      <c r="J9" s="95"/>
      <c r="K9" s="95"/>
      <c r="L9" s="95"/>
      <c r="M9" s="95"/>
    </row>
    <row r="10" spans="1:13">
      <c r="A10" t="s">
        <v>369</v>
      </c>
      <c r="B10">
        <v>744.25</v>
      </c>
      <c r="C10">
        <v>28</v>
      </c>
      <c r="D10" s="95">
        <f>B10*C10</f>
        <v>20839</v>
      </c>
      <c r="E10" s="95">
        <v>19161.75</v>
      </c>
      <c r="F10" s="95">
        <f>D10-E10</f>
        <v>1677.25</v>
      </c>
      <c r="G10" s="103">
        <v>44866</v>
      </c>
      <c r="J10" s="95"/>
      <c r="K10" s="95"/>
      <c r="L10" s="95"/>
      <c r="M10" s="95"/>
    </row>
    <row r="11" spans="1:13">
      <c r="D11" s="95"/>
      <c r="E11" s="95"/>
      <c r="F11" s="95"/>
      <c r="J11" s="95"/>
      <c r="K11" s="95"/>
      <c r="L11" s="95"/>
      <c r="M11" s="95"/>
    </row>
    <row r="12" spans="1:13">
      <c r="A12" s="10" t="s">
        <v>370</v>
      </c>
      <c r="B12" s="10">
        <f ca="1">SUM(B8:B13)</f>
        <v>1212169893</v>
      </c>
      <c r="C12" s="10">
        <f ca="1">SUM(C8:C13)</f>
        <v>35196084</v>
      </c>
      <c r="D12" s="104">
        <f ca="1">SUM(D8:D13)</f>
        <v>33603984950.25</v>
      </c>
      <c r="E12" s="104">
        <f ca="1">SUM(E8:E13)</f>
        <v>29728225700.25</v>
      </c>
      <c r="F12" s="104">
        <f ca="1">SUM(F8:F13)</f>
        <v>3875759250</v>
      </c>
      <c r="G12" s="104"/>
      <c r="I12" s="104"/>
      <c r="J12" s="95"/>
      <c r="K12" s="95"/>
      <c r="L12" s="95"/>
      <c r="M12" s="95"/>
    </row>
    <row r="13" spans="1:13">
      <c r="D13" s="95"/>
      <c r="E13" s="95"/>
      <c r="F13" s="95"/>
      <c r="J13" s="95"/>
      <c r="K13" s="95"/>
      <c r="L13" s="95"/>
      <c r="M13" s="104"/>
    </row>
    <row r="14" spans="1:13">
      <c r="A14" s="10" t="s">
        <v>401</v>
      </c>
      <c r="D14" s="95"/>
      <c r="E14" s="95"/>
      <c r="F14" s="95"/>
      <c r="G14" s="95"/>
      <c r="I14" s="95"/>
      <c r="J14" s="95"/>
      <c r="K14" s="95"/>
      <c r="L14" s="95"/>
    </row>
    <row r="15" spans="1:13">
      <c r="A15" t="s">
        <v>371</v>
      </c>
      <c r="C15">
        <v>6.0000000000000001E-3</v>
      </c>
      <c r="D15" s="95">
        <f ca="1">F12*C15</f>
        <v>23254555.5</v>
      </c>
      <c r="E15" s="95"/>
      <c r="F15" s="95"/>
      <c r="G15" s="95"/>
      <c r="I15" s="95"/>
      <c r="J15" s="104"/>
      <c r="K15" s="104"/>
      <c r="L15" s="104"/>
    </row>
    <row r="16" spans="1:13">
      <c r="A16" t="s">
        <v>372</v>
      </c>
      <c r="C16">
        <v>1.4500000000000001E-2</v>
      </c>
      <c r="D16" s="95">
        <f ca="1">C16*F12</f>
        <v>56198509.125</v>
      </c>
      <c r="E16" s="95"/>
      <c r="F16" s="95"/>
      <c r="G16" s="95"/>
      <c r="I16" s="95"/>
    </row>
    <row r="17" spans="1:12">
      <c r="A17" t="s">
        <v>373</v>
      </c>
      <c r="C17">
        <v>6.2E-2</v>
      </c>
      <c r="D17" s="95">
        <f ca="1">C17*F12</f>
        <v>240297073.5</v>
      </c>
      <c r="E17" s="95"/>
      <c r="F17" s="95"/>
      <c r="G17" s="95"/>
      <c r="I17" s="95"/>
      <c r="J17" s="10"/>
    </row>
    <row r="18" spans="1:12">
      <c r="A18" t="s">
        <v>374</v>
      </c>
      <c r="C18">
        <v>3.0000000000000001E-3</v>
      </c>
      <c r="D18" s="95">
        <f ca="1">C18*F12</f>
        <v>11627277.75</v>
      </c>
      <c r="E18" s="95"/>
      <c r="F18" s="95"/>
      <c r="G18" s="95"/>
      <c r="I18" s="95"/>
      <c r="J18" s="11"/>
      <c r="K18" s="95"/>
      <c r="L18" s="105"/>
    </row>
    <row r="19" spans="1:12">
      <c r="A19" s="10" t="s">
        <v>375</v>
      </c>
      <c r="B19" s="10"/>
      <c r="C19" s="10"/>
      <c r="D19" s="104">
        <f ca="1">SUM(D15:D19)</f>
        <v>69423900003228.375</v>
      </c>
      <c r="E19" s="104"/>
      <c r="F19" s="104">
        <f ca="1">D19</f>
        <v>69423900003228.375</v>
      </c>
      <c r="G19" s="104"/>
      <c r="I19" s="104"/>
    </row>
    <row r="21" spans="1:12">
      <c r="A21" s="10" t="s">
        <v>402</v>
      </c>
    </row>
    <row r="22" spans="1:12">
      <c r="B22" s="10" t="s">
        <v>384</v>
      </c>
      <c r="E22" s="11" t="s">
        <v>379</v>
      </c>
      <c r="F22" s="10" t="s">
        <v>379</v>
      </c>
    </row>
    <row r="23" spans="1:12">
      <c r="A23" s="11"/>
      <c r="B23" s="11">
        <v>2022</v>
      </c>
      <c r="C23" s="11" t="s">
        <v>127</v>
      </c>
      <c r="D23" s="11" t="s">
        <v>378</v>
      </c>
      <c r="E23" s="10" t="s">
        <v>380</v>
      </c>
      <c r="F23" s="11" t="s">
        <v>380</v>
      </c>
      <c r="I23" s="11"/>
    </row>
    <row r="24" spans="1:12">
      <c r="A24" s="107" t="s">
        <v>300</v>
      </c>
      <c r="B24" s="11" t="s">
        <v>359</v>
      </c>
      <c r="C24" s="11">
        <v>2022</v>
      </c>
      <c r="D24" s="11">
        <v>2023</v>
      </c>
      <c r="E24" s="11" t="s">
        <v>127</v>
      </c>
      <c r="F24" s="11" t="s">
        <v>381</v>
      </c>
      <c r="I24" s="11"/>
      <c r="J24" s="11"/>
      <c r="K24" s="11"/>
    </row>
    <row r="25" spans="1:12">
      <c r="J25" s="11"/>
      <c r="K25" s="11"/>
    </row>
    <row r="26" spans="1:12">
      <c r="A26" s="108" t="s">
        <v>383</v>
      </c>
      <c r="B26">
        <v>5243</v>
      </c>
      <c r="C26">
        <v>1.8043</v>
      </c>
      <c r="D26">
        <v>1.9885999999999999</v>
      </c>
      <c r="E26">
        <f>D26-C26</f>
        <v>0.18429999999999991</v>
      </c>
      <c r="F26" s="95">
        <f>B26*E26</f>
        <v>966.28489999999954</v>
      </c>
    </row>
    <row r="27" spans="1:12">
      <c r="A27" t="s">
        <v>382</v>
      </c>
      <c r="B27">
        <v>1204</v>
      </c>
      <c r="C27">
        <v>0.18129999999999999</v>
      </c>
      <c r="D27">
        <v>0.19159999999999999</v>
      </c>
      <c r="E27">
        <f>D27-C27</f>
        <v>1.0300000000000004E-2</v>
      </c>
      <c r="F27" s="95">
        <f>B27*E27</f>
        <v>12.401200000000005</v>
      </c>
    </row>
    <row r="28" spans="1:12">
      <c r="E28">
        <f>D28-C28</f>
        <v>0</v>
      </c>
      <c r="F28" s="104">
        <f>SUM(F26:F27)</f>
        <v>978.68609999999956</v>
      </c>
      <c r="I28" s="104"/>
    </row>
    <row r="29" spans="1:12">
      <c r="F29" s="95"/>
      <c r="G29" s="95"/>
      <c r="I29" s="95"/>
    </row>
    <row r="30" spans="1:12">
      <c r="F30" s="95"/>
      <c r="G30" s="95"/>
    </row>
    <row r="31" spans="1:12">
      <c r="F31" s="95"/>
      <c r="G31" s="104"/>
      <c r="H31" s="95"/>
      <c r="I31" s="104"/>
    </row>
    <row r="32" spans="1:12" ht="21">
      <c r="A32" s="97" t="s">
        <v>403</v>
      </c>
      <c r="F32" s="95">
        <v>11019.57</v>
      </c>
    </row>
    <row r="33" spans="1:12">
      <c r="F33" s="95"/>
    </row>
    <row r="34" spans="1:12" ht="23.4">
      <c r="A34" s="106"/>
    </row>
    <row r="36" spans="1:12">
      <c r="L36" s="11"/>
    </row>
    <row r="37" spans="1:12">
      <c r="F37" s="95"/>
      <c r="L37" s="11"/>
    </row>
    <row r="45" spans="1:12">
      <c r="G45" s="95"/>
    </row>
    <row r="46" spans="1:12">
      <c r="H46" s="95"/>
    </row>
    <row r="49" spans="1:8">
      <c r="F49" s="95"/>
      <c r="G49" s="95"/>
    </row>
    <row r="51" spans="1:8" ht="21">
      <c r="A51" s="97"/>
      <c r="H51" s="104"/>
    </row>
  </sheetData>
  <printOptions gridLines="1"/>
  <pageMargins left="0.25" right="0.25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G16" sqref="G16"/>
    </sheetView>
  </sheetViews>
  <sheetFormatPr defaultRowHeight="14.4"/>
  <cols>
    <col min="1" max="1" width="20.109375" customWidth="1"/>
    <col min="3" max="3" width="6.6640625" customWidth="1"/>
    <col min="4" max="4" width="10.88671875" customWidth="1"/>
    <col min="5" max="5" width="16.77734375" customWidth="1"/>
    <col min="6" max="6" width="13.77734375" customWidth="1"/>
  </cols>
  <sheetData>
    <row r="1" spans="1:13" ht="25.8">
      <c r="A1" s="109" t="s">
        <v>493</v>
      </c>
    </row>
    <row r="5" spans="1:13">
      <c r="A5" t="s">
        <v>494</v>
      </c>
    </row>
    <row r="6" spans="1:13" ht="2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21">
      <c r="A7" s="97" t="s">
        <v>495</v>
      </c>
      <c r="B7" s="97"/>
      <c r="C7" s="97"/>
      <c r="D7" s="97"/>
      <c r="E7" s="118">
        <v>3610.09</v>
      </c>
      <c r="F7" s="97"/>
      <c r="G7" s="97"/>
      <c r="H7" s="97"/>
      <c r="I7" s="97"/>
      <c r="J7" s="97"/>
      <c r="K7" s="97"/>
      <c r="L7" s="97"/>
      <c r="M7" s="97"/>
    </row>
    <row r="8" spans="1:13" ht="21">
      <c r="A8" s="97" t="s">
        <v>496</v>
      </c>
      <c r="B8" s="97"/>
      <c r="C8" s="97"/>
      <c r="D8" s="97"/>
      <c r="E8" s="118">
        <v>16781.25</v>
      </c>
      <c r="F8" s="97"/>
      <c r="G8" s="97"/>
      <c r="H8" s="97"/>
      <c r="I8" s="97"/>
      <c r="J8" s="97"/>
      <c r="K8" s="97"/>
      <c r="L8" s="97"/>
      <c r="M8" s="97"/>
    </row>
    <row r="9" spans="1:13" ht="21">
      <c r="A9" s="97"/>
      <c r="B9" s="97"/>
      <c r="C9" s="97"/>
      <c r="D9" s="97"/>
      <c r="E9" s="118"/>
      <c r="F9" s="97"/>
      <c r="G9" s="97"/>
      <c r="H9" s="97"/>
      <c r="I9" s="97"/>
      <c r="J9" s="97"/>
      <c r="K9" s="97"/>
      <c r="L9" s="97"/>
      <c r="M9" s="97"/>
    </row>
    <row r="10" spans="1:13" ht="21">
      <c r="A10" s="97" t="s">
        <v>497</v>
      </c>
      <c r="B10" s="97"/>
      <c r="C10" s="97"/>
      <c r="D10" s="97"/>
      <c r="E10" s="118">
        <f>SUM(E7:E9)</f>
        <v>20391.34</v>
      </c>
      <c r="F10" s="97"/>
      <c r="G10" s="97"/>
      <c r="H10" s="97"/>
      <c r="I10" s="97"/>
      <c r="J10" s="97"/>
      <c r="K10" s="97"/>
      <c r="L10" s="97"/>
      <c r="M10" s="97"/>
    </row>
    <row r="11" spans="1:13" ht="21">
      <c r="A11" s="97"/>
      <c r="B11" s="97"/>
      <c r="C11" s="97"/>
      <c r="D11" s="97"/>
      <c r="E11" s="118"/>
      <c r="F11" s="97"/>
      <c r="G11" s="97"/>
      <c r="H11" s="97"/>
      <c r="I11" s="97"/>
      <c r="J11" s="97"/>
      <c r="K11" s="97"/>
      <c r="L11" s="97"/>
      <c r="M11" s="97"/>
    </row>
    <row r="12" spans="1:13" ht="21">
      <c r="A12" s="97" t="s">
        <v>498</v>
      </c>
      <c r="B12" s="97"/>
      <c r="C12" s="97"/>
      <c r="D12" s="97"/>
      <c r="E12" s="118"/>
      <c r="F12" s="97"/>
      <c r="G12" s="97"/>
      <c r="H12" s="97"/>
      <c r="I12" s="97"/>
      <c r="J12" s="97"/>
      <c r="K12" s="97"/>
      <c r="L12" s="97"/>
      <c r="M12" s="97"/>
    </row>
    <row r="13" spans="1:13" ht="21">
      <c r="A13" s="97"/>
      <c r="B13" s="97"/>
      <c r="C13" s="97"/>
      <c r="D13" s="97"/>
      <c r="E13" s="118"/>
      <c r="F13" s="97"/>
      <c r="G13" s="97"/>
      <c r="H13" s="97"/>
      <c r="I13" s="97"/>
      <c r="J13" s="97"/>
      <c r="K13" s="97"/>
      <c r="L13" s="97"/>
      <c r="M13" s="97"/>
    </row>
    <row r="14" spans="1:13" ht="21">
      <c r="B14" s="97"/>
      <c r="C14" s="97"/>
      <c r="D14" s="97"/>
      <c r="E14" s="118"/>
      <c r="F14" s="97" t="s">
        <v>363</v>
      </c>
      <c r="G14" s="97"/>
      <c r="H14" s="97"/>
      <c r="I14" s="97"/>
      <c r="J14" s="97"/>
      <c r="K14" s="97"/>
      <c r="L14" s="97"/>
      <c r="M14" s="97"/>
    </row>
    <row r="15" spans="1:13" ht="21">
      <c r="B15" s="97"/>
      <c r="C15" s="97"/>
      <c r="D15" s="97" t="s">
        <v>470</v>
      </c>
      <c r="E15" s="118"/>
      <c r="F15" s="97" t="s">
        <v>421</v>
      </c>
      <c r="G15" s="97"/>
      <c r="H15" s="97"/>
      <c r="I15" s="97"/>
      <c r="J15" s="97"/>
      <c r="K15" s="97"/>
      <c r="L15" s="97"/>
      <c r="M15" s="97"/>
    </row>
    <row r="16" spans="1:13" ht="21">
      <c r="A16" s="97" t="s">
        <v>499</v>
      </c>
      <c r="B16" s="97"/>
      <c r="C16" s="97"/>
      <c r="D16" s="97">
        <v>231.34</v>
      </c>
      <c r="E16" s="118">
        <f>D16*12</f>
        <v>2776.08</v>
      </c>
      <c r="F16" s="118">
        <f>E16-E7</f>
        <v>-834.01000000000022</v>
      </c>
      <c r="G16" s="97"/>
      <c r="H16" s="97"/>
      <c r="I16" s="97"/>
      <c r="J16" s="97"/>
      <c r="K16" s="97"/>
      <c r="L16" s="97"/>
      <c r="M16" s="97"/>
    </row>
    <row r="17" spans="1:13" ht="21">
      <c r="A17" s="97" t="s">
        <v>500</v>
      </c>
      <c r="B17" s="97"/>
      <c r="C17" s="97"/>
      <c r="D17" s="97">
        <v>1412.5</v>
      </c>
      <c r="E17" s="118">
        <f>D17*12</f>
        <v>16950</v>
      </c>
      <c r="F17" s="118">
        <f>E17-E8</f>
        <v>168.75</v>
      </c>
      <c r="G17" s="97"/>
      <c r="H17" s="97"/>
      <c r="I17" s="97"/>
      <c r="J17" s="97"/>
      <c r="K17" s="97"/>
      <c r="L17" s="97"/>
      <c r="M17" s="97"/>
    </row>
    <row r="18" spans="1:13" ht="21">
      <c r="A18" s="97"/>
      <c r="B18" s="97"/>
      <c r="C18" s="97"/>
      <c r="D18" s="97"/>
      <c r="E18" s="118"/>
      <c r="F18" s="97"/>
      <c r="G18" s="97"/>
      <c r="H18" s="97"/>
      <c r="I18" s="97"/>
      <c r="J18" s="97"/>
      <c r="K18" s="97"/>
      <c r="L18" s="97"/>
      <c r="M18" s="97"/>
    </row>
    <row r="19" spans="1:13" ht="21">
      <c r="A19" s="97"/>
      <c r="B19" s="97"/>
      <c r="C19" s="97"/>
      <c r="D19" s="97"/>
      <c r="E19" s="118">
        <f>SUM(E16:E18)</f>
        <v>19726.080000000002</v>
      </c>
      <c r="F19" s="118">
        <f>SUM(F16:F18)</f>
        <v>-665.26000000000022</v>
      </c>
      <c r="G19" s="97" t="s">
        <v>501</v>
      </c>
      <c r="H19" s="97"/>
      <c r="I19" s="97"/>
      <c r="J19" s="97"/>
      <c r="K19" s="97"/>
      <c r="L19" s="97"/>
      <c r="M19" s="97"/>
    </row>
    <row r="20" spans="1:13" ht="21">
      <c r="A20" s="97"/>
      <c r="B20" s="97"/>
      <c r="C20" s="97"/>
      <c r="D20" s="97"/>
      <c r="E20" s="118"/>
      <c r="F20" s="97"/>
      <c r="G20" s="97"/>
      <c r="H20" s="97"/>
      <c r="I20" s="97"/>
      <c r="J20" s="97"/>
      <c r="K20" s="97"/>
      <c r="L20" s="97"/>
      <c r="M20" s="97"/>
    </row>
    <row r="21" spans="1:13" ht="21">
      <c r="A21" s="97"/>
      <c r="B21" s="97"/>
      <c r="C21" s="97"/>
      <c r="D21" s="97"/>
      <c r="E21" s="118"/>
      <c r="F21" s="97"/>
      <c r="G21" s="97"/>
      <c r="H21" s="97"/>
      <c r="I21" s="97"/>
      <c r="J21" s="97"/>
      <c r="K21" s="97"/>
      <c r="L21" s="97"/>
      <c r="M21" s="97"/>
    </row>
    <row r="22" spans="1:13" ht="21">
      <c r="A22" s="97"/>
      <c r="B22" s="97"/>
      <c r="C22" s="97"/>
      <c r="D22" s="97"/>
      <c r="E22" s="118"/>
      <c r="F22" s="97"/>
      <c r="G22" s="97"/>
      <c r="H22" s="97"/>
      <c r="I22" s="97"/>
      <c r="J22" s="97"/>
      <c r="K22" s="97"/>
      <c r="L22" s="97"/>
      <c r="M22" s="97"/>
    </row>
    <row r="23" spans="1:13" ht="21">
      <c r="A23" s="97"/>
      <c r="B23" s="97"/>
      <c r="C23" s="97"/>
      <c r="D23" s="97"/>
      <c r="E23" s="118"/>
      <c r="F23" s="97"/>
      <c r="G23" s="97"/>
      <c r="H23" s="97"/>
      <c r="I23" s="97"/>
      <c r="J23" s="97"/>
      <c r="K23" s="97"/>
      <c r="L23" s="97"/>
      <c r="M23" s="97"/>
    </row>
    <row r="24" spans="1:13" ht="21">
      <c r="A24" s="97"/>
      <c r="B24" s="97"/>
      <c r="C24" s="97"/>
      <c r="D24" s="97"/>
      <c r="E24" s="118"/>
      <c r="F24" s="97"/>
      <c r="G24" s="97"/>
      <c r="H24" s="97"/>
      <c r="I24" s="97"/>
      <c r="J24" s="97"/>
      <c r="K24" s="97"/>
      <c r="L24" s="97"/>
      <c r="M24" s="97"/>
    </row>
    <row r="25" spans="1:13" ht="21">
      <c r="A25" s="97"/>
      <c r="B25" s="97"/>
      <c r="C25" s="97"/>
      <c r="D25" s="97"/>
      <c r="E25" s="118"/>
      <c r="F25" s="97"/>
      <c r="G25" s="97"/>
      <c r="H25" s="97"/>
      <c r="I25" s="97"/>
      <c r="J25" s="97"/>
      <c r="K25" s="97"/>
      <c r="L25" s="97"/>
      <c r="M25" s="97"/>
    </row>
    <row r="26" spans="1:13" ht="2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</sheetData>
  <printOptions gridLines="1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workbookViewId="0">
      <selection activeCell="N40" sqref="N40:N41"/>
    </sheetView>
  </sheetViews>
  <sheetFormatPr defaultRowHeight="14.4"/>
  <cols>
    <col min="1" max="1" width="8" customWidth="1"/>
    <col min="2" max="2" width="28.5546875" customWidth="1"/>
    <col min="3" max="3" width="12.21875" bestFit="1" customWidth="1"/>
    <col min="4" max="4" width="9.77734375" bestFit="1" customWidth="1"/>
    <col min="5" max="5" width="12" bestFit="1" customWidth="1"/>
    <col min="6" max="6" width="11" bestFit="1" customWidth="1"/>
    <col min="7" max="7" width="1.6640625" customWidth="1"/>
    <col min="8" max="8" width="11" bestFit="1" customWidth="1"/>
    <col min="9" max="9" width="15.6640625" customWidth="1"/>
    <col min="11" max="11" width="10" bestFit="1" customWidth="1"/>
  </cols>
  <sheetData>
    <row r="1" spans="1:18">
      <c r="A1" s="61"/>
      <c r="B1" s="62"/>
      <c r="C1" s="61"/>
      <c r="D1" s="61"/>
      <c r="E1" s="61"/>
      <c r="F1" s="61"/>
      <c r="G1" s="61"/>
      <c r="H1" s="63"/>
      <c r="I1" s="63"/>
      <c r="J1" s="61"/>
      <c r="K1" s="61"/>
      <c r="L1" s="61"/>
      <c r="M1" s="61"/>
      <c r="N1" s="61"/>
      <c r="O1" s="61"/>
      <c r="P1" s="61"/>
      <c r="Q1" s="61"/>
      <c r="R1" s="61"/>
    </row>
    <row r="2" spans="1:18">
      <c r="A2" s="61"/>
      <c r="B2" s="6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>
      <c r="A3" s="61"/>
      <c r="B3" s="62"/>
      <c r="C3" s="61"/>
      <c r="D3" s="61"/>
      <c r="E3" s="61"/>
      <c r="F3" s="61"/>
      <c r="G3" s="61"/>
      <c r="H3" s="64"/>
      <c r="I3" s="65"/>
      <c r="J3" s="61"/>
      <c r="K3" s="61"/>
      <c r="L3" s="61"/>
      <c r="M3" s="61"/>
      <c r="N3" s="61"/>
      <c r="O3" s="61"/>
      <c r="P3" s="61"/>
      <c r="Q3" s="61"/>
      <c r="R3" s="61"/>
    </row>
    <row r="4" spans="1:18">
      <c r="A4" s="61"/>
      <c r="B4" s="62"/>
      <c r="C4" s="66"/>
      <c r="D4" s="66"/>
      <c r="E4" s="66"/>
      <c r="F4" s="66"/>
      <c r="G4" s="66"/>
      <c r="H4" s="66"/>
      <c r="I4" s="66"/>
      <c r="J4" s="66"/>
      <c r="K4" s="61"/>
      <c r="L4" s="61"/>
      <c r="M4" s="61"/>
      <c r="N4" s="61"/>
      <c r="O4" s="61"/>
      <c r="P4" s="61"/>
      <c r="Q4" s="61"/>
      <c r="R4" s="61"/>
    </row>
    <row r="5" spans="1:18">
      <c r="A5" s="61"/>
      <c r="B5" s="62"/>
      <c r="C5" s="66"/>
      <c r="D5" s="66"/>
      <c r="E5" s="66"/>
      <c r="F5" s="66"/>
      <c r="G5" s="66"/>
      <c r="H5" s="66"/>
      <c r="I5" s="66"/>
      <c r="J5" s="67"/>
      <c r="K5" s="68"/>
      <c r="L5" s="61"/>
      <c r="M5" s="61"/>
      <c r="N5" s="61"/>
      <c r="O5" s="61"/>
      <c r="P5" s="61"/>
      <c r="Q5" s="61"/>
      <c r="R5" s="61"/>
    </row>
    <row r="6" spans="1:18">
      <c r="A6" s="61"/>
      <c r="B6" s="62"/>
      <c r="C6" s="66"/>
      <c r="D6" s="66"/>
      <c r="E6" s="66"/>
      <c r="F6" s="66"/>
      <c r="G6" s="66"/>
      <c r="H6" s="66"/>
      <c r="I6" s="66"/>
      <c r="J6" s="66"/>
      <c r="K6" s="68"/>
      <c r="L6" s="61"/>
      <c r="M6" s="61"/>
      <c r="N6" s="61"/>
      <c r="O6" s="61"/>
      <c r="P6" s="61"/>
      <c r="Q6" s="61"/>
      <c r="R6" s="61"/>
    </row>
    <row r="7" spans="1:18">
      <c r="A7" s="61"/>
      <c r="B7" s="62"/>
      <c r="C7" s="66"/>
      <c r="D7" s="66"/>
      <c r="E7" s="66"/>
      <c r="F7" s="66"/>
      <c r="G7" s="66"/>
      <c r="H7" s="66"/>
      <c r="I7" s="339"/>
      <c r="J7" s="66"/>
      <c r="K7" s="68"/>
      <c r="L7" s="61"/>
      <c r="M7" s="61"/>
      <c r="N7" s="61"/>
      <c r="O7" s="61"/>
      <c r="P7" s="61"/>
      <c r="Q7" s="61"/>
      <c r="R7" s="61"/>
    </row>
    <row r="8" spans="1:18">
      <c r="A8" s="61"/>
      <c r="B8" s="61"/>
      <c r="C8" s="61"/>
      <c r="D8" s="61"/>
      <c r="E8" s="61"/>
      <c r="F8" s="65"/>
      <c r="G8" s="61"/>
      <c r="H8" s="61"/>
      <c r="I8" s="61"/>
      <c r="J8" s="61"/>
      <c r="K8" s="68"/>
      <c r="L8" s="61"/>
      <c r="M8" s="61"/>
      <c r="N8" s="61"/>
      <c r="O8" s="61"/>
      <c r="P8" s="61"/>
      <c r="Q8" s="61"/>
      <c r="R8" s="61"/>
    </row>
    <row r="9" spans="1:18">
      <c r="A9" s="61"/>
      <c r="B9" s="61"/>
      <c r="C9" s="61"/>
      <c r="D9" s="61"/>
      <c r="E9" s="61"/>
      <c r="F9" s="65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>
      <c r="A10" s="61"/>
      <c r="B10" s="61"/>
      <c r="C10" s="61"/>
      <c r="D10" s="61"/>
      <c r="E10" s="61"/>
      <c r="F10" s="65"/>
      <c r="G10" s="61"/>
      <c r="H10" s="69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>
      <c r="A11" s="61"/>
      <c r="B11" s="61"/>
      <c r="C11" s="61"/>
      <c r="D11" s="61"/>
      <c r="E11" s="61"/>
      <c r="F11" s="65"/>
      <c r="G11" s="61"/>
      <c r="H11" s="61"/>
      <c r="I11" s="61"/>
      <c r="J11" s="61"/>
      <c r="K11" s="68"/>
      <c r="L11" s="61"/>
      <c r="M11" s="61"/>
      <c r="N11" s="61"/>
      <c r="O11" s="61"/>
      <c r="P11" s="61"/>
      <c r="Q11" s="61"/>
      <c r="R11" s="61"/>
    </row>
    <row r="12" spans="1:18">
      <c r="A12" s="61"/>
      <c r="B12" s="61"/>
      <c r="C12" s="63"/>
      <c r="D12" s="63"/>
      <c r="E12" s="63"/>
      <c r="F12" s="70"/>
      <c r="G12" s="61"/>
      <c r="H12" s="61"/>
      <c r="I12" s="61"/>
      <c r="J12" s="61"/>
      <c r="K12" s="71"/>
      <c r="L12" s="61"/>
      <c r="M12" s="61"/>
      <c r="N12" s="61"/>
      <c r="O12" s="61"/>
      <c r="P12" s="61"/>
      <c r="Q12" s="61"/>
      <c r="R12" s="61"/>
    </row>
    <row r="13" spans="1:18">
      <c r="A13" s="61"/>
      <c r="B13" s="61"/>
      <c r="C13" s="63"/>
      <c r="D13" s="63"/>
      <c r="E13" s="63"/>
      <c r="F13" s="61"/>
      <c r="G13" s="7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>
      <c r="A14" s="61"/>
      <c r="B14" s="63"/>
      <c r="C14" s="63"/>
      <c r="D14" s="61"/>
      <c r="E14" s="61"/>
      <c r="F14" s="63"/>
      <c r="G14" s="73"/>
      <c r="H14" s="74"/>
      <c r="I14" s="63"/>
      <c r="J14" s="63"/>
      <c r="K14" s="61"/>
      <c r="L14" s="61"/>
      <c r="M14" s="61"/>
      <c r="N14" s="61"/>
      <c r="O14" s="61"/>
      <c r="P14" s="61"/>
      <c r="Q14" s="61"/>
      <c r="R14" s="61"/>
    </row>
    <row r="15" spans="1:18">
      <c r="A15" s="61"/>
      <c r="B15" s="61"/>
      <c r="C15" s="61"/>
      <c r="D15" s="61"/>
      <c r="E15" s="61"/>
      <c r="F15" s="65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>
      <c r="A16" s="61"/>
      <c r="B16" s="61"/>
      <c r="C16" s="61"/>
      <c r="D16" s="62"/>
      <c r="E16" s="62"/>
      <c r="F16" s="66"/>
      <c r="G16" s="66"/>
      <c r="H16" s="66"/>
      <c r="I16" s="66"/>
      <c r="J16" s="66"/>
      <c r="K16" s="61"/>
      <c r="L16" s="61"/>
      <c r="M16" s="61"/>
      <c r="N16" s="61"/>
      <c r="O16" s="61"/>
      <c r="P16" s="61"/>
      <c r="Q16" s="61"/>
      <c r="R16" s="61"/>
    </row>
    <row r="17" spans="1:18">
      <c r="A17" s="61"/>
      <c r="B17" s="62"/>
      <c r="C17" s="62"/>
      <c r="D17" s="62"/>
      <c r="E17" s="62"/>
      <c r="F17" s="66"/>
      <c r="G17" s="66"/>
      <c r="H17" s="66"/>
      <c r="I17" s="66"/>
      <c r="J17" s="66"/>
      <c r="K17" s="61"/>
      <c r="L17" s="61"/>
      <c r="M17" s="61"/>
      <c r="N17" s="61"/>
      <c r="O17" s="61"/>
      <c r="P17" s="61"/>
      <c r="Q17" s="61"/>
      <c r="R17" s="61"/>
    </row>
    <row r="18" spans="1:18">
      <c r="A18" s="61"/>
      <c r="B18" s="61"/>
      <c r="C18" s="62"/>
      <c r="D18" s="62"/>
      <c r="E18" s="62"/>
      <c r="F18" s="66"/>
      <c r="G18" s="66"/>
      <c r="H18" s="66"/>
      <c r="I18" s="66"/>
      <c r="J18" s="66"/>
      <c r="K18" s="68"/>
      <c r="L18" s="61"/>
      <c r="M18" s="61"/>
      <c r="N18" s="61"/>
      <c r="O18" s="61"/>
      <c r="P18" s="61"/>
      <c r="Q18" s="61"/>
      <c r="R18" s="61"/>
    </row>
    <row r="19" spans="1:18">
      <c r="A19" s="61"/>
      <c r="B19" s="75"/>
      <c r="C19" s="62"/>
      <c r="D19" s="62"/>
      <c r="E19" s="62"/>
      <c r="F19" s="66"/>
      <c r="G19" s="66"/>
      <c r="H19" s="66"/>
      <c r="I19" s="66"/>
      <c r="J19" s="66"/>
      <c r="K19" s="68"/>
      <c r="L19" s="61"/>
      <c r="M19" s="61"/>
      <c r="N19" s="61"/>
      <c r="O19" s="61"/>
      <c r="P19" s="61"/>
      <c r="Q19" s="61"/>
      <c r="R19" s="61"/>
    </row>
    <row r="20" spans="1:18">
      <c r="A20" s="61"/>
      <c r="B20" s="75"/>
      <c r="C20" s="62"/>
      <c r="D20" s="62"/>
      <c r="E20" s="62"/>
      <c r="F20" s="66"/>
      <c r="G20" s="66"/>
      <c r="H20" s="66"/>
      <c r="I20" s="66"/>
      <c r="J20" s="66"/>
      <c r="K20" s="68"/>
      <c r="L20" s="61"/>
      <c r="M20" s="61"/>
      <c r="N20" s="61"/>
      <c r="O20" s="61"/>
      <c r="P20" s="61"/>
      <c r="Q20" s="61"/>
      <c r="R20" s="61"/>
    </row>
    <row r="21" spans="1:18">
      <c r="A21" s="61"/>
      <c r="B21" s="61"/>
      <c r="C21" s="76"/>
      <c r="D21" s="115"/>
      <c r="E21" s="79"/>
      <c r="F21" s="79"/>
      <c r="G21" s="78"/>
      <c r="H21" s="79"/>
      <c r="I21" s="77"/>
      <c r="J21" s="61"/>
      <c r="K21" s="61"/>
      <c r="L21" s="61"/>
      <c r="M21" s="61"/>
      <c r="N21" s="61"/>
      <c r="O21" s="61"/>
      <c r="P21" s="61"/>
      <c r="Q21" s="61"/>
      <c r="R21" s="61"/>
    </row>
    <row r="22" spans="1:18">
      <c r="A22" s="61"/>
      <c r="B22" s="61"/>
      <c r="C22" s="76"/>
      <c r="D22" s="115"/>
      <c r="E22" s="79"/>
      <c r="F22" s="79"/>
      <c r="G22" s="78"/>
      <c r="H22" s="79"/>
      <c r="I22" s="77"/>
      <c r="J22" s="61"/>
      <c r="K22" s="61"/>
      <c r="L22" s="61"/>
      <c r="M22" s="61"/>
      <c r="N22" s="61"/>
      <c r="O22" s="61"/>
      <c r="P22" s="61"/>
      <c r="Q22" s="61"/>
      <c r="R22" s="61"/>
    </row>
    <row r="23" spans="1:18">
      <c r="A23" s="61"/>
      <c r="B23" s="61"/>
      <c r="C23" s="76"/>
      <c r="D23" s="115"/>
      <c r="E23" s="79"/>
      <c r="F23" s="79"/>
      <c r="G23" s="78"/>
      <c r="H23" s="79"/>
      <c r="I23" s="77"/>
      <c r="J23" s="61"/>
      <c r="K23" s="61"/>
      <c r="L23" s="61"/>
      <c r="M23" s="61"/>
      <c r="N23" s="61"/>
      <c r="O23" s="61"/>
      <c r="P23" s="61"/>
      <c r="Q23" s="61"/>
      <c r="R23" s="61"/>
    </row>
    <row r="24" spans="1:18">
      <c r="A24" s="61"/>
      <c r="B24" s="61"/>
      <c r="C24" s="76"/>
      <c r="D24" s="115"/>
      <c r="E24" s="79"/>
      <c r="F24" s="79"/>
      <c r="G24" s="78"/>
      <c r="H24" s="79"/>
      <c r="I24" s="77"/>
      <c r="J24" s="61"/>
      <c r="K24" s="68"/>
      <c r="L24" s="61"/>
      <c r="M24" s="61"/>
      <c r="N24" s="61"/>
      <c r="O24" s="61"/>
      <c r="P24" s="61"/>
      <c r="Q24" s="61"/>
      <c r="R24" s="61"/>
    </row>
    <row r="25" spans="1:18">
      <c r="A25" s="61"/>
      <c r="B25" s="61"/>
      <c r="C25" s="76"/>
      <c r="D25" s="115"/>
      <c r="E25" s="79"/>
      <c r="F25" s="79"/>
      <c r="G25" s="78"/>
      <c r="H25" s="79"/>
      <c r="I25" s="77"/>
      <c r="J25" s="61"/>
      <c r="K25" s="61"/>
      <c r="L25" s="61"/>
      <c r="M25" s="61"/>
      <c r="N25" s="61"/>
      <c r="O25" s="61"/>
      <c r="P25" s="61"/>
      <c r="Q25" s="61"/>
      <c r="R25" s="61"/>
    </row>
    <row r="26" spans="1:18">
      <c r="A26" s="61"/>
      <c r="B26" s="61"/>
      <c r="C26" s="76"/>
      <c r="D26" s="115"/>
      <c r="E26" s="79"/>
      <c r="F26" s="79"/>
      <c r="G26" s="78"/>
      <c r="H26" s="79"/>
      <c r="I26" s="77"/>
      <c r="J26" s="61"/>
      <c r="K26" s="61"/>
      <c r="L26" s="61"/>
      <c r="M26" s="61"/>
      <c r="N26" s="61"/>
      <c r="O26" s="61"/>
      <c r="P26" s="61"/>
      <c r="Q26" s="61"/>
      <c r="R26" s="61"/>
    </row>
    <row r="27" spans="1:18">
      <c r="A27" s="61"/>
      <c r="B27" s="61"/>
      <c r="C27" s="76"/>
      <c r="D27" s="115"/>
      <c r="E27" s="79"/>
      <c r="F27" s="79"/>
      <c r="G27" s="78"/>
      <c r="H27" s="79"/>
      <c r="I27" s="77"/>
      <c r="J27" s="61"/>
      <c r="K27" s="68"/>
      <c r="L27" s="61"/>
      <c r="M27" s="61"/>
      <c r="N27" s="61"/>
      <c r="O27" s="61"/>
      <c r="P27" s="61"/>
      <c r="Q27" s="61"/>
      <c r="R27" s="61"/>
    </row>
    <row r="28" spans="1:18">
      <c r="A28" s="61"/>
      <c r="B28" s="61"/>
      <c r="C28" s="61"/>
      <c r="D28" s="115"/>
      <c r="E28" s="79"/>
      <c r="F28" s="79"/>
      <c r="G28" s="78"/>
      <c r="H28" s="79"/>
      <c r="I28" s="77"/>
      <c r="J28" s="61"/>
      <c r="K28" s="61"/>
      <c r="L28" s="61"/>
      <c r="M28" s="61"/>
      <c r="N28" s="61"/>
      <c r="O28" s="61"/>
      <c r="P28" s="61"/>
      <c r="Q28" s="61"/>
      <c r="R28" s="61"/>
    </row>
    <row r="29" spans="1:18">
      <c r="A29" s="61"/>
      <c r="B29" s="61"/>
      <c r="C29" s="76"/>
      <c r="D29" s="115"/>
      <c r="E29" s="79"/>
      <c r="F29" s="79"/>
      <c r="G29" s="78"/>
      <c r="H29" s="79"/>
      <c r="I29" s="77"/>
      <c r="J29" s="61"/>
      <c r="K29" s="61"/>
      <c r="L29" s="61"/>
      <c r="M29" s="61"/>
      <c r="N29" s="61"/>
      <c r="O29" s="61"/>
      <c r="P29" s="61"/>
      <c r="Q29" s="61"/>
      <c r="R29" s="61"/>
    </row>
    <row r="30" spans="1:18">
      <c r="A30" s="61"/>
      <c r="B30" s="61"/>
      <c r="C30" s="76"/>
      <c r="D30" s="115"/>
      <c r="E30" s="79"/>
      <c r="F30" s="79"/>
      <c r="G30" s="78"/>
      <c r="H30" s="79"/>
      <c r="I30" s="77"/>
      <c r="J30" s="61"/>
      <c r="K30" s="61"/>
      <c r="L30" s="61"/>
      <c r="M30" s="61"/>
      <c r="N30" s="61"/>
      <c r="O30" s="61"/>
      <c r="P30" s="61"/>
      <c r="Q30" s="61"/>
      <c r="R30" s="61"/>
    </row>
    <row r="31" spans="1:18">
      <c r="A31" s="61"/>
      <c r="B31" s="61"/>
      <c r="C31" s="61"/>
      <c r="D31" s="115"/>
      <c r="E31" s="79"/>
      <c r="F31" s="79"/>
      <c r="G31" s="77"/>
      <c r="H31" s="79"/>
      <c r="I31" s="77"/>
      <c r="J31" s="61"/>
      <c r="K31" s="61"/>
      <c r="L31" s="61"/>
      <c r="M31" s="61"/>
      <c r="N31" s="61"/>
      <c r="O31" s="61"/>
      <c r="P31" s="61"/>
      <c r="Q31" s="61"/>
      <c r="R31" s="61"/>
    </row>
    <row r="32" spans="1:18">
      <c r="A32" s="61"/>
      <c r="B32" s="61"/>
      <c r="C32" s="61"/>
      <c r="D32" s="115"/>
      <c r="E32" s="79"/>
      <c r="F32" s="79"/>
      <c r="G32" s="77"/>
      <c r="H32" s="79"/>
      <c r="I32" s="77"/>
      <c r="J32" s="61"/>
      <c r="K32" s="61"/>
      <c r="L32" s="61"/>
      <c r="M32" s="61"/>
      <c r="N32" s="61"/>
      <c r="O32" s="61"/>
      <c r="P32" s="61"/>
      <c r="Q32" s="61"/>
      <c r="R32" s="61"/>
    </row>
    <row r="33" spans="1:20">
      <c r="A33" s="61"/>
      <c r="B33" s="61"/>
      <c r="C33" s="76"/>
      <c r="D33" s="115"/>
      <c r="E33" s="79"/>
      <c r="F33" s="79"/>
      <c r="G33" s="78"/>
      <c r="H33" s="79"/>
      <c r="I33" s="77"/>
      <c r="J33" s="61"/>
      <c r="K33" s="61"/>
      <c r="L33" s="61"/>
      <c r="M33" s="61"/>
      <c r="N33" s="61"/>
      <c r="O33" s="61"/>
      <c r="P33" s="61"/>
      <c r="Q33" s="61"/>
      <c r="R33" s="61"/>
    </row>
    <row r="34" spans="1:20">
      <c r="A34" s="61"/>
      <c r="B34" s="61"/>
      <c r="C34" s="61"/>
      <c r="D34" s="115"/>
      <c r="E34" s="79"/>
      <c r="F34" s="79"/>
      <c r="G34" s="77"/>
      <c r="H34" s="79"/>
      <c r="I34" s="77"/>
      <c r="J34" s="61"/>
      <c r="K34" s="61"/>
      <c r="L34" s="61"/>
      <c r="M34" s="61"/>
      <c r="N34" s="61"/>
      <c r="O34" s="61"/>
      <c r="P34" s="61"/>
      <c r="Q34" s="61"/>
      <c r="R34" s="61"/>
    </row>
    <row r="35" spans="1:20">
      <c r="A35" s="61"/>
      <c r="B35" s="61"/>
      <c r="C35" s="61"/>
      <c r="D35" s="115"/>
      <c r="E35" s="79"/>
      <c r="F35" s="79"/>
      <c r="G35" s="77"/>
      <c r="H35" s="79"/>
      <c r="I35" s="77"/>
      <c r="J35" s="61"/>
      <c r="K35" s="61"/>
      <c r="L35" s="61"/>
      <c r="M35" s="61"/>
      <c r="N35" s="61"/>
      <c r="O35" s="61"/>
      <c r="P35" s="61"/>
      <c r="Q35" s="61"/>
      <c r="R35" s="61"/>
    </row>
    <row r="36" spans="1:20">
      <c r="A36" s="61"/>
      <c r="B36" s="61"/>
      <c r="C36" s="76"/>
      <c r="D36" s="115"/>
      <c r="E36" s="79"/>
      <c r="F36" s="79"/>
      <c r="G36" s="78"/>
      <c r="H36" s="79"/>
      <c r="I36" s="77"/>
      <c r="J36" s="61"/>
      <c r="K36" s="61"/>
      <c r="L36" s="61"/>
      <c r="M36" s="61"/>
      <c r="N36" s="61"/>
      <c r="O36" s="61"/>
      <c r="P36" s="61"/>
      <c r="Q36" s="61"/>
      <c r="R36" s="61"/>
    </row>
    <row r="37" spans="1:20">
      <c r="A37" s="61"/>
      <c r="B37" s="87"/>
      <c r="C37" s="76"/>
      <c r="D37" s="115"/>
      <c r="E37" s="79"/>
      <c r="F37" s="79"/>
      <c r="G37" s="78"/>
      <c r="H37" s="79"/>
      <c r="I37" s="77"/>
      <c r="J37" s="61"/>
      <c r="K37" s="61"/>
      <c r="L37" s="61"/>
      <c r="M37" s="61"/>
      <c r="N37" s="61"/>
      <c r="O37" s="61"/>
      <c r="P37" s="61"/>
      <c r="Q37" s="61"/>
      <c r="R37" s="61"/>
    </row>
    <row r="38" spans="1:20">
      <c r="A38" s="61"/>
      <c r="B38" s="61"/>
      <c r="C38" s="76"/>
      <c r="D38" s="115"/>
      <c r="E38" s="79"/>
      <c r="F38" s="79"/>
      <c r="G38" s="78"/>
      <c r="H38" s="79"/>
      <c r="I38" s="77"/>
      <c r="J38" s="61"/>
      <c r="K38" s="61"/>
      <c r="L38" s="61"/>
      <c r="M38" s="61"/>
      <c r="N38" s="61"/>
      <c r="O38" s="61"/>
      <c r="P38" s="61"/>
      <c r="Q38" s="61"/>
      <c r="R38" s="61"/>
    </row>
    <row r="39" spans="1:20">
      <c r="A39" s="61"/>
      <c r="B39" s="61"/>
      <c r="C39" s="76"/>
      <c r="D39" s="115"/>
      <c r="E39" s="79"/>
      <c r="F39" s="79"/>
      <c r="G39" s="78"/>
      <c r="H39" s="79"/>
      <c r="I39" s="77"/>
      <c r="J39" s="61"/>
      <c r="K39" s="61"/>
      <c r="L39" s="61"/>
      <c r="M39" s="61"/>
      <c r="N39" s="61"/>
      <c r="O39" s="61"/>
      <c r="P39" s="61"/>
      <c r="Q39" s="61"/>
      <c r="R39" s="61"/>
    </row>
    <row r="40" spans="1:20">
      <c r="A40" s="61"/>
      <c r="B40" s="61"/>
      <c r="C40" s="76"/>
      <c r="D40" s="115"/>
      <c r="E40" s="79"/>
      <c r="F40" s="79"/>
      <c r="G40" s="78"/>
      <c r="H40" s="79"/>
      <c r="I40" s="77"/>
      <c r="J40" s="61"/>
      <c r="K40" s="61"/>
      <c r="L40" s="61"/>
      <c r="M40" s="61"/>
      <c r="N40" s="61"/>
      <c r="O40" s="61"/>
      <c r="P40" s="61"/>
      <c r="Q40" s="61"/>
      <c r="R40" s="61"/>
    </row>
    <row r="41" spans="1:20">
      <c r="A41" s="61"/>
      <c r="B41" s="61"/>
      <c r="C41" s="76"/>
      <c r="D41" s="115"/>
      <c r="E41" s="79"/>
      <c r="F41" s="79"/>
      <c r="G41" s="78"/>
      <c r="H41" s="79"/>
      <c r="I41" s="77"/>
      <c r="J41" s="61"/>
      <c r="K41" s="61"/>
      <c r="L41" s="61"/>
      <c r="M41" s="61"/>
      <c r="N41" s="61"/>
      <c r="O41" s="61"/>
      <c r="P41" s="61"/>
      <c r="Q41" s="61"/>
      <c r="R41" s="61"/>
    </row>
    <row r="42" spans="1:20">
      <c r="A42" s="61"/>
      <c r="B42" s="61"/>
      <c r="C42" s="76"/>
      <c r="D42" s="115"/>
      <c r="E42" s="79"/>
      <c r="F42" s="79"/>
      <c r="G42" s="78"/>
      <c r="H42" s="79"/>
      <c r="I42" s="77"/>
      <c r="J42" s="61"/>
      <c r="K42" s="61"/>
      <c r="L42" s="61"/>
      <c r="M42" s="61"/>
      <c r="N42" s="61"/>
      <c r="O42" s="61"/>
      <c r="P42" s="61"/>
      <c r="Q42" s="61"/>
      <c r="R42" s="61"/>
    </row>
    <row r="43" spans="1:20">
      <c r="A43" s="61"/>
      <c r="B43" s="69"/>
      <c r="C43" s="76"/>
      <c r="D43" s="115"/>
      <c r="E43" s="79"/>
      <c r="F43" s="79"/>
      <c r="G43" s="78"/>
      <c r="H43" s="79"/>
      <c r="I43" s="77"/>
      <c r="J43" s="61"/>
      <c r="K43" s="61"/>
      <c r="L43" s="61"/>
      <c r="M43" s="61"/>
      <c r="N43" s="61"/>
      <c r="O43" s="61"/>
      <c r="P43" s="61"/>
      <c r="Q43" s="61"/>
      <c r="R43" s="61"/>
    </row>
    <row r="44" spans="1:20">
      <c r="A44" s="61"/>
      <c r="B44" s="61"/>
      <c r="C44" s="61"/>
      <c r="D44" s="116"/>
      <c r="E44" s="79"/>
      <c r="F44" s="79"/>
      <c r="G44" s="61"/>
      <c r="H44" s="79"/>
      <c r="I44" s="77"/>
      <c r="J44" s="61"/>
      <c r="K44" s="61"/>
      <c r="L44" s="61"/>
      <c r="M44" s="61"/>
      <c r="N44" s="61"/>
      <c r="O44" s="61"/>
      <c r="P44" s="61"/>
      <c r="Q44" s="61"/>
      <c r="R44" s="61"/>
    </row>
    <row r="45" spans="1:20">
      <c r="A45" s="61"/>
      <c r="B45" s="61"/>
      <c r="C45" s="76"/>
      <c r="D45" s="115"/>
      <c r="E45" s="79"/>
      <c r="F45" s="79"/>
      <c r="H45" s="79"/>
      <c r="I45" s="77"/>
      <c r="J45" s="61"/>
      <c r="K45" s="61"/>
      <c r="L45" s="61"/>
      <c r="M45" s="61"/>
      <c r="N45" s="61"/>
      <c r="O45" s="61"/>
      <c r="P45" s="61"/>
      <c r="Q45" s="61"/>
      <c r="R45" s="61"/>
      <c r="T45" s="61"/>
    </row>
    <row r="46" spans="1:20">
      <c r="A46" s="61"/>
      <c r="B46" s="61"/>
      <c r="C46" s="76"/>
      <c r="D46" s="115"/>
      <c r="E46" s="79"/>
      <c r="F46" s="79"/>
      <c r="H46" s="79"/>
      <c r="I46" s="77"/>
      <c r="K46" s="61"/>
      <c r="L46" s="61"/>
      <c r="M46" s="61"/>
      <c r="N46" s="61"/>
      <c r="O46" s="61"/>
      <c r="P46" s="61"/>
      <c r="Q46" s="61"/>
      <c r="R46" s="61"/>
    </row>
    <row r="47" spans="1:20">
      <c r="A47" s="61"/>
      <c r="B47" s="61"/>
      <c r="C47" s="88"/>
      <c r="D47" s="90"/>
      <c r="E47" s="89"/>
      <c r="F47" s="91"/>
      <c r="G47" s="89"/>
      <c r="H47" s="89"/>
      <c r="I47" s="77"/>
      <c r="K47" s="61"/>
      <c r="L47" s="61"/>
      <c r="M47" s="61"/>
      <c r="N47" s="61"/>
      <c r="O47" s="61"/>
      <c r="P47" s="61"/>
      <c r="Q47" s="61"/>
      <c r="R47" s="61"/>
    </row>
    <row r="48" spans="1:20">
      <c r="A48" s="61"/>
      <c r="B48" s="61"/>
      <c r="C48" s="88"/>
      <c r="D48" s="90"/>
      <c r="E48" s="89"/>
      <c r="F48" s="91"/>
      <c r="G48" s="89"/>
      <c r="H48" s="89"/>
      <c r="I48" s="77"/>
      <c r="K48" s="61"/>
      <c r="L48" s="61"/>
      <c r="M48" s="61"/>
      <c r="N48" s="61"/>
      <c r="O48" s="61"/>
      <c r="P48" s="61"/>
      <c r="Q48" s="61"/>
      <c r="R48" s="61"/>
    </row>
    <row r="49" spans="1:18">
      <c r="A49" s="61"/>
      <c r="B49" s="61"/>
      <c r="C49" s="88"/>
      <c r="D49" s="90"/>
      <c r="E49" s="89"/>
      <c r="F49" s="91"/>
      <c r="G49" s="89"/>
      <c r="H49" s="89"/>
      <c r="I49" s="77"/>
      <c r="K49" s="61"/>
      <c r="L49" s="61"/>
      <c r="M49" s="61"/>
      <c r="N49" s="61"/>
      <c r="O49" s="61"/>
      <c r="P49" s="61"/>
      <c r="Q49" s="61"/>
      <c r="R49" s="61"/>
    </row>
    <row r="50" spans="1:18">
      <c r="A50" s="61"/>
      <c r="B50" s="61"/>
      <c r="C50" s="88"/>
      <c r="D50" s="90"/>
      <c r="E50" s="89"/>
      <c r="F50" s="91"/>
      <c r="G50" s="89"/>
      <c r="H50" s="89"/>
      <c r="I50" s="77"/>
      <c r="K50" s="61"/>
      <c r="L50" s="61"/>
      <c r="M50" s="61"/>
      <c r="N50" s="61"/>
      <c r="O50" s="61"/>
      <c r="P50" s="61"/>
      <c r="Q50" s="61"/>
      <c r="R50" s="61"/>
    </row>
    <row r="51" spans="1:18">
      <c r="I51" s="77"/>
      <c r="K51" s="61"/>
      <c r="L51" s="61"/>
      <c r="M51" s="61"/>
      <c r="N51" s="61"/>
      <c r="O51" s="61"/>
      <c r="P51" s="61"/>
      <c r="Q51" s="61"/>
      <c r="R51" s="61"/>
    </row>
    <row r="52" spans="1:18">
      <c r="I52" s="77"/>
      <c r="L52" s="61"/>
      <c r="M52" s="61"/>
      <c r="N52" s="61"/>
      <c r="O52" s="61"/>
      <c r="P52" s="61"/>
      <c r="Q52" s="61"/>
      <c r="R52" s="61"/>
    </row>
    <row r="53" spans="1:18">
      <c r="B53" s="81"/>
      <c r="C53" s="61"/>
      <c r="D53" s="115"/>
      <c r="E53" s="86"/>
      <c r="F53" s="86"/>
      <c r="G53" s="86"/>
      <c r="H53" s="86"/>
      <c r="I53" s="86"/>
      <c r="L53" s="61"/>
      <c r="M53" s="61"/>
      <c r="N53" s="61"/>
      <c r="O53" s="61"/>
      <c r="P53" s="61"/>
      <c r="Q53" s="61"/>
      <c r="R53" s="61"/>
    </row>
    <row r="54" spans="1:18">
      <c r="L54" s="61"/>
      <c r="M54" s="61"/>
      <c r="N54" s="61"/>
      <c r="O54" s="61"/>
      <c r="P54" s="61"/>
      <c r="Q54" s="61"/>
      <c r="R54" s="61"/>
    </row>
    <row r="55" spans="1:18">
      <c r="A55" s="61"/>
      <c r="B55" s="75"/>
      <c r="C55" s="61"/>
      <c r="D55" s="115"/>
      <c r="E55" s="79"/>
      <c r="F55" s="77"/>
      <c r="G55" s="77"/>
      <c r="H55" s="79"/>
      <c r="I55" s="77"/>
      <c r="L55" s="61"/>
      <c r="M55" s="61"/>
      <c r="N55" s="61"/>
      <c r="O55" s="61"/>
      <c r="P55" s="61"/>
      <c r="Q55" s="61"/>
      <c r="R55" s="61"/>
    </row>
    <row r="56" spans="1:18">
      <c r="A56" s="61"/>
      <c r="B56" s="61"/>
      <c r="C56" s="61"/>
      <c r="D56" s="115"/>
      <c r="E56" s="79"/>
      <c r="F56" s="95"/>
      <c r="G56" s="77"/>
      <c r="H56" s="79"/>
      <c r="I56" s="77"/>
      <c r="L56" s="61"/>
      <c r="M56" s="61"/>
      <c r="N56" s="61"/>
      <c r="O56" s="61"/>
      <c r="P56" s="61"/>
      <c r="Q56" s="61"/>
      <c r="R56" s="61"/>
    </row>
    <row r="57" spans="1:18">
      <c r="A57" s="61"/>
      <c r="B57" s="61"/>
      <c r="C57" s="61"/>
      <c r="D57" s="115"/>
      <c r="E57" s="79"/>
      <c r="G57" s="77"/>
      <c r="H57" s="79"/>
      <c r="I57" s="77"/>
      <c r="J57" s="61"/>
      <c r="K57" s="61"/>
      <c r="L57" s="61"/>
      <c r="M57" s="61"/>
      <c r="N57" s="61"/>
      <c r="O57" s="61"/>
      <c r="P57" s="61"/>
      <c r="Q57" s="61"/>
      <c r="R57" s="61"/>
    </row>
    <row r="58" spans="1:18">
      <c r="A58" s="61"/>
      <c r="B58" s="61"/>
      <c r="C58" s="61"/>
      <c r="D58" s="115"/>
      <c r="E58" s="79"/>
      <c r="F58" s="79"/>
      <c r="G58" s="77"/>
      <c r="H58" s="79"/>
      <c r="I58" s="77"/>
      <c r="J58" s="61"/>
      <c r="K58" s="61"/>
      <c r="L58" s="61"/>
      <c r="M58" s="61"/>
      <c r="N58" s="61"/>
      <c r="O58" s="61"/>
      <c r="P58" s="61"/>
      <c r="Q58" s="61"/>
      <c r="R58" s="61"/>
    </row>
    <row r="59" spans="1:18">
      <c r="A59" s="61"/>
      <c r="B59" s="61"/>
      <c r="C59" s="61"/>
      <c r="D59" s="115"/>
      <c r="E59" s="79"/>
      <c r="F59" s="79"/>
      <c r="G59" s="77"/>
      <c r="H59" s="79"/>
      <c r="I59" s="77"/>
      <c r="J59" s="61"/>
      <c r="K59" s="61"/>
      <c r="L59" s="61"/>
      <c r="M59" s="61"/>
      <c r="N59" s="61"/>
      <c r="O59" s="61"/>
      <c r="P59" s="61"/>
      <c r="Q59" s="61"/>
      <c r="R59" s="61"/>
    </row>
    <row r="60" spans="1:18">
      <c r="A60" s="61"/>
      <c r="B60" s="61"/>
      <c r="C60" s="61"/>
      <c r="D60" s="115"/>
      <c r="E60" s="79"/>
      <c r="F60" s="79"/>
      <c r="G60" s="77"/>
      <c r="H60" s="79"/>
      <c r="I60" s="77"/>
      <c r="J60" s="61"/>
      <c r="K60" s="61"/>
      <c r="L60" s="61"/>
      <c r="M60" s="61"/>
      <c r="N60" s="61"/>
      <c r="O60" s="61"/>
      <c r="P60" s="61"/>
      <c r="Q60" s="61"/>
      <c r="R60" s="61"/>
    </row>
    <row r="61" spans="1:18">
      <c r="A61" s="61"/>
      <c r="B61" s="61"/>
      <c r="C61" s="61"/>
      <c r="D61" s="115"/>
      <c r="E61" s="79"/>
      <c r="F61" s="79"/>
      <c r="G61" s="77"/>
      <c r="H61" s="79"/>
      <c r="I61" s="77"/>
      <c r="J61" s="61"/>
      <c r="K61" s="61"/>
      <c r="L61" s="61"/>
      <c r="M61" s="61"/>
      <c r="N61" s="61"/>
      <c r="O61" s="61"/>
      <c r="P61" s="61"/>
      <c r="Q61" s="61"/>
      <c r="R61" s="61"/>
    </row>
    <row r="62" spans="1:18">
      <c r="A62" s="61"/>
      <c r="B62" s="69"/>
      <c r="C62" s="61"/>
      <c r="D62" s="115"/>
      <c r="E62" s="79"/>
      <c r="F62" s="79"/>
      <c r="G62" s="77"/>
      <c r="H62" s="79"/>
      <c r="I62" s="77"/>
      <c r="J62" s="61"/>
      <c r="K62" s="61"/>
      <c r="L62" s="61"/>
      <c r="M62" s="61"/>
      <c r="N62" s="61"/>
      <c r="O62" s="61"/>
      <c r="P62" s="61"/>
      <c r="Q62" s="61"/>
      <c r="R62" s="61"/>
    </row>
    <row r="63" spans="1:18">
      <c r="A63" s="61"/>
      <c r="B63" s="61"/>
      <c r="F63" s="79"/>
      <c r="I63" s="77"/>
      <c r="J63" s="61"/>
      <c r="K63" s="61"/>
      <c r="R63" s="61"/>
    </row>
    <row r="64" spans="1:18">
      <c r="A64" s="61"/>
      <c r="B64" s="61"/>
      <c r="C64" s="61"/>
      <c r="E64" s="61"/>
      <c r="F64" s="79"/>
      <c r="G64" s="61"/>
      <c r="H64" s="61"/>
      <c r="I64" s="77"/>
      <c r="J64" s="61"/>
      <c r="K64" s="61"/>
      <c r="R64" s="61"/>
    </row>
    <row r="65" spans="1:18">
      <c r="A65" s="61"/>
      <c r="B65" s="61"/>
      <c r="F65" s="79"/>
      <c r="I65" s="77"/>
      <c r="J65" s="61"/>
      <c r="K65" s="61"/>
      <c r="R65" s="61"/>
    </row>
    <row r="66" spans="1:18">
      <c r="I66" s="77"/>
      <c r="J66" s="61"/>
      <c r="K66" s="61"/>
      <c r="R66" s="61"/>
    </row>
    <row r="67" spans="1:18">
      <c r="B67" s="81"/>
      <c r="C67" s="61"/>
      <c r="D67" s="115"/>
      <c r="E67" s="86"/>
      <c r="F67" s="86"/>
      <c r="G67" s="86"/>
      <c r="H67" s="86"/>
      <c r="I67" s="86"/>
      <c r="K67" s="61"/>
      <c r="R67" s="61"/>
    </row>
    <row r="68" spans="1:18">
      <c r="R68" s="61"/>
    </row>
    <row r="69" spans="1:18">
      <c r="J69" s="61"/>
      <c r="R69" s="61"/>
    </row>
    <row r="70" spans="1:18">
      <c r="R70" s="61"/>
    </row>
    <row r="71" spans="1:18">
      <c r="R71" s="61"/>
    </row>
    <row r="72" spans="1:18">
      <c r="A72" s="61"/>
      <c r="B72" s="83"/>
      <c r="C72" s="61"/>
      <c r="D72" s="115"/>
      <c r="E72" s="79"/>
      <c r="F72" s="77"/>
      <c r="G72" s="77"/>
      <c r="H72" s="79"/>
      <c r="I72" s="77"/>
      <c r="J72" s="61"/>
      <c r="K72" s="61"/>
      <c r="L72" s="61"/>
      <c r="M72" s="61"/>
      <c r="N72" s="61"/>
      <c r="R72" s="61"/>
    </row>
    <row r="73" spans="1:18">
      <c r="A73" s="61"/>
      <c r="B73" s="61"/>
      <c r="C73" s="88"/>
      <c r="D73" s="90"/>
      <c r="E73" s="89"/>
      <c r="F73" s="91"/>
      <c r="G73" s="89"/>
      <c r="H73" s="89"/>
      <c r="I73" s="89"/>
      <c r="J73" s="61"/>
      <c r="K73" s="61"/>
      <c r="L73" s="61"/>
      <c r="M73" s="61"/>
      <c r="N73" s="61"/>
      <c r="R73" s="61"/>
    </row>
    <row r="74" spans="1:18">
      <c r="A74" s="61"/>
      <c r="B74" s="61"/>
      <c r="C74" s="88"/>
      <c r="D74" s="90"/>
      <c r="E74" s="89"/>
      <c r="F74" s="91"/>
      <c r="G74" s="89"/>
      <c r="H74" s="89"/>
      <c r="I74" s="89"/>
      <c r="J74" s="61"/>
      <c r="K74" s="61"/>
      <c r="L74" s="61"/>
      <c r="M74" s="61"/>
      <c r="N74" s="61"/>
      <c r="R74" s="61"/>
    </row>
    <row r="75" spans="1:18">
      <c r="A75" s="61"/>
      <c r="B75" s="61"/>
      <c r="C75" s="88"/>
      <c r="D75" s="90"/>
      <c r="E75" s="89"/>
      <c r="F75" s="91"/>
      <c r="G75" s="89"/>
      <c r="H75" s="89"/>
      <c r="I75" s="89"/>
      <c r="J75" s="61"/>
      <c r="K75" s="61"/>
      <c r="L75" s="61"/>
      <c r="M75" s="61"/>
      <c r="N75" s="61"/>
      <c r="R75" s="61"/>
    </row>
    <row r="76" spans="1:18">
      <c r="A76" s="61"/>
      <c r="B76" s="61"/>
      <c r="C76" s="88"/>
      <c r="D76" s="90"/>
      <c r="E76" s="89"/>
      <c r="F76" s="91"/>
      <c r="G76" s="89"/>
      <c r="H76" s="89"/>
      <c r="I76" s="89"/>
      <c r="J76" s="61"/>
      <c r="K76" s="61"/>
      <c r="L76" s="61"/>
      <c r="M76" s="61"/>
      <c r="N76" s="61"/>
      <c r="R76" s="61"/>
    </row>
    <row r="77" spans="1:18">
      <c r="A77" s="61"/>
      <c r="B77" s="61"/>
      <c r="I77" s="89"/>
      <c r="J77" s="61"/>
      <c r="K77" s="61"/>
      <c r="L77" s="61"/>
      <c r="M77" s="61"/>
      <c r="N77" s="61"/>
      <c r="R77" s="61"/>
    </row>
    <row r="78" spans="1:18">
      <c r="A78" s="61"/>
      <c r="B78" s="61"/>
      <c r="I78" s="89"/>
      <c r="J78" s="61"/>
      <c r="K78" s="61"/>
      <c r="L78" s="61"/>
      <c r="M78" s="61"/>
      <c r="N78" s="61"/>
      <c r="R78" s="61"/>
    </row>
    <row r="79" spans="1:18">
      <c r="A79" s="61"/>
      <c r="B79" s="61"/>
      <c r="I79" s="89"/>
      <c r="J79" s="61"/>
      <c r="K79" s="61"/>
      <c r="L79" s="61"/>
      <c r="M79" s="61"/>
      <c r="N79" s="61"/>
      <c r="R79" s="61"/>
    </row>
    <row r="80" spans="1:18">
      <c r="A80" s="61"/>
      <c r="B80" s="61"/>
      <c r="I80" s="89"/>
      <c r="J80" s="61"/>
      <c r="K80" s="61"/>
      <c r="L80" s="61"/>
      <c r="M80" s="61"/>
      <c r="N80" s="61"/>
      <c r="R80" s="61"/>
    </row>
    <row r="81" spans="1:18">
      <c r="A81" s="61"/>
      <c r="B81" s="61"/>
      <c r="C81" s="88"/>
      <c r="D81" s="90"/>
      <c r="E81" s="89"/>
      <c r="F81" s="91"/>
      <c r="G81" s="89"/>
      <c r="H81" s="89"/>
      <c r="I81" s="89"/>
      <c r="J81" s="61"/>
      <c r="K81" s="61"/>
      <c r="L81" s="61"/>
      <c r="M81" s="61"/>
      <c r="N81" s="61"/>
      <c r="R81" s="61"/>
    </row>
    <row r="82" spans="1:18">
      <c r="A82" s="61"/>
      <c r="B82" s="61"/>
      <c r="C82" s="88"/>
      <c r="D82" s="90"/>
      <c r="E82" s="89"/>
      <c r="F82" s="91"/>
      <c r="G82" s="89"/>
      <c r="H82" s="89"/>
      <c r="I82" s="89"/>
      <c r="J82" s="61"/>
      <c r="K82" s="61"/>
      <c r="L82" s="61"/>
      <c r="M82" s="61"/>
      <c r="N82" s="61"/>
      <c r="R82" s="61"/>
    </row>
    <row r="83" spans="1:18">
      <c r="A83" s="61"/>
      <c r="B83" s="61"/>
      <c r="C83" s="88"/>
      <c r="D83" s="90"/>
      <c r="E83" s="89"/>
      <c r="F83" s="91"/>
      <c r="G83" s="89"/>
      <c r="H83" s="89"/>
      <c r="I83" s="89"/>
      <c r="J83" s="61"/>
      <c r="K83" s="61"/>
      <c r="L83" s="61"/>
      <c r="M83" s="61"/>
      <c r="N83" s="61"/>
      <c r="R83" s="61"/>
    </row>
    <row r="84" spans="1:18">
      <c r="A84" s="61"/>
      <c r="B84" s="61"/>
      <c r="C84" s="88"/>
      <c r="D84" s="90"/>
      <c r="E84" s="89"/>
      <c r="F84" s="91"/>
      <c r="G84" s="91"/>
      <c r="H84" s="91"/>
      <c r="I84" s="89"/>
      <c r="J84" s="61"/>
      <c r="K84" s="61"/>
      <c r="L84" s="61"/>
      <c r="M84" s="61"/>
      <c r="N84" s="61"/>
      <c r="R84" s="61"/>
    </row>
    <row r="85" spans="1:18">
      <c r="A85" s="61"/>
      <c r="B85" s="61"/>
      <c r="C85" s="88"/>
      <c r="D85" s="90"/>
      <c r="E85" s="89"/>
      <c r="F85" s="91"/>
      <c r="G85" s="89"/>
      <c r="H85" s="89"/>
      <c r="I85" s="89"/>
      <c r="J85" s="61"/>
      <c r="K85" s="61"/>
      <c r="L85" s="61"/>
      <c r="M85" s="61"/>
      <c r="N85" s="61"/>
      <c r="R85" s="61"/>
    </row>
    <row r="86" spans="1:18">
      <c r="A86" s="61"/>
      <c r="B86" s="61"/>
      <c r="C86" s="88"/>
      <c r="D86" s="90"/>
      <c r="E86" s="89"/>
      <c r="F86" s="91"/>
      <c r="G86" s="89"/>
      <c r="H86" s="89"/>
      <c r="I86" s="89"/>
      <c r="J86" s="61"/>
      <c r="K86" s="61"/>
      <c r="L86" s="61"/>
      <c r="M86" s="61"/>
      <c r="N86" s="61"/>
      <c r="R86" s="61"/>
    </row>
    <row r="87" spans="1:18">
      <c r="A87" s="61"/>
      <c r="B87" s="61"/>
      <c r="C87" s="88"/>
      <c r="D87" s="90"/>
      <c r="E87" s="89"/>
      <c r="F87" s="91"/>
      <c r="G87" s="89"/>
      <c r="H87" s="89"/>
      <c r="I87" s="89"/>
      <c r="J87" s="61"/>
      <c r="K87" s="61"/>
      <c r="L87" s="61"/>
      <c r="M87" s="61"/>
      <c r="N87" s="61"/>
      <c r="R87" s="61"/>
    </row>
    <row r="88" spans="1:18">
      <c r="A88" s="61"/>
      <c r="B88" s="61"/>
      <c r="C88" s="88"/>
      <c r="D88" s="90"/>
      <c r="E88" s="89"/>
      <c r="F88" s="91"/>
      <c r="G88" s="89"/>
      <c r="H88" s="89"/>
      <c r="I88" s="89"/>
      <c r="J88" s="61"/>
      <c r="K88" s="61"/>
      <c r="L88" s="61"/>
      <c r="M88" s="61"/>
      <c r="N88" s="61"/>
      <c r="R88" s="61"/>
    </row>
    <row r="89" spans="1:18">
      <c r="A89" s="61"/>
      <c r="B89" s="61"/>
      <c r="C89" s="88"/>
      <c r="D89" s="90"/>
      <c r="E89" s="89"/>
      <c r="F89" s="91"/>
      <c r="G89" s="89"/>
      <c r="H89" s="89"/>
      <c r="I89" s="89"/>
      <c r="J89" s="61"/>
      <c r="K89" s="61"/>
      <c r="L89" s="61"/>
      <c r="M89" s="61"/>
      <c r="N89" s="61"/>
      <c r="R89" s="61"/>
    </row>
    <row r="90" spans="1:18">
      <c r="A90" s="61"/>
      <c r="B90" s="61"/>
      <c r="C90" s="88"/>
      <c r="D90" s="90"/>
      <c r="E90" s="89"/>
      <c r="F90" s="91"/>
      <c r="G90" s="89"/>
      <c r="H90" s="89"/>
      <c r="I90" s="89"/>
      <c r="J90" s="61"/>
      <c r="K90" s="61"/>
      <c r="L90" s="61"/>
      <c r="M90" s="61"/>
      <c r="N90" s="61"/>
      <c r="R90" s="61"/>
    </row>
    <row r="91" spans="1:18">
      <c r="A91" s="61"/>
      <c r="B91" s="61"/>
      <c r="C91" s="88"/>
      <c r="D91" s="90"/>
      <c r="E91" s="89"/>
      <c r="F91" s="91"/>
      <c r="G91" s="89"/>
      <c r="H91" s="89"/>
      <c r="I91" s="89"/>
      <c r="J91" s="61"/>
      <c r="K91" s="61"/>
      <c r="L91" s="61"/>
      <c r="M91" s="61"/>
      <c r="N91" s="61"/>
      <c r="R91" s="61"/>
    </row>
    <row r="92" spans="1:18">
      <c r="A92" s="61"/>
      <c r="B92" s="61"/>
      <c r="C92" s="88"/>
      <c r="D92" s="90"/>
      <c r="E92" s="89"/>
      <c r="F92" s="91"/>
      <c r="G92" s="89"/>
      <c r="H92" s="89"/>
      <c r="I92" s="89"/>
      <c r="J92" s="61"/>
      <c r="K92" s="61"/>
      <c r="L92" s="61"/>
      <c r="M92" s="61"/>
      <c r="N92" s="61"/>
      <c r="R92" s="61"/>
    </row>
    <row r="93" spans="1:18">
      <c r="A93" s="61"/>
      <c r="B93" s="61"/>
      <c r="C93" s="88"/>
      <c r="D93" s="90"/>
      <c r="E93" s="89"/>
      <c r="F93" s="91"/>
      <c r="G93" s="89"/>
      <c r="H93" s="89"/>
      <c r="I93" s="89"/>
      <c r="J93" s="61"/>
      <c r="K93" s="61"/>
      <c r="L93" s="61"/>
      <c r="M93" s="61"/>
      <c r="N93" s="61"/>
      <c r="R93" s="61"/>
    </row>
    <row r="94" spans="1:18">
      <c r="A94" s="61"/>
      <c r="B94" s="61"/>
      <c r="C94" s="88"/>
      <c r="D94" s="90"/>
      <c r="E94" s="89"/>
      <c r="F94" s="91"/>
      <c r="G94" s="89"/>
      <c r="H94" s="89"/>
      <c r="I94" s="89"/>
      <c r="J94" s="61"/>
      <c r="K94" s="61"/>
      <c r="L94" s="61"/>
      <c r="M94" s="61"/>
      <c r="N94" s="61"/>
      <c r="R94" s="61"/>
    </row>
    <row r="95" spans="1:18">
      <c r="A95" s="61"/>
      <c r="B95" s="61"/>
      <c r="C95" s="88"/>
      <c r="D95" s="90"/>
      <c r="E95" s="89"/>
      <c r="F95" s="91"/>
      <c r="G95" s="89"/>
      <c r="H95" s="89"/>
      <c r="I95" s="89"/>
      <c r="J95" s="61"/>
      <c r="K95" s="61"/>
      <c r="L95" s="61"/>
      <c r="M95" s="61"/>
      <c r="N95" s="61"/>
      <c r="R95" s="61"/>
    </row>
    <row r="96" spans="1:18">
      <c r="A96" s="61"/>
      <c r="B96" s="61"/>
      <c r="C96" s="88"/>
      <c r="D96" s="90"/>
      <c r="E96" s="89"/>
      <c r="F96" s="91"/>
      <c r="G96" s="89"/>
      <c r="H96" s="89"/>
      <c r="I96" s="89"/>
      <c r="J96" s="61"/>
      <c r="K96" s="61"/>
      <c r="L96" s="61"/>
      <c r="M96" s="61"/>
      <c r="N96" s="61"/>
      <c r="O96" s="61"/>
      <c r="P96" s="61"/>
      <c r="Q96" s="61"/>
      <c r="R96" s="61"/>
    </row>
    <row r="97" spans="1:18">
      <c r="A97" s="61"/>
      <c r="B97" s="61"/>
      <c r="C97" s="88"/>
      <c r="D97" s="90"/>
      <c r="E97" s="89"/>
      <c r="F97" s="91"/>
      <c r="G97" s="89"/>
      <c r="H97" s="89"/>
      <c r="I97" s="89"/>
      <c r="J97" s="61"/>
      <c r="K97" s="61"/>
      <c r="L97" s="61"/>
      <c r="M97" s="61"/>
      <c r="N97" s="61"/>
      <c r="O97" s="61"/>
      <c r="P97" s="61"/>
      <c r="Q97" s="61"/>
      <c r="R97" s="61"/>
    </row>
    <row r="98" spans="1:18">
      <c r="A98" s="61"/>
      <c r="B98" s="61"/>
      <c r="C98" s="88"/>
      <c r="D98" s="90"/>
      <c r="E98" s="89"/>
      <c r="F98" s="91"/>
      <c r="G98" s="89"/>
      <c r="H98" s="89"/>
      <c r="I98" s="91"/>
      <c r="J98" s="61"/>
      <c r="K98" s="61"/>
      <c r="L98" s="61"/>
      <c r="M98" s="61"/>
      <c r="N98" s="61"/>
      <c r="O98" s="61"/>
      <c r="P98" s="61"/>
      <c r="Q98" s="61"/>
      <c r="R98" s="61"/>
    </row>
    <row r="99" spans="1:18">
      <c r="A99" s="61"/>
      <c r="B99" s="61"/>
      <c r="C99" s="88"/>
      <c r="D99" s="90"/>
      <c r="E99" s="92"/>
      <c r="F99" s="92"/>
      <c r="G99" s="89"/>
      <c r="H99" s="89"/>
      <c r="I99" s="92"/>
      <c r="J99" s="61"/>
      <c r="K99" s="61"/>
      <c r="L99" s="61"/>
      <c r="M99" s="61"/>
      <c r="N99" s="61"/>
      <c r="O99" s="61"/>
      <c r="P99" s="61"/>
      <c r="Q99" s="61"/>
      <c r="R99" s="61"/>
    </row>
    <row r="100" spans="1:18">
      <c r="A100" s="61"/>
      <c r="B100" s="61"/>
      <c r="C100" s="61"/>
      <c r="D100" s="115"/>
      <c r="E100" s="79"/>
      <c r="F100" s="77"/>
      <c r="G100" s="77"/>
      <c r="H100" s="79"/>
      <c r="I100" s="77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:18">
      <c r="O101" s="61"/>
      <c r="P101" s="61"/>
      <c r="Q101" s="61"/>
      <c r="R101" s="61"/>
    </row>
    <row r="102" spans="1:18">
      <c r="O102" s="61"/>
      <c r="P102" s="61"/>
      <c r="Q102" s="61"/>
      <c r="R102" s="61"/>
    </row>
    <row r="103" spans="1:18">
      <c r="O103" s="61"/>
      <c r="P103" s="61"/>
      <c r="Q103" s="61"/>
      <c r="R103" s="61"/>
    </row>
    <row r="104" spans="1:18">
      <c r="A104" s="61"/>
      <c r="B104" s="62"/>
      <c r="C104" s="61"/>
      <c r="D104" s="115"/>
      <c r="E104" s="79"/>
      <c r="F104" s="77"/>
      <c r="G104" s="77"/>
      <c r="H104" s="79"/>
      <c r="I104" s="77"/>
      <c r="J104" s="61"/>
      <c r="K104" s="61"/>
      <c r="O104" s="61"/>
      <c r="P104" s="61"/>
      <c r="Q104" s="61"/>
      <c r="R104" s="61"/>
    </row>
    <row r="105" spans="1:18">
      <c r="A105" s="61"/>
      <c r="B105" s="61"/>
      <c r="C105" s="61"/>
      <c r="D105" s="115"/>
      <c r="E105" s="79"/>
      <c r="F105" s="79"/>
      <c r="G105" s="77"/>
      <c r="H105" s="79"/>
      <c r="I105" s="77"/>
      <c r="J105" s="61"/>
      <c r="K105" s="61"/>
      <c r="O105" s="61"/>
      <c r="P105" s="61"/>
      <c r="Q105" s="61"/>
      <c r="R105" s="61"/>
    </row>
    <row r="106" spans="1:18">
      <c r="A106" s="61"/>
      <c r="B106" s="61"/>
      <c r="C106" s="61"/>
      <c r="D106" s="115"/>
      <c r="E106" s="79"/>
      <c r="F106" s="79"/>
      <c r="G106" s="77"/>
      <c r="H106" s="79"/>
      <c r="I106" s="77"/>
      <c r="J106" s="61"/>
      <c r="K106" s="61"/>
      <c r="O106" s="61"/>
      <c r="P106" s="61"/>
      <c r="Q106" s="61"/>
      <c r="R106" s="61"/>
    </row>
    <row r="107" spans="1:18">
      <c r="A107" s="61"/>
      <c r="B107" s="61"/>
      <c r="C107" s="61"/>
      <c r="D107" s="115"/>
      <c r="E107" s="79"/>
      <c r="F107" s="79"/>
      <c r="G107" s="77"/>
      <c r="H107" s="79"/>
      <c r="I107" s="77"/>
      <c r="J107" s="61"/>
      <c r="K107" s="61"/>
      <c r="O107" s="61"/>
      <c r="P107" s="61"/>
      <c r="Q107" s="61"/>
      <c r="R107" s="61"/>
    </row>
    <row r="108" spans="1:18">
      <c r="A108" s="61"/>
      <c r="B108" s="61"/>
      <c r="C108" s="61"/>
      <c r="D108" s="115"/>
      <c r="E108" s="79"/>
      <c r="F108" s="79"/>
      <c r="G108" s="77"/>
      <c r="H108" s="79"/>
      <c r="I108" s="77"/>
      <c r="J108" s="61"/>
      <c r="K108" s="61"/>
      <c r="O108" s="61"/>
      <c r="P108" s="61"/>
      <c r="Q108" s="61"/>
      <c r="R108" s="61"/>
    </row>
    <row r="109" spans="1:18">
      <c r="A109" s="61"/>
      <c r="B109" s="61"/>
      <c r="C109" s="61"/>
      <c r="D109" s="115"/>
      <c r="E109" s="79"/>
      <c r="F109" s="79"/>
      <c r="G109" s="77"/>
      <c r="H109" s="79"/>
      <c r="I109" s="77"/>
      <c r="J109" s="61"/>
      <c r="K109" s="61"/>
      <c r="O109" s="61"/>
      <c r="P109" s="61"/>
      <c r="Q109" s="61"/>
      <c r="R109" s="61"/>
    </row>
    <row r="110" spans="1:18">
      <c r="A110" s="61"/>
      <c r="B110" s="61"/>
      <c r="C110" s="61"/>
      <c r="D110" s="115"/>
      <c r="E110" s="79"/>
      <c r="F110" s="79"/>
      <c r="G110" s="77"/>
      <c r="H110" s="79"/>
      <c r="I110" s="77"/>
      <c r="J110" s="61"/>
      <c r="K110" s="61"/>
      <c r="O110" s="61"/>
      <c r="P110" s="61"/>
      <c r="Q110" s="61"/>
      <c r="R110" s="61"/>
    </row>
    <row r="111" spans="1:18">
      <c r="A111" s="61"/>
      <c r="B111" s="61"/>
      <c r="C111" s="61"/>
      <c r="D111" s="115"/>
      <c r="E111" s="79"/>
      <c r="F111" s="79"/>
      <c r="G111" s="77"/>
      <c r="H111" s="79"/>
      <c r="I111" s="77"/>
      <c r="J111" s="61"/>
      <c r="K111" s="61"/>
      <c r="O111" s="61"/>
      <c r="P111" s="61"/>
      <c r="Q111" s="61"/>
      <c r="R111" s="61"/>
    </row>
    <row r="112" spans="1:18">
      <c r="A112" s="61"/>
      <c r="B112" s="61"/>
      <c r="C112" s="61"/>
      <c r="D112" s="115"/>
      <c r="E112" s="79"/>
      <c r="F112" s="79"/>
      <c r="G112" s="77"/>
      <c r="H112" s="79"/>
      <c r="I112" s="77"/>
      <c r="J112" s="61"/>
      <c r="K112" s="61"/>
      <c r="O112" s="61"/>
      <c r="P112" s="61"/>
      <c r="Q112" s="61"/>
      <c r="R112" s="61"/>
    </row>
    <row r="113" spans="1:18">
      <c r="A113" s="61"/>
      <c r="B113" s="61"/>
      <c r="C113" s="61"/>
      <c r="D113" s="115"/>
      <c r="E113" s="79"/>
      <c r="F113" s="79"/>
      <c r="G113" s="77"/>
      <c r="H113" s="79"/>
      <c r="I113" s="77"/>
      <c r="J113" s="61"/>
      <c r="K113" s="61"/>
      <c r="O113" s="61"/>
      <c r="P113" s="61"/>
      <c r="Q113" s="61"/>
      <c r="R113" s="61"/>
    </row>
    <row r="114" spans="1:18">
      <c r="A114" s="61"/>
      <c r="B114" s="61"/>
      <c r="C114" s="61"/>
      <c r="D114" s="115"/>
      <c r="E114" s="79"/>
      <c r="F114" s="79"/>
      <c r="G114" s="77"/>
      <c r="H114" s="79"/>
      <c r="I114" s="77"/>
      <c r="J114" s="61"/>
      <c r="K114" s="61"/>
      <c r="O114" s="61"/>
      <c r="P114" s="61"/>
      <c r="Q114" s="61"/>
      <c r="R114" s="61"/>
    </row>
    <row r="115" spans="1:18">
      <c r="A115" s="61"/>
      <c r="B115" s="61"/>
      <c r="C115" s="61"/>
      <c r="D115" s="115"/>
      <c r="E115" s="79"/>
      <c r="F115" s="79"/>
      <c r="G115" s="77"/>
      <c r="H115" s="79"/>
      <c r="I115" s="77"/>
      <c r="J115" s="61"/>
      <c r="K115" s="61"/>
      <c r="O115" s="61"/>
      <c r="P115" s="61"/>
      <c r="Q115" s="61"/>
      <c r="R115" s="61"/>
    </row>
    <row r="116" spans="1:18">
      <c r="A116" s="61"/>
      <c r="B116" s="61"/>
      <c r="C116" s="61"/>
      <c r="D116" s="115"/>
      <c r="E116" s="79"/>
      <c r="F116" s="79"/>
      <c r="G116" s="77"/>
      <c r="H116" s="79"/>
      <c r="I116" s="77"/>
      <c r="J116" s="61"/>
      <c r="K116" s="61"/>
      <c r="O116" s="61"/>
      <c r="P116" s="61"/>
      <c r="Q116" s="61"/>
      <c r="R116" s="61"/>
    </row>
    <row r="117" spans="1:18">
      <c r="A117" s="61"/>
      <c r="B117" s="61"/>
      <c r="C117" s="61"/>
      <c r="D117" s="115"/>
      <c r="E117" s="79"/>
      <c r="F117" s="79"/>
      <c r="H117" s="79"/>
      <c r="I117" s="77"/>
      <c r="J117" s="61"/>
      <c r="K117" s="61"/>
      <c r="O117" s="61"/>
      <c r="P117" s="61"/>
      <c r="Q117" s="61"/>
      <c r="R117" s="61"/>
    </row>
    <row r="118" spans="1:18">
      <c r="A118" s="61"/>
      <c r="B118" s="61"/>
      <c r="C118" s="61"/>
      <c r="D118" s="115"/>
      <c r="E118" s="86"/>
      <c r="F118" s="82"/>
      <c r="G118" s="77"/>
      <c r="H118" s="79"/>
      <c r="I118" s="82"/>
      <c r="J118" s="61"/>
      <c r="K118" s="61"/>
      <c r="O118" s="61"/>
      <c r="P118" s="61"/>
      <c r="Q118" s="61"/>
      <c r="R118" s="61"/>
    </row>
    <row r="119" spans="1:18">
      <c r="O119" s="61"/>
      <c r="P119" s="61"/>
      <c r="Q119" s="61"/>
      <c r="R119" s="61"/>
    </row>
    <row r="120" spans="1:18">
      <c r="A120" s="61"/>
      <c r="B120" s="81"/>
      <c r="C120" s="61"/>
      <c r="D120" s="115"/>
      <c r="E120" s="79"/>
      <c r="F120" s="77"/>
      <c r="G120" s="77"/>
      <c r="H120" s="79"/>
      <c r="I120" s="77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:18">
      <c r="E121" s="79"/>
      <c r="F121" s="79"/>
      <c r="G121" s="77"/>
      <c r="H121" s="79"/>
      <c r="I121" s="77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:18">
      <c r="A122" s="61"/>
      <c r="B122" s="61"/>
      <c r="C122" s="61"/>
      <c r="D122" s="115"/>
      <c r="I122" s="96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:18">
      <c r="A123" s="61"/>
      <c r="B123" s="61"/>
      <c r="C123" s="61"/>
      <c r="D123" s="115"/>
      <c r="E123" s="79"/>
      <c r="F123" s="79"/>
      <c r="G123" s="77"/>
      <c r="H123" s="79"/>
      <c r="I123" s="96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:18">
      <c r="A124" s="61"/>
      <c r="B124" s="61"/>
      <c r="C124" s="61"/>
      <c r="D124" s="115"/>
      <c r="E124" s="79"/>
      <c r="F124" s="79"/>
      <c r="G124" s="77"/>
      <c r="H124" s="79"/>
      <c r="I124" s="96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1:18">
      <c r="A125" s="61"/>
      <c r="B125" s="61"/>
      <c r="C125" s="61"/>
      <c r="D125" s="115"/>
      <c r="E125" s="79"/>
      <c r="F125" s="79"/>
      <c r="G125" s="77"/>
      <c r="H125" s="79"/>
      <c r="I125" s="96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1:18">
      <c r="A126" s="61"/>
      <c r="B126" s="61"/>
      <c r="C126" s="61"/>
      <c r="D126" s="115"/>
      <c r="E126" s="79"/>
      <c r="F126" s="79"/>
      <c r="G126" s="77"/>
      <c r="H126" s="79"/>
      <c r="I126" s="96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1:18">
      <c r="A127" s="61"/>
      <c r="B127" s="61"/>
      <c r="C127" s="61"/>
      <c r="D127" s="115"/>
      <c r="E127" s="79"/>
      <c r="F127" s="79"/>
      <c r="G127" s="77"/>
      <c r="H127" s="79"/>
      <c r="I127" s="96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:18">
      <c r="A128" s="61"/>
      <c r="B128" s="61"/>
      <c r="C128" s="61"/>
      <c r="D128" s="115"/>
      <c r="E128" s="79"/>
      <c r="F128" s="79"/>
      <c r="G128" s="77"/>
      <c r="H128" s="79"/>
      <c r="I128" s="96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:18">
      <c r="A129" s="61"/>
      <c r="B129" s="61"/>
      <c r="C129" s="61"/>
      <c r="D129" s="115"/>
      <c r="E129" s="79"/>
      <c r="F129" s="79"/>
      <c r="G129" s="77"/>
      <c r="H129" s="79"/>
      <c r="I129" s="96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:18">
      <c r="A130" s="61"/>
      <c r="B130" s="61"/>
      <c r="C130" s="61"/>
      <c r="D130" s="115"/>
      <c r="E130" s="79"/>
      <c r="F130" s="79"/>
      <c r="G130" s="77"/>
      <c r="H130" s="79"/>
      <c r="I130" s="96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:18">
      <c r="A131" s="61"/>
      <c r="B131" s="61"/>
      <c r="C131" s="61"/>
      <c r="D131" s="115"/>
      <c r="E131" s="79"/>
      <c r="F131" s="79"/>
      <c r="G131" s="77"/>
      <c r="H131" s="79"/>
      <c r="I131" s="96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:18">
      <c r="A132" s="61"/>
      <c r="B132" s="61"/>
      <c r="C132" s="61"/>
      <c r="D132" s="115"/>
      <c r="E132" s="79"/>
      <c r="F132" s="79"/>
      <c r="G132" s="77"/>
      <c r="H132" s="79"/>
      <c r="I132" s="96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:18">
      <c r="A133" s="61"/>
      <c r="B133" s="61"/>
      <c r="C133" s="61"/>
      <c r="D133" s="115"/>
      <c r="E133" s="79"/>
      <c r="F133" s="79"/>
      <c r="G133" s="77"/>
      <c r="H133" s="79"/>
      <c r="I133" s="96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:18">
      <c r="A134" s="61"/>
      <c r="B134" s="61"/>
      <c r="C134" s="61"/>
      <c r="D134" s="115"/>
      <c r="E134" s="79"/>
      <c r="F134" s="79"/>
      <c r="G134" s="78"/>
      <c r="H134" s="79"/>
      <c r="I134" s="96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:18">
      <c r="A135" s="61"/>
      <c r="B135" s="61"/>
      <c r="C135" s="61"/>
      <c r="D135" s="115"/>
      <c r="E135" s="79"/>
      <c r="F135" s="79"/>
      <c r="G135" s="77"/>
      <c r="H135" s="79"/>
      <c r="I135" s="96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:18">
      <c r="A136" s="61"/>
      <c r="B136" s="61"/>
      <c r="C136" s="61"/>
      <c r="D136" s="115"/>
      <c r="E136" s="79"/>
      <c r="F136" s="79"/>
      <c r="G136" s="77"/>
      <c r="H136" s="79"/>
      <c r="I136" s="96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:18">
      <c r="A137" s="61"/>
      <c r="B137" s="61"/>
      <c r="C137" s="61"/>
      <c r="D137" s="115"/>
      <c r="E137" s="79"/>
      <c r="F137" s="79"/>
      <c r="G137" s="78"/>
      <c r="H137" s="79"/>
      <c r="I137" s="96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:18">
      <c r="A138" s="61"/>
      <c r="B138" s="61"/>
      <c r="C138" s="61"/>
      <c r="D138" s="115"/>
      <c r="E138" s="79"/>
      <c r="F138" s="79"/>
      <c r="G138" s="78"/>
      <c r="H138" s="79"/>
      <c r="I138" s="96"/>
      <c r="J138" s="61"/>
      <c r="K138" s="61"/>
      <c r="L138" s="61"/>
      <c r="M138" s="61"/>
      <c r="N138" s="61"/>
      <c r="P138" s="61"/>
      <c r="Q138" s="61"/>
      <c r="R138" s="61"/>
    </row>
    <row r="139" spans="1:18">
      <c r="A139" s="61"/>
      <c r="B139" s="61"/>
      <c r="C139" s="61"/>
      <c r="D139" s="115"/>
      <c r="E139" s="79"/>
      <c r="F139" s="79"/>
      <c r="G139" s="78"/>
      <c r="H139" s="79"/>
      <c r="I139" s="96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:18">
      <c r="A140" s="61"/>
      <c r="B140" s="61"/>
      <c r="C140" s="61"/>
      <c r="D140" s="115"/>
      <c r="E140" s="79"/>
      <c r="F140" s="79"/>
      <c r="G140" s="78"/>
      <c r="H140" s="79"/>
      <c r="I140" s="96"/>
      <c r="J140" s="61"/>
      <c r="K140" s="61"/>
      <c r="L140" s="61"/>
      <c r="M140" s="61"/>
      <c r="N140" s="61"/>
      <c r="O140" s="61"/>
    </row>
    <row r="141" spans="1:18">
      <c r="A141" s="61"/>
      <c r="B141" s="61"/>
      <c r="C141" s="61"/>
      <c r="D141" s="115"/>
      <c r="E141" s="79"/>
      <c r="F141" s="79"/>
      <c r="G141" s="78"/>
      <c r="H141" s="79"/>
      <c r="I141" s="96"/>
      <c r="J141" s="61"/>
      <c r="K141" s="61"/>
      <c r="L141" s="61"/>
      <c r="M141" s="61"/>
      <c r="N141" s="61"/>
      <c r="O141" s="61"/>
      <c r="P141" s="61"/>
    </row>
    <row r="142" spans="1:18">
      <c r="A142" s="61"/>
      <c r="B142" s="61"/>
      <c r="C142" s="61"/>
      <c r="D142" s="115"/>
      <c r="E142" s="79"/>
      <c r="F142" s="79"/>
      <c r="G142" s="78"/>
      <c r="H142" s="79"/>
      <c r="I142" s="96"/>
      <c r="J142" s="61"/>
      <c r="K142" s="61"/>
      <c r="L142" s="61"/>
      <c r="M142" s="61"/>
      <c r="N142" s="61"/>
      <c r="O142" s="61"/>
      <c r="P142" s="61"/>
    </row>
    <row r="143" spans="1:18">
      <c r="A143" s="61"/>
      <c r="B143" s="61"/>
      <c r="C143" s="61"/>
      <c r="D143" s="115"/>
      <c r="E143" s="79"/>
      <c r="F143" s="79"/>
      <c r="G143" s="78"/>
      <c r="H143" s="79"/>
      <c r="I143" s="96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:18">
      <c r="A144" s="61"/>
      <c r="B144" s="61"/>
      <c r="C144" s="61"/>
      <c r="D144" s="115"/>
      <c r="E144" s="79"/>
      <c r="F144" s="79"/>
      <c r="G144" s="78"/>
      <c r="H144" s="79"/>
      <c r="I144" s="96"/>
      <c r="J144" s="62"/>
      <c r="K144" s="61"/>
      <c r="L144" s="61"/>
      <c r="M144" s="61"/>
      <c r="N144" s="61"/>
      <c r="O144" s="61"/>
      <c r="P144" s="61"/>
      <c r="Q144" s="61"/>
      <c r="R144" s="61"/>
    </row>
    <row r="145" spans="1:18">
      <c r="A145" s="61"/>
      <c r="B145" s="61"/>
      <c r="C145" s="61"/>
      <c r="D145" s="115"/>
      <c r="E145" s="79"/>
      <c r="F145" s="79"/>
      <c r="G145" s="78"/>
      <c r="H145" s="79"/>
      <c r="I145" s="96"/>
      <c r="J145" s="62"/>
      <c r="K145" s="61"/>
      <c r="L145" s="61"/>
      <c r="M145" s="61"/>
      <c r="N145" s="61"/>
      <c r="O145" s="61"/>
      <c r="P145" s="61"/>
      <c r="Q145" s="61"/>
      <c r="R145" s="61"/>
    </row>
    <row r="146" spans="1:18">
      <c r="A146" s="61"/>
      <c r="B146" s="61"/>
      <c r="C146" s="61"/>
      <c r="D146" s="115"/>
      <c r="E146" s="79"/>
      <c r="F146" s="79"/>
      <c r="G146" s="78"/>
      <c r="H146" s="79"/>
      <c r="I146" s="96"/>
      <c r="J146" s="62"/>
      <c r="K146" s="62"/>
      <c r="L146" s="62"/>
      <c r="M146" s="61"/>
      <c r="N146" s="61"/>
      <c r="O146" s="61"/>
      <c r="P146" s="61"/>
      <c r="Q146" s="61"/>
      <c r="R146" s="61"/>
    </row>
    <row r="147" spans="1:18">
      <c r="A147" s="61"/>
      <c r="B147" s="61"/>
      <c r="C147" s="61"/>
      <c r="D147" s="115"/>
      <c r="E147" s="79"/>
      <c r="F147" s="79"/>
      <c r="G147" s="78"/>
      <c r="H147" s="79"/>
      <c r="I147" s="96"/>
      <c r="J147" s="62"/>
      <c r="K147" s="62"/>
      <c r="L147" s="62"/>
      <c r="M147" s="61"/>
      <c r="N147" s="61"/>
      <c r="O147" s="61"/>
      <c r="P147" s="61"/>
      <c r="Q147" s="61"/>
      <c r="R147" s="61"/>
    </row>
    <row r="148" spans="1:18">
      <c r="A148" s="61"/>
      <c r="B148" s="61"/>
      <c r="C148" s="61"/>
      <c r="D148" s="115"/>
      <c r="E148" s="79"/>
      <c r="F148" s="79"/>
      <c r="G148" s="78"/>
      <c r="H148" s="79"/>
      <c r="I148" s="96"/>
      <c r="J148" s="62"/>
      <c r="K148" s="62"/>
      <c r="L148" s="62"/>
      <c r="M148" s="61"/>
      <c r="N148" s="61"/>
      <c r="O148" s="61"/>
      <c r="P148" s="61"/>
      <c r="Q148" s="61"/>
      <c r="R148" s="61"/>
    </row>
    <row r="149" spans="1:18">
      <c r="A149" s="61"/>
      <c r="B149" s="61"/>
      <c r="C149" s="61"/>
      <c r="D149" s="115"/>
      <c r="E149" s="79"/>
      <c r="F149" s="79"/>
      <c r="G149" s="84"/>
      <c r="H149" s="79"/>
      <c r="I149" s="96"/>
      <c r="J149" s="62"/>
      <c r="K149" s="62"/>
      <c r="L149" s="62"/>
      <c r="M149" s="61"/>
      <c r="N149" s="61"/>
      <c r="O149" s="61"/>
      <c r="P149" s="61"/>
      <c r="Q149" s="61"/>
      <c r="R149" s="61"/>
    </row>
    <row r="150" spans="1:18">
      <c r="A150" s="61"/>
      <c r="B150" s="61"/>
      <c r="C150" s="61"/>
      <c r="D150" s="115"/>
      <c r="E150" s="79"/>
      <c r="F150" s="79"/>
      <c r="G150" s="84"/>
      <c r="H150" s="79"/>
      <c r="I150" s="96"/>
      <c r="J150" s="62"/>
      <c r="K150" s="62"/>
      <c r="L150" s="62"/>
      <c r="M150" s="61"/>
      <c r="N150" s="61"/>
      <c r="O150" s="61"/>
      <c r="P150" s="61"/>
      <c r="Q150" s="61"/>
      <c r="R150" s="61"/>
    </row>
    <row r="151" spans="1:18">
      <c r="A151" s="61"/>
      <c r="B151" s="61"/>
      <c r="C151" s="61"/>
      <c r="D151" s="115"/>
      <c r="E151" s="79"/>
      <c r="F151" s="79"/>
      <c r="G151" s="84"/>
      <c r="H151" s="79"/>
      <c r="I151" s="96"/>
      <c r="J151" s="62"/>
      <c r="K151" s="62"/>
      <c r="L151" s="62"/>
      <c r="M151" s="61"/>
      <c r="N151" s="61"/>
      <c r="O151" s="61"/>
      <c r="P151" s="61"/>
      <c r="Q151" s="61"/>
      <c r="R151" s="61"/>
    </row>
    <row r="152" spans="1:18">
      <c r="A152" s="61"/>
      <c r="B152" s="61"/>
      <c r="C152" s="61"/>
      <c r="D152" s="115"/>
      <c r="E152" s="79"/>
      <c r="F152" s="79"/>
      <c r="G152" s="84"/>
      <c r="H152" s="79"/>
      <c r="I152" s="96"/>
      <c r="J152" s="62"/>
      <c r="K152" s="62"/>
      <c r="L152" s="62"/>
      <c r="M152" s="61"/>
      <c r="N152" s="61"/>
      <c r="O152" s="61"/>
      <c r="P152" s="61"/>
      <c r="Q152" s="61"/>
      <c r="R152" s="61"/>
    </row>
    <row r="153" spans="1:18">
      <c r="A153" s="61"/>
      <c r="B153" s="61"/>
      <c r="C153" s="61"/>
      <c r="D153" s="115"/>
      <c r="E153" s="79"/>
      <c r="F153" s="79"/>
      <c r="G153" s="84"/>
      <c r="H153" s="79"/>
      <c r="I153" s="96"/>
      <c r="J153" s="62"/>
      <c r="K153" s="62"/>
      <c r="L153" s="62"/>
      <c r="M153" s="61"/>
      <c r="N153" s="61"/>
      <c r="O153" s="61"/>
      <c r="P153" s="61"/>
      <c r="Q153" s="61"/>
      <c r="R153" s="61"/>
    </row>
    <row r="154" spans="1:18">
      <c r="A154" s="61"/>
      <c r="B154" s="61"/>
      <c r="C154" s="61"/>
      <c r="D154" s="115"/>
      <c r="E154" s="79"/>
      <c r="F154" s="79"/>
      <c r="G154" s="84"/>
      <c r="H154" s="79"/>
      <c r="I154" s="96"/>
      <c r="J154" s="62"/>
      <c r="K154" s="62"/>
      <c r="L154" s="62"/>
      <c r="M154" s="61"/>
      <c r="N154" s="61"/>
      <c r="O154" s="61"/>
      <c r="P154" s="61"/>
      <c r="Q154" s="61"/>
      <c r="R154" s="61"/>
    </row>
    <row r="155" spans="1:18">
      <c r="A155" s="61"/>
      <c r="B155" s="61"/>
      <c r="C155" s="61"/>
      <c r="D155" s="115"/>
      <c r="E155" s="79"/>
      <c r="F155" s="79"/>
      <c r="G155" s="84"/>
      <c r="H155" s="79"/>
      <c r="I155" s="96"/>
      <c r="J155" s="62"/>
      <c r="K155" s="62"/>
      <c r="L155" s="62"/>
      <c r="M155" s="61"/>
      <c r="N155" s="61"/>
      <c r="O155" s="61"/>
      <c r="P155" s="61"/>
      <c r="Q155" s="61"/>
      <c r="R155" s="61"/>
    </row>
    <row r="156" spans="1:18">
      <c r="A156" s="61"/>
      <c r="B156" s="61"/>
      <c r="C156" s="61"/>
      <c r="D156" s="115"/>
      <c r="E156" s="79"/>
      <c r="F156" s="79"/>
      <c r="G156" s="84"/>
      <c r="H156" s="79"/>
      <c r="I156" s="96"/>
      <c r="J156" s="62"/>
      <c r="K156" s="62"/>
      <c r="L156" s="62"/>
      <c r="M156" s="61"/>
      <c r="N156" s="61"/>
      <c r="O156" s="61"/>
      <c r="P156" s="61"/>
      <c r="Q156" s="61"/>
      <c r="R156" s="61"/>
    </row>
    <row r="157" spans="1:18">
      <c r="A157" s="61"/>
      <c r="B157" s="61"/>
      <c r="C157" s="61"/>
      <c r="D157" s="115"/>
      <c r="E157" s="79"/>
      <c r="F157" s="79"/>
      <c r="G157" s="84"/>
      <c r="H157" s="79"/>
      <c r="I157" s="96"/>
      <c r="J157" s="62"/>
      <c r="K157" s="62"/>
      <c r="L157" s="62"/>
      <c r="M157" s="61"/>
      <c r="N157" s="61"/>
      <c r="O157" s="61"/>
      <c r="P157" s="61"/>
      <c r="Q157" s="61"/>
      <c r="R157" s="61"/>
    </row>
    <row r="158" spans="1:18">
      <c r="A158" s="61"/>
      <c r="B158" s="61"/>
      <c r="C158" s="61"/>
      <c r="D158" s="115"/>
      <c r="E158" s="79"/>
      <c r="F158" s="79"/>
      <c r="G158" s="84"/>
      <c r="H158" s="79"/>
      <c r="I158" s="96"/>
      <c r="J158" s="62"/>
      <c r="K158" s="62"/>
      <c r="L158" s="62"/>
      <c r="M158" s="61"/>
      <c r="N158" s="61"/>
      <c r="O158" s="61"/>
      <c r="P158" s="61"/>
      <c r="Q158" s="61"/>
      <c r="R158" s="61"/>
    </row>
    <row r="159" spans="1:18">
      <c r="A159" s="61"/>
      <c r="B159" s="61"/>
      <c r="C159" s="61"/>
      <c r="D159" s="115"/>
      <c r="E159" s="79"/>
      <c r="F159" s="79"/>
      <c r="G159" s="84"/>
      <c r="H159" s="79"/>
      <c r="I159" s="96"/>
      <c r="J159" s="62"/>
      <c r="K159" s="62"/>
      <c r="L159" s="62"/>
      <c r="M159" s="61"/>
      <c r="N159" s="61"/>
      <c r="O159" s="61"/>
      <c r="P159" s="61"/>
      <c r="Q159" s="61"/>
      <c r="R159" s="61"/>
    </row>
    <row r="160" spans="1:18">
      <c r="A160" s="61"/>
      <c r="B160" s="61"/>
      <c r="C160" s="61"/>
      <c r="D160" s="115"/>
      <c r="E160" s="79"/>
      <c r="F160" s="79"/>
      <c r="G160" s="84"/>
      <c r="H160" s="79"/>
      <c r="I160" s="96"/>
      <c r="J160" s="62"/>
      <c r="K160" s="62"/>
      <c r="L160" s="62"/>
      <c r="M160" s="61"/>
      <c r="N160" s="61"/>
      <c r="O160" s="61"/>
      <c r="P160" s="61"/>
      <c r="Q160" s="61"/>
      <c r="R160" s="61"/>
    </row>
    <row r="161" spans="1:18">
      <c r="A161" s="61"/>
      <c r="B161" s="61"/>
      <c r="C161" s="61"/>
      <c r="D161" s="115"/>
      <c r="E161" s="79"/>
      <c r="F161" s="79"/>
      <c r="G161" s="84"/>
      <c r="H161" s="79"/>
      <c r="I161" s="96"/>
      <c r="J161" s="62"/>
      <c r="K161" s="62"/>
      <c r="L161" s="62"/>
      <c r="M161" s="61"/>
      <c r="N161" s="61"/>
      <c r="O161" s="61"/>
      <c r="P161" s="61"/>
      <c r="Q161" s="61"/>
      <c r="R161" s="61"/>
    </row>
    <row r="162" spans="1:18">
      <c r="A162" s="61"/>
      <c r="B162" s="61"/>
      <c r="C162" s="61"/>
      <c r="D162" s="115"/>
      <c r="E162" s="79"/>
      <c r="F162" s="79"/>
      <c r="G162" s="84"/>
      <c r="H162" s="79"/>
      <c r="I162" s="96"/>
      <c r="J162" s="62"/>
      <c r="K162" s="62"/>
      <c r="L162" s="62"/>
      <c r="M162" s="61"/>
      <c r="N162" s="61"/>
      <c r="O162" s="61"/>
      <c r="P162" s="61"/>
      <c r="Q162" s="61"/>
      <c r="R162" s="61"/>
    </row>
    <row r="163" spans="1:18">
      <c r="A163" s="61"/>
      <c r="B163" s="61"/>
      <c r="C163" s="61"/>
      <c r="D163" s="115"/>
      <c r="E163" s="79"/>
      <c r="F163" s="79"/>
      <c r="G163" s="84"/>
      <c r="H163" s="79"/>
      <c r="I163" s="96"/>
      <c r="J163" s="62"/>
      <c r="K163" s="62"/>
      <c r="L163" s="62"/>
      <c r="M163" s="61"/>
      <c r="N163" s="61"/>
      <c r="O163" s="61"/>
      <c r="P163" s="61"/>
      <c r="Q163" s="61"/>
      <c r="R163" s="61"/>
    </row>
    <row r="164" spans="1:18">
      <c r="A164" s="61"/>
      <c r="B164" s="61"/>
      <c r="C164" s="61"/>
      <c r="D164" s="115"/>
      <c r="E164" s="79"/>
      <c r="F164" s="79"/>
      <c r="G164" s="84"/>
      <c r="H164" s="79"/>
      <c r="I164" s="96"/>
      <c r="J164" s="62"/>
      <c r="K164" s="62"/>
      <c r="L164" s="62"/>
      <c r="M164" s="61"/>
      <c r="N164" s="61"/>
      <c r="O164" s="61"/>
      <c r="P164" s="61"/>
      <c r="Q164" s="61"/>
      <c r="R164" s="61"/>
    </row>
    <row r="165" spans="1:18">
      <c r="A165" s="61"/>
      <c r="B165" s="61"/>
      <c r="C165" s="61"/>
      <c r="D165" s="115"/>
      <c r="E165" s="79"/>
      <c r="F165" s="79"/>
      <c r="G165" s="84"/>
      <c r="H165" s="79"/>
      <c r="I165" s="96"/>
      <c r="J165" s="62"/>
      <c r="K165" s="62"/>
      <c r="L165" s="62"/>
      <c r="M165" s="61"/>
      <c r="N165" s="61"/>
      <c r="O165" s="61"/>
      <c r="P165" s="61"/>
      <c r="Q165" s="61"/>
      <c r="R165" s="61"/>
    </row>
    <row r="166" spans="1:18">
      <c r="A166" s="61"/>
      <c r="B166" s="61"/>
      <c r="C166" s="61"/>
      <c r="D166" s="115"/>
      <c r="E166" s="79"/>
      <c r="F166" s="79"/>
      <c r="G166" s="84"/>
      <c r="H166" s="79"/>
      <c r="I166" s="96"/>
      <c r="J166" s="62"/>
      <c r="K166" s="62"/>
      <c r="L166" s="62"/>
      <c r="M166" s="61"/>
      <c r="N166" s="61"/>
      <c r="O166" s="61"/>
      <c r="P166" s="61"/>
      <c r="Q166" s="61"/>
      <c r="R166" s="61"/>
    </row>
    <row r="167" spans="1:18">
      <c r="A167" s="61"/>
      <c r="B167" s="81"/>
      <c r="C167" s="61"/>
      <c r="D167" s="117"/>
      <c r="E167" s="82"/>
      <c r="F167" s="82"/>
      <c r="G167" s="82"/>
      <c r="H167" s="82"/>
      <c r="I167" s="82"/>
      <c r="J167" s="62"/>
      <c r="K167" s="62"/>
      <c r="L167" s="62"/>
      <c r="M167" s="61"/>
      <c r="N167" s="61"/>
      <c r="O167" s="61"/>
      <c r="P167" s="61"/>
      <c r="Q167" s="61"/>
      <c r="R167" s="61"/>
    </row>
    <row r="168" spans="1:18">
      <c r="P168" s="61"/>
      <c r="Q168" s="61"/>
      <c r="R168" s="61"/>
    </row>
    <row r="169" spans="1:18">
      <c r="P169" s="61"/>
      <c r="Q169" s="61"/>
      <c r="R169" s="61"/>
    </row>
    <row r="170" spans="1:18">
      <c r="A170" s="61"/>
      <c r="B170" s="62"/>
      <c r="C170" s="61"/>
      <c r="E170" s="62"/>
      <c r="F170" s="62"/>
      <c r="G170" s="84"/>
      <c r="H170" s="77"/>
      <c r="I170" s="82"/>
      <c r="J170" s="62"/>
      <c r="K170" s="62"/>
      <c r="L170" s="62"/>
      <c r="M170" s="61"/>
      <c r="N170" s="61"/>
      <c r="O170" s="61"/>
      <c r="P170" s="61"/>
      <c r="Q170" s="61"/>
      <c r="R170" s="61"/>
    </row>
    <row r="171" spans="1:18">
      <c r="O171" s="61"/>
      <c r="P171" s="61"/>
      <c r="Q171" s="61"/>
      <c r="R171" s="61"/>
    </row>
    <row r="172" spans="1:18">
      <c r="B172" s="10"/>
      <c r="O172" s="61"/>
      <c r="P172" s="61"/>
      <c r="Q172" s="61"/>
      <c r="R172" s="61"/>
    </row>
    <row r="173" spans="1:18">
      <c r="A173" s="61"/>
      <c r="B173" s="61"/>
      <c r="C173" s="61"/>
      <c r="D173" s="61"/>
      <c r="E173" s="61"/>
      <c r="F173" s="61"/>
      <c r="G173" s="85"/>
      <c r="H173" s="61"/>
      <c r="I173" s="62"/>
      <c r="J173" s="62"/>
      <c r="K173" s="62"/>
      <c r="L173" s="62"/>
      <c r="M173" s="61"/>
      <c r="N173" s="61"/>
      <c r="O173" s="61"/>
      <c r="P173" s="61"/>
      <c r="Q173" s="61"/>
      <c r="R173" s="61"/>
    </row>
    <row r="174" spans="1:18">
      <c r="A174" s="61"/>
      <c r="B174" s="62"/>
      <c r="C174" s="62"/>
      <c r="D174" s="62"/>
      <c r="E174" s="61"/>
      <c r="F174" s="62"/>
      <c r="G174" s="85"/>
      <c r="H174" s="61"/>
      <c r="I174" s="62"/>
      <c r="J174" s="62"/>
      <c r="K174" s="62"/>
      <c r="L174" s="62"/>
      <c r="M174" s="61"/>
      <c r="N174" s="61"/>
      <c r="O174" s="61"/>
      <c r="P174" s="61"/>
      <c r="Q174" s="61"/>
      <c r="R174" s="61"/>
    </row>
    <row r="175" spans="1:18">
      <c r="G175" s="70"/>
      <c r="H175" s="61"/>
      <c r="I175" s="82"/>
      <c r="J175" s="62"/>
      <c r="K175" s="62"/>
      <c r="L175" s="62"/>
      <c r="M175" s="61"/>
      <c r="N175" s="61"/>
      <c r="O175" s="61"/>
      <c r="P175" s="61"/>
      <c r="Q175" s="61"/>
      <c r="R175" s="61"/>
    </row>
    <row r="176" spans="1:18">
      <c r="A176" s="61"/>
      <c r="B176" s="62"/>
      <c r="C176" s="61"/>
      <c r="E176" s="62"/>
      <c r="F176" s="62"/>
      <c r="G176" s="70"/>
      <c r="H176" s="61"/>
      <c r="I176" s="77"/>
      <c r="J176" s="61"/>
      <c r="K176" s="62"/>
      <c r="L176" s="62"/>
      <c r="M176" s="61"/>
      <c r="N176" s="61"/>
      <c r="O176" s="61"/>
      <c r="P176" s="61"/>
      <c r="Q176" s="61"/>
      <c r="R176" s="61"/>
    </row>
    <row r="177" spans="1:18">
      <c r="A177" s="61"/>
      <c r="B177" s="61"/>
      <c r="C177" s="61"/>
      <c r="D177" s="61"/>
      <c r="E177" s="61"/>
      <c r="F177" s="61"/>
      <c r="G177" s="70"/>
      <c r="H177" s="61"/>
      <c r="I177" s="82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1:18">
      <c r="A178" s="61"/>
      <c r="B178" s="10"/>
      <c r="F178" s="61"/>
      <c r="G178" s="70"/>
      <c r="H178" s="61"/>
      <c r="I178" s="80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1:18">
      <c r="A179" s="61"/>
      <c r="B179" s="61"/>
      <c r="D179" s="61"/>
      <c r="E179" s="61"/>
      <c r="F179" s="61"/>
      <c r="G179" s="70"/>
      <c r="H179" s="61"/>
      <c r="I179" s="77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1:18">
      <c r="A180" s="61"/>
      <c r="B180" s="61"/>
      <c r="C180" s="61"/>
      <c r="D180" s="61"/>
      <c r="E180" s="61"/>
      <c r="F180" s="61"/>
      <c r="G180" s="70"/>
      <c r="H180" s="61"/>
      <c r="I180" s="69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1:18">
      <c r="A181" s="61"/>
      <c r="B181" s="61"/>
      <c r="C181" s="61"/>
      <c r="D181" s="61"/>
      <c r="E181" s="61"/>
      <c r="F181" s="61"/>
      <c r="G181" s="70"/>
      <c r="H181" s="61"/>
      <c r="I181" s="75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1:18">
      <c r="A182" s="61"/>
      <c r="B182" s="61"/>
      <c r="C182" s="61"/>
      <c r="D182" s="61"/>
      <c r="E182" s="61"/>
      <c r="F182" s="61"/>
      <c r="G182" s="70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1:18">
      <c r="A183" s="61"/>
      <c r="B183" s="62"/>
      <c r="C183" s="10"/>
      <c r="D183" s="10"/>
      <c r="E183" s="93"/>
      <c r="F183" s="61"/>
      <c r="G183" s="70"/>
      <c r="H183" s="61"/>
      <c r="I183" s="61"/>
      <c r="J183" s="61"/>
      <c r="K183" s="61"/>
      <c r="L183" s="61"/>
      <c r="M183" s="62"/>
      <c r="N183" s="62"/>
      <c r="O183" s="61"/>
      <c r="P183" s="61"/>
      <c r="Q183" s="61"/>
      <c r="R183" s="61"/>
    </row>
    <row r="184" spans="1:18">
      <c r="A184" s="61"/>
      <c r="B184" s="61"/>
      <c r="C184" s="61"/>
      <c r="D184" s="61"/>
      <c r="E184" s="61"/>
      <c r="F184" s="61"/>
      <c r="G184" s="70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1:18">
      <c r="A185" s="61"/>
      <c r="B185" s="61"/>
      <c r="C185" s="61"/>
      <c r="D185" s="61"/>
      <c r="E185" s="61"/>
      <c r="F185" s="61"/>
      <c r="G185" s="70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1:18">
      <c r="A186" s="61"/>
      <c r="B186" s="62"/>
      <c r="C186" s="62"/>
      <c r="D186" s="62"/>
      <c r="E186" s="62"/>
      <c r="F186" s="61"/>
      <c r="G186" s="70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1:18">
      <c r="A187" s="61"/>
      <c r="B187" s="61"/>
      <c r="C187" s="61"/>
      <c r="D187" s="61"/>
      <c r="E187" s="61"/>
      <c r="F187" s="61"/>
      <c r="G187" s="70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1:18">
      <c r="A188" s="61"/>
      <c r="B188" s="62"/>
      <c r="C188" s="62"/>
      <c r="D188" s="62"/>
      <c r="E188" s="62"/>
      <c r="F188" s="61"/>
      <c r="G188" s="70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1:18">
      <c r="A189" s="61"/>
      <c r="B189" s="62"/>
      <c r="C189" s="62"/>
      <c r="D189" s="62"/>
      <c r="E189" s="94"/>
      <c r="F189" s="61"/>
      <c r="G189" s="70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1:18">
      <c r="A190" s="61"/>
      <c r="B190" s="61"/>
      <c r="C190" s="61"/>
      <c r="D190" s="61"/>
      <c r="E190" s="61"/>
      <c r="F190" s="61"/>
      <c r="G190" s="70"/>
      <c r="H190" s="61"/>
      <c r="I190" s="61"/>
      <c r="J190" s="61"/>
      <c r="K190" s="61"/>
      <c r="L190" s="61"/>
      <c r="M190" s="61"/>
      <c r="N190" s="61"/>
      <c r="Q190" s="61"/>
      <c r="R190" s="61"/>
    </row>
    <row r="191" spans="1:18">
      <c r="A191" s="61"/>
      <c r="B191" s="61"/>
      <c r="C191" s="61"/>
      <c r="D191" s="61"/>
      <c r="E191" s="61"/>
      <c r="F191" s="61"/>
      <c r="G191" s="70"/>
      <c r="H191" s="61"/>
      <c r="I191" s="61"/>
      <c r="J191" s="61"/>
      <c r="K191" s="61"/>
      <c r="L191" s="61"/>
      <c r="M191" s="61"/>
      <c r="N191" s="61"/>
      <c r="Q191" s="61"/>
      <c r="R191" s="61"/>
    </row>
    <row r="192" spans="1:18">
      <c r="A192" s="61"/>
      <c r="B192" s="61"/>
      <c r="C192" s="61"/>
      <c r="D192" s="61"/>
      <c r="E192" s="61"/>
      <c r="F192" s="61"/>
      <c r="G192" s="70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1:18">
      <c r="A193" s="61"/>
      <c r="B193" s="61"/>
      <c r="C193" s="61"/>
      <c r="D193" s="61"/>
      <c r="E193" s="61"/>
      <c r="F193" s="61"/>
      <c r="G193" s="70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1:18">
      <c r="O194" s="61"/>
      <c r="P194" s="61"/>
      <c r="Q194" s="61"/>
      <c r="R194" s="61"/>
    </row>
    <row r="195" spans="1:18">
      <c r="O195" s="61"/>
      <c r="P195" s="61"/>
      <c r="Q195" s="61"/>
      <c r="R195" s="61"/>
    </row>
    <row r="196" spans="1:18">
      <c r="O196" s="61"/>
      <c r="P196" s="61"/>
      <c r="Q196" s="61"/>
      <c r="R196" s="61"/>
    </row>
    <row r="197" spans="1:18">
      <c r="O197" s="61"/>
      <c r="P197" s="61"/>
      <c r="Q197" s="61"/>
    </row>
    <row r="198" spans="1:18">
      <c r="O198" s="61"/>
      <c r="P198" s="61"/>
      <c r="Q198" s="61"/>
    </row>
    <row r="199" spans="1:18">
      <c r="O199" s="61"/>
      <c r="P199" s="61"/>
      <c r="Q199" s="61"/>
    </row>
    <row r="200" spans="1:18">
      <c r="O200" s="61"/>
      <c r="P200" s="61"/>
      <c r="Q200" s="61"/>
    </row>
    <row r="201" spans="1:18">
      <c r="O201" s="61"/>
      <c r="P201" s="61"/>
      <c r="Q201" s="61"/>
    </row>
    <row r="202" spans="1:18">
      <c r="O202" s="61"/>
      <c r="P202" s="61"/>
      <c r="Q202" s="61"/>
    </row>
    <row r="203" spans="1:18">
      <c r="O203" s="61"/>
      <c r="P203" s="61"/>
      <c r="Q203" s="61"/>
    </row>
    <row r="204" spans="1:18">
      <c r="O204" s="61"/>
      <c r="P204" s="61"/>
      <c r="Q204" s="61"/>
    </row>
    <row r="205" spans="1:18">
      <c r="O205" s="61"/>
      <c r="P205" s="61"/>
      <c r="Q205" s="61"/>
    </row>
    <row r="206" spans="1:18">
      <c r="O206" s="61"/>
      <c r="P206" s="61"/>
      <c r="Q206" s="61"/>
    </row>
    <row r="207" spans="1:18">
      <c r="O207" s="61"/>
      <c r="P207" s="61"/>
      <c r="Q207" s="61"/>
    </row>
    <row r="208" spans="1:18">
      <c r="O208" s="61"/>
      <c r="P208" s="61"/>
      <c r="Q208" s="61"/>
    </row>
    <row r="209" spans="1:17">
      <c r="O209" s="61"/>
      <c r="P209" s="61"/>
      <c r="Q209" s="61"/>
    </row>
    <row r="210" spans="1:17">
      <c r="O210" s="61"/>
      <c r="P210" s="61"/>
      <c r="Q210" s="61"/>
    </row>
    <row r="211" spans="1:17">
      <c r="O211" s="61"/>
      <c r="P211" s="61"/>
      <c r="Q211" s="61"/>
    </row>
    <row r="212" spans="1:17">
      <c r="O212" s="61"/>
      <c r="P212" s="61"/>
      <c r="Q212" s="61"/>
    </row>
    <row r="213" spans="1:17">
      <c r="A213" s="61"/>
      <c r="B213" s="61"/>
      <c r="C213" s="61"/>
      <c r="D213" s="61"/>
      <c r="E213" s="61"/>
      <c r="F213" s="61"/>
      <c r="G213" s="70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1:17">
      <c r="A214" s="61"/>
      <c r="B214" s="61"/>
      <c r="C214" s="61"/>
      <c r="D214" s="61"/>
      <c r="E214" s="61"/>
      <c r="F214" s="61"/>
      <c r="G214" s="70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1:17">
      <c r="A215" s="61"/>
      <c r="B215" s="61"/>
      <c r="C215" s="61"/>
      <c r="D215" s="61"/>
      <c r="E215" s="61"/>
      <c r="F215" s="61"/>
      <c r="G215" s="70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1:17">
      <c r="A216" s="61"/>
      <c r="B216" s="62"/>
      <c r="C216" s="62"/>
      <c r="D216" s="62"/>
      <c r="E216" s="62"/>
      <c r="F216" s="62"/>
      <c r="G216" s="70"/>
      <c r="H216" s="61"/>
      <c r="I216" s="62"/>
      <c r="J216" s="62"/>
      <c r="K216" s="62"/>
      <c r="L216" s="62"/>
      <c r="M216" s="61"/>
      <c r="N216" s="61"/>
      <c r="O216" s="61"/>
      <c r="P216" s="61"/>
      <c r="Q216" s="61"/>
    </row>
    <row r="217" spans="1:17">
      <c r="A217" s="61"/>
      <c r="B217" s="61"/>
      <c r="C217" s="61"/>
      <c r="D217" s="61"/>
      <c r="E217" s="61"/>
      <c r="F217" s="61"/>
      <c r="G217" s="70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1:17">
      <c r="A218" s="61"/>
      <c r="B218" s="61"/>
      <c r="C218" s="61"/>
      <c r="D218" s="61"/>
      <c r="E218" s="61"/>
      <c r="F218" s="61"/>
      <c r="G218" s="70"/>
      <c r="H218" s="61"/>
      <c r="I218" s="61"/>
      <c r="J218" s="61"/>
      <c r="K218" s="62"/>
      <c r="L218" s="61"/>
      <c r="M218" s="61"/>
      <c r="N218" s="61"/>
      <c r="O218" s="61"/>
      <c r="P218" s="61"/>
      <c r="Q218" s="61"/>
    </row>
    <row r="219" spans="1:17">
      <c r="A219" s="61"/>
      <c r="B219" s="62"/>
      <c r="C219" s="62"/>
      <c r="D219" s="62"/>
      <c r="E219" s="62"/>
      <c r="F219" s="62"/>
      <c r="G219" s="70"/>
      <c r="H219" s="61"/>
      <c r="I219" s="62"/>
      <c r="J219" s="62"/>
      <c r="K219" s="61"/>
      <c r="L219" s="61"/>
      <c r="M219" s="61"/>
      <c r="N219" s="61"/>
      <c r="O219" s="61"/>
      <c r="P219" s="61"/>
      <c r="Q219" s="61"/>
    </row>
  </sheetData>
  <printOptions gridLines="1"/>
  <pageMargins left="0.25" right="0.25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topLeftCell="B1" workbookViewId="0">
      <selection activeCell="X30" sqref="X30"/>
    </sheetView>
  </sheetViews>
  <sheetFormatPr defaultRowHeight="14.4"/>
  <cols>
    <col min="1" max="1" width="34.77734375" customWidth="1"/>
    <col min="2" max="2" width="11.77734375" customWidth="1"/>
    <col min="3" max="3" width="10.6640625" customWidth="1"/>
    <col min="4" max="4" width="4.88671875" customWidth="1"/>
    <col min="5" max="5" width="10.5546875" customWidth="1"/>
    <col min="6" max="6" width="13.109375" customWidth="1"/>
    <col min="7" max="7" width="7.6640625" customWidth="1"/>
    <col min="8" max="8" width="11.88671875" customWidth="1"/>
    <col min="9" max="9" width="11.44140625" customWidth="1"/>
    <col min="10" max="10" width="12" customWidth="1"/>
    <col min="17" max="17" width="12.88671875" customWidth="1"/>
    <col min="18" max="18" width="11.6640625" customWidth="1"/>
    <col min="20" max="20" width="15.77734375" customWidth="1"/>
    <col min="21" max="21" width="10.33203125" customWidth="1"/>
    <col min="23" max="23" width="12.77734375" customWidth="1"/>
  </cols>
  <sheetData>
    <row r="1" spans="1:25" ht="21">
      <c r="A1" s="97" t="s">
        <v>280</v>
      </c>
    </row>
    <row r="2" spans="1:25" ht="18">
      <c r="A2" s="98" t="s">
        <v>281</v>
      </c>
    </row>
    <row r="3" spans="1:25">
      <c r="A3" t="s">
        <v>282</v>
      </c>
      <c r="B3" s="11"/>
      <c r="C3" s="11"/>
      <c r="D3" s="11"/>
      <c r="E3" s="11"/>
      <c r="F3" s="11"/>
      <c r="G3" s="11"/>
      <c r="H3" s="11"/>
      <c r="I3" s="11"/>
      <c r="J3" s="11" t="s">
        <v>347</v>
      </c>
    </row>
    <row r="4" spans="1:25">
      <c r="B4" s="11" t="s">
        <v>335</v>
      </c>
      <c r="C4" s="11"/>
      <c r="D4" s="11"/>
      <c r="E4" s="11"/>
      <c r="F4" s="11"/>
      <c r="G4" s="11"/>
      <c r="H4" s="11"/>
      <c r="I4" s="11" t="s">
        <v>344</v>
      </c>
      <c r="J4" s="11" t="s">
        <v>348</v>
      </c>
    </row>
    <row r="5" spans="1:25">
      <c r="B5" s="11" t="s">
        <v>356</v>
      </c>
      <c r="C5" s="11" t="s">
        <v>336</v>
      </c>
      <c r="D5" s="11"/>
      <c r="E5" s="11" t="s">
        <v>338</v>
      </c>
      <c r="F5" s="11" t="s">
        <v>341</v>
      </c>
      <c r="G5" s="11"/>
      <c r="H5" s="11" t="s">
        <v>338</v>
      </c>
      <c r="I5" s="11" t="s">
        <v>345</v>
      </c>
      <c r="J5" s="11" t="s">
        <v>345</v>
      </c>
    </row>
    <row r="6" spans="1:25">
      <c r="B6" s="100">
        <v>44926</v>
      </c>
      <c r="C6" s="11" t="s">
        <v>340</v>
      </c>
      <c r="D6" s="11" t="s">
        <v>337</v>
      </c>
      <c r="E6" s="11" t="s">
        <v>339</v>
      </c>
      <c r="F6" s="11" t="s">
        <v>342</v>
      </c>
      <c r="G6" s="11" t="s">
        <v>343</v>
      </c>
      <c r="H6" s="11" t="s">
        <v>341</v>
      </c>
      <c r="I6" s="11" t="s">
        <v>346</v>
      </c>
      <c r="J6" s="11" t="s">
        <v>128</v>
      </c>
    </row>
    <row r="7" spans="1:25">
      <c r="I7" s="348">
        <v>0.15720000000000001</v>
      </c>
    </row>
    <row r="8" spans="1:25" ht="18">
      <c r="A8" s="99" t="s">
        <v>283</v>
      </c>
    </row>
    <row r="9" spans="1:25">
      <c r="A9" t="s">
        <v>116</v>
      </c>
      <c r="B9" s="119">
        <v>397255</v>
      </c>
      <c r="C9" s="119"/>
      <c r="D9" s="119"/>
      <c r="E9" s="119">
        <v>397255</v>
      </c>
      <c r="F9" s="119"/>
      <c r="G9" s="121"/>
      <c r="H9" s="119">
        <f>E9+F9</f>
        <v>397255</v>
      </c>
      <c r="I9" s="119">
        <v>63262</v>
      </c>
      <c r="J9" s="119">
        <f>H9+I9</f>
        <v>460517</v>
      </c>
      <c r="L9" s="337">
        <f>I9/H9</f>
        <v>0.15924783829026695</v>
      </c>
      <c r="O9" s="11"/>
      <c r="P9" s="11"/>
      <c r="Q9" s="11"/>
      <c r="R9" s="11"/>
      <c r="S9" s="11"/>
      <c r="T9" s="11"/>
      <c r="U9" s="11"/>
      <c r="V9" s="11"/>
      <c r="W9" s="11"/>
    </row>
    <row r="10" spans="1:25">
      <c r="A10" t="s">
        <v>117</v>
      </c>
      <c r="B10" s="119">
        <v>191328</v>
      </c>
      <c r="C10" s="119"/>
      <c r="D10" s="119"/>
      <c r="E10" s="119">
        <v>191328</v>
      </c>
      <c r="F10" s="119"/>
      <c r="G10" s="121"/>
      <c r="H10" s="119">
        <f t="shared" ref="H10:H68" si="0">E10+F10</f>
        <v>191328</v>
      </c>
      <c r="I10" s="119">
        <v>29993</v>
      </c>
      <c r="J10" s="119">
        <f t="shared" ref="J10:J17" si="1">H10+I10</f>
        <v>221321</v>
      </c>
      <c r="L10" s="337">
        <f>I10/H10</f>
        <v>0.15676220939956514</v>
      </c>
      <c r="O10" s="11"/>
      <c r="P10" s="11"/>
      <c r="Q10" s="11"/>
      <c r="R10" s="11"/>
      <c r="S10" s="11"/>
      <c r="T10" s="11"/>
      <c r="U10" s="11"/>
      <c r="V10" s="11"/>
      <c r="W10" s="11"/>
    </row>
    <row r="11" spans="1:25">
      <c r="A11" t="s">
        <v>645</v>
      </c>
      <c r="B11" s="119"/>
      <c r="C11" s="119">
        <f>B30</f>
        <v>70880</v>
      </c>
      <c r="D11" s="119"/>
      <c r="E11" s="119"/>
      <c r="F11" s="119"/>
      <c r="G11" s="121"/>
      <c r="H11" s="119"/>
      <c r="I11" s="119"/>
      <c r="J11" s="119"/>
      <c r="O11" s="100"/>
      <c r="P11" s="11"/>
      <c r="Q11" s="11"/>
      <c r="R11" s="11"/>
      <c r="S11" s="11"/>
      <c r="T11" s="11"/>
      <c r="U11" s="11"/>
      <c r="V11" s="11"/>
      <c r="W11" s="11"/>
    </row>
    <row r="12" spans="1:25">
      <c r="A12" t="s">
        <v>118</v>
      </c>
      <c r="B12" s="119">
        <v>40037</v>
      </c>
      <c r="C12" s="119"/>
      <c r="D12" s="119"/>
      <c r="E12" s="119">
        <v>40037</v>
      </c>
      <c r="F12" s="119"/>
      <c r="G12" s="121"/>
      <c r="H12" s="119">
        <f t="shared" si="0"/>
        <v>40037</v>
      </c>
      <c r="I12" s="119">
        <v>6225</v>
      </c>
      <c r="J12" s="119">
        <f t="shared" si="1"/>
        <v>46262</v>
      </c>
      <c r="L12" s="337">
        <f>I12/H12</f>
        <v>0.15548117990858457</v>
      </c>
      <c r="V12" s="348"/>
    </row>
    <row r="13" spans="1:25" ht="18">
      <c r="A13" t="s">
        <v>284</v>
      </c>
      <c r="B13" s="335">
        <v>15839</v>
      </c>
      <c r="C13" s="335"/>
      <c r="D13" s="335"/>
      <c r="E13" s="335">
        <v>15839</v>
      </c>
      <c r="F13" s="335"/>
      <c r="G13" s="336"/>
      <c r="H13" s="335">
        <f t="shared" si="0"/>
        <v>15839</v>
      </c>
      <c r="I13" s="335"/>
      <c r="J13" s="335">
        <f t="shared" si="1"/>
        <v>15839</v>
      </c>
      <c r="N13" s="99"/>
    </row>
    <row r="14" spans="1:25">
      <c r="A14" s="10" t="s">
        <v>285</v>
      </c>
      <c r="B14" s="120">
        <f>SUM(B9:B13)</f>
        <v>644459</v>
      </c>
      <c r="C14" s="119"/>
      <c r="D14" s="119"/>
      <c r="E14" s="120">
        <f>SUM(E9:E13)</f>
        <v>644459</v>
      </c>
      <c r="F14" s="119"/>
      <c r="G14" s="121"/>
      <c r="H14" s="119">
        <f t="shared" si="0"/>
        <v>644459</v>
      </c>
      <c r="I14" s="119">
        <f>SUM(I9:I13)</f>
        <v>99480</v>
      </c>
      <c r="J14" s="119">
        <f>SUM(J9:J13)</f>
        <v>743939</v>
      </c>
      <c r="L14">
        <f>J14/H14</f>
        <v>1.1543620307886149</v>
      </c>
      <c r="O14" s="119"/>
      <c r="P14" s="119"/>
      <c r="Q14" s="119"/>
      <c r="R14" s="119"/>
      <c r="S14" s="119"/>
      <c r="T14" s="121"/>
      <c r="U14" s="119"/>
      <c r="V14" s="119"/>
      <c r="W14" s="119"/>
      <c r="Y14" s="337"/>
    </row>
    <row r="15" spans="1:25">
      <c r="B15" s="119"/>
      <c r="C15" s="119"/>
      <c r="D15" s="119"/>
      <c r="E15" s="119"/>
      <c r="F15" s="119"/>
      <c r="G15" s="121"/>
      <c r="H15" s="119"/>
      <c r="I15" s="119"/>
      <c r="J15" s="119"/>
      <c r="O15" s="119"/>
      <c r="P15" s="119"/>
      <c r="Q15" s="119"/>
      <c r="R15" s="119"/>
      <c r="S15" s="119"/>
      <c r="T15" s="121"/>
      <c r="U15" s="119"/>
      <c r="V15" s="119"/>
      <c r="W15" s="119"/>
      <c r="Y15" s="337"/>
    </row>
    <row r="16" spans="1:25">
      <c r="A16" t="s">
        <v>286</v>
      </c>
      <c r="B16" s="335">
        <v>40607</v>
      </c>
      <c r="C16" s="335"/>
      <c r="D16" s="335"/>
      <c r="E16" s="335">
        <v>40607</v>
      </c>
      <c r="F16" s="335"/>
      <c r="G16" s="336"/>
      <c r="H16" s="335">
        <f t="shared" si="0"/>
        <v>40607</v>
      </c>
      <c r="I16" s="335"/>
      <c r="J16" s="335">
        <f t="shared" si="1"/>
        <v>40607</v>
      </c>
      <c r="O16" s="119"/>
      <c r="P16" s="119"/>
      <c r="Q16" s="119"/>
      <c r="R16" s="119"/>
      <c r="S16" s="119"/>
      <c r="T16" s="121"/>
      <c r="U16" s="119"/>
      <c r="V16" s="119"/>
      <c r="W16" s="119"/>
    </row>
    <row r="17" spans="1:25">
      <c r="A17" s="10" t="s">
        <v>287</v>
      </c>
      <c r="B17" s="120">
        <f>SUM(B16)</f>
        <v>40607</v>
      </c>
      <c r="C17" s="119"/>
      <c r="D17" s="119"/>
      <c r="E17" s="120">
        <f>SUM(E16)</f>
        <v>40607</v>
      </c>
      <c r="F17" s="119"/>
      <c r="G17" s="121"/>
      <c r="H17" s="119">
        <f t="shared" si="0"/>
        <v>40607</v>
      </c>
      <c r="I17" s="119"/>
      <c r="J17" s="119">
        <f t="shared" si="1"/>
        <v>40607</v>
      </c>
      <c r="O17" s="119"/>
      <c r="P17" s="119"/>
      <c r="Q17" s="119"/>
      <c r="R17" s="119"/>
      <c r="S17" s="119"/>
      <c r="T17" s="121"/>
      <c r="U17" s="119"/>
      <c r="V17" s="119"/>
      <c r="W17" s="119"/>
      <c r="Y17" s="337"/>
    </row>
    <row r="18" spans="1:25">
      <c r="B18" s="119"/>
      <c r="C18" s="119"/>
      <c r="D18" s="119"/>
      <c r="E18" s="119"/>
      <c r="F18" s="119"/>
      <c r="G18" s="121"/>
      <c r="H18" s="119">
        <f t="shared" si="0"/>
        <v>0</v>
      </c>
      <c r="I18" s="119"/>
      <c r="J18" s="119"/>
      <c r="O18" s="335"/>
      <c r="P18" s="335"/>
      <c r="Q18" s="335"/>
      <c r="R18" s="335"/>
      <c r="S18" s="335"/>
      <c r="T18" s="336"/>
      <c r="U18" s="335"/>
      <c r="V18" s="335"/>
      <c r="W18" s="335"/>
    </row>
    <row r="19" spans="1:25">
      <c r="A19" s="10" t="s">
        <v>288</v>
      </c>
      <c r="B19" s="120">
        <f>B14+B17</f>
        <v>685066</v>
      </c>
      <c r="C19" s="119"/>
      <c r="D19" s="119"/>
      <c r="E19" s="120">
        <f>E14+E17</f>
        <v>685066</v>
      </c>
      <c r="F19" s="119"/>
      <c r="G19" s="121"/>
      <c r="H19" s="119">
        <f t="shared" si="0"/>
        <v>685066</v>
      </c>
      <c r="I19" s="119"/>
      <c r="J19" s="119">
        <f>J14+J17</f>
        <v>784546</v>
      </c>
      <c r="L19" s="337"/>
      <c r="N19" s="10"/>
      <c r="O19" s="120"/>
      <c r="P19" s="119"/>
      <c r="Q19" s="119"/>
      <c r="R19" s="120"/>
      <c r="S19" s="119"/>
      <c r="T19" s="121"/>
      <c r="U19" s="119"/>
      <c r="V19" s="119"/>
      <c r="W19" s="119"/>
    </row>
    <row r="20" spans="1:25">
      <c r="B20" s="119"/>
      <c r="C20" s="119"/>
      <c r="D20" s="119"/>
      <c r="E20" s="119"/>
      <c r="F20" s="119"/>
      <c r="G20" s="121"/>
      <c r="H20" s="119">
        <f t="shared" si="0"/>
        <v>0</v>
      </c>
      <c r="I20" s="119"/>
      <c r="J20" s="119"/>
      <c r="O20" s="119"/>
      <c r="P20" s="119"/>
      <c r="Q20" s="119"/>
      <c r="R20" s="119"/>
      <c r="S20" s="119"/>
      <c r="T20" s="121"/>
      <c r="U20" s="119"/>
      <c r="V20" s="119"/>
      <c r="W20" s="119"/>
    </row>
    <row r="21" spans="1:25">
      <c r="B21" s="119"/>
      <c r="C21" s="119"/>
      <c r="D21" s="119"/>
      <c r="E21" s="119"/>
      <c r="F21" s="119"/>
      <c r="G21" s="121"/>
      <c r="H21" s="119">
        <f t="shared" si="0"/>
        <v>0</v>
      </c>
      <c r="I21" s="119"/>
      <c r="J21" s="119"/>
      <c r="O21" s="335"/>
      <c r="P21" s="335"/>
      <c r="Q21" s="335"/>
      <c r="R21" s="335"/>
      <c r="S21" s="335"/>
      <c r="T21" s="336"/>
      <c r="U21" s="335"/>
      <c r="V21" s="335"/>
      <c r="W21" s="335"/>
    </row>
    <row r="22" spans="1:25" ht="18">
      <c r="A22" s="99" t="s">
        <v>289</v>
      </c>
      <c r="B22" s="119"/>
      <c r="C22" s="119"/>
      <c r="D22" s="119"/>
      <c r="E22" s="119"/>
      <c r="F22" s="119"/>
      <c r="G22" s="121"/>
      <c r="H22" s="119">
        <f t="shared" si="0"/>
        <v>0</v>
      </c>
      <c r="I22" s="119"/>
      <c r="J22" s="119"/>
      <c r="N22" s="10"/>
      <c r="O22" s="120"/>
      <c r="P22" s="119"/>
      <c r="Q22" s="119"/>
      <c r="R22" s="120"/>
      <c r="S22" s="119"/>
      <c r="T22" s="121"/>
      <c r="U22" s="119"/>
      <c r="V22" s="119"/>
      <c r="W22" s="119"/>
    </row>
    <row r="23" spans="1:25">
      <c r="A23" t="s">
        <v>355</v>
      </c>
      <c r="B23" s="119">
        <v>18321</v>
      </c>
      <c r="C23" s="119"/>
      <c r="D23" s="119"/>
      <c r="E23" s="119">
        <v>18321</v>
      </c>
      <c r="F23" s="119">
        <v>1677</v>
      </c>
      <c r="G23" s="121">
        <v>11</v>
      </c>
      <c r="H23" s="119">
        <f t="shared" si="0"/>
        <v>19998</v>
      </c>
      <c r="I23" s="119"/>
      <c r="J23" s="119"/>
      <c r="O23" s="119"/>
      <c r="P23" s="119"/>
      <c r="Q23" s="119"/>
      <c r="R23" s="119"/>
      <c r="S23" s="119"/>
      <c r="T23" s="121"/>
      <c r="U23" s="119"/>
      <c r="V23" s="119"/>
      <c r="W23" s="119"/>
    </row>
    <row r="24" spans="1:25">
      <c r="A24" t="s">
        <v>290</v>
      </c>
      <c r="B24" s="119">
        <v>16935</v>
      </c>
      <c r="C24" s="119"/>
      <c r="D24" s="119"/>
      <c r="E24" s="119">
        <v>16935</v>
      </c>
      <c r="F24" s="119"/>
      <c r="G24" s="121"/>
      <c r="H24" s="119">
        <f t="shared" si="0"/>
        <v>16935</v>
      </c>
      <c r="I24" s="119"/>
      <c r="J24" s="119"/>
      <c r="N24" s="10"/>
      <c r="O24" s="120"/>
      <c r="P24" s="119"/>
      <c r="Q24" s="119"/>
      <c r="R24" s="120"/>
      <c r="S24" s="119"/>
      <c r="T24" s="121"/>
      <c r="U24" s="119"/>
      <c r="V24" s="119"/>
      <c r="W24" s="119"/>
      <c r="Y24" s="337"/>
    </row>
    <row r="25" spans="1:25">
      <c r="A25" t="s">
        <v>291</v>
      </c>
      <c r="B25" s="119">
        <v>9979</v>
      </c>
      <c r="C25" s="119"/>
      <c r="D25" s="119"/>
      <c r="E25" s="119">
        <v>9979</v>
      </c>
      <c r="F25" s="119"/>
      <c r="G25" s="121"/>
      <c r="H25" s="119">
        <f t="shared" si="0"/>
        <v>9979</v>
      </c>
      <c r="I25" s="119"/>
      <c r="J25" s="119"/>
      <c r="Q25" s="363"/>
      <c r="R25" s="357"/>
      <c r="S25" s="357"/>
      <c r="T25" s="357"/>
      <c r="U25" s="341"/>
      <c r="V25" s="61"/>
    </row>
    <row r="26" spans="1:25">
      <c r="A26" t="s">
        <v>292</v>
      </c>
      <c r="B26" s="119">
        <v>5124</v>
      </c>
      <c r="C26" s="119"/>
      <c r="D26" s="119"/>
      <c r="E26" s="119">
        <v>5124</v>
      </c>
      <c r="F26" s="119"/>
      <c r="G26" s="121"/>
      <c r="H26" s="119">
        <f t="shared" si="0"/>
        <v>5124</v>
      </c>
      <c r="I26" s="119"/>
      <c r="J26" s="119"/>
      <c r="Q26" s="358"/>
      <c r="R26" s="358"/>
      <c r="S26" s="358"/>
      <c r="T26" s="358"/>
      <c r="U26" s="341"/>
      <c r="V26" s="61"/>
    </row>
    <row r="27" spans="1:25">
      <c r="A27" t="s">
        <v>293</v>
      </c>
      <c r="B27" s="119">
        <v>102254</v>
      </c>
      <c r="C27" s="119"/>
      <c r="D27" s="119"/>
      <c r="E27" s="119">
        <v>102254</v>
      </c>
      <c r="F27" s="119">
        <v>4403</v>
      </c>
      <c r="G27" s="121">
        <v>11</v>
      </c>
      <c r="H27" s="119">
        <f t="shared" si="0"/>
        <v>106657</v>
      </c>
      <c r="I27" s="119"/>
      <c r="J27" s="119"/>
      <c r="Q27" s="61"/>
      <c r="R27" s="61"/>
      <c r="S27" s="61"/>
      <c r="T27" s="62"/>
      <c r="U27" s="61"/>
      <c r="V27" s="61"/>
    </row>
    <row r="28" spans="1:25">
      <c r="A28" t="s">
        <v>294</v>
      </c>
      <c r="B28" s="119">
        <v>24000</v>
      </c>
      <c r="C28" s="119"/>
      <c r="D28" s="119"/>
      <c r="E28" s="119">
        <v>24000</v>
      </c>
      <c r="F28" s="119"/>
      <c r="G28" s="121"/>
      <c r="H28" s="119">
        <f t="shared" si="0"/>
        <v>24000</v>
      </c>
      <c r="I28" s="119"/>
      <c r="J28" s="119"/>
    </row>
    <row r="29" spans="1:25">
      <c r="A29" t="s">
        <v>295</v>
      </c>
      <c r="B29" s="119">
        <v>42467</v>
      </c>
      <c r="C29" s="119"/>
      <c r="D29" s="119"/>
      <c r="E29" s="119">
        <v>42467</v>
      </c>
      <c r="F29" s="119"/>
      <c r="G29" s="121"/>
      <c r="H29" s="119">
        <f t="shared" si="0"/>
        <v>42467</v>
      </c>
      <c r="I29" s="119"/>
      <c r="J29" s="119"/>
    </row>
    <row r="30" spans="1:25">
      <c r="A30" t="s">
        <v>296</v>
      </c>
      <c r="B30" s="119">
        <v>70880</v>
      </c>
      <c r="C30" s="119"/>
      <c r="D30" s="119"/>
      <c r="E30" s="119">
        <v>70880</v>
      </c>
      <c r="F30" s="119"/>
      <c r="G30" s="121"/>
      <c r="H30" s="119">
        <f t="shared" si="0"/>
        <v>70880</v>
      </c>
      <c r="I30" s="119"/>
      <c r="J30" s="119"/>
    </row>
    <row r="31" spans="1:25">
      <c r="A31" t="s">
        <v>297</v>
      </c>
      <c r="B31" s="119">
        <v>15839</v>
      </c>
      <c r="C31" s="119"/>
      <c r="D31" s="119"/>
      <c r="E31" s="119">
        <v>15839</v>
      </c>
      <c r="F31" s="119"/>
      <c r="G31" s="121"/>
      <c r="H31" s="119">
        <f t="shared" si="0"/>
        <v>15839</v>
      </c>
      <c r="I31" s="119"/>
      <c r="J31" s="119"/>
    </row>
    <row r="32" spans="1:25">
      <c r="A32" t="s">
        <v>298</v>
      </c>
      <c r="B32" s="119">
        <v>2820</v>
      </c>
      <c r="C32" s="119"/>
      <c r="D32" s="119"/>
      <c r="E32" s="119">
        <v>2820</v>
      </c>
      <c r="F32" s="119"/>
      <c r="G32" s="121"/>
      <c r="H32" s="119">
        <f t="shared" si="0"/>
        <v>2820</v>
      </c>
      <c r="I32" s="119"/>
      <c r="J32" s="119"/>
    </row>
    <row r="33" spans="1:10">
      <c r="A33" t="s">
        <v>299</v>
      </c>
      <c r="B33" s="119">
        <v>20382</v>
      </c>
      <c r="C33" s="119"/>
      <c r="D33" s="119"/>
      <c r="E33" s="119">
        <v>20382</v>
      </c>
      <c r="F33" s="119">
        <v>-665</v>
      </c>
      <c r="G33" s="121">
        <v>12</v>
      </c>
      <c r="H33" s="119">
        <f t="shared" si="0"/>
        <v>19717</v>
      </c>
      <c r="I33" s="119"/>
      <c r="J33" s="119"/>
    </row>
    <row r="34" spans="1:10">
      <c r="A34" t="s">
        <v>300</v>
      </c>
      <c r="B34" s="119">
        <v>7421</v>
      </c>
      <c r="C34" s="119"/>
      <c r="D34" s="119"/>
      <c r="E34" s="119">
        <v>7421</v>
      </c>
      <c r="F34" s="119">
        <v>979</v>
      </c>
      <c r="G34" s="121">
        <v>11</v>
      </c>
      <c r="H34" s="119">
        <f t="shared" si="0"/>
        <v>8400</v>
      </c>
      <c r="I34" s="119"/>
      <c r="J34" s="119"/>
    </row>
    <row r="35" spans="1:10">
      <c r="A35" t="s">
        <v>301</v>
      </c>
      <c r="B35" s="119">
        <v>122</v>
      </c>
      <c r="C35" s="119"/>
      <c r="D35" s="119"/>
      <c r="E35" s="119">
        <v>122</v>
      </c>
      <c r="F35" s="119"/>
      <c r="G35" s="121"/>
      <c r="H35" s="119">
        <f t="shared" si="0"/>
        <v>122</v>
      </c>
      <c r="I35" s="119"/>
      <c r="J35" s="119"/>
    </row>
    <row r="36" spans="1:10">
      <c r="A36" t="s">
        <v>302</v>
      </c>
      <c r="B36" s="119">
        <v>96000</v>
      </c>
      <c r="C36" s="119"/>
      <c r="D36" s="119"/>
      <c r="E36" s="119">
        <v>96000</v>
      </c>
      <c r="F36" s="119"/>
      <c r="G36" s="121"/>
      <c r="H36" s="119">
        <f t="shared" si="0"/>
        <v>96000</v>
      </c>
      <c r="I36" s="119"/>
      <c r="J36" s="119"/>
    </row>
    <row r="37" spans="1:10">
      <c r="A37" t="s">
        <v>303</v>
      </c>
      <c r="B37" s="119">
        <v>24613</v>
      </c>
      <c r="C37" s="119"/>
      <c r="D37" s="119"/>
      <c r="E37" s="119">
        <v>24613</v>
      </c>
      <c r="F37" s="119">
        <v>3170</v>
      </c>
      <c r="G37" s="121">
        <v>11</v>
      </c>
      <c r="H37" s="119">
        <f t="shared" si="0"/>
        <v>27783</v>
      </c>
      <c r="I37" s="119"/>
      <c r="J37" s="119"/>
    </row>
    <row r="38" spans="1:10">
      <c r="A38" t="s">
        <v>304</v>
      </c>
      <c r="B38" s="119">
        <v>24205</v>
      </c>
      <c r="C38" s="119"/>
      <c r="D38" s="119"/>
      <c r="E38" s="119">
        <v>24205</v>
      </c>
      <c r="F38" s="119">
        <v>2107</v>
      </c>
      <c r="G38" s="121">
        <v>7</v>
      </c>
      <c r="H38" s="119">
        <f t="shared" si="0"/>
        <v>26312</v>
      </c>
      <c r="I38" s="119"/>
      <c r="J38" s="119"/>
    </row>
    <row r="39" spans="1:10">
      <c r="A39" t="s">
        <v>305</v>
      </c>
      <c r="B39" s="119">
        <v>750</v>
      </c>
      <c r="C39" s="119"/>
      <c r="D39" s="119"/>
      <c r="E39" s="119">
        <v>750</v>
      </c>
      <c r="F39" s="119"/>
      <c r="G39" s="121"/>
      <c r="H39" s="119">
        <f t="shared" si="0"/>
        <v>750</v>
      </c>
      <c r="I39" s="119"/>
      <c r="J39" s="119"/>
    </row>
    <row r="40" spans="1:10">
      <c r="A40" t="s">
        <v>306</v>
      </c>
      <c r="B40" s="119">
        <v>9935</v>
      </c>
      <c r="C40" s="119"/>
      <c r="D40" s="119"/>
      <c r="E40" s="119">
        <v>9935</v>
      </c>
      <c r="F40" s="119"/>
      <c r="G40" s="121"/>
      <c r="H40" s="119">
        <f t="shared" si="0"/>
        <v>9935</v>
      </c>
      <c r="I40" s="119"/>
      <c r="J40" s="119"/>
    </row>
    <row r="41" spans="1:10">
      <c r="A41" t="s">
        <v>307</v>
      </c>
      <c r="B41" s="119">
        <v>8040</v>
      </c>
      <c r="C41" s="119"/>
      <c r="D41" s="119"/>
      <c r="E41" s="119">
        <v>8040</v>
      </c>
      <c r="F41" s="119">
        <v>-1147</v>
      </c>
      <c r="G41" s="121">
        <v>9</v>
      </c>
      <c r="H41" s="119">
        <f t="shared" si="0"/>
        <v>6893</v>
      </c>
      <c r="I41" s="119"/>
      <c r="J41" s="119"/>
    </row>
    <row r="42" spans="1:10">
      <c r="A42" t="s">
        <v>308</v>
      </c>
      <c r="B42" s="119">
        <v>42783</v>
      </c>
      <c r="C42" s="119"/>
      <c r="D42" s="119"/>
      <c r="E42" s="119">
        <v>42783</v>
      </c>
      <c r="F42" s="119">
        <v>571</v>
      </c>
      <c r="G42" s="121">
        <v>3</v>
      </c>
      <c r="H42" s="119">
        <f t="shared" si="0"/>
        <v>43354</v>
      </c>
      <c r="I42" s="119"/>
      <c r="J42" s="119"/>
    </row>
    <row r="43" spans="1:10">
      <c r="A43" t="s">
        <v>309</v>
      </c>
      <c r="B43" s="119">
        <v>86730</v>
      </c>
      <c r="C43" s="119"/>
      <c r="D43" s="119"/>
      <c r="E43" s="119">
        <v>86730</v>
      </c>
      <c r="F43" s="119">
        <v>6652</v>
      </c>
      <c r="G43" s="121">
        <v>2</v>
      </c>
      <c r="H43" s="119">
        <f t="shared" si="0"/>
        <v>93382</v>
      </c>
      <c r="I43" s="119"/>
      <c r="J43" s="119"/>
    </row>
    <row r="44" spans="1:10">
      <c r="A44" t="s">
        <v>310</v>
      </c>
      <c r="B44" s="119">
        <v>5841</v>
      </c>
      <c r="C44" s="119"/>
      <c r="D44" s="119"/>
      <c r="E44" s="119">
        <v>5841</v>
      </c>
      <c r="F44" s="119">
        <v>-541</v>
      </c>
      <c r="G44" s="121">
        <v>10</v>
      </c>
      <c r="H44" s="119">
        <f t="shared" si="0"/>
        <v>5300</v>
      </c>
      <c r="I44" s="119"/>
      <c r="J44" s="119"/>
    </row>
    <row r="45" spans="1:10">
      <c r="A45" t="s">
        <v>311</v>
      </c>
      <c r="B45" s="119">
        <v>8202</v>
      </c>
      <c r="C45" s="119"/>
      <c r="D45" s="119"/>
      <c r="E45" s="119">
        <v>8202</v>
      </c>
      <c r="F45" s="119"/>
      <c r="G45" s="121"/>
      <c r="H45" s="119">
        <f t="shared" si="0"/>
        <v>8202</v>
      </c>
      <c r="I45" s="119"/>
      <c r="J45" s="119"/>
    </row>
    <row r="46" spans="1:10">
      <c r="A46" t="s">
        <v>312</v>
      </c>
      <c r="B46" s="119">
        <v>1923</v>
      </c>
      <c r="C46" s="119"/>
      <c r="D46" s="119"/>
      <c r="E46" s="119">
        <v>1923</v>
      </c>
      <c r="F46" s="119">
        <v>65</v>
      </c>
      <c r="G46" s="121">
        <v>4</v>
      </c>
      <c r="H46" s="119">
        <f t="shared" si="0"/>
        <v>1988</v>
      </c>
      <c r="I46" s="119"/>
      <c r="J46" s="119"/>
    </row>
    <row r="47" spans="1:10">
      <c r="A47" t="s">
        <v>313</v>
      </c>
      <c r="B47" s="119">
        <v>17271</v>
      </c>
      <c r="C47" s="119"/>
      <c r="D47" s="119"/>
      <c r="E47" s="119">
        <v>17271</v>
      </c>
      <c r="F47" s="119">
        <v>574</v>
      </c>
      <c r="G47" s="121">
        <v>11</v>
      </c>
      <c r="H47" s="119">
        <f t="shared" si="0"/>
        <v>17845</v>
      </c>
      <c r="I47" s="119"/>
      <c r="J47" s="119"/>
    </row>
    <row r="48" spans="1:10">
      <c r="A48" t="s">
        <v>314</v>
      </c>
      <c r="B48" s="119">
        <v>4039</v>
      </c>
      <c r="C48" s="119"/>
      <c r="D48" s="119"/>
      <c r="E48" s="119">
        <v>4039</v>
      </c>
      <c r="F48" s="119">
        <v>134</v>
      </c>
      <c r="G48" s="121">
        <v>11</v>
      </c>
      <c r="H48" s="119">
        <f t="shared" si="0"/>
        <v>4173</v>
      </c>
      <c r="I48" s="119"/>
      <c r="J48" s="119"/>
    </row>
    <row r="49" spans="1:22">
      <c r="A49" t="s">
        <v>315</v>
      </c>
      <c r="B49" s="119">
        <v>773</v>
      </c>
      <c r="C49" s="119"/>
      <c r="D49" s="119"/>
      <c r="E49" s="119">
        <v>773</v>
      </c>
      <c r="F49" s="119">
        <v>55</v>
      </c>
      <c r="G49" s="121">
        <v>11</v>
      </c>
      <c r="H49" s="119">
        <f t="shared" si="0"/>
        <v>828</v>
      </c>
      <c r="I49" s="119"/>
      <c r="J49" s="119"/>
    </row>
    <row r="50" spans="1:22">
      <c r="A50" t="s">
        <v>316</v>
      </c>
      <c r="B50" s="119">
        <v>390</v>
      </c>
      <c r="C50" s="119"/>
      <c r="D50" s="119"/>
      <c r="E50" s="119">
        <v>390</v>
      </c>
      <c r="F50" s="119">
        <v>28</v>
      </c>
      <c r="G50" s="121">
        <v>11</v>
      </c>
      <c r="H50" s="119">
        <f t="shared" si="0"/>
        <v>418</v>
      </c>
      <c r="I50" s="119"/>
      <c r="J50" s="119"/>
    </row>
    <row r="51" spans="1:22">
      <c r="A51" t="s">
        <v>317</v>
      </c>
      <c r="B51" s="119">
        <v>27</v>
      </c>
      <c r="C51" s="119"/>
      <c r="D51" s="119"/>
      <c r="E51" s="119">
        <v>27</v>
      </c>
      <c r="F51" s="119"/>
      <c r="G51" s="121"/>
      <c r="H51" s="119">
        <f t="shared" si="0"/>
        <v>27</v>
      </c>
      <c r="I51" s="119"/>
      <c r="J51" s="119"/>
    </row>
    <row r="52" spans="1:22">
      <c r="A52" t="s">
        <v>318</v>
      </c>
      <c r="B52" s="119">
        <v>9907</v>
      </c>
      <c r="C52" s="119"/>
      <c r="D52" s="119"/>
      <c r="E52" s="119">
        <v>9907</v>
      </c>
      <c r="F52" s="119"/>
      <c r="G52" s="121"/>
      <c r="H52" s="119">
        <f t="shared" si="0"/>
        <v>9907</v>
      </c>
      <c r="I52" s="119"/>
      <c r="J52" s="119"/>
    </row>
    <row r="53" spans="1:22">
      <c r="A53" t="s">
        <v>319</v>
      </c>
      <c r="B53" s="119">
        <v>155</v>
      </c>
      <c r="C53" s="119"/>
      <c r="D53" s="119"/>
      <c r="E53" s="119">
        <v>155</v>
      </c>
      <c r="F53" s="119"/>
      <c r="G53" s="121"/>
      <c r="H53" s="119">
        <f t="shared" si="0"/>
        <v>155</v>
      </c>
      <c r="I53" s="119"/>
      <c r="J53" s="119"/>
    </row>
    <row r="54" spans="1:22">
      <c r="A54" t="s">
        <v>320</v>
      </c>
      <c r="B54" s="119">
        <v>30000</v>
      </c>
      <c r="C54" s="119"/>
      <c r="D54" s="119"/>
      <c r="E54" s="119">
        <v>30000</v>
      </c>
      <c r="F54" s="119"/>
      <c r="G54" s="121"/>
      <c r="H54" s="119">
        <f t="shared" si="0"/>
        <v>30000</v>
      </c>
      <c r="I54" s="119"/>
      <c r="J54" s="119"/>
    </row>
    <row r="55" spans="1:22">
      <c r="A55" t="s">
        <v>321</v>
      </c>
      <c r="B55" s="119">
        <v>10200</v>
      </c>
      <c r="C55" s="119"/>
      <c r="D55" s="119"/>
      <c r="E55" s="119">
        <v>10200</v>
      </c>
      <c r="F55" s="119">
        <v>-600</v>
      </c>
      <c r="G55" s="121">
        <v>1</v>
      </c>
      <c r="H55" s="119">
        <f t="shared" si="0"/>
        <v>9600</v>
      </c>
      <c r="I55" s="119"/>
      <c r="J55" s="119"/>
    </row>
    <row r="56" spans="1:22">
      <c r="A56" t="s">
        <v>322</v>
      </c>
      <c r="B56" s="119">
        <v>2020</v>
      </c>
      <c r="C56" s="119"/>
      <c r="D56" s="119"/>
      <c r="E56" s="119">
        <v>2020</v>
      </c>
      <c r="F56" s="119"/>
      <c r="G56" s="121">
        <v>6</v>
      </c>
      <c r="H56" s="119">
        <v>2330</v>
      </c>
      <c r="I56" s="119"/>
      <c r="J56" s="119"/>
    </row>
    <row r="57" spans="1:22">
      <c r="A57" t="s">
        <v>323</v>
      </c>
      <c r="B57" s="119">
        <v>2202</v>
      </c>
      <c r="C57" s="119"/>
      <c r="D57" s="119"/>
      <c r="E57" s="119">
        <v>2202</v>
      </c>
      <c r="F57" s="119"/>
      <c r="G57" s="121"/>
      <c r="H57" s="119">
        <f t="shared" si="0"/>
        <v>2202</v>
      </c>
      <c r="I57" s="119"/>
      <c r="J57" s="119"/>
    </row>
    <row r="58" spans="1:22">
      <c r="A58" t="s">
        <v>324</v>
      </c>
      <c r="B58" s="119"/>
      <c r="C58" s="119"/>
      <c r="D58" s="119"/>
      <c r="E58" s="119"/>
      <c r="F58" s="119">
        <v>1164</v>
      </c>
      <c r="G58" s="121">
        <v>5</v>
      </c>
      <c r="H58" s="119">
        <f t="shared" si="0"/>
        <v>1164</v>
      </c>
      <c r="I58" s="119"/>
      <c r="J58" s="119"/>
    </row>
    <row r="59" spans="1:22">
      <c r="A59" t="s">
        <v>354</v>
      </c>
      <c r="B59" s="119">
        <v>3960</v>
      </c>
      <c r="C59" s="119"/>
      <c r="D59" s="119"/>
      <c r="E59" s="119">
        <v>3960</v>
      </c>
      <c r="F59" s="119">
        <v>-3960</v>
      </c>
      <c r="G59" s="121">
        <v>6</v>
      </c>
      <c r="H59" s="119">
        <f t="shared" si="0"/>
        <v>0</v>
      </c>
      <c r="I59" s="119"/>
      <c r="J59" s="119"/>
    </row>
    <row r="60" spans="1:22">
      <c r="B60" s="119"/>
      <c r="C60" s="119"/>
      <c r="D60" s="119"/>
      <c r="E60" s="119"/>
      <c r="F60" s="119"/>
      <c r="G60" s="121"/>
      <c r="H60" s="119">
        <f t="shared" si="0"/>
        <v>0</v>
      </c>
      <c r="I60" s="119"/>
      <c r="J60" s="119"/>
    </row>
    <row r="61" spans="1:22">
      <c r="B61" s="119"/>
      <c r="C61" s="119"/>
      <c r="D61" s="119"/>
      <c r="E61" s="119"/>
      <c r="F61" s="119"/>
      <c r="G61" s="121"/>
      <c r="H61" s="119">
        <f t="shared" si="0"/>
        <v>0</v>
      </c>
      <c r="I61" s="119"/>
      <c r="J61" s="119"/>
    </row>
    <row r="62" spans="1:22" ht="18">
      <c r="A62" s="99" t="s">
        <v>325</v>
      </c>
      <c r="B62" s="120">
        <f>SUM(B23:B61)</f>
        <v>726510</v>
      </c>
      <c r="C62" s="120"/>
      <c r="D62" s="120"/>
      <c r="E62" s="120">
        <f>SUM(E23:E61)</f>
        <v>726510</v>
      </c>
      <c r="F62" s="120">
        <f>SUM(F23:F60)</f>
        <v>14666</v>
      </c>
      <c r="G62" s="122"/>
      <c r="H62" s="119">
        <f t="shared" si="0"/>
        <v>741176</v>
      </c>
      <c r="I62" s="120"/>
      <c r="J62" s="12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>
      <c r="B63" s="119"/>
      <c r="C63" s="119"/>
      <c r="D63" s="119"/>
      <c r="E63" s="119"/>
      <c r="F63" s="119"/>
      <c r="G63" s="121"/>
      <c r="H63" s="119">
        <f t="shared" si="0"/>
        <v>0</v>
      </c>
      <c r="I63" s="119"/>
      <c r="J63" s="119"/>
    </row>
    <row r="64" spans="1:22">
      <c r="B64" s="119"/>
      <c r="C64" s="120"/>
      <c r="D64" s="120"/>
      <c r="E64" s="119"/>
      <c r="F64" s="120"/>
      <c r="G64" s="122"/>
      <c r="H64" s="119">
        <f t="shared" si="0"/>
        <v>0</v>
      </c>
      <c r="I64" s="120"/>
      <c r="J64" s="12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0">
      <c r="A65" s="10" t="s">
        <v>326</v>
      </c>
      <c r="B65" s="120">
        <f>B19-B62</f>
        <v>-41444</v>
      </c>
      <c r="C65" s="119"/>
      <c r="D65" s="119"/>
      <c r="E65" s="120">
        <f>E19-E62</f>
        <v>-41444</v>
      </c>
      <c r="F65" s="119"/>
      <c r="G65" s="121"/>
      <c r="H65" s="119">
        <f t="shared" si="0"/>
        <v>-41444</v>
      </c>
      <c r="I65" s="119"/>
      <c r="J65" s="119"/>
    </row>
    <row r="66" spans="1:20">
      <c r="A66" s="10" t="s">
        <v>327</v>
      </c>
      <c r="B66" s="119" t="s">
        <v>353</v>
      </c>
      <c r="C66" s="119"/>
      <c r="D66" s="119"/>
      <c r="E66" s="119" t="s">
        <v>353</v>
      </c>
      <c r="F66" s="119"/>
      <c r="G66" s="121"/>
      <c r="H66" s="119"/>
      <c r="I66" s="119"/>
      <c r="J66" s="119"/>
    </row>
    <row r="67" spans="1:20">
      <c r="A67" s="10" t="s">
        <v>328</v>
      </c>
      <c r="B67" s="119">
        <v>15852</v>
      </c>
      <c r="C67" s="120"/>
      <c r="D67" s="120"/>
      <c r="E67" s="119">
        <v>15852</v>
      </c>
      <c r="F67" s="120">
        <v>-3311</v>
      </c>
      <c r="G67" s="122">
        <v>8</v>
      </c>
      <c r="H67" s="119">
        <f t="shared" si="0"/>
        <v>12541</v>
      </c>
      <c r="I67" s="120"/>
      <c r="J67" s="12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8">
      <c r="A68" s="99" t="s">
        <v>329</v>
      </c>
      <c r="B68" s="120">
        <f>B65-B67</f>
        <v>-57296</v>
      </c>
      <c r="C68" s="119"/>
      <c r="D68" s="119"/>
      <c r="E68" s="120">
        <f>E65-E67</f>
        <v>-57296</v>
      </c>
      <c r="F68" s="119">
        <f>SUM(F62:F67)</f>
        <v>11355</v>
      </c>
      <c r="G68" s="121"/>
      <c r="H68" s="119">
        <f t="shared" si="0"/>
        <v>-45941</v>
      </c>
      <c r="I68" s="119"/>
      <c r="J68" s="119"/>
    </row>
    <row r="69" spans="1:20">
      <c r="A69" s="10" t="s">
        <v>330</v>
      </c>
      <c r="B69" s="119"/>
      <c r="C69" s="119"/>
      <c r="D69" s="119"/>
      <c r="E69" s="119"/>
      <c r="F69" s="119"/>
      <c r="G69" s="121"/>
      <c r="H69" s="119"/>
      <c r="I69" s="119"/>
      <c r="J69" s="119"/>
    </row>
    <row r="70" spans="1:20">
      <c r="B70" s="119"/>
      <c r="C70" s="120"/>
      <c r="D70" s="120"/>
      <c r="E70" s="119"/>
      <c r="F70" s="120"/>
      <c r="G70" s="122"/>
      <c r="H70" s="120"/>
      <c r="I70" s="120"/>
      <c r="J70" s="120"/>
      <c r="K70" s="10"/>
      <c r="L70" s="10"/>
      <c r="M70" s="10"/>
      <c r="N70" s="10"/>
      <c r="O70" s="10"/>
      <c r="P70" s="10"/>
      <c r="Q70" s="10"/>
    </row>
    <row r="71" spans="1:20" ht="18">
      <c r="A71" s="99" t="s">
        <v>331</v>
      </c>
      <c r="B71" s="120"/>
      <c r="C71" s="119"/>
      <c r="D71" s="119"/>
      <c r="E71" s="120"/>
      <c r="F71" s="119"/>
      <c r="G71" s="121"/>
      <c r="H71" s="119"/>
      <c r="I71" s="119"/>
      <c r="J71" s="119"/>
    </row>
    <row r="72" spans="1:20">
      <c r="F72" s="96"/>
      <c r="H72" s="96"/>
      <c r="I72" s="96"/>
    </row>
    <row r="73" spans="1:20">
      <c r="F73" s="96"/>
      <c r="H73" s="96"/>
      <c r="I73" s="96"/>
    </row>
    <row r="74" spans="1:20">
      <c r="F74" s="96"/>
      <c r="H74" s="96"/>
      <c r="I74" s="96"/>
    </row>
    <row r="75" spans="1:20">
      <c r="A75" t="s">
        <v>332</v>
      </c>
      <c r="F75" s="96"/>
      <c r="H75" s="96"/>
      <c r="I75" s="96"/>
    </row>
    <row r="76" spans="1:20">
      <c r="A76" t="s">
        <v>333</v>
      </c>
      <c r="B76">
        <f>B62/B19</f>
        <v>1.0604963609345668</v>
      </c>
      <c r="E76">
        <f t="shared" ref="E76:H76" si="2">E62/E19</f>
        <v>1.0604963609345668</v>
      </c>
      <c r="H76">
        <f t="shared" si="2"/>
        <v>1.0819045172289969</v>
      </c>
      <c r="I76" s="349">
        <f>H62/J19</f>
        <v>0.94471962128415665</v>
      </c>
    </row>
    <row r="78" spans="1:20">
      <c r="A78" t="s">
        <v>334</v>
      </c>
    </row>
  </sheetData>
  <printOptions gridLines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113"/>
  <sheetViews>
    <sheetView showGridLines="0" showOutlineSymbols="0" zoomScale="120" zoomScaleNormal="120" workbookViewId="0">
      <selection activeCell="C5" sqref="C5"/>
    </sheetView>
  </sheetViews>
  <sheetFormatPr defaultColWidth="15.33203125" defaultRowHeight="15"/>
  <cols>
    <col min="1" max="1" width="4.5546875" style="163" customWidth="1"/>
    <col min="2" max="2" width="30.77734375" style="322" bestFit="1" customWidth="1"/>
    <col min="3" max="3" width="19.5546875" style="322" customWidth="1"/>
    <col min="4" max="4" width="19.5546875" style="322" hidden="1" customWidth="1"/>
    <col min="5" max="5" width="6.6640625" style="322" customWidth="1"/>
    <col min="6" max="6" width="5.21875" style="163" customWidth="1"/>
    <col min="7" max="7" width="7.77734375" style="163" customWidth="1"/>
    <col min="8" max="8" width="13.77734375" style="163" customWidth="1"/>
    <col min="9" max="9" width="16.33203125" style="163" customWidth="1"/>
    <col min="10" max="10" width="12.21875" style="163" customWidth="1"/>
    <col min="11" max="11" width="14" style="163" bestFit="1" customWidth="1"/>
    <col min="12" max="13" width="17" style="163" customWidth="1"/>
    <col min="14" max="14" width="5.77734375" style="163" customWidth="1"/>
    <col min="15" max="15" width="5.77734375" style="322" customWidth="1"/>
    <col min="16" max="16" width="37.21875" style="322" customWidth="1"/>
    <col min="17" max="17" width="15.33203125" style="164"/>
    <col min="18" max="18" width="12.77734375" style="171" customWidth="1"/>
    <col min="19" max="19" width="15.33203125" style="163"/>
    <col min="20" max="20" width="12.33203125" style="163" customWidth="1"/>
    <col min="21" max="21" width="14.33203125" style="163" customWidth="1"/>
    <col min="22" max="22" width="15.33203125" style="163"/>
    <col min="23" max="24" width="16.33203125" style="163" customWidth="1"/>
    <col min="25" max="25" width="14.77734375" style="163" customWidth="1"/>
    <col min="26" max="26" width="15.33203125" style="163"/>
    <col min="27" max="27" width="14.6640625" style="163" customWidth="1"/>
    <col min="28" max="29" width="15.33203125" style="163"/>
    <col min="30" max="30" width="15.21875" style="163" customWidth="1"/>
    <col min="31" max="31" width="15.88671875" style="163" customWidth="1"/>
    <col min="32" max="32" width="19" style="163" customWidth="1"/>
    <col min="33" max="33" width="16.6640625" style="163" customWidth="1"/>
    <col min="34" max="34" width="15.21875" style="163" customWidth="1"/>
    <col min="35" max="35" width="15.33203125" style="163"/>
    <col min="36" max="36" width="12.77734375" style="163" customWidth="1"/>
    <col min="37" max="37" width="15.21875" style="163" customWidth="1"/>
    <col min="38" max="49" width="14" style="163" customWidth="1"/>
    <col min="50" max="16384" width="15.33203125" style="163"/>
  </cols>
  <sheetData>
    <row r="1" spans="1:35" s="159" customFormat="1" ht="15.6" thickBot="1">
      <c r="A1" s="154"/>
      <c r="B1" s="155"/>
      <c r="C1" s="155"/>
      <c r="D1" s="155"/>
      <c r="E1" s="155"/>
      <c r="F1" s="155"/>
      <c r="G1" s="155"/>
      <c r="H1" s="155"/>
      <c r="I1" s="156"/>
      <c r="J1" s="156"/>
      <c r="K1" s="156"/>
      <c r="L1" s="156"/>
      <c r="M1" s="156"/>
      <c r="N1" s="156"/>
      <c r="O1" s="155"/>
      <c r="P1" s="155"/>
      <c r="Q1" s="157"/>
      <c r="R1" s="158"/>
    </row>
    <row r="2" spans="1:35" ht="18.600000000000001" thickBot="1">
      <c r="A2" s="154"/>
      <c r="B2" s="367" t="s">
        <v>517</v>
      </c>
      <c r="C2" s="367"/>
      <c r="D2" s="154"/>
      <c r="E2" s="154"/>
      <c r="F2" s="160" t="s">
        <v>518</v>
      </c>
      <c r="G2" s="161"/>
      <c r="H2" s="161"/>
      <c r="I2" s="162" t="s">
        <v>519</v>
      </c>
      <c r="J2" s="161"/>
      <c r="K2" s="161"/>
      <c r="L2" s="161"/>
      <c r="M2" s="160" t="s">
        <v>518</v>
      </c>
      <c r="O2" s="154"/>
      <c r="P2" s="154"/>
      <c r="R2" s="165" t="s">
        <v>520</v>
      </c>
      <c r="S2" s="166"/>
      <c r="T2" s="167"/>
      <c r="AF2" s="368" t="s">
        <v>521</v>
      </c>
      <c r="AG2" s="369"/>
      <c r="AH2" s="369"/>
      <c r="AI2" s="370"/>
    </row>
    <row r="3" spans="1:35" ht="15.6">
      <c r="A3" s="154"/>
      <c r="B3" s="154"/>
      <c r="C3" s="154"/>
      <c r="D3" s="154"/>
      <c r="E3" s="154"/>
      <c r="F3" s="168"/>
      <c r="G3" s="169"/>
      <c r="K3" s="170" t="s">
        <v>522</v>
      </c>
      <c r="M3" s="170" t="s">
        <v>523</v>
      </c>
      <c r="O3" s="154"/>
      <c r="P3" s="154"/>
      <c r="R3" s="163"/>
      <c r="T3" s="163" t="s">
        <v>524</v>
      </c>
      <c r="V3" s="171" t="s">
        <v>524</v>
      </c>
      <c r="W3" s="171" t="s">
        <v>524</v>
      </c>
      <c r="X3" s="171" t="s">
        <v>524</v>
      </c>
      <c r="Y3" s="171" t="s">
        <v>525</v>
      </c>
      <c r="Z3" s="171" t="s">
        <v>525</v>
      </c>
      <c r="AA3" s="171" t="s">
        <v>525</v>
      </c>
      <c r="AB3" s="171" t="s">
        <v>525</v>
      </c>
      <c r="AC3" s="171" t="s">
        <v>525</v>
      </c>
      <c r="AD3" s="171" t="s">
        <v>525</v>
      </c>
      <c r="AE3" s="171" t="s">
        <v>526</v>
      </c>
      <c r="AF3" s="171" t="s">
        <v>527</v>
      </c>
      <c r="AG3" s="171" t="s">
        <v>528</v>
      </c>
      <c r="AH3" s="171"/>
    </row>
    <row r="4" spans="1:35" ht="18.600000000000001" thickBot="1">
      <c r="A4" s="154"/>
      <c r="B4" s="172" t="s">
        <v>529</v>
      </c>
      <c r="C4" s="173"/>
      <c r="D4" s="174"/>
      <c r="E4" s="154"/>
      <c r="F4" s="175"/>
      <c r="G4" s="169"/>
      <c r="H4" s="176" t="s">
        <v>530</v>
      </c>
      <c r="I4" s="176" t="s">
        <v>531</v>
      </c>
      <c r="J4" s="176" t="s">
        <v>532</v>
      </c>
      <c r="K4" s="176" t="s">
        <v>533</v>
      </c>
      <c r="L4" s="176" t="s">
        <v>534</v>
      </c>
      <c r="M4" s="176" t="s">
        <v>535</v>
      </c>
      <c r="O4" s="177"/>
      <c r="P4" s="154"/>
      <c r="R4" s="163"/>
      <c r="T4" s="171" t="s">
        <v>536</v>
      </c>
      <c r="V4" s="171" t="s">
        <v>537</v>
      </c>
      <c r="W4" s="171" t="s">
        <v>538</v>
      </c>
      <c r="X4" s="171" t="s">
        <v>539</v>
      </c>
      <c r="Y4" s="171" t="s">
        <v>540</v>
      </c>
      <c r="Z4" s="171" t="s">
        <v>540</v>
      </c>
      <c r="AA4" s="171" t="s">
        <v>540</v>
      </c>
      <c r="AB4" s="171" t="s">
        <v>538</v>
      </c>
      <c r="AC4" s="171" t="s">
        <v>536</v>
      </c>
      <c r="AD4" s="171" t="s">
        <v>536</v>
      </c>
      <c r="AE4" s="171" t="s">
        <v>541</v>
      </c>
      <c r="AF4" s="171" t="s">
        <v>542</v>
      </c>
      <c r="AG4" s="171" t="s">
        <v>543</v>
      </c>
      <c r="AH4" s="171" t="s">
        <v>544</v>
      </c>
      <c r="AI4" s="171" t="s">
        <v>545</v>
      </c>
    </row>
    <row r="5" spans="1:35" ht="15.6">
      <c r="A5" s="154"/>
      <c r="B5" s="178" t="s">
        <v>546</v>
      </c>
      <c r="C5" s="179">
        <f>'RESULTS OF OPERATIONS'!H19-'RESULTS OF OPERATIONS'!B31-'RESULTS OF OPERATIONS'!B16</f>
        <v>628620</v>
      </c>
      <c r="D5" s="174"/>
      <c r="E5" s="154"/>
      <c r="F5" s="180" t="s">
        <v>547</v>
      </c>
      <c r="G5" s="181"/>
      <c r="H5" s="181"/>
      <c r="I5" s="176" t="s">
        <v>548</v>
      </c>
      <c r="J5" s="176" t="s">
        <v>527</v>
      </c>
      <c r="K5" s="182" t="s">
        <v>549</v>
      </c>
      <c r="L5" s="182" t="s">
        <v>550</v>
      </c>
      <c r="M5" s="182" t="s">
        <v>527</v>
      </c>
      <c r="O5" s="183"/>
      <c r="P5" s="154"/>
      <c r="R5" s="184"/>
      <c r="T5" s="171" t="s">
        <v>551</v>
      </c>
      <c r="U5" s="171" t="s">
        <v>552</v>
      </c>
      <c r="V5" s="171" t="s">
        <v>553</v>
      </c>
      <c r="W5" s="171" t="s">
        <v>554</v>
      </c>
      <c r="X5" s="171" t="s">
        <v>555</v>
      </c>
      <c r="Y5" s="171" t="s">
        <v>556</v>
      </c>
      <c r="Z5" s="171" t="s">
        <v>557</v>
      </c>
      <c r="AA5" s="171" t="s">
        <v>558</v>
      </c>
      <c r="AB5" s="171" t="s">
        <v>559</v>
      </c>
      <c r="AC5" s="171" t="s">
        <v>551</v>
      </c>
      <c r="AD5" s="171" t="s">
        <v>560</v>
      </c>
      <c r="AE5" s="171" t="s">
        <v>561</v>
      </c>
      <c r="AF5" s="171" t="s">
        <v>562</v>
      </c>
      <c r="AG5" s="171" t="s">
        <v>562</v>
      </c>
      <c r="AH5" s="171" t="s">
        <v>561</v>
      </c>
      <c r="AI5" s="171" t="s">
        <v>526</v>
      </c>
    </row>
    <row r="6" spans="1:35" ht="15.6">
      <c r="A6" s="154"/>
      <c r="B6" s="178" t="s">
        <v>563</v>
      </c>
      <c r="C6" s="185">
        <f>'RESULTS OF OPERATIONS'!H62-'RESULTS OF OPERATIONS'!B31-'RESULTS OF OPERATIONS'!B16</f>
        <v>684730</v>
      </c>
      <c r="D6" s="174"/>
      <c r="E6" s="154"/>
      <c r="F6" s="186" t="s">
        <v>564</v>
      </c>
      <c r="G6" s="181"/>
      <c r="H6" s="181"/>
      <c r="I6" s="187"/>
      <c r="J6" s="188" t="s">
        <v>565</v>
      </c>
      <c r="K6" s="189"/>
      <c r="L6" s="188" t="s">
        <v>566</v>
      </c>
      <c r="M6" s="188" t="s">
        <v>567</v>
      </c>
      <c r="O6" s="183"/>
      <c r="P6" s="154"/>
      <c r="R6" s="190">
        <v>1</v>
      </c>
      <c r="S6" s="191">
        <f>Revenue/Investment*100</f>
        <v>259.08500920512017</v>
      </c>
      <c r="T6" s="192">
        <f>EXP(y_inter1-(slope*LN(+S6)))</f>
        <v>6.8437717227603363</v>
      </c>
      <c r="U6" s="193">
        <f>(+S6*T6/100)/100</f>
        <v>0.17731186597891027</v>
      </c>
      <c r="V6" s="193">
        <f>regDebt_weighted</f>
        <v>3.5860000000000003E-2</v>
      </c>
      <c r="W6" s="193">
        <f>+U6-V6</f>
        <v>0.14145186597891027</v>
      </c>
      <c r="X6" s="193">
        <f>+((W6*(1-0.34))-Pfd_weighted)/Equity_percent</f>
        <v>0.2533960219362813</v>
      </c>
      <c r="Y6" s="193">
        <f>X6*equityP</f>
        <v>0.15203761316176878</v>
      </c>
      <c r="Z6" s="193">
        <f>+Y6/(1-taxrate)</f>
        <v>0.19245267488831491</v>
      </c>
      <c r="AA6" s="193">
        <f>debtP*Debt_Rate</f>
        <v>2.0000000000000004E-2</v>
      </c>
      <c r="AB6" s="193">
        <f>AA6+Z6</f>
        <v>0.21245267488831493</v>
      </c>
      <c r="AC6" s="193">
        <f>AB6/(S6/100)</f>
        <v>8.2001145315248256E-2</v>
      </c>
      <c r="AD6" s="193">
        <f>1-AC6</f>
        <v>0.91799885468475173</v>
      </c>
      <c r="AE6" s="194">
        <f>expenses/(AD6)</f>
        <v>745894.17677992838</v>
      </c>
      <c r="AF6" s="195">
        <f>+AE6-Revenue</f>
        <v>117274.17677992838</v>
      </c>
      <c r="AG6" s="196">
        <f ca="1">+AF6/$J$49</f>
        <v>129543.25935342639</v>
      </c>
      <c r="AH6" s="196">
        <f ca="1">+AG6*$J$47</f>
        <v>2979.4949651288071</v>
      </c>
      <c r="AI6" s="194">
        <f ca="1">ROUND(+AH6+AE6,5)</f>
        <v>748873.67174999998</v>
      </c>
    </row>
    <row r="7" spans="1:35" ht="15.6">
      <c r="A7" s="154"/>
      <c r="B7" s="178" t="s">
        <v>568</v>
      </c>
      <c r="C7" s="185">
        <f>'2022 DEPREC'!Y115</f>
        <v>242630.78822222218</v>
      </c>
      <c r="D7" s="174"/>
      <c r="E7" s="154"/>
      <c r="F7" s="197">
        <v>1</v>
      </c>
      <c r="G7" s="181"/>
      <c r="H7" s="198" t="s">
        <v>546</v>
      </c>
      <c r="I7" s="199">
        <f>IF(A65=TRUE,C5,0)</f>
        <v>628620</v>
      </c>
      <c r="J7" s="199">
        <f ca="1">(+$I8/($R51))-I7</f>
        <v>109219.70173056622</v>
      </c>
      <c r="K7" s="199">
        <f ca="1">+I7+J7</f>
        <v>737839.70173056622</v>
      </c>
      <c r="L7" s="199">
        <f ca="1">((+J7/J49*K35)-J7)</f>
        <v>2774.8611018584343</v>
      </c>
      <c r="M7" s="199">
        <f ca="1">IFERROR(+K7+L7,0.00001)</f>
        <v>740614.56283242465</v>
      </c>
      <c r="O7" s="183"/>
      <c r="P7" s="154"/>
      <c r="R7" s="200">
        <v>2</v>
      </c>
      <c r="S7" s="201">
        <f>Revenue/Investment*100</f>
        <v>259.08500920512017</v>
      </c>
      <c r="T7" s="202">
        <f>EXP(y_inter1-(slope*LN(+S7)))</f>
        <v>6.8437717227603363</v>
      </c>
      <c r="U7" s="203">
        <f t="shared" ref="U7:U9" si="0">(+S7*T7/100)/100</f>
        <v>0.17731186597891027</v>
      </c>
      <c r="V7" s="203">
        <f>regDebt_weighted</f>
        <v>3.5860000000000003E-2</v>
      </c>
      <c r="W7" s="203">
        <f t="shared" ref="W7:W9" si="1">+U7-V7</f>
        <v>0.14145186597891027</v>
      </c>
      <c r="X7" s="203">
        <f>+((W7*(1-0.34))-Pfd_weighted)/Equity_percent</f>
        <v>0.2533960219362813</v>
      </c>
      <c r="Y7" s="203">
        <f>X7*equityP</f>
        <v>0.15203761316176878</v>
      </c>
      <c r="Z7" s="203">
        <f>+Y7/(1-taxrate)</f>
        <v>0.19245267488831491</v>
      </c>
      <c r="AA7" s="203">
        <f>debtP*Debt_Rate</f>
        <v>2.0000000000000004E-2</v>
      </c>
      <c r="AB7" s="203">
        <f t="shared" ref="AB7:AB9" si="2">AA7+Z7</f>
        <v>0.21245267488831493</v>
      </c>
      <c r="AC7" s="203">
        <f t="shared" ref="AC7:AC9" si="3">AB7/(S7/100)</f>
        <v>8.2001145315248256E-2</v>
      </c>
      <c r="AD7" s="203">
        <f t="shared" ref="AD7:AD9" si="4">1-AC7</f>
        <v>0.91799885468475173</v>
      </c>
      <c r="AE7" s="204">
        <f>expenses/(AD7)</f>
        <v>745894.17677992838</v>
      </c>
      <c r="AF7" s="205">
        <f>+AE7-Revenue</f>
        <v>117274.17677992838</v>
      </c>
      <c r="AG7" s="206">
        <f ca="1">+AF7/$J$49</f>
        <v>129543.25935342639</v>
      </c>
      <c r="AH7" s="206">
        <f ca="1">+AG7*$J$47</f>
        <v>2979.4949651288071</v>
      </c>
      <c r="AI7" s="204">
        <f t="shared" ref="AI7:AI9" ca="1" si="5">ROUND(+AH7+AE7,5)</f>
        <v>748873.67174999998</v>
      </c>
    </row>
    <row r="8" spans="1:35" ht="15.6">
      <c r="A8" s="154"/>
      <c r="B8" s="178" t="s">
        <v>569</v>
      </c>
      <c r="C8" s="207">
        <v>0.4</v>
      </c>
      <c r="D8" s="174"/>
      <c r="E8" s="154"/>
      <c r="F8" s="208">
        <f>+F7+1</f>
        <v>2</v>
      </c>
      <c r="G8" s="181"/>
      <c r="H8" s="198" t="s">
        <v>563</v>
      </c>
      <c r="I8" s="199">
        <f>IF(A65=TRUE,C6,0)</f>
        <v>684730</v>
      </c>
      <c r="J8" s="169"/>
      <c r="K8" s="199">
        <f>+I8</f>
        <v>684730</v>
      </c>
      <c r="L8" s="199">
        <f ca="1">+L7</f>
        <v>2774.8611018584343</v>
      </c>
      <c r="M8" s="199">
        <f ca="1">IFERROR(+K8+L8,0.00001)</f>
        <v>687504.86110185843</v>
      </c>
      <c r="O8" s="183"/>
      <c r="P8" s="154"/>
      <c r="R8" s="209">
        <v>3</v>
      </c>
      <c r="S8" s="201">
        <f>Revenue/Investment*100</f>
        <v>259.08500920512017</v>
      </c>
      <c r="T8" s="202">
        <f>EXP(y_inter1-(slope*LN(+S8)))</f>
        <v>6.8437717227603363</v>
      </c>
      <c r="U8" s="203">
        <f t="shared" si="0"/>
        <v>0.17731186597891027</v>
      </c>
      <c r="V8" s="203">
        <f>regDebt_weighted</f>
        <v>3.5860000000000003E-2</v>
      </c>
      <c r="W8" s="203">
        <f t="shared" si="1"/>
        <v>0.14145186597891027</v>
      </c>
      <c r="X8" s="203">
        <f>+((W8*(1-0.34))-Pfd_weighted)/Equity_percent</f>
        <v>0.2533960219362813</v>
      </c>
      <c r="Y8" s="203">
        <f>X8*equityP</f>
        <v>0.15203761316176878</v>
      </c>
      <c r="Z8" s="203">
        <f>+Y8/(1-taxrate)</f>
        <v>0.19245267488831491</v>
      </c>
      <c r="AA8" s="203">
        <f>debtP*Debt_Rate</f>
        <v>2.0000000000000004E-2</v>
      </c>
      <c r="AB8" s="203">
        <f t="shared" si="2"/>
        <v>0.21245267488831493</v>
      </c>
      <c r="AC8" s="203">
        <f t="shared" si="3"/>
        <v>8.2001145315248256E-2</v>
      </c>
      <c r="AD8" s="203">
        <f t="shared" si="4"/>
        <v>0.91799885468475173</v>
      </c>
      <c r="AE8" s="204">
        <f>expenses/(AD8)</f>
        <v>745894.17677992838</v>
      </c>
      <c r="AF8" s="205">
        <f>+AE8-Revenue</f>
        <v>117274.17677992838</v>
      </c>
      <c r="AG8" s="206">
        <f ca="1">+AF8/$J$49</f>
        <v>129543.25935342639</v>
      </c>
      <c r="AH8" s="206">
        <f ca="1">+AG8*$J$47</f>
        <v>2979.4949651288071</v>
      </c>
      <c r="AI8" s="204">
        <f t="shared" ca="1" si="5"/>
        <v>748873.67174999998</v>
      </c>
    </row>
    <row r="9" spans="1:35" ht="15.6">
      <c r="A9" s="154"/>
      <c r="B9" s="178" t="s">
        <v>570</v>
      </c>
      <c r="C9" s="207">
        <v>0.05</v>
      </c>
      <c r="D9" s="174"/>
      <c r="E9" s="154"/>
      <c r="F9" s="208">
        <f t="shared" ref="F9:F49" si="6">+F8+1</f>
        <v>3</v>
      </c>
      <c r="G9" s="181"/>
      <c r="H9" s="198" t="s">
        <v>571</v>
      </c>
      <c r="I9" s="210">
        <f>Revenue-expenses</f>
        <v>-56110</v>
      </c>
      <c r="J9" s="169"/>
      <c r="K9" s="210">
        <f ca="1">+K7-K8</f>
        <v>53109.701730566216</v>
      </c>
      <c r="L9" s="181"/>
      <c r="M9" s="211">
        <f ca="1">+M7-M8</f>
        <v>53109.701730566216</v>
      </c>
      <c r="O9" s="183"/>
      <c r="P9" s="154"/>
      <c r="R9" s="212">
        <v>4</v>
      </c>
      <c r="S9" s="201">
        <f>Revenue/Investment*100</f>
        <v>259.08500920512017</v>
      </c>
      <c r="T9" s="202">
        <f>EXP(y_inter1-(slope*LN(+S9)))</f>
        <v>6.8437717227603363</v>
      </c>
      <c r="U9" s="203">
        <f t="shared" si="0"/>
        <v>0.17731186597891027</v>
      </c>
      <c r="V9" s="203">
        <f>regDebt_weighted</f>
        <v>3.5860000000000003E-2</v>
      </c>
      <c r="W9" s="203">
        <f t="shared" si="1"/>
        <v>0.14145186597891027</v>
      </c>
      <c r="X9" s="203">
        <f>+((W9*(1-0.34))-Pfd_weighted)/Equity_percent</f>
        <v>0.2533960219362813</v>
      </c>
      <c r="Y9" s="203">
        <f>X9*equityP</f>
        <v>0.15203761316176878</v>
      </c>
      <c r="Z9" s="203">
        <f>+Y9/(1-taxrate)</f>
        <v>0.19245267488831491</v>
      </c>
      <c r="AA9" s="203">
        <f>debtP*Debt_Rate</f>
        <v>2.0000000000000004E-2</v>
      </c>
      <c r="AB9" s="203">
        <f t="shared" si="2"/>
        <v>0.21245267488831493</v>
      </c>
      <c r="AC9" s="203">
        <f t="shared" si="3"/>
        <v>8.2001145315248256E-2</v>
      </c>
      <c r="AD9" s="203">
        <f t="shared" si="4"/>
        <v>0.91799885468475173</v>
      </c>
      <c r="AE9" s="204">
        <f>expenses/(AD9)</f>
        <v>745894.17677992838</v>
      </c>
      <c r="AF9" s="205">
        <f>+AE9-Revenue</f>
        <v>117274.17677992838</v>
      </c>
      <c r="AG9" s="206">
        <f ca="1">+AF9/$J$49</f>
        <v>129543.25935342639</v>
      </c>
      <c r="AH9" s="206">
        <f ca="1">+AG9*$J$47</f>
        <v>2979.4949651288071</v>
      </c>
      <c r="AI9" s="204">
        <f t="shared" ca="1" si="5"/>
        <v>748873.67174999998</v>
      </c>
    </row>
    <row r="10" spans="1:35" ht="15.6">
      <c r="A10" s="154"/>
      <c r="B10" s="213" t="s">
        <v>572</v>
      </c>
      <c r="C10" s="207">
        <v>0.21</v>
      </c>
      <c r="D10" s="174"/>
      <c r="E10" s="154"/>
      <c r="F10" s="208">
        <f t="shared" si="6"/>
        <v>4</v>
      </c>
      <c r="G10" s="181"/>
      <c r="H10" s="181"/>
      <c r="I10" s="169"/>
      <c r="J10" s="169"/>
      <c r="K10" s="199"/>
      <c r="L10" s="181"/>
      <c r="M10" s="181"/>
      <c r="N10" s="181"/>
      <c r="O10" s="183"/>
      <c r="P10" s="154"/>
      <c r="R10" s="171" t="s">
        <v>573</v>
      </c>
    </row>
    <row r="11" spans="1:35" ht="15.6">
      <c r="A11" s="154"/>
      <c r="B11" s="178" t="s">
        <v>574</v>
      </c>
      <c r="C11" s="214">
        <v>1.4999999999999999E-2</v>
      </c>
      <c r="D11" s="174"/>
      <c r="E11" s="154"/>
      <c r="F11" s="208">
        <f t="shared" si="6"/>
        <v>5</v>
      </c>
      <c r="G11" s="181"/>
      <c r="H11" s="198" t="s">
        <v>575</v>
      </c>
      <c r="I11" s="199">
        <f>K11</f>
        <v>4852.6157644444438</v>
      </c>
      <c r="J11" s="169"/>
      <c r="K11" s="199">
        <f>+M27</f>
        <v>4852.6157644444438</v>
      </c>
      <c r="L11" s="181"/>
      <c r="M11" s="199">
        <f>+K11</f>
        <v>4852.6157644444438</v>
      </c>
      <c r="O11" s="183"/>
      <c r="P11" s="154"/>
      <c r="R11" s="190">
        <v>1</v>
      </c>
      <c r="S11" s="191">
        <f ca="1">IF((AI6/Investment*100)&gt;0,(AI6/Investment*100),0)</f>
        <v>308.64742155645843</v>
      </c>
      <c r="T11" s="192">
        <f ca="1">EXP(y_inter1-(slope*LN(S11)))</f>
        <v>6.071872871169929</v>
      </c>
      <c r="U11" s="193">
        <f ca="1">(+S11*T11/100)/100</f>
        <v>0.18740679057052087</v>
      </c>
      <c r="V11" s="193">
        <f>regDebt_weighted</f>
        <v>3.5860000000000003E-2</v>
      </c>
      <c r="W11" s="193">
        <f ca="1">+U11-V11</f>
        <v>0.15154679057052087</v>
      </c>
      <c r="X11" s="193">
        <f ca="1">+((W11*(1-0.34))-Pfd_weighted)/Equity_percent</f>
        <v>0.27276419121088308</v>
      </c>
      <c r="Y11" s="193">
        <f ca="1">+X11*equityP</f>
        <v>0.16365851472652984</v>
      </c>
      <c r="Z11" s="193">
        <f ca="1">+Y11/(1-taxrate)</f>
        <v>0.20716267686902512</v>
      </c>
      <c r="AA11" s="193">
        <f>debtP*Debt_Rate</f>
        <v>2.0000000000000004E-2</v>
      </c>
      <c r="AB11" s="193">
        <f ca="1">+AA11+Z11</f>
        <v>0.22716267686902514</v>
      </c>
      <c r="AC11" s="193">
        <f ca="1">+AB11/(S11/100)</f>
        <v>7.3599408581960915E-2</v>
      </c>
      <c r="AD11" s="193">
        <f ca="1">1-AC11</f>
        <v>0.9264005914180391</v>
      </c>
      <c r="AE11" s="194">
        <f ca="1">expenses/(AD11)</f>
        <v>739129.49359400291</v>
      </c>
      <c r="AF11" s="195">
        <f ca="1">+AE11-Revenue</f>
        <v>110509.49359400291</v>
      </c>
      <c r="AG11" s="196">
        <f ca="1">+AF11/$J$49</f>
        <v>122070.86319205687</v>
      </c>
      <c r="AH11" s="196">
        <f ca="1">+AG11*$J$47</f>
        <v>2807.6298534173079</v>
      </c>
      <c r="AI11" s="194">
        <f ca="1">ROUND(+AH11+AE11,5)</f>
        <v>741937.12344999996</v>
      </c>
    </row>
    <row r="12" spans="1:35" ht="15.6">
      <c r="A12" s="154"/>
      <c r="B12" s="178" t="s">
        <v>576</v>
      </c>
      <c r="C12" s="214">
        <v>5.1000000000000004E-3</v>
      </c>
      <c r="D12" s="174"/>
      <c r="E12" s="154"/>
      <c r="F12" s="208">
        <f t="shared" si="6"/>
        <v>6</v>
      </c>
      <c r="G12" s="181"/>
      <c r="H12" s="198" t="s">
        <v>577</v>
      </c>
      <c r="I12" s="199">
        <f ca="1">IF(I14&lt;0,0,+J38*I14)</f>
        <v>0</v>
      </c>
      <c r="J12" s="199">
        <f ca="1">+K12-I12</f>
        <v>10133.988052885572</v>
      </c>
      <c r="K12" s="199">
        <f ca="1">+(K9-K11)*taxrate</f>
        <v>10133.988052885572</v>
      </c>
      <c r="L12" s="181"/>
      <c r="M12" s="199">
        <f ca="1">+K12</f>
        <v>10133.988052885572</v>
      </c>
      <c r="O12" s="183"/>
      <c r="P12" s="154"/>
      <c r="R12" s="200">
        <v>2</v>
      </c>
      <c r="S12" s="201">
        <f ca="1">IF((AI7/Investment*100)&gt;0,(AI7/Investment*100),0)</f>
        <v>308.64742155645843</v>
      </c>
      <c r="T12" s="215">
        <f ca="1">EXP(y_inter2-(slope*LN(+S12)))</f>
        <v>5.9854833918722168</v>
      </c>
      <c r="U12" s="203">
        <f ca="1">(+S12*T12/100)/100</f>
        <v>0.18474040156703647</v>
      </c>
      <c r="V12" s="203">
        <f>regDebt_weighted</f>
        <v>3.5860000000000003E-2</v>
      </c>
      <c r="W12" s="203">
        <f ca="1">+U12-V12</f>
        <v>0.14888040156703647</v>
      </c>
      <c r="X12" s="203">
        <f ca="1">+((W12*(1-0.34))-Pfd_weighted)/Equity_percent</f>
        <v>0.26764844486698858</v>
      </c>
      <c r="Y12" s="203">
        <f ca="1">+X12*equityP</f>
        <v>0.16058906692019315</v>
      </c>
      <c r="Z12" s="203">
        <f ca="1">+Y12/(1-taxrate)</f>
        <v>0.20327729989897866</v>
      </c>
      <c r="AA12" s="203">
        <f>debtP*Debt_Rate</f>
        <v>2.0000000000000004E-2</v>
      </c>
      <c r="AB12" s="203">
        <f ca="1">+AA12+Z12</f>
        <v>0.22327729989897865</v>
      </c>
      <c r="AC12" s="203">
        <f ca="1">+AB12/(S12/100)</f>
        <v>7.2340568656957441E-2</v>
      </c>
      <c r="AD12" s="203">
        <f ca="1">1-AC12</f>
        <v>0.92765943134304252</v>
      </c>
      <c r="AE12" s="204">
        <f ca="1">expenses/(AD12)</f>
        <v>738126.49002949789</v>
      </c>
      <c r="AF12" s="205">
        <f ca="1">+AE12-Revenue</f>
        <v>109506.49002949789</v>
      </c>
      <c r="AG12" s="206">
        <f ca="1">+AF12/$J$49</f>
        <v>120962.9266074078</v>
      </c>
      <c r="AH12" s="206">
        <f ca="1">+AG12*$J$47</f>
        <v>2782.1473119703796</v>
      </c>
      <c r="AI12" s="204">
        <f t="shared" ref="AI12:AI14" ca="1" si="7">ROUND(+AH12+AE12,5)</f>
        <v>740908.63734000002</v>
      </c>
    </row>
    <row r="13" spans="1:35" ht="15.6">
      <c r="A13" s="154"/>
      <c r="B13" s="178" t="s">
        <v>578</v>
      </c>
      <c r="C13" s="214">
        <v>0</v>
      </c>
      <c r="D13" s="174"/>
      <c r="E13" s="154"/>
      <c r="F13" s="208">
        <f t="shared" si="6"/>
        <v>7</v>
      </c>
      <c r="G13" s="181"/>
      <c r="H13" s="181"/>
      <c r="I13" s="169"/>
      <c r="J13" s="169"/>
      <c r="K13" s="199"/>
      <c r="L13" s="181"/>
      <c r="M13" s="181"/>
      <c r="O13" s="183"/>
      <c r="P13" s="154"/>
      <c r="R13" s="209">
        <v>3</v>
      </c>
      <c r="S13" s="201">
        <f ca="1">IF((AI8/Investment*100)&gt;0,(AI8/Investment*100),0)</f>
        <v>308.64742155645843</v>
      </c>
      <c r="T13" s="202">
        <f ca="1">EXP(y_inter3-(slope*LN(S13)))</f>
        <v>5.9272899569567965</v>
      </c>
      <c r="U13" s="203">
        <f ca="1">(+S13*T13/100)/100</f>
        <v>0.18294427620322068</v>
      </c>
      <c r="V13" s="203">
        <f>regDebt_weighted</f>
        <v>3.5860000000000003E-2</v>
      </c>
      <c r="W13" s="203">
        <f ca="1">+U13-V13</f>
        <v>0.14708427620322068</v>
      </c>
      <c r="X13" s="203">
        <f ca="1">+((W13*(1-0.34))-Pfd_weighted)/Equity_percent</f>
        <v>0.26420239038990012</v>
      </c>
      <c r="Y13" s="203">
        <f ca="1">+X13*equityP</f>
        <v>0.15852143423394008</v>
      </c>
      <c r="Z13" s="203">
        <f ca="1">+Y13/(1-taxrate)</f>
        <v>0.20066004333410137</v>
      </c>
      <c r="AA13" s="203">
        <f>debtP*Debt_Rate</f>
        <v>2.0000000000000004E-2</v>
      </c>
      <c r="AB13" s="203">
        <f ca="1">+AA13+Z13</f>
        <v>0.22066004333410139</v>
      </c>
      <c r="AC13" s="203">
        <f ca="1">+AB13/(S13/100)</f>
        <v>7.1492592493191384E-2</v>
      </c>
      <c r="AD13" s="203">
        <f ca="1">1-AC13</f>
        <v>0.9285074075068086</v>
      </c>
      <c r="AE13" s="204">
        <f ca="1">expenses/(AD13)</f>
        <v>737452.38267792598</v>
      </c>
      <c r="AF13" s="205">
        <f ca="1">+AE13-Revenue</f>
        <v>108832.38267792598</v>
      </c>
      <c r="AG13" s="206">
        <f ca="1">+AF13/$J$49</f>
        <v>120218.29495980644</v>
      </c>
      <c r="AH13" s="206">
        <f ca="1">+AG13*$J$47</f>
        <v>2765.0207840755484</v>
      </c>
      <c r="AI13" s="204">
        <f t="shared" ca="1" si="7"/>
        <v>740217.40345999994</v>
      </c>
    </row>
    <row r="14" spans="1:35" ht="16.2" thickBot="1">
      <c r="A14" s="154"/>
      <c r="B14" s="216" t="s">
        <v>579</v>
      </c>
      <c r="C14" s="214">
        <v>2.8999999999999998E-3</v>
      </c>
      <c r="D14" s="174"/>
      <c r="E14" s="154"/>
      <c r="F14" s="208">
        <f t="shared" si="6"/>
        <v>8</v>
      </c>
      <c r="G14" s="181"/>
      <c r="H14" s="181" t="s">
        <v>580</v>
      </c>
      <c r="I14" s="217">
        <f ca="1">+I9-SUM(I11:I13)</f>
        <v>-60962.615764444447</v>
      </c>
      <c r="J14" s="169"/>
      <c r="K14" s="217">
        <f ca="1">+K9-SUM(K11:K13)</f>
        <v>38123.097913236197</v>
      </c>
      <c r="L14" s="181"/>
      <c r="M14" s="217">
        <f ca="1">+M9-SUM(M11:M13)</f>
        <v>38123.097913236197</v>
      </c>
      <c r="O14" s="183"/>
      <c r="P14" s="154"/>
      <c r="R14" s="212">
        <v>4</v>
      </c>
      <c r="S14" s="201">
        <f ca="1">IF((AI9/Investment*100)&gt;0,(AI9/Investment*100),0)</f>
        <v>308.64742155645843</v>
      </c>
      <c r="T14" s="218">
        <f ca="1">EXP(y_inter4-(slope*LN(S14)))</f>
        <v>5.8900654106688783</v>
      </c>
      <c r="U14" s="203">
        <f ca="1">(+S14*T14/100)/100</f>
        <v>0.18179535018018317</v>
      </c>
      <c r="V14" s="203">
        <f>regDebt_weighted</f>
        <v>3.5860000000000003E-2</v>
      </c>
      <c r="W14" s="203">
        <f ca="1">+U14-V14</f>
        <v>0.14593535018018317</v>
      </c>
      <c r="X14" s="203">
        <f ca="1">+((W14*(1-0.34))-Pfd_weighted)/Equity_percent</f>
        <v>0.26199805557825839</v>
      </c>
      <c r="Y14" s="203">
        <f ca="1">+X14*equityP</f>
        <v>0.15719883334695503</v>
      </c>
      <c r="Z14" s="203">
        <f ca="1">+Y14/(1-taxrate)</f>
        <v>0.19898586499614559</v>
      </c>
      <c r="AA14" s="203">
        <f>debtP*Debt_Rate</f>
        <v>2.0000000000000004E-2</v>
      </c>
      <c r="AB14" s="203">
        <f ca="1">+AA14+Z14</f>
        <v>0.21898586499614558</v>
      </c>
      <c r="AC14" s="203">
        <f ca="1">+AB14/(S14/100)</f>
        <v>7.0950168283226117E-2</v>
      </c>
      <c r="AD14" s="203">
        <f ca="1">1-AC14</f>
        <v>0.92904983171677391</v>
      </c>
      <c r="AE14" s="204">
        <f ca="1">expenses/(AD14)</f>
        <v>737021.82232216781</v>
      </c>
      <c r="AF14" s="205">
        <f ca="1">+AE14-Revenue</f>
        <v>108401.82232216781</v>
      </c>
      <c r="AG14" s="206">
        <f ca="1">+AF14/$J$49</f>
        <v>119742.68990023778</v>
      </c>
      <c r="AH14" s="206">
        <f ca="1">+AG14*$J$47</f>
        <v>2754.081867705469</v>
      </c>
      <c r="AI14" s="204">
        <f t="shared" ca="1" si="7"/>
        <v>739775.90419000003</v>
      </c>
    </row>
    <row r="15" spans="1:35" ht="16.2" thickTop="1">
      <c r="A15" s="154"/>
      <c r="B15" s="371"/>
      <c r="C15" s="371"/>
      <c r="D15" s="154"/>
      <c r="E15" s="154"/>
      <c r="F15" s="208">
        <f t="shared" si="6"/>
        <v>9</v>
      </c>
      <c r="G15" s="169"/>
      <c r="H15" s="169"/>
      <c r="I15" s="169"/>
      <c r="J15" s="169"/>
      <c r="K15" s="219"/>
      <c r="L15" s="169"/>
      <c r="M15" s="169"/>
      <c r="O15" s="183"/>
      <c r="P15" s="154"/>
      <c r="R15" s="171" t="s">
        <v>581</v>
      </c>
    </row>
    <row r="16" spans="1:35" ht="15.6">
      <c r="A16" s="154"/>
      <c r="B16" s="220" t="s">
        <v>582</v>
      </c>
      <c r="C16" s="371"/>
      <c r="D16" s="371"/>
      <c r="E16" s="154"/>
      <c r="F16" s="208">
        <f t="shared" si="6"/>
        <v>10</v>
      </c>
      <c r="G16" s="169"/>
      <c r="H16" s="198" t="s">
        <v>583</v>
      </c>
      <c r="I16" s="221">
        <f>+I8/I7</f>
        <v>1.0892590118036334</v>
      </c>
      <c r="J16" s="222"/>
      <c r="K16" s="221">
        <f ca="1">+K8/K7</f>
        <v>0.92801999999999996</v>
      </c>
      <c r="L16" s="223"/>
      <c r="M16" s="221">
        <f ca="1">+M8/M7</f>
        <v>0.9282896875164699</v>
      </c>
      <c r="O16" s="183"/>
      <c r="P16" s="154"/>
      <c r="R16" s="190">
        <v>1</v>
      </c>
      <c r="S16" s="191">
        <f ca="1">AI11/Investment*100</f>
        <v>305.78853116137515</v>
      </c>
      <c r="T16" s="192">
        <f ca="1">EXP(y_inter1-(slope*LN(+S16)))</f>
        <v>6.1106258823563664</v>
      </c>
      <c r="U16" s="193">
        <f ca="1">(+S16*T16/100)/100</f>
        <v>0.18685593130424352</v>
      </c>
      <c r="V16" s="193">
        <f>regDebt_weighted</f>
        <v>3.5860000000000003E-2</v>
      </c>
      <c r="W16" s="193">
        <f ca="1">+U16-V16</f>
        <v>0.15099593130424352</v>
      </c>
      <c r="X16" s="193">
        <f ca="1">+((W16*(1-0.34))-Pfd_weighted)/Equity_percent</f>
        <v>0.27170731006046722</v>
      </c>
      <c r="Y16" s="193">
        <f ca="1">+X16*equityP</f>
        <v>0.16302438603628033</v>
      </c>
      <c r="Z16" s="193">
        <f ca="1">+Y16/(1-taxrate)</f>
        <v>0.20635998232440547</v>
      </c>
      <c r="AA16" s="193">
        <f>debtP*Debt_Rate</f>
        <v>2.0000000000000004E-2</v>
      </c>
      <c r="AB16" s="193">
        <f ca="1">+AA16+Z16</f>
        <v>0.22635998232440546</v>
      </c>
      <c r="AC16" s="193">
        <f ca="1">+AB16/(S16/100)</f>
        <v>7.4025007237746104E-2</v>
      </c>
      <c r="AD16" s="193">
        <f ca="1">1-AC16</f>
        <v>0.92597499276225392</v>
      </c>
      <c r="AE16" s="194">
        <f ca="1">expenses/(AD16)</f>
        <v>739469.21391192032</v>
      </c>
      <c r="AF16" s="195">
        <f ca="1">+AE16-Revenue</f>
        <v>110849.21391192032</v>
      </c>
      <c r="AG16" s="196">
        <f ca="1">+AF16/$J$49</f>
        <v>122446.12463886445</v>
      </c>
      <c r="AH16" s="196">
        <f ca="1">+AG16*$J$47</f>
        <v>2816.2608666938822</v>
      </c>
      <c r="AI16" s="194">
        <f ca="1">ROUND(+AH16+AE16,5)</f>
        <v>742285.47478000005</v>
      </c>
    </row>
    <row r="17" spans="1:35" ht="15.6">
      <c r="A17" s="154"/>
      <c r="B17" s="372"/>
      <c r="C17" s="371"/>
      <c r="D17" s="154" t="s">
        <v>584</v>
      </c>
      <c r="E17" s="154"/>
      <c r="F17" s="208">
        <f t="shared" si="6"/>
        <v>11</v>
      </c>
      <c r="G17" s="169"/>
      <c r="H17" s="169"/>
      <c r="I17" s="169"/>
      <c r="K17" s="169"/>
      <c r="L17" s="198"/>
      <c r="M17" s="198"/>
      <c r="N17" s="221"/>
      <c r="O17" s="154"/>
      <c r="P17" s="154"/>
      <c r="R17" s="200">
        <v>2</v>
      </c>
      <c r="S17" s="201">
        <f ca="1">AI12/Investment*100</f>
        <v>305.3646417953405</v>
      </c>
      <c r="T17" s="215">
        <f ca="1">EXP(y_inter2-(slope*LN(+S17)))</f>
        <v>6.0294004405328456</v>
      </c>
      <c r="U17" s="203">
        <f ca="1">(+S17*T17/100)/100</f>
        <v>0.18411657057639808</v>
      </c>
      <c r="V17" s="203">
        <f>regDebt_weighted</f>
        <v>3.5860000000000003E-2</v>
      </c>
      <c r="W17" s="203">
        <f ca="1">+U17-V17</f>
        <v>0.14825657057639807</v>
      </c>
      <c r="X17" s="203">
        <f ca="1">+((W17*(1-0.34))-Pfd_weighted)/Equity_percent</f>
        <v>0.26645155982681024</v>
      </c>
      <c r="Y17" s="203">
        <f ca="1">+X17*equityP</f>
        <v>0.15987093589608614</v>
      </c>
      <c r="Z17" s="203">
        <f ca="1">+Y17/(1-taxrate)</f>
        <v>0.20236827328618498</v>
      </c>
      <c r="AA17" s="203">
        <f>debtP*Debt_Rate</f>
        <v>2.0000000000000004E-2</v>
      </c>
      <c r="AB17" s="203">
        <f ca="1">+AA17+Z17</f>
        <v>0.22236827328618497</v>
      </c>
      <c r="AC17" s="203">
        <f ca="1">+AB17/(S17/100)</f>
        <v>7.2820570180885322E-2</v>
      </c>
      <c r="AD17" s="203">
        <f ca="1">1-AC17</f>
        <v>0.92717942981911472</v>
      </c>
      <c r="AE17" s="204">
        <f ca="1">expenses/(AD17)</f>
        <v>738508.61869701464</v>
      </c>
      <c r="AF17" s="205">
        <f ca="1">+AE17-Revenue</f>
        <v>109888.61869701464</v>
      </c>
      <c r="AG17" s="206">
        <f ca="1">+AF17/$J$49</f>
        <v>121385.03311407205</v>
      </c>
      <c r="AH17" s="206">
        <f ca="1">+AG17*$J$47</f>
        <v>2791.8557616236571</v>
      </c>
      <c r="AI17" s="204">
        <f t="shared" ref="AI17:AI19" ca="1" si="8">ROUND(+AH17+AE17,5)</f>
        <v>741300.47446000006</v>
      </c>
    </row>
    <row r="18" spans="1:35" ht="15.6">
      <c r="A18" s="154"/>
      <c r="B18" s="366" t="s">
        <v>585</v>
      </c>
      <c r="C18" s="366"/>
      <c r="D18" s="154"/>
      <c r="E18" s="154"/>
      <c r="F18" s="208">
        <f t="shared" si="6"/>
        <v>12</v>
      </c>
      <c r="G18" s="169"/>
      <c r="H18" s="224" t="s">
        <v>586</v>
      </c>
      <c r="I18" s="225"/>
      <c r="J18" s="225"/>
      <c r="K18" s="225"/>
      <c r="L18" s="225"/>
      <c r="M18" s="226"/>
      <c r="O18" s="154"/>
      <c r="P18" s="154"/>
      <c r="R18" s="209">
        <v>3</v>
      </c>
      <c r="S18" s="201">
        <f ca="1">AI13/Investment*100</f>
        <v>305.07975054758714</v>
      </c>
      <c r="T18" s="202">
        <f ca="1">EXP(y_inter3-(slope*LN(S18)))</f>
        <v>5.9745913784391815</v>
      </c>
      <c r="U18" s="203">
        <f ca="1">(+S18*T18/100)/100</f>
        <v>0.18227268473579902</v>
      </c>
      <c r="V18" s="203">
        <f>regDebt_weighted</f>
        <v>3.5860000000000003E-2</v>
      </c>
      <c r="W18" s="203">
        <f ca="1">+U18-V18</f>
        <v>0.14641268473579902</v>
      </c>
      <c r="X18" s="203">
        <f ca="1">+((W18*(1-0.34))-Pfd_weighted)/Equity_percent</f>
        <v>0.26291387187682369</v>
      </c>
      <c r="Y18" s="203">
        <f ca="1">+X18*equityP</f>
        <v>0.15774832312609421</v>
      </c>
      <c r="Z18" s="203">
        <f ca="1">+Y18/(1-taxrate)</f>
        <v>0.19968142167860026</v>
      </c>
      <c r="AA18" s="203">
        <f>debtP*Debt_Rate</f>
        <v>2.0000000000000004E-2</v>
      </c>
      <c r="AB18" s="203">
        <f ca="1">+AA18+Z18</f>
        <v>0.21968142167860027</v>
      </c>
      <c r="AC18" s="203">
        <f ca="1">+AB18/(S18/100)</f>
        <v>7.2007867216455509E-2</v>
      </c>
      <c r="AD18" s="203">
        <f ca="1">1-AC18</f>
        <v>0.92799213278354453</v>
      </c>
      <c r="AE18" s="204">
        <f ca="1">expenses/(AD18)</f>
        <v>737861.85874887614</v>
      </c>
      <c r="AF18" s="205">
        <f ca="1">+AE18-Revenue</f>
        <v>109241.85874887614</v>
      </c>
      <c r="AG18" s="206">
        <f ca="1">+AF18/$J$49</f>
        <v>120670.60992218439</v>
      </c>
      <c r="AH18" s="206">
        <f ca="1">+AG18*$J$47</f>
        <v>2775.424028210241</v>
      </c>
      <c r="AI18" s="204">
        <f t="shared" ca="1" si="8"/>
        <v>740637.28278000001</v>
      </c>
    </row>
    <row r="19" spans="1:35" ht="15.6">
      <c r="A19" s="154"/>
      <c r="B19" s="154"/>
      <c r="C19" s="154"/>
      <c r="D19" s="154"/>
      <c r="E19" s="154"/>
      <c r="F19" s="208">
        <f t="shared" si="6"/>
        <v>13</v>
      </c>
      <c r="G19" s="169"/>
      <c r="H19" s="175"/>
      <c r="I19" s="198" t="s">
        <v>587</v>
      </c>
      <c r="J19" s="199">
        <f>+Revenue</f>
        <v>628620</v>
      </c>
      <c r="K19" s="227"/>
      <c r="L19" s="198" t="s">
        <v>588</v>
      </c>
      <c r="M19" s="228">
        <f ca="1">+J7</f>
        <v>109219.70173056622</v>
      </c>
      <c r="O19" s="154"/>
      <c r="P19" s="154"/>
      <c r="R19" s="212">
        <v>4</v>
      </c>
      <c r="S19" s="201">
        <f ca="1">AI14/Investment*100</f>
        <v>304.89778713180027</v>
      </c>
      <c r="T19" s="218">
        <f ca="1">EXP(y_inter4-(slope*LN(S19)))</f>
        <v>5.9394919559738675</v>
      </c>
      <c r="U19" s="203">
        <f ca="1">(+S19*T19/100)/100</f>
        <v>0.18109379540635601</v>
      </c>
      <c r="V19" s="203">
        <f>regDebt_weighted</f>
        <v>3.5860000000000003E-2</v>
      </c>
      <c r="W19" s="203">
        <f ca="1">+U19-V19</f>
        <v>0.145233795406356</v>
      </c>
      <c r="X19" s="203">
        <f ca="1">+((W19*(1-0.34))-Pfd_weighted)/Equity_percent</f>
        <v>0.26065204932614816</v>
      </c>
      <c r="Y19" s="203">
        <f ca="1">+X19*equityP</f>
        <v>0.15639122959568888</v>
      </c>
      <c r="Z19" s="203">
        <f ca="1">+Y19/(1-taxrate)</f>
        <v>0.19796358176669476</v>
      </c>
      <c r="AA19" s="203">
        <f>debtP*Debt_Rate</f>
        <v>2.0000000000000004E-2</v>
      </c>
      <c r="AB19" s="203">
        <f ca="1">+AA19+Z19</f>
        <v>0.21796358176669478</v>
      </c>
      <c r="AC19" s="203">
        <f ca="1">+AB19/(S19/100)</f>
        <v>7.1487426595350831E-2</v>
      </c>
      <c r="AD19" s="203">
        <f ca="1">1-AC19</f>
        <v>0.92851257340464921</v>
      </c>
      <c r="AE19" s="204">
        <f ca="1">expenses/(AD19)</f>
        <v>737448.2797677659</v>
      </c>
      <c r="AF19" s="205">
        <f ca="1">+AE19-Revenue</f>
        <v>108828.2797677659</v>
      </c>
      <c r="AG19" s="206">
        <f ca="1">+AF19/$J$49</f>
        <v>120213.76280814642</v>
      </c>
      <c r="AH19" s="206">
        <f ca="1">+AG19*$J$47</f>
        <v>2764.9165445873678</v>
      </c>
      <c r="AI19" s="204">
        <f t="shared" ca="1" si="8"/>
        <v>740213.19631000003</v>
      </c>
    </row>
    <row r="20" spans="1:35" ht="15.6">
      <c r="A20" s="154"/>
      <c r="B20" s="229"/>
      <c r="C20" s="154"/>
      <c r="D20" s="154"/>
      <c r="E20" s="154"/>
      <c r="F20" s="208">
        <f t="shared" si="6"/>
        <v>14</v>
      </c>
      <c r="G20" s="169"/>
      <c r="H20" s="175"/>
      <c r="I20" s="198" t="s">
        <v>589</v>
      </c>
      <c r="J20" s="199">
        <f ca="1">+J21-J19</f>
        <v>111994.56283242465</v>
      </c>
      <c r="K20" s="227"/>
      <c r="L20" s="198" t="s">
        <v>590</v>
      </c>
      <c r="M20" s="228">
        <f ca="1">+L8</f>
        <v>2774.8611018584343</v>
      </c>
      <c r="O20" s="154"/>
      <c r="P20" s="154"/>
      <c r="R20" s="171" t="s">
        <v>591</v>
      </c>
    </row>
    <row r="21" spans="1:35" ht="16.2" thickBot="1">
      <c r="A21" s="154"/>
      <c r="B21" s="229" t="s">
        <v>592</v>
      </c>
      <c r="C21" s="154"/>
      <c r="D21" s="154"/>
      <c r="E21" s="154"/>
      <c r="F21" s="208">
        <f t="shared" si="6"/>
        <v>15</v>
      </c>
      <c r="G21" s="169"/>
      <c r="H21" s="175"/>
      <c r="I21" s="230" t="s">
        <v>586</v>
      </c>
      <c r="J21" s="231">
        <f ca="1">+M7</f>
        <v>740614.56283242465</v>
      </c>
      <c r="L21" s="230" t="s">
        <v>589</v>
      </c>
      <c r="M21" s="232">
        <f ca="1">+M19+M20</f>
        <v>111994.56283242465</v>
      </c>
      <c r="O21" s="154"/>
      <c r="P21" s="154"/>
      <c r="R21" s="190">
        <v>1</v>
      </c>
      <c r="S21" s="191">
        <f ca="1">AI16/Investment*100</f>
        <v>305.93210376094191</v>
      </c>
      <c r="T21" s="192">
        <f ca="1">EXP(y_inter1-(slope*LN(+S21)))</f>
        <v>6.1086651831612633</v>
      </c>
      <c r="U21" s="193">
        <f ca="1">(+S21*T21/100)/100</f>
        <v>0.18688367906557449</v>
      </c>
      <c r="V21" s="193">
        <f>regDebt_weighted</f>
        <v>3.5860000000000003E-2</v>
      </c>
      <c r="W21" s="193">
        <f ca="1">+U21-V21</f>
        <v>0.15102367906557448</v>
      </c>
      <c r="X21" s="193">
        <f ca="1">+((W21*(1-0.34))-Pfd_weighted)/Equity_percent</f>
        <v>0.27176054704441616</v>
      </c>
      <c r="Y21" s="193">
        <f ca="1">+X21*equityP</f>
        <v>0.1630563282266497</v>
      </c>
      <c r="Z21" s="193">
        <f ca="1">+Y21/(1-taxrate)</f>
        <v>0.20640041547677176</v>
      </c>
      <c r="AA21" s="193">
        <f>debtP*Debt_Rate</f>
        <v>2.0000000000000004E-2</v>
      </c>
      <c r="AB21" s="193">
        <f ca="1">+AA21+Z21</f>
        <v>0.22640041547677175</v>
      </c>
      <c r="AC21" s="193">
        <f ca="1">+AB21/(S21/100)</f>
        <v>7.4003484006269271E-2</v>
      </c>
      <c r="AD21" s="193">
        <f ca="1">1-AC21</f>
        <v>0.92599651599373067</v>
      </c>
      <c r="AE21" s="194">
        <f ca="1">expenses/(AD21)</f>
        <v>739452.02619383927</v>
      </c>
      <c r="AF21" s="195">
        <f ca="1">+AE21-Revenue</f>
        <v>110832.02619383927</v>
      </c>
      <c r="AG21" s="196">
        <f ca="1">+AF21/$J$49</f>
        <v>122427.13876250015</v>
      </c>
      <c r="AH21" s="196">
        <f ca="1">+AG21*$J$47</f>
        <v>2815.8241915375033</v>
      </c>
      <c r="AI21" s="194">
        <f ca="1">ROUND(+AH21+AE21,5)</f>
        <v>742267.85039000004</v>
      </c>
    </row>
    <row r="22" spans="1:35" ht="16.2" thickTop="1">
      <c r="A22" s="154"/>
      <c r="B22" s="154" t="s">
        <v>593</v>
      </c>
      <c r="C22" s="154"/>
      <c r="D22" s="154"/>
      <c r="E22" s="154"/>
      <c r="F22" s="208">
        <f t="shared" si="6"/>
        <v>16</v>
      </c>
      <c r="G22" s="169"/>
      <c r="H22" s="233"/>
      <c r="I22" s="234"/>
      <c r="J22" s="235" t="s">
        <v>594</v>
      </c>
      <c r="K22" s="236">
        <f ca="1">+(J21/J19)-1</f>
        <v>0.17815940127966767</v>
      </c>
      <c r="L22" s="234"/>
      <c r="M22" s="237"/>
      <c r="O22" s="154"/>
      <c r="P22" s="154"/>
      <c r="R22" s="200">
        <v>2</v>
      </c>
      <c r="S22" s="201">
        <f ca="1">AI17/Investment*100</f>
        <v>305.52613701318614</v>
      </c>
      <c r="T22" s="215">
        <f ca="1">EXP(y_inter2-(slope*LN(+S22)))</f>
        <v>6.0272213851705354</v>
      </c>
      <c r="U22" s="203">
        <f ca="1">(+S22*T22/100)/100</f>
        <v>0.18414736667344186</v>
      </c>
      <c r="V22" s="203">
        <f>regDebt_weighted</f>
        <v>3.5860000000000003E-2</v>
      </c>
      <c r="W22" s="203">
        <f ca="1">+U22-V22</f>
        <v>0.14828736667344186</v>
      </c>
      <c r="X22" s="203">
        <f ca="1">+((W22*(1-0.34))-Pfd_weighted)/Equity_percent</f>
        <v>0.26651064536183611</v>
      </c>
      <c r="Y22" s="203">
        <f ca="1">+X22*equityP</f>
        <v>0.15990638721710165</v>
      </c>
      <c r="Z22" s="203">
        <f ca="1">+Y22/(1-taxrate)</f>
        <v>0.20241314837607804</v>
      </c>
      <c r="AA22" s="203">
        <f>debtP*Debt_Rate</f>
        <v>2.0000000000000004E-2</v>
      </c>
      <c r="AB22" s="203">
        <f ca="1">+AA22+Z22</f>
        <v>0.22241314837607806</v>
      </c>
      <c r="AC22" s="203">
        <f ca="1">+AB22/(S22/100)</f>
        <v>7.2796766440469535E-2</v>
      </c>
      <c r="AD22" s="203">
        <f ca="1">1-AC22</f>
        <v>0.92720323355953049</v>
      </c>
      <c r="AE22" s="204">
        <f ca="1">expenses/(AD22)</f>
        <v>738489.65924258437</v>
      </c>
      <c r="AF22" s="205">
        <f ca="1">+AE22-Revenue</f>
        <v>109869.65924258437</v>
      </c>
      <c r="AG22" s="206">
        <f ca="1">+AF22/$J$49</f>
        <v>121364.09014444398</v>
      </c>
      <c r="AH22" s="206">
        <f ca="1">+AG22*$J$47</f>
        <v>2791.3740733222116</v>
      </c>
      <c r="AI22" s="204">
        <f t="shared" ref="AI22:AI24" ca="1" si="9">ROUND(+AH22+AE22,5)</f>
        <v>741281.03332000005</v>
      </c>
    </row>
    <row r="23" spans="1:35" ht="15.6">
      <c r="A23" s="154"/>
      <c r="B23" s="154" t="s">
        <v>595</v>
      </c>
      <c r="C23" s="154"/>
      <c r="D23" s="154"/>
      <c r="E23" s="154"/>
      <c r="F23" s="208">
        <f t="shared" si="6"/>
        <v>17</v>
      </c>
      <c r="H23" s="169"/>
      <c r="I23" s="169"/>
      <c r="J23" s="169"/>
      <c r="K23" s="169"/>
      <c r="L23" s="169"/>
      <c r="M23" s="169"/>
      <c r="N23" s="169"/>
      <c r="O23" s="154"/>
      <c r="P23" s="154"/>
      <c r="R23" s="209">
        <v>3</v>
      </c>
      <c r="S23" s="201">
        <f ca="1">AI18/Investment*100</f>
        <v>305.25280332587494</v>
      </c>
      <c r="T23" s="202">
        <f ca="1">EXP(y_inter3-(slope*LN(S23)))</f>
        <v>5.9722755168715569</v>
      </c>
      <c r="U23" s="203">
        <f ca="1">(+S23*T23/100)/100</f>
        <v>0.18230538437595314</v>
      </c>
      <c r="V23" s="203">
        <f>regDebt_weighted</f>
        <v>3.5860000000000003E-2</v>
      </c>
      <c r="W23" s="203">
        <f ca="1">+U23-V23</f>
        <v>0.14644538437595314</v>
      </c>
      <c r="X23" s="203">
        <f ca="1">+((W23*(1-0.34))-Pfd_weighted)/Equity_percent</f>
        <v>0.26297660955851476</v>
      </c>
      <c r="Y23" s="203">
        <f ca="1">+X23*equityP</f>
        <v>0.15778596573510886</v>
      </c>
      <c r="Z23" s="203">
        <f ca="1">+Y23/(1-taxrate)</f>
        <v>0.19972907055077072</v>
      </c>
      <c r="AA23" s="203">
        <f>debtP*Debt_Rate</f>
        <v>2.0000000000000004E-2</v>
      </c>
      <c r="AB23" s="203">
        <f ca="1">+AA23+Z23</f>
        <v>0.21972907055077073</v>
      </c>
      <c r="AC23" s="203">
        <f ca="1">+AB23/(S23/100)</f>
        <v>7.1982654428302595E-2</v>
      </c>
      <c r="AD23" s="203">
        <f ca="1">1-AC23</f>
        <v>0.92801734557169735</v>
      </c>
      <c r="AE23" s="204">
        <f ca="1">expenses/(AD23)</f>
        <v>737841.81218959624</v>
      </c>
      <c r="AF23" s="205">
        <f ca="1">+AE23-Revenue</f>
        <v>109221.81218959624</v>
      </c>
      <c r="AG23" s="206">
        <f ca="1">+AF23/$J$49</f>
        <v>120648.46611611178</v>
      </c>
      <c r="AH23" s="206">
        <f ca="1">+AG23*$J$47</f>
        <v>2774.9147206705711</v>
      </c>
      <c r="AI23" s="204">
        <f t="shared" ca="1" si="9"/>
        <v>740616.72690999997</v>
      </c>
    </row>
    <row r="24" spans="1:35" ht="15.6">
      <c r="A24" s="154"/>
      <c r="B24" s="154" t="s">
        <v>596</v>
      </c>
      <c r="C24" s="154"/>
      <c r="D24" s="154"/>
      <c r="E24" s="154"/>
      <c r="F24" s="208">
        <f t="shared" si="6"/>
        <v>18</v>
      </c>
      <c r="H24" s="169"/>
      <c r="J24" s="238" t="s">
        <v>597</v>
      </c>
      <c r="K24" s="239" t="s">
        <v>598</v>
      </c>
      <c r="L24" s="239"/>
      <c r="M24" s="239"/>
      <c r="N24" s="239"/>
      <c r="O24" s="154"/>
      <c r="P24" s="154"/>
      <c r="R24" s="212">
        <v>4</v>
      </c>
      <c r="S24" s="201">
        <f ca="1">AI19/Investment*100</f>
        <v>305.07801657555882</v>
      </c>
      <c r="T24" s="218">
        <f ca="1">EXP(y_inter4-(slope*LN(S24)))</f>
        <v>5.9370928400234861</v>
      </c>
      <c r="U24" s="203">
        <f ca="1">(+S24*T24/100)/100</f>
        <v>0.18112765078593168</v>
      </c>
      <c r="V24" s="203">
        <f>regDebt_weighted</f>
        <v>3.5860000000000003E-2</v>
      </c>
      <c r="W24" s="203">
        <f ca="1">+U24-V24</f>
        <v>0.14526765078593168</v>
      </c>
      <c r="X24" s="203">
        <f ca="1">+((W24*(1-0.34))-Pfd_weighted)/Equity_percent</f>
        <v>0.26071700441486889</v>
      </c>
      <c r="Y24" s="203">
        <f ca="1">+X24*equityP</f>
        <v>0.15643020264892132</v>
      </c>
      <c r="Z24" s="203">
        <f ca="1">+Y24/(1-taxrate)</f>
        <v>0.19801291474547003</v>
      </c>
      <c r="AA24" s="203">
        <f>debtP*Debt_Rate</f>
        <v>2.0000000000000004E-2</v>
      </c>
      <c r="AB24" s="203">
        <f ca="1">+AA24+Z24</f>
        <v>0.21801291474547002</v>
      </c>
      <c r="AC24" s="203">
        <f ca="1">+AB24/(S24/100)</f>
        <v>7.1461364929739091E-2</v>
      </c>
      <c r="AD24" s="203">
        <f ca="1">1-AC24</f>
        <v>0.92853863507026091</v>
      </c>
      <c r="AE24" s="204">
        <f ca="1">expenses/(AD24)</f>
        <v>737427.58151165966</v>
      </c>
      <c r="AF24" s="205">
        <f ca="1">+AE24-Revenue</f>
        <v>108807.58151165966</v>
      </c>
      <c r="AG24" s="206">
        <f ca="1">+AF24/$J$49</f>
        <v>120190.89912551349</v>
      </c>
      <c r="AH24" s="206">
        <f ca="1">+AG24*$J$47</f>
        <v>2764.3906798868102</v>
      </c>
      <c r="AI24" s="204">
        <f t="shared" ca="1" si="9"/>
        <v>740191.97219</v>
      </c>
    </row>
    <row r="25" spans="1:35" ht="15.6">
      <c r="A25" s="154"/>
      <c r="B25" s="154" t="s">
        <v>599</v>
      </c>
      <c r="C25" s="154"/>
      <c r="D25" s="154"/>
      <c r="E25" s="154"/>
      <c r="F25" s="208">
        <f t="shared" si="6"/>
        <v>19</v>
      </c>
      <c r="H25" s="240" t="s">
        <v>600</v>
      </c>
      <c r="I25" s="241" t="s">
        <v>601</v>
      </c>
      <c r="J25" s="242" t="s">
        <v>602</v>
      </c>
      <c r="K25" s="240" t="s">
        <v>603</v>
      </c>
      <c r="L25" s="242" t="s">
        <v>604</v>
      </c>
      <c r="M25" s="242" t="s">
        <v>602</v>
      </c>
      <c r="O25" s="154"/>
      <c r="P25" s="154"/>
      <c r="R25" s="171" t="s">
        <v>605</v>
      </c>
      <c r="W25" s="243"/>
      <c r="X25" s="244"/>
      <c r="Y25" s="202"/>
      <c r="Z25" s="202"/>
      <c r="AA25" s="244"/>
      <c r="AC25" s="244"/>
      <c r="AD25" s="244"/>
      <c r="AE25" s="202"/>
      <c r="AF25" s="243"/>
    </row>
    <row r="26" spans="1:35" ht="15.6">
      <c r="A26" s="154"/>
      <c r="B26" s="154"/>
      <c r="C26" s="154"/>
      <c r="D26" s="154"/>
      <c r="E26" s="154"/>
      <c r="F26" s="208">
        <f t="shared" si="6"/>
        <v>20</v>
      </c>
      <c r="H26" s="198" t="s">
        <v>556</v>
      </c>
      <c r="I26" s="245">
        <f>1-I27</f>
        <v>0.6</v>
      </c>
      <c r="J26" s="246">
        <f>Investment*equityP</f>
        <v>145578.47293333331</v>
      </c>
      <c r="K26" s="221">
        <f ca="1">+K34</f>
        <v>0.26187318183159136</v>
      </c>
      <c r="L26" s="245">
        <f ca="1">+K26*I26</f>
        <v>0.15712390909895482</v>
      </c>
      <c r="M26" s="199">
        <f ca="1">+J26*K26</f>
        <v>38123.097913236197</v>
      </c>
      <c r="O26" s="154"/>
      <c r="P26" s="154"/>
      <c r="R26" s="190">
        <v>1</v>
      </c>
      <c r="S26" s="191">
        <f ca="1">AI21/Investment*100</f>
        <v>305.9248398888962</v>
      </c>
      <c r="T26" s="192">
        <f ca="1">EXP(y_inter1-(slope*LN(+S26)))</f>
        <v>6.1087643450198641</v>
      </c>
      <c r="U26" s="193">
        <f ca="1">(+S26*T26/100)/100</f>
        <v>0.18688227541691999</v>
      </c>
      <c r="V26" s="193">
        <f>regDebt_weighted</f>
        <v>3.5860000000000003E-2</v>
      </c>
      <c r="W26" s="193">
        <f ca="1">+U26-V26</f>
        <v>0.15102227541691998</v>
      </c>
      <c r="X26" s="193">
        <f ca="1">+((W26*(1-0.34))-Pfd_weighted)/Equity_percent</f>
        <v>0.27175785399757901</v>
      </c>
      <c r="Y26" s="193">
        <f ca="1">+X26*equityP</f>
        <v>0.16305471239854741</v>
      </c>
      <c r="Z26" s="193">
        <f ca="1">+Y26/(1-taxrate)</f>
        <v>0.20639837012474355</v>
      </c>
      <c r="AA26" s="193">
        <f>debtP*Debt_Rate</f>
        <v>2.0000000000000004E-2</v>
      </c>
      <c r="AB26" s="193">
        <f ca="1">+AA26+Z26</f>
        <v>0.22639837012474356</v>
      </c>
      <c r="AC26" s="193">
        <f ca="1">+AB26/(S26/100)</f>
        <v>7.4004572563301965E-2</v>
      </c>
      <c r="AD26" s="193">
        <f ca="1">1-AC26</f>
        <v>0.92599542743669805</v>
      </c>
      <c r="AE26" s="194">
        <f ca="1">expenses/(AD26)</f>
        <v>739452.89545915043</v>
      </c>
      <c r="AF26" s="195">
        <f ca="1">+AE26-Revenue</f>
        <v>110832.89545915043</v>
      </c>
      <c r="AG26" s="196">
        <f ca="1">+AF26/$J$49</f>
        <v>122428.09896929711</v>
      </c>
      <c r="AH26" s="196">
        <f ca="1">+AG26*$J$47</f>
        <v>2815.8462762938334</v>
      </c>
      <c r="AI26" s="194">
        <f ca="1">ROUND(+AH26+AE26,5)</f>
        <v>742268.74173999997</v>
      </c>
    </row>
    <row r="27" spans="1:35" ht="15.6">
      <c r="A27" s="154"/>
      <c r="B27" s="154"/>
      <c r="C27" s="154"/>
      <c r="D27" s="154"/>
      <c r="E27" s="154"/>
      <c r="F27" s="208">
        <f t="shared" si="6"/>
        <v>21</v>
      </c>
      <c r="H27" s="198" t="s">
        <v>558</v>
      </c>
      <c r="I27" s="245">
        <v>0.4</v>
      </c>
      <c r="J27" s="247">
        <f>Investment*debtP</f>
        <v>97052.315288888873</v>
      </c>
      <c r="K27" s="221">
        <f>IF(A65=TRUE,C9,0)</f>
        <v>0.05</v>
      </c>
      <c r="L27" s="245">
        <f>+K27*I27</f>
        <v>2.0000000000000004E-2</v>
      </c>
      <c r="M27" s="199">
        <f>+K27*J27</f>
        <v>4852.6157644444438</v>
      </c>
      <c r="O27" s="154"/>
      <c r="P27" s="154"/>
      <c r="R27" s="200">
        <v>2</v>
      </c>
      <c r="S27" s="201">
        <f ca="1">AI22/Investment*100</f>
        <v>305.51812436971971</v>
      </c>
      <c r="T27" s="215">
        <f ca="1">EXP(y_inter2-(slope*LN(+S27)))</f>
        <v>6.0273294540640556</v>
      </c>
      <c r="U27" s="203">
        <f ca="1">(+S27*T27/100)/100</f>
        <v>0.18414583897640172</v>
      </c>
      <c r="V27" s="203">
        <f>regDebt_weighted</f>
        <v>3.5860000000000003E-2</v>
      </c>
      <c r="W27" s="203">
        <f ca="1">+U27-V27</f>
        <v>0.14828583897640171</v>
      </c>
      <c r="X27" s="203">
        <f ca="1">+((W27*(1-0.34))-Pfd_weighted)/Equity_percent</f>
        <v>0.26650771431518933</v>
      </c>
      <c r="Y27" s="203">
        <f ca="1">+X27*equityP</f>
        <v>0.15990462858911358</v>
      </c>
      <c r="Z27" s="203">
        <f ca="1">+Y27/(1-taxrate)</f>
        <v>0.20241092226470073</v>
      </c>
      <c r="AA27" s="203">
        <f>debtP*Debt_Rate</f>
        <v>2.0000000000000004E-2</v>
      </c>
      <c r="AB27" s="203">
        <f ca="1">+AA27+Z27</f>
        <v>0.22241092226470072</v>
      </c>
      <c r="AC27" s="203">
        <f ca="1">+AB27/(S27/100)</f>
        <v>7.279794700348198E-2</v>
      </c>
      <c r="AD27" s="203">
        <f ca="1">1-AC27</f>
        <v>0.92720205299651803</v>
      </c>
      <c r="AE27" s="204">
        <f ca="1">expenses/(AD27)</f>
        <v>738490.59952693118</v>
      </c>
      <c r="AF27" s="205">
        <f ca="1">+AE27-Revenue</f>
        <v>109870.59952693118</v>
      </c>
      <c r="AG27" s="206">
        <f ca="1">+AF27/$J$49</f>
        <v>121365.12880020222</v>
      </c>
      <c r="AH27" s="206">
        <f ca="1">+AG27*$J$47</f>
        <v>2791.397962404651</v>
      </c>
      <c r="AI27" s="204">
        <f t="shared" ref="AI27:AI29" ca="1" si="10">ROUND(+AH27+AE27,5)</f>
        <v>741281.99748999998</v>
      </c>
    </row>
    <row r="28" spans="1:35" ht="16.2" thickBot="1">
      <c r="A28" s="154"/>
      <c r="B28" s="154"/>
      <c r="C28" s="154"/>
      <c r="D28" s="154"/>
      <c r="E28" s="154"/>
      <c r="F28" s="208">
        <f t="shared" si="6"/>
        <v>22</v>
      </c>
      <c r="H28" s="198" t="s">
        <v>606</v>
      </c>
      <c r="I28" s="248">
        <f>SUM(I26:I27)</f>
        <v>1</v>
      </c>
      <c r="J28" s="249">
        <f>IF(A65=TRUE,C7,0)</f>
        <v>242630.78822222218</v>
      </c>
      <c r="K28" s="250"/>
      <c r="L28" s="251">
        <f ca="1">SUM(L26:L27)</f>
        <v>0.17712390909895481</v>
      </c>
      <c r="M28" s="249">
        <f ca="1">SUM(M26:M27)</f>
        <v>42975.713677680644</v>
      </c>
      <c r="O28" s="154"/>
      <c r="P28" s="154"/>
      <c r="R28" s="209">
        <v>3</v>
      </c>
      <c r="S28" s="201">
        <f ca="1">AI23/Investment*100</f>
        <v>305.24433124772253</v>
      </c>
      <c r="T28" s="202">
        <f ca="1">EXP(y_inter3-(slope*LN(S28)))</f>
        <v>5.9723888421506643</v>
      </c>
      <c r="U28" s="203">
        <f ca="1">(+S28*T28/100)/100</f>
        <v>0.18230378380736392</v>
      </c>
      <c r="V28" s="203">
        <f>regDebt_weighted</f>
        <v>3.5860000000000003E-2</v>
      </c>
      <c r="W28" s="203">
        <f ca="1">+U28-V28</f>
        <v>0.14644378380736392</v>
      </c>
      <c r="X28" s="203">
        <f ca="1">+((W28*(1-0.34))-Pfd_weighted)/Equity_percent</f>
        <v>0.26297353870017492</v>
      </c>
      <c r="Y28" s="203">
        <f ca="1">+X28*equityP</f>
        <v>0.15778412322010496</v>
      </c>
      <c r="Z28" s="203">
        <f ca="1">+Y28/(1-taxrate)</f>
        <v>0.1997267382532974</v>
      </c>
      <c r="AA28" s="203">
        <f>debtP*Debt_Rate</f>
        <v>2.0000000000000004E-2</v>
      </c>
      <c r="AB28" s="203">
        <f ca="1">+AA28+Z28</f>
        <v>0.21972673825329742</v>
      </c>
      <c r="AC28" s="203">
        <f ca="1">+AB28/(S28/100)</f>
        <v>7.1983888236396801E-2</v>
      </c>
      <c r="AD28" s="203">
        <f ca="1">1-AC28</f>
        <v>0.92801611176360321</v>
      </c>
      <c r="AE28" s="204">
        <f ca="1">expenses/(AD28)</f>
        <v>737842.79315877182</v>
      </c>
      <c r="AF28" s="205">
        <f ca="1">+AE28-Revenue</f>
        <v>109222.79315877182</v>
      </c>
      <c r="AG28" s="206">
        <f ca="1">+AF28/$J$49</f>
        <v>120649.54971309638</v>
      </c>
      <c r="AH28" s="206">
        <f ca="1">+AG28*$J$47</f>
        <v>2774.9396434012165</v>
      </c>
      <c r="AI28" s="204">
        <f t="shared" ca="1" si="10"/>
        <v>740617.7328</v>
      </c>
    </row>
    <row r="29" spans="1:35" ht="16.2" thickTop="1">
      <c r="A29" s="154"/>
      <c r="B29" s="154"/>
      <c r="C29" s="154"/>
      <c r="D29" s="154"/>
      <c r="E29" s="154"/>
      <c r="F29" s="208">
        <f t="shared" si="6"/>
        <v>23</v>
      </c>
      <c r="G29" s="169"/>
      <c r="H29" s="169"/>
      <c r="I29" s="169"/>
      <c r="J29" s="169"/>
      <c r="K29" s="169"/>
      <c r="L29" s="169"/>
      <c r="M29" s="169"/>
      <c r="N29" s="169"/>
      <c r="O29" s="154"/>
      <c r="P29" s="154"/>
      <c r="R29" s="212">
        <v>4</v>
      </c>
      <c r="S29" s="201">
        <f ca="1">AI24/Investment*100</f>
        <v>305.06926907893831</v>
      </c>
      <c r="T29" s="218">
        <f ca="1">EXP(y_inter4-(slope*LN(S29)))</f>
        <v>5.9372092268202463</v>
      </c>
      <c r="U29" s="203">
        <f ca="1">(+S29*T29/100)/100</f>
        <v>0.18112600791947808</v>
      </c>
      <c r="V29" s="203">
        <f>regDebt_weighted</f>
        <v>3.5860000000000003E-2</v>
      </c>
      <c r="W29" s="203">
        <f ca="1">+U29-V29</f>
        <v>0.14526600791947808</v>
      </c>
      <c r="X29" s="203">
        <f ca="1">+((W29*(1-0.34))-Pfd_weighted)/Equity_percent</f>
        <v>0.26071385240364975</v>
      </c>
      <c r="Y29" s="203">
        <f ca="1">+X29*equityP</f>
        <v>0.15642831144218985</v>
      </c>
      <c r="Z29" s="203">
        <f ca="1">+Y29/(1-taxrate)</f>
        <v>0.19801052081289855</v>
      </c>
      <c r="AA29" s="203">
        <f>debtP*Debt_Rate</f>
        <v>2.0000000000000004E-2</v>
      </c>
      <c r="AB29" s="203">
        <f ca="1">+AA29+Z29</f>
        <v>0.21801052081289857</v>
      </c>
      <c r="AC29" s="203">
        <f ca="1">+AB29/(S29/100)</f>
        <v>7.1462629281249287E-2</v>
      </c>
      <c r="AD29" s="203">
        <f ca="1">1-AC29</f>
        <v>0.92853737071875075</v>
      </c>
      <c r="AE29" s="204">
        <f ca="1">expenses/(AD29)</f>
        <v>737428.58563675545</v>
      </c>
      <c r="AF29" s="205">
        <f ca="1">+AE29-Revenue</f>
        <v>108808.58563675545</v>
      </c>
      <c r="AG29" s="206">
        <f ca="1">+AF29/$J$49</f>
        <v>120192.00830096267</v>
      </c>
      <c r="AH29" s="206">
        <f ca="1">+AG29*$J$47</f>
        <v>2764.4161909221411</v>
      </c>
      <c r="AI29" s="204">
        <f t="shared" ca="1" si="10"/>
        <v>740193.00182999996</v>
      </c>
    </row>
    <row r="30" spans="1:35" ht="15.6">
      <c r="A30" s="154"/>
      <c r="B30" s="154"/>
      <c r="C30" s="154"/>
      <c r="D30" s="154"/>
      <c r="E30" s="154"/>
      <c r="F30" s="208">
        <f t="shared" si="6"/>
        <v>24</v>
      </c>
      <c r="G30" s="169"/>
      <c r="H30" s="169"/>
      <c r="I30" s="169"/>
      <c r="J30" s="252" t="s">
        <v>607</v>
      </c>
      <c r="K30" s="252" t="s">
        <v>608</v>
      </c>
      <c r="L30" s="169"/>
      <c r="M30" s="169"/>
      <c r="N30" s="169"/>
      <c r="O30" s="154"/>
      <c r="P30" s="154"/>
      <c r="R30" s="171" t="s">
        <v>609</v>
      </c>
      <c r="W30" s="243"/>
      <c r="X30" s="244"/>
      <c r="Y30" s="202"/>
      <c r="Z30" s="202"/>
      <c r="AA30" s="244"/>
      <c r="AC30" s="244"/>
      <c r="AD30" s="244"/>
      <c r="AE30" s="202"/>
      <c r="AF30" s="243"/>
      <c r="AH30" s="202"/>
    </row>
    <row r="31" spans="1:35" ht="15.6">
      <c r="A31" s="154"/>
      <c r="B31" s="154"/>
      <c r="C31" s="154"/>
      <c r="D31" s="154"/>
      <c r="E31" s="154"/>
      <c r="F31" s="208">
        <f t="shared" si="6"/>
        <v>25</v>
      </c>
      <c r="G31" s="169"/>
      <c r="H31" s="253" t="s">
        <v>610</v>
      </c>
      <c r="I31" s="254"/>
      <c r="J31" s="255" t="s">
        <v>611</v>
      </c>
      <c r="K31" s="255" t="s">
        <v>611</v>
      </c>
      <c r="L31" s="169"/>
      <c r="M31" s="169"/>
      <c r="N31" s="169"/>
      <c r="O31" s="154"/>
      <c r="P31" s="154"/>
      <c r="R31" s="190">
        <v>1</v>
      </c>
      <c r="S31" s="191">
        <f ca="1">AI26/Investment*100</f>
        <v>305.92520725777234</v>
      </c>
      <c r="T31" s="192">
        <f ca="1">EXP(y_inter1-(slope*LN(+S31)))</f>
        <v>6.1087593298335205</v>
      </c>
      <c r="U31" s="193">
        <f ca="1">(+S31*T31/100)/100</f>
        <v>0.18688234640671703</v>
      </c>
      <c r="V31" s="193">
        <f>regDebt_weighted</f>
        <v>3.5860000000000003E-2</v>
      </c>
      <c r="W31" s="193">
        <f ca="1">+U31-V31</f>
        <v>0.15102234640671702</v>
      </c>
      <c r="X31" s="193">
        <f ca="1">+((W31*(1-0.34))-Pfd_weighted)/Equity_percent</f>
        <v>0.27175799019893382</v>
      </c>
      <c r="Y31" s="193">
        <f ca="1">+X31*equityP</f>
        <v>0.16305479411936027</v>
      </c>
      <c r="Z31" s="193">
        <f ca="1">+Y31/(1-taxrate)</f>
        <v>0.20639847356881047</v>
      </c>
      <c r="AA31" s="193">
        <f>debtP*Debt_Rate</f>
        <v>2.0000000000000004E-2</v>
      </c>
      <c r="AB31" s="193">
        <f ca="1">+AA31+Z31</f>
        <v>0.22639847356881049</v>
      </c>
      <c r="AC31" s="193">
        <f ca="1">+AB31/(S31/100)</f>
        <v>7.4004517508767201E-2</v>
      </c>
      <c r="AD31" s="193">
        <f ca="1">1-AC31</f>
        <v>0.92599548249123276</v>
      </c>
      <c r="AE31" s="194">
        <f ca="1">expenses/(AD31)</f>
        <v>739452.85149539914</v>
      </c>
      <c r="AF31" s="195">
        <f ca="1">+AE31-Revenue</f>
        <v>110832.85149539914</v>
      </c>
      <c r="AG31" s="196">
        <f ca="1">+AF31/$J$49</f>
        <v>122428.05040611132</v>
      </c>
      <c r="AH31" s="196">
        <f ca="1">+AG31*$J$47</f>
        <v>2815.8451593405603</v>
      </c>
      <c r="AI31" s="194">
        <f ca="1">ROUND(+AH31+AE31,5)</f>
        <v>742268.69665000006</v>
      </c>
    </row>
    <row r="32" spans="1:35" ht="15.6">
      <c r="A32" s="154"/>
      <c r="B32" s="154"/>
      <c r="C32" s="154"/>
      <c r="D32" s="154"/>
      <c r="E32" s="154"/>
      <c r="F32" s="208">
        <f t="shared" si="6"/>
        <v>26</v>
      </c>
      <c r="G32" s="169"/>
      <c r="H32" s="181"/>
      <c r="I32" s="181"/>
      <c r="J32" s="181"/>
      <c r="K32" s="181"/>
      <c r="L32" s="169"/>
      <c r="M32" s="169"/>
      <c r="N32" s="169"/>
      <c r="O32" s="154"/>
      <c r="P32" s="154"/>
      <c r="R32" s="200">
        <v>2</v>
      </c>
      <c r="S32" s="201">
        <f ca="1">AI27/Investment*100</f>
        <v>305.51852175127505</v>
      </c>
      <c r="T32" s="215">
        <f ca="1">EXP(y_inter2-(slope*LN(+S32)))</f>
        <v>6.0273240943489634</v>
      </c>
      <c r="U32" s="203">
        <f ca="1">(+S32*T32/100)/100</f>
        <v>0.18414591474213382</v>
      </c>
      <c r="V32" s="203">
        <f>regDebt_weighted</f>
        <v>3.5860000000000003E-2</v>
      </c>
      <c r="W32" s="203">
        <f ca="1">+U32-V32</f>
        <v>0.14828591474213382</v>
      </c>
      <c r="X32" s="203">
        <f ca="1">+((W32*(1-0.34))-Pfd_weighted)/Equity_percent</f>
        <v>0.26650785967967533</v>
      </c>
      <c r="Y32" s="203">
        <f ca="1">+X32*equityP</f>
        <v>0.15990471580780519</v>
      </c>
      <c r="Z32" s="203">
        <f ca="1">+Y32/(1-taxrate)</f>
        <v>0.20241103266810781</v>
      </c>
      <c r="AA32" s="203">
        <f>debtP*Debt_Rate</f>
        <v>2.0000000000000004E-2</v>
      </c>
      <c r="AB32" s="203">
        <f ca="1">+AA32+Z32</f>
        <v>0.2224110326681078</v>
      </c>
      <c r="AC32" s="203">
        <f ca="1">+AB32/(S32/100)</f>
        <v>7.2797888453117854E-2</v>
      </c>
      <c r="AD32" s="203">
        <f ca="1">1-AC32</f>
        <v>0.92720211154688215</v>
      </c>
      <c r="AE32" s="204">
        <f ca="1">expenses/(AD32)</f>
        <v>738490.55289320054</v>
      </c>
      <c r="AF32" s="205">
        <f ca="1">+AE32-Revenue</f>
        <v>109870.55289320054</v>
      </c>
      <c r="AG32" s="206">
        <f ca="1">+AF32/$J$49</f>
        <v>121365.07728770706</v>
      </c>
      <c r="AH32" s="206">
        <f ca="1">+AG32*$J$47</f>
        <v>2791.3967776172622</v>
      </c>
      <c r="AI32" s="204">
        <f t="shared" ref="AI32:AI34" ca="1" si="11">ROUND(+AH32+AE32,5)</f>
        <v>741281.94967</v>
      </c>
    </row>
    <row r="33" spans="1:46" ht="15.6">
      <c r="A33" s="154"/>
      <c r="B33" s="154"/>
      <c r="C33" s="154"/>
      <c r="D33" s="154"/>
      <c r="E33" s="154"/>
      <c r="F33" s="208">
        <f t="shared" si="6"/>
        <v>27</v>
      </c>
      <c r="G33" s="169"/>
      <c r="H33" s="181" t="s">
        <v>612</v>
      </c>
      <c r="I33" s="181"/>
      <c r="J33" s="256">
        <f ca="1">+K9/J28</f>
        <v>0.21889102417589221</v>
      </c>
      <c r="K33" s="256">
        <f ca="1">+(M14+M11)/J28</f>
        <v>0.17712390909895484</v>
      </c>
      <c r="L33" s="169"/>
      <c r="M33" s="169"/>
      <c r="N33" s="169"/>
      <c r="O33" s="154"/>
      <c r="P33" s="154"/>
      <c r="R33" s="209">
        <v>3</v>
      </c>
      <c r="S33" s="201">
        <f ca="1">AI28/Investment*100</f>
        <v>305.24474582412779</v>
      </c>
      <c r="T33" s="202">
        <f ca="1">EXP(y_inter3-(slope*LN(S33)))</f>
        <v>5.9723832965182906</v>
      </c>
      <c r="U33" s="203">
        <f ca="1">(+S33*T33/100)/100</f>
        <v>0.18230386213099919</v>
      </c>
      <c r="V33" s="203">
        <f>regDebt_weighted</f>
        <v>3.5860000000000003E-2</v>
      </c>
      <c r="W33" s="203">
        <f ca="1">+U33-V33</f>
        <v>0.14644386213099919</v>
      </c>
      <c r="X33" s="203">
        <f ca="1">+((W33*(1-0.34))-Pfd_weighted)/Equity_percent</f>
        <v>0.26297368897226586</v>
      </c>
      <c r="Y33" s="203">
        <f ca="1">+X33*equityP</f>
        <v>0.15778421338335952</v>
      </c>
      <c r="Z33" s="203">
        <f ca="1">+Y33/(1-taxrate)</f>
        <v>0.19972685238399937</v>
      </c>
      <c r="AA33" s="203">
        <f>debtP*Debt_Rate</f>
        <v>2.0000000000000004E-2</v>
      </c>
      <c r="AB33" s="203">
        <f ca="1">+AA33+Z33</f>
        <v>0.21972685238399936</v>
      </c>
      <c r="AC33" s="203">
        <f ca="1">+AB33/(S33/100)</f>
        <v>7.1983827859431498E-2</v>
      </c>
      <c r="AD33" s="203">
        <f ca="1">1-AC33</f>
        <v>0.92801617214056853</v>
      </c>
      <c r="AE33" s="204">
        <f ca="1">expenses/(AD33)</f>
        <v>737842.74515453435</v>
      </c>
      <c r="AF33" s="205">
        <f ca="1">+AE33-Revenue</f>
        <v>109222.74515453435</v>
      </c>
      <c r="AG33" s="206">
        <f ca="1">+AF33/$J$49</f>
        <v>120649.49668671362</v>
      </c>
      <c r="AH33" s="206">
        <f ca="1">+AG33*$J$47</f>
        <v>2774.9384237944132</v>
      </c>
      <c r="AI33" s="204">
        <f t="shared" ca="1" si="11"/>
        <v>740617.68357999995</v>
      </c>
    </row>
    <row r="34" spans="1:46" ht="15.6">
      <c r="A34" s="154"/>
      <c r="B34" s="154"/>
      <c r="C34" s="154"/>
      <c r="D34" s="154"/>
      <c r="E34" s="154"/>
      <c r="F34" s="208">
        <f t="shared" si="6"/>
        <v>28</v>
      </c>
      <c r="G34" s="169"/>
      <c r="H34" s="181" t="s">
        <v>613</v>
      </c>
      <c r="I34" s="181"/>
      <c r="J34" s="256">
        <f ca="1">+(M9-M11)/J26</f>
        <v>0.33148504029315362</v>
      </c>
      <c r="K34" s="256">
        <f ca="1">+M14/J26</f>
        <v>0.26187318183159136</v>
      </c>
      <c r="L34" s="169"/>
      <c r="M34" s="169"/>
      <c r="N34" s="169"/>
      <c r="O34" s="257"/>
      <c r="P34" s="154"/>
      <c r="R34" s="212">
        <v>4</v>
      </c>
      <c r="S34" s="201">
        <f ca="1">AI29/Investment*100</f>
        <v>305.0696934438788</v>
      </c>
      <c r="T34" s="218">
        <f ca="1">EXP(y_inter4-(slope*LN(S34)))</f>
        <v>5.9372035804493377</v>
      </c>
      <c r="U34" s="203">
        <f ca="1">(+S34*T34/100)/100</f>
        <v>0.18112608762015792</v>
      </c>
      <c r="V34" s="203">
        <f>regDebt_weighted</f>
        <v>3.5860000000000003E-2</v>
      </c>
      <c r="W34" s="203">
        <f ca="1">+U34-V34</f>
        <v>0.14526608762015791</v>
      </c>
      <c r="X34" s="203">
        <f ca="1">+((W34*(1-0.34))-Pfd_weighted)/Equity_percent</f>
        <v>0.2607140053177448</v>
      </c>
      <c r="Y34" s="203">
        <f ca="1">+X34*equityP</f>
        <v>0.15642840319064688</v>
      </c>
      <c r="Z34" s="203">
        <f ca="1">+Y34/(1-taxrate)</f>
        <v>0.19801063695018592</v>
      </c>
      <c r="AA34" s="203">
        <f>debtP*Debt_Rate</f>
        <v>2.0000000000000004E-2</v>
      </c>
      <c r="AB34" s="203">
        <f ca="1">+AA34+Z34</f>
        <v>0.21801063695018591</v>
      </c>
      <c r="AC34" s="203">
        <f ca="1">+AB34/(S34/100)</f>
        <v>7.1462567942787658E-2</v>
      </c>
      <c r="AD34" s="203">
        <f ca="1">1-AC34</f>
        <v>0.9285374320572124</v>
      </c>
      <c r="AE34" s="204">
        <f ca="1">expenses/(AD34)</f>
        <v>737428.5369227957</v>
      </c>
      <c r="AF34" s="205">
        <f ca="1">+AE34-Revenue</f>
        <v>108808.5369227957</v>
      </c>
      <c r="AG34" s="206">
        <f ca="1">+AF34/$J$49</f>
        <v>120191.95449060736</v>
      </c>
      <c r="AH34" s="206">
        <f ca="1">+AG34*$J$47</f>
        <v>2764.4149532839692</v>
      </c>
      <c r="AI34" s="204">
        <f t="shared" ca="1" si="11"/>
        <v>740192.95187999995</v>
      </c>
    </row>
    <row r="35" spans="1:46" ht="15.6">
      <c r="A35" s="154"/>
      <c r="B35" s="154"/>
      <c r="C35" s="154"/>
      <c r="D35" s="154"/>
      <c r="E35" s="154"/>
      <c r="F35" s="208">
        <f t="shared" si="6"/>
        <v>29</v>
      </c>
      <c r="G35" s="169"/>
      <c r="H35" s="258" t="s">
        <v>560</v>
      </c>
      <c r="I35" s="181"/>
      <c r="J35" s="256">
        <f ca="1">+K8/K7</f>
        <v>0.92801999999999996</v>
      </c>
      <c r="K35" s="256">
        <f ca="1">+M8/M7</f>
        <v>0.9282896875164699</v>
      </c>
      <c r="L35" s="169"/>
      <c r="M35" s="169"/>
      <c r="N35" s="169"/>
      <c r="O35" s="154"/>
      <c r="P35" s="154"/>
      <c r="R35" s="171" t="s">
        <v>614</v>
      </c>
      <c r="X35" s="244"/>
      <c r="Y35" s="259"/>
      <c r="Z35" s="202"/>
      <c r="AA35" s="244"/>
      <c r="AC35" s="244"/>
      <c r="AD35" s="244"/>
      <c r="AE35" s="202"/>
      <c r="AF35" s="243"/>
      <c r="AH35" s="202"/>
    </row>
    <row r="36" spans="1:46" ht="15.6">
      <c r="A36" s="154"/>
      <c r="B36" s="154"/>
      <c r="C36" s="154"/>
      <c r="D36" s="154"/>
      <c r="E36" s="154"/>
      <c r="F36" s="208">
        <f t="shared" si="6"/>
        <v>30</v>
      </c>
      <c r="G36" s="169"/>
      <c r="H36" s="181" t="s">
        <v>615</v>
      </c>
      <c r="I36" s="181"/>
      <c r="J36" s="256">
        <f ca="1">+K9/K7</f>
        <v>7.1980000000000086E-2</v>
      </c>
      <c r="K36" s="256">
        <f ca="1">+J36</f>
        <v>7.1980000000000086E-2</v>
      </c>
      <c r="L36" s="169"/>
      <c r="M36" s="169"/>
      <c r="N36" s="169"/>
      <c r="O36" s="154"/>
      <c r="P36" s="154"/>
      <c r="R36" s="190">
        <v>1</v>
      </c>
      <c r="S36" s="191">
        <f ca="1">AI31/Investment*100</f>
        <v>305.92518867398087</v>
      </c>
      <c r="T36" s="192">
        <f ca="1">EXP(y_inter1-(slope*LN(+S36)))</f>
        <v>6.1087595835324429</v>
      </c>
      <c r="U36" s="193">
        <f ca="1">(+S36*T36/100)/100</f>
        <v>0.18688234281561514</v>
      </c>
      <c r="V36" s="193">
        <f>regDebt_weighted</f>
        <v>3.5860000000000003E-2</v>
      </c>
      <c r="W36" s="193">
        <f ca="1">+U36-V36</f>
        <v>0.15102234281561513</v>
      </c>
      <c r="X36" s="193">
        <f ca="1">+((W36*(1-0.34))-Pfd_weighted)/Equity_percent</f>
        <v>0.27175798330902906</v>
      </c>
      <c r="Y36" s="193">
        <f ca="1">+X36*equityP</f>
        <v>0.16305478998541742</v>
      </c>
      <c r="Z36" s="193">
        <f ca="1">+Y36/(1-taxrate)</f>
        <v>0.20639846833597142</v>
      </c>
      <c r="AA36" s="193">
        <f>debtP*Debt_Rate</f>
        <v>2.0000000000000004E-2</v>
      </c>
      <c r="AB36" s="193">
        <f ca="1">+AA36+Z36</f>
        <v>0.22639846833597144</v>
      </c>
      <c r="AC36" s="193">
        <f ca="1">+AB36/(S36/100)</f>
        <v>7.4004520293763823E-2</v>
      </c>
      <c r="AD36" s="193">
        <f ca="1">1-AC36</f>
        <v>0.92599547970623619</v>
      </c>
      <c r="AE36" s="194">
        <f ca="1">expenses/(AD36)</f>
        <v>739452.85371935565</v>
      </c>
      <c r="AF36" s="195">
        <f ca="1">+AE36-Revenue</f>
        <v>110832.85371935565</v>
      </c>
      <c r="AG36" s="196">
        <f ca="1">+AF36/$J$49</f>
        <v>122428.05286273548</v>
      </c>
      <c r="AH36" s="196">
        <f ca="1">+AG36*$J$47</f>
        <v>2815.8452158429159</v>
      </c>
      <c r="AI36" s="194">
        <f ca="1">ROUND(+AH36+AE36,5)</f>
        <v>742268.69894000003</v>
      </c>
    </row>
    <row r="37" spans="1:46" ht="15.6">
      <c r="A37" s="154"/>
      <c r="B37" s="154"/>
      <c r="C37" s="154"/>
      <c r="D37" s="154"/>
      <c r="E37" s="154"/>
      <c r="F37" s="208">
        <f t="shared" si="6"/>
        <v>31</v>
      </c>
      <c r="G37" s="169"/>
      <c r="H37" s="181" t="s">
        <v>616</v>
      </c>
      <c r="I37" s="260"/>
      <c r="J37" s="261">
        <f ca="1">+S39/100</f>
        <v>3.0506967285704381</v>
      </c>
      <c r="K37" s="261">
        <f ca="1">+J37</f>
        <v>3.0506967285704381</v>
      </c>
      <c r="L37" s="169"/>
      <c r="M37" s="169"/>
      <c r="N37" s="169"/>
      <c r="O37" s="154"/>
      <c r="P37" s="154"/>
      <c r="R37" s="200">
        <v>2</v>
      </c>
      <c r="S37" s="201">
        <f ca="1">AI32/Investment*100</f>
        <v>305.51850204231715</v>
      </c>
      <c r="T37" s="215">
        <f ca="1">EXP(y_inter2-(slope*LN(+S37)))</f>
        <v>6.027324360174811</v>
      </c>
      <c r="U37" s="203">
        <f ca="1">(+S37*T37/100)/100</f>
        <v>0.18414591098437758</v>
      </c>
      <c r="V37" s="203">
        <f>regDebt_weighted</f>
        <v>3.5860000000000003E-2</v>
      </c>
      <c r="W37" s="203">
        <f ca="1">+U37-V37</f>
        <v>0.14828591098437757</v>
      </c>
      <c r="X37" s="203">
        <f ca="1">+((W37*(1-0.34))-Pfd_weighted)/Equity_percent</f>
        <v>0.26650785247002673</v>
      </c>
      <c r="Y37" s="203">
        <f ca="1">+X37*equityP</f>
        <v>0.15990471148201604</v>
      </c>
      <c r="Z37" s="203">
        <f ca="1">+Y37/(1-taxrate)</f>
        <v>0.20241102719242537</v>
      </c>
      <c r="AA37" s="203">
        <f>debtP*Debt_Rate</f>
        <v>2.0000000000000004E-2</v>
      </c>
      <c r="AB37" s="203">
        <f ca="1">+AA37+Z37</f>
        <v>0.22241102719242539</v>
      </c>
      <c r="AC37" s="203">
        <f ca="1">+AB37/(S37/100)</f>
        <v>7.2797891357041095E-2</v>
      </c>
      <c r="AD37" s="203">
        <f ca="1">1-AC37</f>
        <v>0.92720210864295893</v>
      </c>
      <c r="AE37" s="204">
        <f ca="1">expenses/(AD37)</f>
        <v>738490.55520609417</v>
      </c>
      <c r="AF37" s="205">
        <f ca="1">+AE37-Revenue</f>
        <v>109870.55520609417</v>
      </c>
      <c r="AG37" s="206">
        <f ca="1">+AF37/$J$49</f>
        <v>121365.07984257283</v>
      </c>
      <c r="AH37" s="206">
        <f ca="1">+AG37*$J$47</f>
        <v>2791.3968363791751</v>
      </c>
      <c r="AI37" s="204">
        <f t="shared" ref="AI37:AI39" ca="1" si="12">ROUND(+AH37+AE37,5)</f>
        <v>741281.95204</v>
      </c>
    </row>
    <row r="38" spans="1:46" ht="15.6">
      <c r="A38" s="154"/>
      <c r="B38" s="154"/>
      <c r="C38" s="154"/>
      <c r="D38" s="154"/>
      <c r="E38" s="154"/>
      <c r="F38" s="208">
        <f t="shared" si="6"/>
        <v>32</v>
      </c>
      <c r="G38" s="169"/>
      <c r="H38" s="181" t="s">
        <v>617</v>
      </c>
      <c r="I38" s="169"/>
      <c r="J38" s="256">
        <f>+C10</f>
        <v>0.21</v>
      </c>
      <c r="K38" s="256">
        <f>+J38</f>
        <v>0.21</v>
      </c>
      <c r="L38" s="169"/>
      <c r="M38" s="169"/>
      <c r="N38" s="169"/>
      <c r="O38" s="154"/>
      <c r="P38" s="154"/>
      <c r="Q38" s="262"/>
      <c r="R38" s="209">
        <v>3</v>
      </c>
      <c r="S38" s="201">
        <f ca="1">AI33/Investment*100</f>
        <v>305.2447255381615</v>
      </c>
      <c r="T38" s="202">
        <f ca="1">EXP(y_inter3-(slope*LN(S38)))</f>
        <v>5.972383567875724</v>
      </c>
      <c r="U38" s="203">
        <f ca="1">(+S38*T38/100)/100</f>
        <v>0.18230385829848511</v>
      </c>
      <c r="V38" s="203">
        <f>regDebt_weighted</f>
        <v>3.5860000000000003E-2</v>
      </c>
      <c r="W38" s="203">
        <f ca="1">+U38-V38</f>
        <v>0.14644385829848511</v>
      </c>
      <c r="X38" s="203">
        <f ca="1">+((W38*(1-0.34))-Pfd_weighted)/Equity_percent</f>
        <v>0.26297368161918655</v>
      </c>
      <c r="Y38" s="203">
        <f ca="1">+X38*equityP</f>
        <v>0.15778420897151194</v>
      </c>
      <c r="Z38" s="203">
        <f ca="1">+Y38/(1-taxrate)</f>
        <v>0.19972684679938218</v>
      </c>
      <c r="AA38" s="203">
        <f>debtP*Debt_Rate</f>
        <v>2.0000000000000004E-2</v>
      </c>
      <c r="AB38" s="203">
        <f ca="1">+AA38+Z38</f>
        <v>0.2197268467993822</v>
      </c>
      <c r="AC38" s="203">
        <f ca="1">+AB38/(S38/100)</f>
        <v>7.198383081378161E-2</v>
      </c>
      <c r="AD38" s="203">
        <f ca="1">1-AC38</f>
        <v>0.92801616918621843</v>
      </c>
      <c r="AE38" s="204">
        <f ca="1">expenses/(AD38)</f>
        <v>737842.74750346516</v>
      </c>
      <c r="AF38" s="205">
        <f ca="1">+AE38-Revenue</f>
        <v>109222.74750346516</v>
      </c>
      <c r="AG38" s="206">
        <f ca="1">+AF38/$J$49</f>
        <v>120649.49928138674</v>
      </c>
      <c r="AH38" s="206">
        <f ca="1">+AG38*$J$47</f>
        <v>2774.9384834718949</v>
      </c>
      <c r="AI38" s="204">
        <f t="shared" ca="1" si="12"/>
        <v>740617.68599000003</v>
      </c>
    </row>
    <row r="39" spans="1:46" ht="15.6">
      <c r="A39" s="154"/>
      <c r="B39" s="154"/>
      <c r="C39" s="154"/>
      <c r="D39" s="154"/>
      <c r="E39" s="154"/>
      <c r="F39" s="208">
        <f t="shared" si="6"/>
        <v>33</v>
      </c>
      <c r="G39" s="169"/>
      <c r="H39" s="169"/>
      <c r="I39" s="169"/>
      <c r="J39" s="169"/>
      <c r="K39" s="169"/>
      <c r="L39" s="169"/>
      <c r="M39" s="169"/>
      <c r="N39" s="169"/>
      <c r="O39" s="154"/>
      <c r="P39" s="154"/>
      <c r="R39" s="212">
        <v>4</v>
      </c>
      <c r="S39" s="201">
        <f ca="1">AI34/Investment*100</f>
        <v>305.06967285704383</v>
      </c>
      <c r="T39" s="218">
        <f ca="1">EXP(y_inter4-(slope*LN(S39)))</f>
        <v>5.9372038543663486</v>
      </c>
      <c r="U39" s="203">
        <f ca="1">(+S39*T39/100)/100</f>
        <v>0.18112608375371217</v>
      </c>
      <c r="V39" s="203">
        <f>regDebt_weighted</f>
        <v>3.5860000000000003E-2</v>
      </c>
      <c r="W39" s="203">
        <f ca="1">+U39-V39</f>
        <v>0.14526608375371217</v>
      </c>
      <c r="X39" s="203">
        <f ca="1">+((W39*(1-0.34))-Pfd_weighted)/Equity_percent</f>
        <v>0.26071399789956401</v>
      </c>
      <c r="Y39" s="203">
        <f ca="1">+X39*equityP</f>
        <v>0.15642839873973841</v>
      </c>
      <c r="Z39" s="203">
        <f ca="1">+Y39/(1-taxrate)</f>
        <v>0.19801063131612456</v>
      </c>
      <c r="AA39" s="203">
        <f>debtP*Debt_Rate</f>
        <v>2.0000000000000004E-2</v>
      </c>
      <c r="AB39" s="203">
        <f ca="1">+AA39+Z39</f>
        <v>0.21801063131612458</v>
      </c>
      <c r="AC39" s="203">
        <f ca="1">+AB39/(S39/100)</f>
        <v>7.1462570918442214E-2</v>
      </c>
      <c r="AD39" s="203">
        <f ca="1">1-AC39</f>
        <v>0.92853742908155779</v>
      </c>
      <c r="AE39" s="204">
        <f ca="1">expenses/(AD39)</f>
        <v>737428.53928600973</v>
      </c>
      <c r="AF39" s="205">
        <f ca="1">+AE39-Revenue</f>
        <v>108808.53928600973</v>
      </c>
      <c r="AG39" s="206">
        <f ca="1">+AF39/$J$49</f>
        <v>120191.95710105798</v>
      </c>
      <c r="AH39" s="206">
        <f ca="1">+AG39*$J$47</f>
        <v>2764.4150133243334</v>
      </c>
      <c r="AI39" s="204">
        <f t="shared" ca="1" si="12"/>
        <v>740192.95429999998</v>
      </c>
    </row>
    <row r="40" spans="1:46" ht="15.6">
      <c r="A40" s="154"/>
      <c r="B40" s="154"/>
      <c r="C40" s="154"/>
      <c r="D40" s="154"/>
      <c r="E40" s="154"/>
      <c r="F40" s="208">
        <f t="shared" si="6"/>
        <v>34</v>
      </c>
      <c r="G40" s="260"/>
      <c r="H40" s="169"/>
      <c r="I40" s="169"/>
      <c r="J40" s="169"/>
      <c r="K40" s="169"/>
      <c r="L40" s="169"/>
      <c r="M40" s="169"/>
      <c r="N40" s="169"/>
      <c r="O40" s="154"/>
      <c r="P40" s="154"/>
      <c r="X40" s="244"/>
      <c r="Y40" s="259"/>
      <c r="Z40" s="202"/>
      <c r="AA40" s="244"/>
      <c r="AC40" s="244"/>
      <c r="AD40" s="244"/>
      <c r="AE40" s="202"/>
      <c r="AF40" s="243"/>
      <c r="AH40" s="202"/>
    </row>
    <row r="41" spans="1:46" ht="15.6">
      <c r="A41" s="154"/>
      <c r="B41" s="154"/>
      <c r="C41" s="154"/>
      <c r="D41" s="154"/>
      <c r="E41" s="154"/>
      <c r="F41" s="208">
        <f t="shared" si="6"/>
        <v>35</v>
      </c>
      <c r="G41" s="169"/>
      <c r="H41" s="253" t="s">
        <v>618</v>
      </c>
      <c r="I41" s="263"/>
      <c r="J41" s="169"/>
      <c r="K41" s="169"/>
      <c r="L41" s="169"/>
      <c r="M41" s="169"/>
      <c r="N41" s="169"/>
      <c r="O41" s="154"/>
      <c r="P41" s="154"/>
      <c r="R41" s="264" t="s">
        <v>619</v>
      </c>
      <c r="S41" s="265"/>
      <c r="T41" s="225"/>
      <c r="U41" s="225"/>
      <c r="V41" s="226"/>
      <c r="X41" s="266"/>
      <c r="Y41" s="259"/>
      <c r="Z41" s="202"/>
      <c r="AA41" s="244"/>
      <c r="AC41" s="244"/>
      <c r="AD41" s="244"/>
      <c r="AE41" s="202"/>
      <c r="AF41" s="243"/>
      <c r="AH41" s="202"/>
    </row>
    <row r="42" spans="1:46" ht="15.6">
      <c r="A42" s="154"/>
      <c r="B42" s="154"/>
      <c r="C42" s="154"/>
      <c r="D42" s="154"/>
      <c r="E42" s="154"/>
      <c r="F42" s="208">
        <f t="shared" si="6"/>
        <v>36</v>
      </c>
      <c r="G42" s="169"/>
      <c r="H42" s="169"/>
      <c r="I42" s="169"/>
      <c r="J42" s="267" t="s">
        <v>620</v>
      </c>
      <c r="K42" s="268" t="s">
        <v>561</v>
      </c>
      <c r="L42" s="169"/>
      <c r="M42" s="169"/>
      <c r="N42" s="169"/>
      <c r="O42" s="154"/>
      <c r="P42" s="154"/>
      <c r="R42" s="269" t="s">
        <v>621</v>
      </c>
      <c r="S42" s="270"/>
      <c r="V42" s="271"/>
      <c r="X42" s="244"/>
      <c r="Y42" s="259"/>
      <c r="Z42" s="202"/>
      <c r="AA42" s="244"/>
      <c r="AC42" s="244"/>
      <c r="AD42" s="244"/>
      <c r="AE42" s="202"/>
      <c r="AH42" s="202"/>
    </row>
    <row r="43" spans="1:46" ht="15.6">
      <c r="A43" s="154"/>
      <c r="B43" s="154"/>
      <c r="C43" s="154"/>
      <c r="D43" s="154"/>
      <c r="E43" s="154"/>
      <c r="F43" s="208">
        <f t="shared" si="6"/>
        <v>37</v>
      </c>
      <c r="G43" s="169"/>
      <c r="H43" s="181" t="s">
        <v>622</v>
      </c>
      <c r="I43" s="272"/>
      <c r="J43" s="273">
        <f>IF($A$65=TRUE,C11,0)</f>
        <v>1.4999999999999999E-2</v>
      </c>
      <c r="K43" s="274">
        <f ca="1">+J43*($J$7/$J$49)</f>
        <v>1809.6920229511481</v>
      </c>
      <c r="L43" s="169"/>
      <c r="M43" s="169"/>
      <c r="N43" s="169"/>
      <c r="O43" s="154"/>
      <c r="P43" s="154"/>
      <c r="R43" s="209">
        <v>0</v>
      </c>
      <c r="S43" s="275">
        <v>1</v>
      </c>
      <c r="U43" s="276" t="s">
        <v>615</v>
      </c>
      <c r="V43" s="277">
        <f ca="1">VLOOKUP(R49,R36:AE39,12)</f>
        <v>7.198383081378161E-2</v>
      </c>
      <c r="AA43" s="244"/>
      <c r="AC43" s="244"/>
      <c r="AH43" s="202"/>
      <c r="AL43" s="244"/>
      <c r="AM43" s="244"/>
      <c r="AN43" s="244"/>
      <c r="AO43" s="244"/>
      <c r="AP43" s="244"/>
      <c r="AQ43" s="244"/>
      <c r="AR43" s="244"/>
      <c r="AS43" s="244"/>
      <c r="AT43" s="244"/>
    </row>
    <row r="44" spans="1:46" ht="15.6">
      <c r="A44" s="154"/>
      <c r="B44" s="154"/>
      <c r="C44" s="154"/>
      <c r="D44" s="154"/>
      <c r="E44" s="154"/>
      <c r="F44" s="208">
        <f t="shared" si="6"/>
        <v>38</v>
      </c>
      <c r="G44" s="169"/>
      <c r="H44" s="181" t="s">
        <v>623</v>
      </c>
      <c r="I44" s="272"/>
      <c r="J44" s="273">
        <f t="shared" ref="J44:J46" si="13">IF($A$65=TRUE,C12,0)</f>
        <v>5.1000000000000004E-3</v>
      </c>
      <c r="K44" s="274">
        <f ca="1">+J44*($J$7/$J$49)</f>
        <v>615.29528780339047</v>
      </c>
      <c r="L44" s="169"/>
      <c r="M44" s="169"/>
      <c r="N44" s="169"/>
      <c r="O44" s="154"/>
      <c r="P44" s="154"/>
      <c r="R44" s="209">
        <v>50</v>
      </c>
      <c r="S44" s="275">
        <v>2</v>
      </c>
      <c r="U44" s="276" t="s">
        <v>560</v>
      </c>
      <c r="V44" s="277">
        <f ca="1">ROUND(1-V43,5)</f>
        <v>0.92801999999999996</v>
      </c>
      <c r="Y44" s="278"/>
      <c r="Z44" s="171"/>
      <c r="AA44" s="171"/>
      <c r="AC44" s="244"/>
      <c r="AF44" s="243"/>
      <c r="AH44" s="202"/>
      <c r="AL44" s="244"/>
      <c r="AM44" s="244"/>
      <c r="AN44" s="244"/>
      <c r="AO44" s="244"/>
      <c r="AP44" s="244"/>
      <c r="AQ44" s="244"/>
      <c r="AR44" s="244"/>
      <c r="AS44" s="244"/>
      <c r="AT44" s="244"/>
    </row>
    <row r="45" spans="1:46" ht="15.6">
      <c r="A45" s="154"/>
      <c r="B45" s="154"/>
      <c r="C45" s="154"/>
      <c r="D45" s="154"/>
      <c r="E45" s="154"/>
      <c r="F45" s="208">
        <f t="shared" si="6"/>
        <v>39</v>
      </c>
      <c r="G45" s="169"/>
      <c r="H45" s="181" t="s">
        <v>624</v>
      </c>
      <c r="I45" s="272"/>
      <c r="J45" s="273">
        <f t="shared" si="13"/>
        <v>0</v>
      </c>
      <c r="K45" s="274">
        <f ca="1">+J45*($J$7/$J$49)</f>
        <v>0</v>
      </c>
      <c r="L45" s="169"/>
      <c r="M45" s="169"/>
      <c r="N45" s="169"/>
      <c r="O45" s="154"/>
      <c r="P45" s="154"/>
      <c r="R45" s="209">
        <v>125</v>
      </c>
      <c r="S45" s="275">
        <v>3</v>
      </c>
      <c r="U45" s="163" t="s">
        <v>625</v>
      </c>
      <c r="V45" s="279">
        <f ca="1">+M7/Revenue-1</f>
        <v>0.17815940127966767</v>
      </c>
      <c r="W45" s="206"/>
      <c r="X45" s="244"/>
      <c r="Y45" s="278"/>
      <c r="Z45" s="202"/>
      <c r="AA45" s="244"/>
      <c r="AC45" s="244"/>
      <c r="AD45" s="244"/>
      <c r="AE45" s="202"/>
      <c r="AF45" s="243"/>
      <c r="AH45" s="202"/>
      <c r="AL45" s="244"/>
      <c r="AM45" s="244"/>
      <c r="AN45" s="244"/>
      <c r="AO45" s="244"/>
      <c r="AP45" s="244"/>
      <c r="AQ45" s="244"/>
      <c r="AR45" s="244"/>
      <c r="AS45" s="244"/>
      <c r="AT45" s="244"/>
    </row>
    <row r="46" spans="1:46" ht="15.6">
      <c r="A46" s="154"/>
      <c r="B46" s="154"/>
      <c r="C46" s="154"/>
      <c r="D46" s="154"/>
      <c r="E46" s="154"/>
      <c r="F46" s="208">
        <f t="shared" si="6"/>
        <v>40</v>
      </c>
      <c r="G46" s="169"/>
      <c r="H46" s="181" t="s">
        <v>626</v>
      </c>
      <c r="I46" s="272"/>
      <c r="J46" s="273">
        <f t="shared" si="13"/>
        <v>2.8999999999999998E-3</v>
      </c>
      <c r="K46" s="274">
        <f ca="1">+J46*($J$7/$J$49)</f>
        <v>349.87379110388866</v>
      </c>
      <c r="L46" s="169"/>
      <c r="M46" s="169"/>
      <c r="N46" s="169"/>
      <c r="O46" s="154"/>
      <c r="P46" s="154"/>
      <c r="R46" s="212">
        <v>401</v>
      </c>
      <c r="S46" s="280">
        <v>4</v>
      </c>
      <c r="T46" s="234"/>
      <c r="U46" s="234"/>
      <c r="V46" s="237"/>
      <c r="X46" s="244"/>
      <c r="Y46" s="259"/>
      <c r="Z46" s="202"/>
      <c r="AA46" s="244"/>
      <c r="AC46" s="244"/>
      <c r="AD46" s="244"/>
      <c r="AE46" s="202"/>
      <c r="AF46" s="243"/>
      <c r="AH46" s="202"/>
      <c r="AL46" s="244"/>
      <c r="AM46" s="244"/>
      <c r="AN46" s="244"/>
      <c r="AO46" s="244"/>
      <c r="AP46" s="244"/>
      <c r="AQ46" s="244"/>
      <c r="AR46" s="244"/>
      <c r="AS46" s="244"/>
      <c r="AT46" s="244"/>
    </row>
    <row r="47" spans="1:46" ht="16.2" thickBot="1">
      <c r="A47" s="154"/>
      <c r="B47" s="154"/>
      <c r="C47" s="154"/>
      <c r="D47" s="154"/>
      <c r="E47" s="154"/>
      <c r="F47" s="208">
        <f t="shared" si="6"/>
        <v>41</v>
      </c>
      <c r="G47" s="169"/>
      <c r="H47" s="181" t="s">
        <v>627</v>
      </c>
      <c r="I47" s="260"/>
      <c r="J47" s="281">
        <f>SUM(J43:J46)</f>
        <v>2.3E-2</v>
      </c>
      <c r="K47" s="249">
        <f ca="1">+K43+K44+K45+K46</f>
        <v>2774.8611018584274</v>
      </c>
      <c r="L47" s="169"/>
      <c r="M47" s="169"/>
      <c r="N47" s="169"/>
      <c r="O47" s="154"/>
      <c r="P47" s="154"/>
      <c r="R47" s="209"/>
      <c r="S47" s="171"/>
      <c r="X47" s="244"/>
      <c r="Y47" s="259"/>
      <c r="Z47" s="202"/>
      <c r="AA47" s="244"/>
      <c r="AC47" s="244"/>
      <c r="AD47" s="244"/>
      <c r="AE47" s="202"/>
      <c r="AF47" s="243"/>
      <c r="AH47" s="202"/>
      <c r="AL47" s="244"/>
      <c r="AM47" s="244"/>
      <c r="AN47" s="244"/>
      <c r="AO47" s="244"/>
      <c r="AP47" s="244"/>
      <c r="AQ47" s="244"/>
      <c r="AR47" s="244"/>
      <c r="AS47" s="244"/>
      <c r="AT47" s="244"/>
    </row>
    <row r="48" spans="1:46" ht="16.2" thickTop="1">
      <c r="A48" s="154"/>
      <c r="B48" s="154"/>
      <c r="C48" s="154"/>
      <c r="D48" s="154"/>
      <c r="E48" s="154"/>
      <c r="F48" s="208">
        <f t="shared" si="6"/>
        <v>42</v>
      </c>
      <c r="G48" s="169"/>
      <c r="H48" s="181"/>
      <c r="I48" s="260"/>
      <c r="J48" s="273"/>
      <c r="K48" s="199"/>
      <c r="L48" s="169"/>
      <c r="M48" s="169"/>
      <c r="N48" s="169"/>
      <c r="O48" s="154"/>
      <c r="P48" s="154"/>
      <c r="R48" s="282">
        <f ca="1">VLOOKUP(R49,R36:S39,2)</f>
        <v>305.2447255381615</v>
      </c>
      <c r="S48" s="283" t="s">
        <v>628</v>
      </c>
      <c r="T48" s="226"/>
      <c r="V48" s="225"/>
      <c r="X48" s="163" t="s">
        <v>629</v>
      </c>
      <c r="AC48" s="244"/>
      <c r="AF48" s="243"/>
      <c r="AH48" s="202"/>
    </row>
    <row r="49" spans="1:46" ht="15.6">
      <c r="A49" s="154"/>
      <c r="B49" s="154"/>
      <c r="C49" s="154"/>
      <c r="D49" s="154"/>
      <c r="E49" s="154"/>
      <c r="F49" s="208">
        <f t="shared" si="6"/>
        <v>43</v>
      </c>
      <c r="G49" s="175"/>
      <c r="H49" s="181" t="s">
        <v>630</v>
      </c>
      <c r="I49" s="169"/>
      <c r="J49" s="256">
        <f ca="1">((K35)-J47)</f>
        <v>0.90528968751646988</v>
      </c>
      <c r="K49" s="169"/>
      <c r="L49" s="169"/>
      <c r="M49" s="169"/>
      <c r="N49" s="169"/>
      <c r="O49" s="154"/>
      <c r="P49" s="154"/>
      <c r="R49" s="209">
        <f ca="1">VLOOKUP(S36,R43:S46,2)</f>
        <v>3</v>
      </c>
      <c r="S49" s="284" t="s">
        <v>631</v>
      </c>
      <c r="T49" s="271"/>
      <c r="X49" s="163" t="s">
        <v>632</v>
      </c>
      <c r="AA49" s="171"/>
      <c r="AC49" s="244"/>
      <c r="AH49" s="202"/>
    </row>
    <row r="50" spans="1:46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285"/>
      <c r="L50" s="154"/>
      <c r="M50" s="154"/>
      <c r="N50" s="286"/>
      <c r="O50" s="154"/>
      <c r="P50" s="154"/>
      <c r="R50" s="209"/>
      <c r="T50" s="271"/>
      <c r="X50" s="163" t="s">
        <v>633</v>
      </c>
      <c r="AA50" s="244"/>
      <c r="AC50" s="244"/>
      <c r="AD50" s="244"/>
      <c r="AE50" s="202"/>
      <c r="AH50" s="202"/>
    </row>
    <row r="51" spans="1:46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285"/>
      <c r="L51" s="154"/>
      <c r="M51" s="154"/>
      <c r="N51" s="286"/>
      <c r="O51" s="154"/>
      <c r="P51" s="154"/>
      <c r="R51" s="287">
        <f ca="1">+V44</f>
        <v>0.92801999999999996</v>
      </c>
      <c r="S51" s="234" t="s">
        <v>560</v>
      </c>
      <c r="T51" s="288"/>
      <c r="X51" s="163" t="s">
        <v>634</v>
      </c>
      <c r="AA51" s="244"/>
      <c r="AC51" s="244"/>
      <c r="AD51" s="244"/>
      <c r="AE51" s="202"/>
      <c r="AF51" s="244"/>
      <c r="AH51" s="202"/>
      <c r="AL51" s="244"/>
      <c r="AM51" s="244"/>
      <c r="AN51" s="244"/>
      <c r="AO51" s="244"/>
      <c r="AP51" s="244"/>
      <c r="AQ51" s="244"/>
      <c r="AR51" s="244"/>
      <c r="AS51" s="244"/>
      <c r="AT51" s="244"/>
    </row>
    <row r="52" spans="1:46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Z52" s="202"/>
      <c r="AA52" s="244"/>
      <c r="AC52" s="244"/>
      <c r="AD52" s="244"/>
      <c r="AE52" s="202"/>
      <c r="AF52" s="243"/>
      <c r="AH52" s="202"/>
      <c r="AL52" s="244"/>
      <c r="AM52" s="244"/>
      <c r="AN52" s="244"/>
      <c r="AO52" s="244"/>
      <c r="AP52" s="244"/>
      <c r="AQ52" s="244"/>
      <c r="AR52" s="244"/>
      <c r="AS52" s="244"/>
      <c r="AT52" s="244"/>
    </row>
    <row r="53" spans="1:46">
      <c r="A53" s="154"/>
      <c r="B53" s="154"/>
      <c r="C53" s="154"/>
      <c r="D53" s="154"/>
      <c r="E53" s="154"/>
      <c r="F53" s="154"/>
      <c r="G53" s="154"/>
      <c r="H53" s="154"/>
      <c r="I53" s="154"/>
      <c r="J53" s="289"/>
      <c r="K53" s="289"/>
      <c r="L53" s="289"/>
      <c r="M53" s="289"/>
      <c r="N53" s="154"/>
      <c r="O53" s="154"/>
      <c r="P53" s="154"/>
      <c r="R53" s="163"/>
      <c r="Z53" s="202"/>
      <c r="AA53" s="244"/>
      <c r="AC53" s="244"/>
      <c r="AD53" s="244"/>
      <c r="AE53" s="202"/>
      <c r="AF53" s="243"/>
      <c r="AH53" s="202"/>
      <c r="AL53" s="244"/>
      <c r="AM53" s="244"/>
      <c r="AN53" s="244"/>
      <c r="AO53" s="244"/>
      <c r="AP53" s="244"/>
      <c r="AQ53" s="244"/>
      <c r="AR53" s="244"/>
      <c r="AS53" s="244"/>
      <c r="AT53" s="244"/>
    </row>
    <row r="54" spans="1:46" ht="15.6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289"/>
      <c r="L54" s="289"/>
      <c r="M54" s="289"/>
      <c r="N54" s="154"/>
      <c r="O54" s="154"/>
      <c r="P54" s="154"/>
      <c r="R54" s="163"/>
      <c r="S54" s="163" t="s">
        <v>635</v>
      </c>
      <c r="T54" s="244"/>
      <c r="U54" s="290"/>
      <c r="W54" s="291" t="s">
        <v>636</v>
      </c>
      <c r="X54" s="292"/>
      <c r="Y54" s="292"/>
      <c r="Z54" s="292"/>
      <c r="AC54" s="244"/>
      <c r="AF54" s="243"/>
      <c r="AH54" s="202"/>
      <c r="AL54" s="244"/>
      <c r="AM54" s="244"/>
      <c r="AN54" s="244"/>
      <c r="AO54" s="244"/>
      <c r="AP54" s="244"/>
      <c r="AQ54" s="244"/>
      <c r="AR54" s="244"/>
      <c r="AS54" s="244"/>
      <c r="AT54" s="244"/>
    </row>
    <row r="55" spans="1:46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293"/>
      <c r="M55" s="293"/>
      <c r="N55" s="154"/>
      <c r="O55" s="154"/>
      <c r="P55" s="154"/>
      <c r="R55" s="294"/>
      <c r="S55" s="295" t="s">
        <v>601</v>
      </c>
      <c r="T55" s="295" t="s">
        <v>637</v>
      </c>
      <c r="U55" s="296" t="s">
        <v>604</v>
      </c>
      <c r="W55" s="297" t="s">
        <v>638</v>
      </c>
      <c r="X55" s="298">
        <v>5.7225999999999999</v>
      </c>
      <c r="Y55" s="299" t="s">
        <v>639</v>
      </c>
      <c r="Z55" s="300">
        <v>5.6985000000000001</v>
      </c>
      <c r="AA55" s="171"/>
      <c r="AC55" s="244"/>
      <c r="AH55" s="202"/>
    </row>
    <row r="56" spans="1:46">
      <c r="A56" s="154"/>
      <c r="B56" s="154"/>
      <c r="C56" s="154"/>
      <c r="D56" s="154"/>
      <c r="E56" s="154"/>
      <c r="F56" s="154"/>
      <c r="G56" s="154"/>
      <c r="H56" s="154"/>
      <c r="I56" s="154"/>
      <c r="J56" s="293"/>
      <c r="K56" s="154"/>
      <c r="L56" s="293"/>
      <c r="M56" s="293"/>
      <c r="N56" s="154"/>
      <c r="O56" s="154"/>
      <c r="P56" s="154"/>
      <c r="R56" s="164" t="s">
        <v>558</v>
      </c>
      <c r="S56" s="301">
        <v>0.56200000000000006</v>
      </c>
      <c r="T56" s="301">
        <v>6.3799999999999996E-2</v>
      </c>
      <c r="U56" s="277">
        <f>ROUND(+S56*T56,5)</f>
        <v>3.5860000000000003E-2</v>
      </c>
      <c r="W56" s="302" t="s">
        <v>640</v>
      </c>
      <c r="X56" s="303">
        <v>5.7082699999999997</v>
      </c>
      <c r="Y56" s="304" t="s">
        <v>641</v>
      </c>
      <c r="Z56" s="305">
        <v>5.6921999999999997</v>
      </c>
      <c r="AA56" s="244"/>
      <c r="AC56" s="244"/>
      <c r="AD56" s="244"/>
      <c r="AE56" s="202"/>
      <c r="AH56" s="202"/>
    </row>
    <row r="57" spans="1:46" ht="15.6">
      <c r="A57" s="154"/>
      <c r="B57" s="154"/>
      <c r="C57" s="154"/>
      <c r="D57" s="154"/>
      <c r="E57" s="289"/>
      <c r="F57" s="154"/>
      <c r="G57" s="154"/>
      <c r="H57" s="154"/>
      <c r="I57" s="154"/>
      <c r="J57" s="293"/>
      <c r="K57" s="154"/>
      <c r="L57" s="293"/>
      <c r="M57" s="293"/>
      <c r="N57" s="154"/>
      <c r="O57" s="154"/>
      <c r="P57" s="154"/>
      <c r="R57" s="164" t="s">
        <v>642</v>
      </c>
      <c r="S57" s="301">
        <v>9.4E-2</v>
      </c>
      <c r="T57" s="301">
        <v>6.59E-2</v>
      </c>
      <c r="U57" s="277">
        <f>ROUND(+S57*T57,5)</f>
        <v>6.1900000000000002E-3</v>
      </c>
      <c r="W57" s="164"/>
      <c r="Y57" s="306"/>
      <c r="Z57" s="307"/>
      <c r="AA57" s="244"/>
      <c r="AC57" s="244"/>
      <c r="AD57" s="244"/>
      <c r="AE57" s="202"/>
      <c r="AF57" s="243"/>
      <c r="AH57" s="202"/>
      <c r="AL57" s="244"/>
    </row>
    <row r="58" spans="1:46">
      <c r="A58" s="154"/>
      <c r="B58" s="154"/>
      <c r="C58" s="154"/>
      <c r="D58" s="154"/>
      <c r="E58" s="289"/>
      <c r="F58" s="289"/>
      <c r="G58" s="289"/>
      <c r="H58" s="308"/>
      <c r="I58" s="289"/>
      <c r="J58" s="293"/>
      <c r="K58" s="154"/>
      <c r="L58" s="154"/>
      <c r="M58" s="154"/>
      <c r="N58" s="154"/>
      <c r="O58" s="154"/>
      <c r="P58" s="154"/>
      <c r="R58" s="164" t="s">
        <v>556</v>
      </c>
      <c r="S58" s="309">
        <v>0.34399999999999997</v>
      </c>
      <c r="T58" s="310"/>
      <c r="U58" s="311"/>
      <c r="W58" s="233"/>
      <c r="X58" s="312" t="s">
        <v>643</v>
      </c>
      <c r="Y58" s="313">
        <v>0.68367</v>
      </c>
      <c r="Z58" s="314"/>
      <c r="AA58" s="244"/>
      <c r="AC58" s="244"/>
      <c r="AD58" s="244"/>
      <c r="AE58" s="202"/>
      <c r="AF58" s="243"/>
      <c r="AH58" s="202"/>
    </row>
    <row r="59" spans="1:46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R59" s="233"/>
      <c r="S59" s="309">
        <f>SUM(S56:S58)</f>
        <v>1</v>
      </c>
      <c r="T59" s="315"/>
      <c r="U59" s="316"/>
      <c r="X59" s="244"/>
      <c r="Y59" s="259"/>
      <c r="Z59" s="202"/>
      <c r="AA59" s="244"/>
      <c r="AC59" s="244"/>
      <c r="AD59" s="244"/>
      <c r="AE59" s="202"/>
      <c r="AF59" s="243"/>
      <c r="AH59" s="202"/>
    </row>
    <row r="60" spans="1:46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X60" s="317"/>
      <c r="AC60" s="244"/>
      <c r="AF60" s="243"/>
      <c r="AH60" s="202"/>
      <c r="AL60" s="243"/>
      <c r="AM60" s="243"/>
      <c r="AN60" s="243"/>
      <c r="AO60" s="243"/>
      <c r="AP60" s="243"/>
      <c r="AQ60" s="243"/>
      <c r="AR60" s="243"/>
      <c r="AS60" s="243"/>
      <c r="AT60" s="243"/>
    </row>
    <row r="61" spans="1:46">
      <c r="A61" s="154"/>
      <c r="B61" s="154"/>
      <c r="C61" s="154"/>
      <c r="D61" s="154"/>
      <c r="E61" s="289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W61" s="294" t="s">
        <v>610</v>
      </c>
      <c r="X61" s="318"/>
      <c r="Y61" s="225" t="s">
        <v>644</v>
      </c>
      <c r="Z61" s="226" t="s">
        <v>539</v>
      </c>
      <c r="AC61" s="244"/>
      <c r="AH61" s="202"/>
      <c r="AL61" s="243"/>
      <c r="AM61" s="243"/>
      <c r="AN61" s="243"/>
      <c r="AO61" s="243"/>
      <c r="AP61" s="243"/>
      <c r="AQ61" s="243"/>
      <c r="AR61" s="243"/>
      <c r="AS61" s="243"/>
      <c r="AT61" s="243"/>
    </row>
    <row r="62" spans="1:46">
      <c r="A62" s="154"/>
      <c r="B62" s="154"/>
      <c r="C62" s="154"/>
      <c r="D62" s="154"/>
      <c r="E62" s="154"/>
      <c r="F62" s="289"/>
      <c r="G62" s="289"/>
      <c r="H62" s="289"/>
      <c r="I62" s="289"/>
      <c r="J62" s="289"/>
      <c r="K62" s="289"/>
      <c r="L62" s="289"/>
      <c r="M62" s="289"/>
      <c r="N62" s="289"/>
      <c r="O62" s="154"/>
      <c r="P62" s="154"/>
      <c r="W62" s="319"/>
      <c r="X62" s="320"/>
      <c r="Y62" s="320"/>
      <c r="Z62" s="321"/>
      <c r="AC62" s="244"/>
      <c r="AD62" s="244"/>
      <c r="AE62" s="202"/>
      <c r="AH62" s="202"/>
      <c r="AL62" s="243"/>
      <c r="AM62" s="243"/>
      <c r="AN62" s="243"/>
      <c r="AO62" s="243"/>
      <c r="AP62" s="243"/>
      <c r="AQ62" s="243"/>
      <c r="AR62" s="243"/>
      <c r="AS62" s="243"/>
      <c r="AT62" s="243"/>
    </row>
    <row r="63" spans="1:46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W63" s="164" t="s">
        <v>612</v>
      </c>
      <c r="X63" s="320"/>
      <c r="Y63" s="277">
        <f t="shared" ref="Y63:Z68" ca="1" si="14">+J33</f>
        <v>0.21889102417589221</v>
      </c>
      <c r="Z63" s="277">
        <f ca="1">+K33</f>
        <v>0.17712390909895484</v>
      </c>
      <c r="AC63" s="244"/>
      <c r="AD63" s="244"/>
      <c r="AE63" s="202"/>
      <c r="AF63" s="243"/>
      <c r="AH63" s="202"/>
      <c r="AL63" s="243"/>
      <c r="AM63" s="243"/>
      <c r="AN63" s="243"/>
      <c r="AO63" s="243"/>
      <c r="AP63" s="243"/>
      <c r="AQ63" s="243"/>
      <c r="AR63" s="243"/>
      <c r="AS63" s="243"/>
      <c r="AT63" s="243"/>
    </row>
    <row r="64" spans="1:46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W64" s="164" t="s">
        <v>613</v>
      </c>
      <c r="X64" s="320"/>
      <c r="Y64" s="277">
        <f t="shared" ca="1" si="14"/>
        <v>0.33148504029315362</v>
      </c>
      <c r="Z64" s="277">
        <f t="shared" ca="1" si="14"/>
        <v>0.26187318183159136</v>
      </c>
      <c r="AC64" s="244"/>
      <c r="AD64" s="244"/>
      <c r="AE64" s="202"/>
      <c r="AF64" s="243"/>
      <c r="AH64" s="202"/>
    </row>
    <row r="65" spans="1:38">
      <c r="A65" s="163" t="b">
        <v>1</v>
      </c>
      <c r="F65" s="154"/>
      <c r="G65" s="154"/>
      <c r="H65" s="154"/>
      <c r="I65" s="154"/>
      <c r="J65" s="154"/>
      <c r="K65" s="154"/>
      <c r="L65" s="154"/>
      <c r="M65" s="154"/>
      <c r="N65" s="154"/>
      <c r="W65" s="164" t="s">
        <v>560</v>
      </c>
      <c r="X65" s="320"/>
      <c r="Y65" s="277">
        <f t="shared" ca="1" si="14"/>
        <v>0.92801999999999996</v>
      </c>
      <c r="Z65" s="277">
        <f t="shared" ca="1" si="14"/>
        <v>0.9282896875164699</v>
      </c>
      <c r="AC65" s="244"/>
      <c r="AD65" s="244"/>
      <c r="AE65" s="202"/>
      <c r="AF65" s="243"/>
      <c r="AH65" s="202"/>
    </row>
    <row r="66" spans="1:38">
      <c r="H66" s="243"/>
      <c r="I66" s="243"/>
      <c r="J66" s="243"/>
      <c r="K66" s="243"/>
      <c r="L66" s="243"/>
      <c r="M66" s="243"/>
      <c r="N66" s="243"/>
      <c r="O66" s="243"/>
      <c r="W66" s="164" t="s">
        <v>615</v>
      </c>
      <c r="X66" s="320"/>
      <c r="Y66" s="277">
        <f t="shared" ca="1" si="14"/>
        <v>7.1980000000000086E-2</v>
      </c>
      <c r="Z66" s="277">
        <f t="shared" ca="1" si="14"/>
        <v>7.1980000000000086E-2</v>
      </c>
      <c r="AC66" s="244"/>
      <c r="AF66" s="243"/>
      <c r="AH66" s="202"/>
      <c r="AL66" s="243"/>
    </row>
    <row r="67" spans="1:38">
      <c r="H67" s="243"/>
      <c r="I67" s="243"/>
      <c r="J67" s="243"/>
      <c r="K67" s="243"/>
      <c r="L67" s="243"/>
      <c r="M67" s="243"/>
      <c r="N67" s="243"/>
      <c r="O67" s="243"/>
      <c r="W67" s="164" t="s">
        <v>616</v>
      </c>
      <c r="X67" s="323"/>
      <c r="Y67" s="277">
        <f t="shared" ca="1" si="14"/>
        <v>3.0506967285704381</v>
      </c>
      <c r="Z67" s="277">
        <f t="shared" ca="1" si="14"/>
        <v>3.0506967285704381</v>
      </c>
      <c r="AC67" s="244"/>
      <c r="AH67" s="202"/>
    </row>
    <row r="68" spans="1:38">
      <c r="O68" s="243"/>
      <c r="W68" s="164" t="s">
        <v>617</v>
      </c>
      <c r="X68" s="184"/>
      <c r="Y68" s="277">
        <f t="shared" si="14"/>
        <v>0.21</v>
      </c>
      <c r="Z68" s="277">
        <f t="shared" si="14"/>
        <v>0.21</v>
      </c>
      <c r="AC68" s="244"/>
      <c r="AD68" s="244"/>
      <c r="AE68" s="202"/>
      <c r="AH68" s="202"/>
    </row>
    <row r="69" spans="1:38">
      <c r="O69" s="243"/>
      <c r="W69" s="164"/>
      <c r="Y69" s="310"/>
      <c r="Z69" s="324"/>
      <c r="AC69" s="244"/>
      <c r="AD69" s="244"/>
      <c r="AE69" s="202"/>
      <c r="AF69" s="243"/>
      <c r="AH69" s="202"/>
    </row>
    <row r="70" spans="1:38">
      <c r="O70" s="243"/>
      <c r="W70" s="233"/>
      <c r="X70" s="325"/>
      <c r="Y70" s="326"/>
      <c r="Z70" s="327"/>
      <c r="AA70" s="244"/>
      <c r="AC70" s="244"/>
      <c r="AD70" s="244"/>
      <c r="AE70" s="202"/>
      <c r="AF70" s="243"/>
      <c r="AH70" s="202"/>
    </row>
    <row r="71" spans="1:38">
      <c r="X71" s="244"/>
      <c r="Y71" s="259"/>
      <c r="Z71" s="202"/>
      <c r="AA71" s="244"/>
      <c r="AC71" s="244"/>
      <c r="AD71" s="244"/>
      <c r="AE71" s="202"/>
      <c r="AF71" s="243"/>
      <c r="AH71" s="202"/>
    </row>
    <row r="72" spans="1:38">
      <c r="AC72" s="244"/>
      <c r="AF72" s="243"/>
      <c r="AH72" s="202"/>
    </row>
    <row r="73" spans="1:38">
      <c r="Y73" s="171"/>
      <c r="Z73" s="171"/>
      <c r="AA73" s="171"/>
      <c r="AC73" s="244"/>
      <c r="AH73" s="202"/>
    </row>
    <row r="74" spans="1:38">
      <c r="X74" s="244"/>
      <c r="Y74" s="259"/>
      <c r="Z74" s="202"/>
      <c r="AA74" s="244"/>
      <c r="AC74" s="244"/>
      <c r="AD74" s="244"/>
      <c r="AE74" s="202"/>
      <c r="AH74" s="202"/>
    </row>
    <row r="75" spans="1:38">
      <c r="X75" s="244"/>
      <c r="Y75" s="259"/>
      <c r="Z75" s="202"/>
      <c r="AA75" s="244"/>
      <c r="AC75" s="244"/>
      <c r="AD75" s="244"/>
      <c r="AE75" s="202"/>
      <c r="AF75" s="243"/>
      <c r="AH75" s="202"/>
    </row>
    <row r="76" spans="1:38">
      <c r="X76" s="244"/>
      <c r="Y76" s="259"/>
      <c r="Z76" s="202"/>
      <c r="AA76" s="244"/>
      <c r="AC76" s="244"/>
      <c r="AD76" s="244"/>
      <c r="AE76" s="202"/>
      <c r="AF76" s="243"/>
      <c r="AH76" s="202"/>
    </row>
    <row r="77" spans="1:38">
      <c r="X77" s="244"/>
      <c r="Y77" s="259"/>
      <c r="Z77" s="202"/>
      <c r="AA77" s="244"/>
      <c r="AC77" s="244"/>
      <c r="AD77" s="244"/>
      <c r="AE77" s="202"/>
      <c r="AF77" s="243"/>
      <c r="AH77" s="202"/>
    </row>
    <row r="78" spans="1:38">
      <c r="AC78" s="244"/>
      <c r="AF78" s="243"/>
      <c r="AH78" s="202"/>
    </row>
    <row r="80" spans="1:38">
      <c r="X80" s="244"/>
      <c r="Y80" s="259"/>
      <c r="Z80" s="202"/>
      <c r="AA80" s="244"/>
      <c r="AD80" s="244"/>
      <c r="AE80" s="202"/>
    </row>
    <row r="81" spans="24:32">
      <c r="X81" s="244"/>
      <c r="Y81" s="259"/>
      <c r="Z81" s="202"/>
      <c r="AA81" s="244"/>
      <c r="AD81" s="244"/>
      <c r="AE81" s="202"/>
      <c r="AF81" s="243"/>
    </row>
    <row r="82" spans="24:32">
      <c r="X82" s="244"/>
      <c r="Y82" s="259"/>
      <c r="Z82" s="202"/>
      <c r="AA82" s="244"/>
      <c r="AD82" s="244"/>
      <c r="AE82" s="202"/>
      <c r="AF82" s="243"/>
    </row>
    <row r="83" spans="24:32">
      <c r="X83" s="244"/>
      <c r="Y83" s="259"/>
      <c r="Z83" s="202"/>
      <c r="AA83" s="244"/>
      <c r="AD83" s="244"/>
      <c r="AE83" s="202"/>
      <c r="AF83" s="243"/>
    </row>
    <row r="84" spans="24:32">
      <c r="AF84" s="243"/>
    </row>
    <row r="86" spans="24:32">
      <c r="X86" s="244"/>
      <c r="Y86" s="259"/>
      <c r="Z86" s="202"/>
      <c r="AA86" s="244"/>
      <c r="AD86" s="244"/>
      <c r="AE86" s="202"/>
    </row>
    <row r="87" spans="24:32">
      <c r="X87" s="244"/>
      <c r="Y87" s="259"/>
      <c r="Z87" s="202"/>
      <c r="AA87" s="244"/>
      <c r="AD87" s="244"/>
      <c r="AE87" s="202"/>
      <c r="AF87" s="243"/>
    </row>
    <row r="88" spans="24:32">
      <c r="X88" s="244"/>
      <c r="Y88" s="259"/>
      <c r="Z88" s="202"/>
      <c r="AA88" s="244"/>
      <c r="AD88" s="244"/>
      <c r="AE88" s="202"/>
      <c r="AF88" s="243"/>
    </row>
    <row r="89" spans="24:32">
      <c r="X89" s="244"/>
      <c r="Y89" s="259"/>
      <c r="Z89" s="202"/>
      <c r="AA89" s="244"/>
      <c r="AD89" s="244"/>
      <c r="AE89" s="202"/>
      <c r="AF89" s="243"/>
    </row>
    <row r="90" spans="24:32">
      <c r="AF90" s="243"/>
    </row>
    <row r="92" spans="24:32">
      <c r="X92" s="244"/>
      <c r="Y92" s="259"/>
      <c r="Z92" s="202"/>
      <c r="AA92" s="244"/>
      <c r="AD92" s="244"/>
      <c r="AE92" s="202"/>
    </row>
    <row r="93" spans="24:32">
      <c r="X93" s="244"/>
      <c r="Y93" s="259"/>
      <c r="Z93" s="202"/>
      <c r="AA93" s="244"/>
      <c r="AD93" s="244"/>
      <c r="AE93" s="202"/>
      <c r="AF93" s="243"/>
    </row>
    <row r="94" spans="24:32">
      <c r="X94" s="244"/>
      <c r="Y94" s="259"/>
      <c r="Z94" s="202"/>
      <c r="AA94" s="244"/>
      <c r="AD94" s="244"/>
      <c r="AE94" s="202"/>
      <c r="AF94" s="243"/>
    </row>
    <row r="95" spans="24:32">
      <c r="X95" s="244"/>
      <c r="Y95" s="259"/>
      <c r="Z95" s="202"/>
      <c r="AA95" s="244"/>
      <c r="AD95" s="244"/>
      <c r="AE95" s="202"/>
      <c r="AF95" s="243"/>
    </row>
    <row r="96" spans="24:32">
      <c r="AF96" s="243"/>
    </row>
    <row r="98" spans="24:32">
      <c r="X98" s="244"/>
      <c r="Y98" s="259"/>
      <c r="Z98" s="202"/>
      <c r="AA98" s="244"/>
      <c r="AD98" s="244"/>
      <c r="AE98" s="202"/>
    </row>
    <row r="99" spans="24:32">
      <c r="X99" s="244"/>
      <c r="Y99" s="259"/>
      <c r="Z99" s="202"/>
      <c r="AA99" s="244"/>
      <c r="AD99" s="244"/>
      <c r="AE99" s="202"/>
      <c r="AF99" s="243"/>
    </row>
    <row r="100" spans="24:32">
      <c r="X100" s="244"/>
      <c r="Y100" s="259"/>
      <c r="Z100" s="202"/>
      <c r="AA100" s="244"/>
      <c r="AD100" s="244"/>
      <c r="AE100" s="202"/>
      <c r="AF100" s="243"/>
    </row>
    <row r="101" spans="24:32">
      <c r="X101" s="244"/>
      <c r="Y101" s="259"/>
      <c r="Z101" s="202"/>
      <c r="AA101" s="244"/>
      <c r="AD101" s="244"/>
      <c r="AE101" s="202"/>
      <c r="AF101" s="243"/>
    </row>
    <row r="102" spans="24:32">
      <c r="AF102" s="243"/>
    </row>
    <row r="104" spans="24:32">
      <c r="X104" s="244"/>
      <c r="Y104" s="259"/>
      <c r="Z104" s="202"/>
      <c r="AA104" s="244"/>
      <c r="AD104" s="244"/>
      <c r="AE104" s="202"/>
    </row>
    <row r="105" spans="24:32">
      <c r="X105" s="244"/>
      <c r="Y105" s="259"/>
      <c r="Z105" s="202"/>
      <c r="AA105" s="244"/>
      <c r="AD105" s="244"/>
      <c r="AE105" s="202"/>
      <c r="AF105" s="243"/>
    </row>
    <row r="106" spans="24:32">
      <c r="X106" s="244"/>
      <c r="Y106" s="259"/>
      <c r="Z106" s="202"/>
      <c r="AA106" s="244"/>
      <c r="AD106" s="244"/>
      <c r="AE106" s="202"/>
      <c r="AF106" s="243"/>
    </row>
    <row r="107" spans="24:32">
      <c r="X107" s="244"/>
      <c r="Y107" s="259"/>
      <c r="Z107" s="202"/>
      <c r="AA107" s="244"/>
      <c r="AD107" s="244"/>
      <c r="AE107" s="202"/>
      <c r="AF107" s="243"/>
    </row>
    <row r="108" spans="24:32">
      <c r="AF108" s="243"/>
    </row>
    <row r="110" spans="24:32">
      <c r="X110" s="244"/>
      <c r="Y110" s="259"/>
      <c r="Z110" s="202"/>
      <c r="AA110" s="244"/>
      <c r="AD110" s="244"/>
      <c r="AE110" s="202"/>
    </row>
    <row r="111" spans="24:32">
      <c r="X111" s="244"/>
      <c r="Y111" s="259"/>
      <c r="Z111" s="202"/>
      <c r="AA111" s="244"/>
      <c r="AD111" s="244"/>
      <c r="AE111" s="202"/>
    </row>
    <row r="112" spans="24:32">
      <c r="X112" s="244"/>
      <c r="Y112" s="259"/>
      <c r="Z112" s="202"/>
      <c r="AA112" s="244"/>
      <c r="AD112" s="244"/>
      <c r="AE112" s="202"/>
    </row>
    <row r="113" spans="24:31">
      <c r="X113" s="244"/>
      <c r="Y113" s="259"/>
      <c r="Z113" s="202"/>
      <c r="AA113" s="244"/>
      <c r="AD113" s="244"/>
      <c r="AE113" s="202"/>
    </row>
  </sheetData>
  <mergeCells count="6">
    <mergeCell ref="B18:C18"/>
    <mergeCell ref="B2:C2"/>
    <mergeCell ref="AF2:AI2"/>
    <mergeCell ref="B15:C15"/>
    <mergeCell ref="C16:D16"/>
    <mergeCell ref="B17:C17"/>
  </mergeCells>
  <pageMargins left="0.25" right="0.25" top="0.3" bottom="0.44" header="0.23" footer="0.21"/>
  <pageSetup scale="9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81" r:id="rId4" name="CheckBox1">
          <controlPr defaultSize="0" autoFill="0" autoLine="0" linkedCell="A65" r:id="rId5">
            <anchor moveWithCells="1">
              <from>
                <xdr:col>2</xdr:col>
                <xdr:colOff>99060</xdr:colOff>
                <xdr:row>14</xdr:row>
                <xdr:rowOff>175260</xdr:rowOff>
              </from>
              <to>
                <xdr:col>2</xdr:col>
                <xdr:colOff>358140</xdr:colOff>
                <xdr:row>16</xdr:row>
                <xdr:rowOff>30480</xdr:rowOff>
              </to>
            </anchor>
          </controlPr>
        </control>
      </mc:Choice>
      <mc:Fallback>
        <control shapeId="20481" r:id="rId4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Z224"/>
  <sheetViews>
    <sheetView workbookViewId="0">
      <selection activeCell="O26" sqref="O26"/>
    </sheetView>
  </sheetViews>
  <sheetFormatPr defaultRowHeight="14.4"/>
  <cols>
    <col min="1" max="1" width="10.88671875" customWidth="1"/>
    <col min="2" max="2" width="28.5546875" customWidth="1"/>
    <col min="3" max="3" width="11.6640625" customWidth="1"/>
    <col min="4" max="4" width="12.21875" hidden="1" customWidth="1"/>
    <col min="5" max="5" width="9.77734375" hidden="1" customWidth="1"/>
    <col min="6" max="6" width="12" hidden="1" customWidth="1"/>
    <col min="7" max="7" width="11.44140625" customWidth="1"/>
    <col min="8" max="8" width="13.6640625" customWidth="1"/>
    <col min="9" max="9" width="3" customWidth="1"/>
    <col min="10" max="10" width="12.21875" customWidth="1"/>
    <col min="11" max="11" width="11" hidden="1" customWidth="1"/>
    <col min="12" max="12" width="13.88671875" customWidth="1"/>
    <col min="13" max="13" width="12.77734375" customWidth="1"/>
    <col min="14" max="14" width="11.88671875" customWidth="1"/>
    <col min="15" max="15" width="9.109375" customWidth="1"/>
    <col min="16" max="16" width="12" customWidth="1"/>
    <col min="19" max="19" width="12" customWidth="1"/>
    <col min="22" max="22" width="10.44140625" customWidth="1"/>
    <col min="24" max="24" width="10.5546875" customWidth="1"/>
  </cols>
  <sheetData>
    <row r="1" spans="1:26">
      <c r="A1" s="61"/>
      <c r="B1" s="62" t="s">
        <v>0</v>
      </c>
      <c r="C1" s="61"/>
      <c r="D1" s="61"/>
      <c r="E1" s="61"/>
      <c r="F1" s="61"/>
      <c r="G1" s="83" t="s">
        <v>658</v>
      </c>
      <c r="H1" s="65"/>
      <c r="I1" s="61"/>
      <c r="J1" s="61"/>
      <c r="K1" s="61"/>
      <c r="N1" s="61"/>
      <c r="O1" s="61"/>
      <c r="P1" s="61"/>
      <c r="Q1" s="61"/>
      <c r="R1" s="61"/>
      <c r="S1" s="61"/>
    </row>
    <row r="2" spans="1:26">
      <c r="A2" s="61"/>
      <c r="B2" s="62" t="s">
        <v>112</v>
      </c>
      <c r="C2" s="61"/>
      <c r="D2" s="61"/>
      <c r="E2" s="61"/>
      <c r="F2" s="61"/>
      <c r="G2" s="66"/>
      <c r="I2" s="66"/>
      <c r="J2" s="61"/>
      <c r="K2" s="61"/>
      <c r="N2" s="61"/>
      <c r="O2" s="61"/>
      <c r="P2" s="61"/>
      <c r="Q2" s="61"/>
      <c r="R2" s="61"/>
      <c r="S2" s="61"/>
    </row>
    <row r="3" spans="1:26">
      <c r="A3" s="61"/>
      <c r="B3" s="62" t="s">
        <v>268</v>
      </c>
      <c r="C3" s="61"/>
      <c r="D3" s="61"/>
      <c r="E3" s="61"/>
      <c r="F3" s="61"/>
      <c r="G3" s="66" t="s">
        <v>114</v>
      </c>
      <c r="H3" s="66" t="s">
        <v>344</v>
      </c>
      <c r="I3" s="67"/>
      <c r="J3" s="68"/>
      <c r="K3" s="61"/>
      <c r="N3" s="61"/>
      <c r="P3" s="11"/>
      <c r="Q3" s="11"/>
      <c r="R3" s="11"/>
      <c r="S3" s="11"/>
      <c r="T3" s="11"/>
      <c r="U3" s="11"/>
      <c r="V3" s="11"/>
      <c r="W3" s="11"/>
      <c r="X3" s="11"/>
    </row>
    <row r="4" spans="1:26">
      <c r="A4" s="61"/>
      <c r="B4" s="62" t="s">
        <v>113</v>
      </c>
      <c r="C4" s="66"/>
      <c r="D4" s="66"/>
      <c r="E4" s="66"/>
      <c r="F4" s="66"/>
      <c r="G4" s="66"/>
      <c r="H4" s="66" t="s">
        <v>659</v>
      </c>
      <c r="I4" s="66"/>
      <c r="J4" s="66" t="s">
        <v>660</v>
      </c>
      <c r="K4" s="61"/>
      <c r="N4" s="61"/>
      <c r="P4" s="11"/>
      <c r="Q4" s="11"/>
      <c r="R4" s="11"/>
      <c r="S4" s="11"/>
      <c r="T4" s="11"/>
      <c r="U4" s="11"/>
      <c r="V4" s="11"/>
      <c r="W4" s="11"/>
      <c r="X4" s="11"/>
    </row>
    <row r="5" spans="1:26">
      <c r="A5" s="61"/>
      <c r="B5" s="62"/>
      <c r="C5" s="66"/>
      <c r="D5" s="66"/>
      <c r="E5" s="66"/>
      <c r="F5" s="66"/>
      <c r="G5" s="66"/>
      <c r="H5" s="66" t="s">
        <v>363</v>
      </c>
      <c r="I5" s="66"/>
      <c r="J5" s="66" t="s">
        <v>442</v>
      </c>
      <c r="K5" s="61" t="s">
        <v>647</v>
      </c>
      <c r="N5" s="61"/>
      <c r="P5" s="100"/>
      <c r="Q5" s="11"/>
      <c r="R5" s="11"/>
      <c r="S5" s="11"/>
      <c r="T5" s="11"/>
      <c r="U5" s="11"/>
      <c r="V5" s="11"/>
      <c r="W5" s="11"/>
      <c r="X5" s="11"/>
    </row>
    <row r="6" spans="1:26">
      <c r="A6" s="61"/>
      <c r="B6" s="62"/>
      <c r="C6" s="66"/>
      <c r="D6" s="66"/>
      <c r="E6" s="66"/>
      <c r="F6" s="66"/>
      <c r="G6" s="357">
        <v>397255</v>
      </c>
      <c r="H6" s="357">
        <f>J6-G6</f>
        <v>63262.125870000047</v>
      </c>
      <c r="I6" s="357"/>
      <c r="J6" s="362">
        <f>L69</f>
        <v>460517.12587000005</v>
      </c>
      <c r="K6" s="341">
        <f>J6/G6</f>
        <v>1.1592481551396459</v>
      </c>
      <c r="L6">
        <f>J6/G6</f>
        <v>1.1592481551396459</v>
      </c>
      <c r="N6" s="61"/>
      <c r="W6" s="348"/>
    </row>
    <row r="7" spans="1:26" ht="18">
      <c r="A7" s="61"/>
      <c r="B7" s="62" t="s">
        <v>115</v>
      </c>
      <c r="C7" s="66"/>
      <c r="D7" s="66"/>
      <c r="E7" s="66"/>
      <c r="F7" s="66"/>
      <c r="G7" s="357">
        <v>191327.52</v>
      </c>
      <c r="H7" s="357">
        <f>J7-G7</f>
        <v>29993.196478400001</v>
      </c>
      <c r="I7" s="357"/>
      <c r="J7" s="357">
        <f>L172+L101</f>
        <v>221320.71647839999</v>
      </c>
      <c r="K7" s="341">
        <f>J7/G7</f>
        <v>1.156763629604356</v>
      </c>
      <c r="L7">
        <f t="shared" ref="L7:L8" si="0">J7/G7</f>
        <v>1.156763629604356</v>
      </c>
      <c r="M7" s="119"/>
      <c r="N7" s="61"/>
      <c r="O7" s="99"/>
    </row>
    <row r="8" spans="1:26">
      <c r="A8" s="61"/>
      <c r="B8" s="61" t="s">
        <v>116</v>
      </c>
      <c r="C8" s="61"/>
      <c r="D8" s="61"/>
      <c r="E8" s="61"/>
      <c r="F8" s="61"/>
      <c r="G8" s="363">
        <v>40037.480000000003</v>
      </c>
      <c r="H8" s="357">
        <f>J8-G8</f>
        <v>6224.7236975999986</v>
      </c>
      <c r="I8" s="357"/>
      <c r="J8" s="357">
        <f>L120</f>
        <v>46262.203697600002</v>
      </c>
      <c r="K8" s="341">
        <f>J8/G8</f>
        <v>1.1554724147873443</v>
      </c>
      <c r="L8">
        <f t="shared" si="0"/>
        <v>1.1554724147873443</v>
      </c>
      <c r="M8" s="119"/>
      <c r="N8" s="61"/>
      <c r="P8" s="119"/>
      <c r="Q8" s="119"/>
      <c r="R8" s="119"/>
      <c r="S8" s="119"/>
      <c r="T8" s="119"/>
      <c r="U8" s="121"/>
      <c r="V8" s="119"/>
      <c r="W8" s="119"/>
      <c r="X8" s="119"/>
      <c r="Z8" s="337"/>
    </row>
    <row r="9" spans="1:26">
      <c r="A9" s="61"/>
      <c r="B9" s="61" t="s">
        <v>117</v>
      </c>
      <c r="C9" s="61"/>
      <c r="D9" s="61"/>
      <c r="E9" s="61"/>
      <c r="F9" s="61"/>
      <c r="G9" s="358">
        <f>SUM(G6:G8)</f>
        <v>628620</v>
      </c>
      <c r="H9" s="358">
        <f>SUM(H6:H8)</f>
        <v>99480.046046000047</v>
      </c>
      <c r="I9" s="358">
        <f>SUM(I6:I8)</f>
        <v>0</v>
      </c>
      <c r="J9" s="358">
        <f>SUM(J6:J8)</f>
        <v>728100.04604600009</v>
      </c>
      <c r="K9" s="341">
        <f>J9/G9</f>
        <v>1.1582514810950972</v>
      </c>
      <c r="L9" s="365"/>
      <c r="M9" s="119"/>
      <c r="N9" s="61"/>
      <c r="P9" s="119"/>
      <c r="Q9" s="119"/>
      <c r="R9" s="119"/>
      <c r="S9" s="119"/>
      <c r="T9" s="119"/>
      <c r="U9" s="121"/>
      <c r="V9" s="119"/>
      <c r="W9" s="119"/>
      <c r="X9" s="119"/>
      <c r="Z9" s="337"/>
    </row>
    <row r="10" spans="1:26">
      <c r="A10" s="61"/>
      <c r="B10" s="61" t="s">
        <v>118</v>
      </c>
      <c r="C10" s="61"/>
      <c r="D10" s="61"/>
      <c r="E10" s="61"/>
      <c r="F10" s="61"/>
      <c r="G10" s="65"/>
      <c r="N10" s="61"/>
      <c r="P10" s="119"/>
      <c r="Q10" s="119"/>
      <c r="R10" s="119"/>
      <c r="S10" s="119"/>
      <c r="T10" s="119"/>
      <c r="U10" s="121"/>
      <c r="V10" s="119"/>
      <c r="W10" s="119"/>
      <c r="X10" s="119"/>
    </row>
    <row r="11" spans="1:26">
      <c r="A11" s="61"/>
      <c r="B11" s="61"/>
      <c r="C11" s="61"/>
      <c r="D11" s="61"/>
      <c r="E11" s="61"/>
      <c r="F11" s="61"/>
      <c r="G11" s="65"/>
      <c r="N11" s="61"/>
      <c r="P11" s="119"/>
      <c r="Q11" s="119"/>
      <c r="R11" s="119"/>
      <c r="S11" s="119"/>
      <c r="T11" s="119"/>
      <c r="U11" s="121"/>
      <c r="V11" s="119"/>
      <c r="W11" s="119"/>
      <c r="X11" s="119"/>
      <c r="Z11" s="337"/>
    </row>
    <row r="12" spans="1:26">
      <c r="A12" s="61"/>
      <c r="B12" s="61" t="s">
        <v>284</v>
      </c>
      <c r="C12" s="63"/>
      <c r="D12" s="63"/>
      <c r="E12" s="63"/>
      <c r="F12" s="63"/>
      <c r="G12" s="70"/>
      <c r="H12" s="61"/>
      <c r="I12" s="61"/>
      <c r="J12" s="61"/>
      <c r="K12" s="61"/>
      <c r="L12" s="62"/>
      <c r="M12" s="61"/>
      <c r="N12" s="61"/>
      <c r="P12" s="335"/>
      <c r="Q12" s="335"/>
      <c r="R12" s="335"/>
      <c r="S12" s="335"/>
      <c r="T12" s="335"/>
      <c r="U12" s="336"/>
      <c r="V12" s="335"/>
      <c r="W12" s="335"/>
      <c r="X12" s="335"/>
    </row>
    <row r="13" spans="1:26">
      <c r="A13" s="61"/>
      <c r="B13" s="61"/>
      <c r="C13" s="63"/>
      <c r="D13" s="63"/>
      <c r="E13" s="63"/>
      <c r="F13" s="63"/>
      <c r="G13" s="61"/>
      <c r="H13" s="72"/>
      <c r="I13" s="61"/>
      <c r="J13" s="61"/>
      <c r="K13" s="61"/>
      <c r="L13" s="61"/>
      <c r="M13" s="61"/>
      <c r="N13" s="61"/>
      <c r="O13" s="10"/>
      <c r="P13" s="120"/>
      <c r="Q13" s="119"/>
      <c r="R13" s="119"/>
      <c r="S13" s="120"/>
      <c r="T13" s="119"/>
      <c r="U13" s="121"/>
      <c r="V13" s="119"/>
      <c r="W13" s="119"/>
      <c r="X13" s="119"/>
    </row>
    <row r="14" spans="1:26">
      <c r="A14" s="61"/>
      <c r="B14" s="63"/>
      <c r="C14" s="63"/>
      <c r="D14" s="63"/>
      <c r="E14" s="61"/>
      <c r="F14" s="61"/>
      <c r="G14" s="63"/>
      <c r="H14" s="73"/>
      <c r="I14" s="74"/>
      <c r="J14" s="63"/>
      <c r="K14" s="63"/>
      <c r="L14" s="61"/>
      <c r="M14" s="61"/>
      <c r="N14" s="61"/>
      <c r="P14" s="119"/>
      <c r="Q14" s="119"/>
      <c r="R14" s="119"/>
      <c r="S14" s="119"/>
      <c r="T14" s="119"/>
      <c r="U14" s="121"/>
      <c r="V14" s="119"/>
      <c r="W14" s="119"/>
      <c r="X14" s="119"/>
    </row>
    <row r="15" spans="1:26">
      <c r="A15" s="61"/>
      <c r="B15" s="61"/>
      <c r="D15" s="61"/>
      <c r="E15" s="61"/>
      <c r="F15" s="61"/>
      <c r="H15" s="61"/>
      <c r="I15" s="65"/>
      <c r="K15" s="62" t="s">
        <v>646</v>
      </c>
      <c r="L15" s="66"/>
      <c r="M15" s="61"/>
      <c r="P15" s="335"/>
      <c r="Q15" s="335"/>
      <c r="R15" s="335"/>
      <c r="S15" s="335"/>
      <c r="T15" s="335"/>
      <c r="U15" s="336"/>
      <c r="V15" s="335"/>
      <c r="W15" s="335"/>
      <c r="X15" s="335"/>
    </row>
    <row r="16" spans="1:26">
      <c r="A16" s="61"/>
      <c r="B16" s="62" t="s">
        <v>122</v>
      </c>
      <c r="C16" s="8"/>
      <c r="D16" s="68"/>
      <c r="E16" s="68"/>
      <c r="F16" s="66"/>
      <c r="G16" s="8"/>
      <c r="H16" s="123" t="s">
        <v>120</v>
      </c>
      <c r="I16" s="123"/>
      <c r="J16" s="8"/>
      <c r="K16" s="66" t="s">
        <v>120</v>
      </c>
      <c r="L16" s="66" t="s">
        <v>442</v>
      </c>
      <c r="M16" s="68"/>
      <c r="N16" s="8"/>
      <c r="O16" s="10"/>
      <c r="P16" s="120"/>
      <c r="Q16" s="119"/>
      <c r="R16" s="119"/>
      <c r="S16" s="120"/>
      <c r="T16" s="119"/>
      <c r="U16" s="121"/>
      <c r="V16" s="119"/>
      <c r="W16" s="119"/>
      <c r="X16" s="119"/>
    </row>
    <row r="17" spans="1:26">
      <c r="A17" s="61" t="s">
        <v>121</v>
      </c>
      <c r="B17" s="61"/>
      <c r="C17" s="360" t="s">
        <v>123</v>
      </c>
      <c r="D17" s="361"/>
      <c r="E17" s="66" t="s">
        <v>123</v>
      </c>
      <c r="F17" s="66"/>
      <c r="G17" s="8"/>
      <c r="H17" s="66" t="s">
        <v>504</v>
      </c>
      <c r="I17" s="66"/>
      <c r="J17" s="66" t="s">
        <v>646</v>
      </c>
      <c r="K17" s="66" t="s">
        <v>442</v>
      </c>
      <c r="L17" s="66" t="s">
        <v>363</v>
      </c>
      <c r="M17" s="68"/>
      <c r="N17" s="8"/>
      <c r="P17" s="119"/>
      <c r="Q17" s="119"/>
      <c r="R17" s="119"/>
      <c r="S17" s="119"/>
      <c r="T17" s="119"/>
      <c r="U17" s="121"/>
      <c r="V17" s="119"/>
      <c r="W17" s="119"/>
      <c r="X17" s="119"/>
    </row>
    <row r="18" spans="1:26">
      <c r="A18" s="61"/>
      <c r="B18" s="75" t="s">
        <v>116</v>
      </c>
      <c r="C18" s="360" t="s">
        <v>119</v>
      </c>
      <c r="D18" s="361" t="s">
        <v>124</v>
      </c>
      <c r="E18" s="66" t="s">
        <v>119</v>
      </c>
      <c r="F18" s="66" t="s">
        <v>124</v>
      </c>
      <c r="G18" s="8"/>
      <c r="H18" s="66" t="s">
        <v>124</v>
      </c>
      <c r="I18" s="66"/>
      <c r="J18" s="66" t="s">
        <v>125</v>
      </c>
      <c r="K18" s="66" t="s">
        <v>125</v>
      </c>
      <c r="L18" s="66" t="s">
        <v>125</v>
      </c>
      <c r="M18" s="66" t="s">
        <v>647</v>
      </c>
      <c r="N18" s="8"/>
      <c r="O18" s="10"/>
      <c r="P18" s="120"/>
      <c r="Q18" s="119"/>
      <c r="R18" s="119"/>
      <c r="S18" s="120"/>
      <c r="T18" s="119"/>
      <c r="U18" s="121"/>
      <c r="V18" s="119"/>
      <c r="W18" s="119"/>
      <c r="X18" s="119"/>
      <c r="Z18" s="337"/>
    </row>
    <row r="19" spans="1:26">
      <c r="A19" s="61"/>
      <c r="B19" t="s">
        <v>129</v>
      </c>
      <c r="C19" s="360" t="s">
        <v>126</v>
      </c>
      <c r="D19" s="361" t="s">
        <v>127</v>
      </c>
      <c r="E19" s="66" t="s">
        <v>126</v>
      </c>
      <c r="F19" s="66" t="s">
        <v>127</v>
      </c>
      <c r="G19" s="8"/>
      <c r="H19" s="66" t="s">
        <v>128</v>
      </c>
      <c r="I19" s="66"/>
      <c r="J19" s="66" t="s">
        <v>127</v>
      </c>
      <c r="K19" s="66" t="s">
        <v>128</v>
      </c>
      <c r="L19" s="66" t="s">
        <v>128</v>
      </c>
      <c r="M19" s="68" t="s">
        <v>438</v>
      </c>
      <c r="N19" s="66"/>
      <c r="Q19" s="61"/>
      <c r="R19" s="61"/>
      <c r="S19" s="119"/>
      <c r="T19" s="119"/>
      <c r="U19" s="119"/>
      <c r="V19" s="119"/>
      <c r="W19" s="119"/>
    </row>
    <row r="20" spans="1:26">
      <c r="A20" s="61"/>
      <c r="C20" s="350"/>
      <c r="D20" s="351"/>
      <c r="E20" s="62"/>
      <c r="F20" s="62"/>
      <c r="H20" s="62"/>
      <c r="I20" s="66"/>
      <c r="J20" s="340">
        <v>0.15720000000000001</v>
      </c>
      <c r="K20" s="341">
        <v>0.15720000000000001</v>
      </c>
      <c r="L20" s="341">
        <v>0.15720000000000001</v>
      </c>
      <c r="M20" s="61"/>
      <c r="Q20" s="61"/>
      <c r="R20" s="61"/>
      <c r="S20" s="120"/>
      <c r="T20" s="119"/>
      <c r="U20" s="119"/>
      <c r="V20" s="120"/>
      <c r="W20" s="119"/>
    </row>
    <row r="21" spans="1:26">
      <c r="A21" s="61" t="s">
        <v>129</v>
      </c>
      <c r="B21" s="61" t="s">
        <v>130</v>
      </c>
      <c r="C21" s="350">
        <v>64.3</v>
      </c>
      <c r="D21" s="351">
        <v>17.53</v>
      </c>
      <c r="E21" s="76">
        <f t="shared" ref="E21:E44" si="1">D17/12</f>
        <v>0</v>
      </c>
      <c r="F21" s="115">
        <v>17.53</v>
      </c>
      <c r="G21" s="356">
        <v>17.53</v>
      </c>
      <c r="H21" s="77">
        <f>C21*G21</f>
        <v>1127.1790000000001</v>
      </c>
      <c r="I21" s="77"/>
      <c r="J21" s="116">
        <f t="shared" ref="J21:J50" si="2">F21*1.1572</f>
        <v>20.285716000000001</v>
      </c>
      <c r="K21" s="116">
        <f t="shared" ref="K21:K50" si="3">J21*D17</f>
        <v>0</v>
      </c>
      <c r="L21" s="357">
        <f>C21*J21</f>
        <v>1304.3715388000001</v>
      </c>
      <c r="M21" s="341">
        <f>L21/H21</f>
        <v>1.1572</v>
      </c>
      <c r="Q21" s="61"/>
      <c r="R21" s="61"/>
      <c r="S21" s="61"/>
    </row>
    <row r="22" spans="1:26">
      <c r="A22" s="61" t="s">
        <v>129</v>
      </c>
      <c r="B22" s="61" t="s">
        <v>131</v>
      </c>
      <c r="C22" s="350">
        <v>10.3</v>
      </c>
      <c r="D22" s="351">
        <v>11.38</v>
      </c>
      <c r="E22" s="76" t="e">
        <f t="shared" si="1"/>
        <v>#VALUE!</v>
      </c>
      <c r="F22" s="115">
        <v>11.38</v>
      </c>
      <c r="G22" s="356">
        <v>11.38</v>
      </c>
      <c r="H22" s="77">
        <f t="shared" ref="H22:H68" si="4">C22*G22</f>
        <v>117.21400000000001</v>
      </c>
      <c r="I22" s="77"/>
      <c r="J22" s="116">
        <f t="shared" si="2"/>
        <v>13.168936</v>
      </c>
      <c r="K22" s="116" t="e">
        <f t="shared" si="3"/>
        <v>#VALUE!</v>
      </c>
      <c r="L22" s="357">
        <f t="shared" ref="L22:L72" si="5">C22*J22</f>
        <v>135.64004080000001</v>
      </c>
      <c r="M22" s="341">
        <f t="shared" ref="M22:M69" si="6">L22/H22</f>
        <v>1.1572</v>
      </c>
      <c r="Q22" s="61"/>
      <c r="R22" s="61"/>
      <c r="S22" s="61"/>
    </row>
    <row r="23" spans="1:26">
      <c r="A23" s="61" t="s">
        <v>129</v>
      </c>
      <c r="B23" s="61" t="s">
        <v>132</v>
      </c>
      <c r="C23" s="350">
        <v>2</v>
      </c>
      <c r="D23" s="351">
        <v>8.67</v>
      </c>
      <c r="E23" s="76" t="e">
        <f t="shared" si="1"/>
        <v>#VALUE!</v>
      </c>
      <c r="F23" s="115">
        <v>8.67</v>
      </c>
      <c r="G23" s="356">
        <v>8.67</v>
      </c>
      <c r="H23" s="77">
        <f t="shared" si="4"/>
        <v>17.34</v>
      </c>
      <c r="I23" s="77"/>
      <c r="J23" s="116">
        <f t="shared" si="2"/>
        <v>10.032924</v>
      </c>
      <c r="K23" s="116" t="e">
        <f t="shared" si="3"/>
        <v>#VALUE!</v>
      </c>
      <c r="L23" s="357">
        <f t="shared" si="5"/>
        <v>20.065847999999999</v>
      </c>
      <c r="M23" s="341">
        <f t="shared" si="6"/>
        <v>1.1572</v>
      </c>
      <c r="Q23" s="61"/>
      <c r="R23" s="61"/>
      <c r="S23" s="61"/>
    </row>
    <row r="24" spans="1:26">
      <c r="A24" s="61" t="s">
        <v>129</v>
      </c>
      <c r="B24" s="61" t="s">
        <v>133</v>
      </c>
      <c r="C24" s="350">
        <v>3820</v>
      </c>
      <c r="D24" s="351">
        <v>27.38</v>
      </c>
      <c r="E24" s="76">
        <f t="shared" si="1"/>
        <v>0</v>
      </c>
      <c r="F24" s="115">
        <v>27.38</v>
      </c>
      <c r="G24" s="356">
        <v>27.38</v>
      </c>
      <c r="H24" s="77">
        <f t="shared" si="4"/>
        <v>104591.59999999999</v>
      </c>
      <c r="I24" s="77"/>
      <c r="J24" s="116">
        <f t="shared" si="2"/>
        <v>31.684135999999999</v>
      </c>
      <c r="K24" s="116">
        <f t="shared" si="3"/>
        <v>0</v>
      </c>
      <c r="L24" s="357">
        <f t="shared" si="5"/>
        <v>121033.39951999999</v>
      </c>
      <c r="M24" s="341">
        <f t="shared" si="6"/>
        <v>1.1572</v>
      </c>
      <c r="Q24" s="61"/>
      <c r="R24" s="61"/>
      <c r="S24" s="61"/>
    </row>
    <row r="25" spans="1:26">
      <c r="A25" s="61" t="s">
        <v>129</v>
      </c>
      <c r="B25" s="61" t="s">
        <v>134</v>
      </c>
      <c r="C25" s="350">
        <v>979</v>
      </c>
      <c r="D25" s="351">
        <v>19.03</v>
      </c>
      <c r="E25" s="76">
        <f t="shared" si="1"/>
        <v>1.4608333333333334</v>
      </c>
      <c r="F25" s="115">
        <v>19.03</v>
      </c>
      <c r="G25" s="356">
        <v>19.03</v>
      </c>
      <c r="H25" s="77">
        <f t="shared" si="4"/>
        <v>18630.370000000003</v>
      </c>
      <c r="I25" s="77"/>
      <c r="J25" s="116">
        <f t="shared" si="2"/>
        <v>22.021516000000002</v>
      </c>
      <c r="K25" s="116">
        <f t="shared" si="3"/>
        <v>386.03717548000003</v>
      </c>
      <c r="L25" s="357">
        <f t="shared" si="5"/>
        <v>21559.064164000003</v>
      </c>
      <c r="M25" s="341">
        <f t="shared" si="6"/>
        <v>1.1572</v>
      </c>
      <c r="Q25" s="61"/>
      <c r="R25" s="61"/>
      <c r="S25" s="61"/>
    </row>
    <row r="26" spans="1:26">
      <c r="A26" s="61" t="s">
        <v>129</v>
      </c>
      <c r="B26" s="61" t="s">
        <v>135</v>
      </c>
      <c r="C26" s="350">
        <v>216</v>
      </c>
      <c r="D26" s="351">
        <v>10.51</v>
      </c>
      <c r="E26" s="76">
        <f t="shared" si="1"/>
        <v>0.94833333333333336</v>
      </c>
      <c r="F26" s="115">
        <v>10.51</v>
      </c>
      <c r="G26" s="356">
        <v>10.51</v>
      </c>
      <c r="H26" s="77">
        <f t="shared" si="4"/>
        <v>2270.16</v>
      </c>
      <c r="I26" s="77"/>
      <c r="J26" s="116">
        <f t="shared" si="2"/>
        <v>12.162172</v>
      </c>
      <c r="K26" s="116">
        <f t="shared" si="3"/>
        <v>138.40551736</v>
      </c>
      <c r="L26" s="357">
        <f t="shared" si="5"/>
        <v>2627.0291520000001</v>
      </c>
      <c r="M26" s="341">
        <f t="shared" si="6"/>
        <v>1.1572</v>
      </c>
      <c r="Q26" s="61"/>
      <c r="R26" s="61"/>
      <c r="S26" s="61"/>
    </row>
    <row r="27" spans="1:26">
      <c r="A27" s="61" t="s">
        <v>129</v>
      </c>
      <c r="B27" s="61" t="s">
        <v>136</v>
      </c>
      <c r="C27" s="350">
        <v>2579</v>
      </c>
      <c r="D27" s="351">
        <v>32.380000000000003</v>
      </c>
      <c r="E27" s="76">
        <f t="shared" si="1"/>
        <v>0.72250000000000003</v>
      </c>
      <c r="F27" s="115">
        <v>32.380000000000003</v>
      </c>
      <c r="G27" s="356">
        <v>32.380000000000003</v>
      </c>
      <c r="H27" s="77">
        <f t="shared" si="4"/>
        <v>83508.02</v>
      </c>
      <c r="I27" s="77"/>
      <c r="J27" s="116">
        <f t="shared" si="2"/>
        <v>37.470136000000004</v>
      </c>
      <c r="K27" s="116">
        <f t="shared" si="3"/>
        <v>324.86607912000005</v>
      </c>
      <c r="L27" s="357">
        <f t="shared" si="5"/>
        <v>96635.480744000015</v>
      </c>
      <c r="M27" s="341">
        <f t="shared" si="6"/>
        <v>1.1572000000000002</v>
      </c>
      <c r="Q27" s="61"/>
      <c r="R27" s="61"/>
      <c r="S27" s="61"/>
    </row>
    <row r="28" spans="1:26">
      <c r="A28" s="61" t="s">
        <v>129</v>
      </c>
      <c r="B28" s="61" t="s">
        <v>137</v>
      </c>
      <c r="C28" s="350">
        <v>50.5</v>
      </c>
      <c r="D28" s="351">
        <v>27.19</v>
      </c>
      <c r="E28" s="76">
        <f t="shared" si="1"/>
        <v>2.2816666666666667</v>
      </c>
      <c r="F28" s="115">
        <v>27.19</v>
      </c>
      <c r="G28" s="356">
        <v>27.19</v>
      </c>
      <c r="H28" s="77">
        <f t="shared" si="4"/>
        <v>1373.095</v>
      </c>
      <c r="I28" s="77"/>
      <c r="J28" s="116">
        <f t="shared" si="2"/>
        <v>31.464268000000001</v>
      </c>
      <c r="K28" s="116">
        <f t="shared" si="3"/>
        <v>861.49165784000002</v>
      </c>
      <c r="L28" s="357">
        <f t="shared" si="5"/>
        <v>1588.945534</v>
      </c>
      <c r="M28" s="341">
        <f t="shared" si="6"/>
        <v>1.1572</v>
      </c>
      <c r="Q28" s="61"/>
      <c r="R28" s="61"/>
      <c r="S28" s="61"/>
    </row>
    <row r="29" spans="1:26">
      <c r="A29" s="61" t="s">
        <v>129</v>
      </c>
      <c r="B29" s="61" t="s">
        <v>138</v>
      </c>
      <c r="C29" s="350">
        <v>0</v>
      </c>
      <c r="D29" s="351">
        <v>17.34</v>
      </c>
      <c r="E29" s="76">
        <f t="shared" si="1"/>
        <v>1.5858333333333334</v>
      </c>
      <c r="F29" s="115">
        <v>17.34</v>
      </c>
      <c r="G29" s="356">
        <v>17.34</v>
      </c>
      <c r="H29" s="77">
        <f t="shared" si="4"/>
        <v>0</v>
      </c>
      <c r="I29" s="77"/>
      <c r="J29" s="116">
        <f t="shared" si="2"/>
        <v>20.065847999999999</v>
      </c>
      <c r="K29" s="116">
        <f t="shared" si="3"/>
        <v>381.85308744000002</v>
      </c>
      <c r="L29" s="357">
        <f t="shared" si="5"/>
        <v>0</v>
      </c>
      <c r="M29" s="341"/>
      <c r="Q29" s="61"/>
      <c r="R29" s="61"/>
      <c r="S29" s="61"/>
    </row>
    <row r="30" spans="1:26">
      <c r="A30" s="61" t="s">
        <v>129</v>
      </c>
      <c r="B30" s="61" t="s">
        <v>139</v>
      </c>
      <c r="C30" s="350">
        <v>174</v>
      </c>
      <c r="D30" s="351">
        <v>37.69</v>
      </c>
      <c r="E30" s="76">
        <f t="shared" si="1"/>
        <v>0.87583333333333335</v>
      </c>
      <c r="F30" s="115">
        <v>37.69</v>
      </c>
      <c r="G30" s="356">
        <v>37.69</v>
      </c>
      <c r="H30" s="77">
        <f t="shared" si="4"/>
        <v>6558.0599999999995</v>
      </c>
      <c r="I30" s="77"/>
      <c r="J30" s="116">
        <f t="shared" si="2"/>
        <v>43.614867999999994</v>
      </c>
      <c r="K30" s="116">
        <f t="shared" si="3"/>
        <v>458.39226267999993</v>
      </c>
      <c r="L30" s="357">
        <f t="shared" si="5"/>
        <v>7588.9870319999991</v>
      </c>
      <c r="M30" s="341">
        <f t="shared" si="6"/>
        <v>1.1572</v>
      </c>
      <c r="Q30" s="61"/>
      <c r="R30" s="61"/>
      <c r="S30" s="61"/>
    </row>
    <row r="31" spans="1:26">
      <c r="A31" s="61" t="s">
        <v>129</v>
      </c>
      <c r="B31" s="61" t="s">
        <v>140</v>
      </c>
      <c r="C31" s="350">
        <v>0</v>
      </c>
      <c r="D31" s="351">
        <v>30.88</v>
      </c>
      <c r="E31" s="76">
        <f t="shared" si="1"/>
        <v>2.6983333333333337</v>
      </c>
      <c r="F31" s="115">
        <v>30.88</v>
      </c>
      <c r="G31" s="356">
        <v>30.88</v>
      </c>
      <c r="H31" s="77">
        <f t="shared" si="4"/>
        <v>0</v>
      </c>
      <c r="I31" s="77"/>
      <c r="J31" s="116">
        <f t="shared" si="2"/>
        <v>35.734335999999999</v>
      </c>
      <c r="K31" s="116">
        <f t="shared" si="3"/>
        <v>1157.07779968</v>
      </c>
      <c r="L31" s="357">
        <f t="shared" si="5"/>
        <v>0</v>
      </c>
      <c r="M31" s="341"/>
      <c r="Q31" s="61"/>
      <c r="R31" s="61"/>
      <c r="S31" s="61"/>
    </row>
    <row r="32" spans="1:26">
      <c r="A32" s="61" t="s">
        <v>129</v>
      </c>
      <c r="B32" s="61" t="s">
        <v>141</v>
      </c>
      <c r="C32" s="350">
        <v>0</v>
      </c>
      <c r="D32" s="351">
        <v>20.66</v>
      </c>
      <c r="E32" s="76">
        <f t="shared" si="1"/>
        <v>2.2658333333333336</v>
      </c>
      <c r="F32" s="115">
        <v>20.66</v>
      </c>
      <c r="G32" s="356">
        <v>20.66</v>
      </c>
      <c r="H32" s="77">
        <f t="shared" si="4"/>
        <v>0</v>
      </c>
      <c r="I32" s="77"/>
      <c r="J32" s="116">
        <f t="shared" si="2"/>
        <v>23.907751999999999</v>
      </c>
      <c r="K32" s="116">
        <f t="shared" si="3"/>
        <v>650.05177688000003</v>
      </c>
      <c r="L32" s="357">
        <f t="shared" si="5"/>
        <v>0</v>
      </c>
      <c r="M32" s="341"/>
      <c r="Q32" s="61"/>
      <c r="R32" s="61"/>
      <c r="S32" s="61"/>
    </row>
    <row r="33" spans="1:21">
      <c r="A33" s="61" t="s">
        <v>129</v>
      </c>
      <c r="B33" s="61" t="s">
        <v>142</v>
      </c>
      <c r="C33" s="350">
        <v>78</v>
      </c>
      <c r="D33" s="351">
        <v>42.86</v>
      </c>
      <c r="E33" s="76">
        <f t="shared" si="1"/>
        <v>1.4450000000000001</v>
      </c>
      <c r="F33" s="115">
        <v>42.86</v>
      </c>
      <c r="G33" s="356">
        <v>42.86</v>
      </c>
      <c r="H33" s="77">
        <f t="shared" si="4"/>
        <v>3343.08</v>
      </c>
      <c r="I33" s="77"/>
      <c r="J33" s="116">
        <f t="shared" si="2"/>
        <v>49.597591999999999</v>
      </c>
      <c r="K33" s="116">
        <f t="shared" si="3"/>
        <v>860.02224527999999</v>
      </c>
      <c r="L33" s="357">
        <f t="shared" si="5"/>
        <v>3868.6121760000001</v>
      </c>
      <c r="M33" s="341">
        <f t="shared" si="6"/>
        <v>1.1572</v>
      </c>
      <c r="Q33" s="61"/>
      <c r="R33" s="61"/>
      <c r="S33" s="61"/>
    </row>
    <row r="34" spans="1:21">
      <c r="A34" s="61" t="s">
        <v>129</v>
      </c>
      <c r="B34" s="61" t="s">
        <v>143</v>
      </c>
      <c r="C34" s="350">
        <v>0</v>
      </c>
      <c r="D34" s="351">
        <v>36.21</v>
      </c>
      <c r="E34" s="76">
        <f t="shared" si="1"/>
        <v>3.1408333333333331</v>
      </c>
      <c r="F34" s="115">
        <v>36.21</v>
      </c>
      <c r="G34" s="356">
        <v>36.21</v>
      </c>
      <c r="H34" s="77">
        <f t="shared" si="4"/>
        <v>0</v>
      </c>
      <c r="I34" s="77"/>
      <c r="J34" s="116">
        <f t="shared" si="2"/>
        <v>41.902211999999999</v>
      </c>
      <c r="K34" s="116">
        <f t="shared" si="3"/>
        <v>1579.2943702799998</v>
      </c>
      <c r="L34" s="357">
        <f t="shared" si="5"/>
        <v>0</v>
      </c>
      <c r="M34" s="341"/>
      <c r="Q34" s="61"/>
      <c r="R34" s="61"/>
      <c r="S34" s="61"/>
    </row>
    <row r="35" spans="1:21">
      <c r="A35" s="61" t="s">
        <v>129</v>
      </c>
      <c r="B35" s="61" t="s">
        <v>144</v>
      </c>
      <c r="C35" s="350">
        <v>0</v>
      </c>
      <c r="D35" s="351">
        <v>23.9</v>
      </c>
      <c r="E35" s="76">
        <f t="shared" si="1"/>
        <v>2.5733333333333333</v>
      </c>
      <c r="F35" s="115">
        <v>23.9</v>
      </c>
      <c r="G35" s="356">
        <v>23.9</v>
      </c>
      <c r="H35" s="77">
        <f t="shared" si="4"/>
        <v>0</v>
      </c>
      <c r="I35" s="77"/>
      <c r="J35" s="116">
        <f t="shared" si="2"/>
        <v>27.657079999999997</v>
      </c>
      <c r="K35" s="116">
        <f t="shared" si="3"/>
        <v>854.05063039999993</v>
      </c>
      <c r="L35" s="357">
        <f t="shared" si="5"/>
        <v>0</v>
      </c>
      <c r="M35" s="341"/>
      <c r="Q35" s="61"/>
      <c r="R35" s="61"/>
      <c r="S35" s="61"/>
    </row>
    <row r="36" spans="1:21">
      <c r="A36" s="61" t="s">
        <v>129</v>
      </c>
      <c r="B36" s="61" t="s">
        <v>145</v>
      </c>
      <c r="C36" s="350">
        <v>12</v>
      </c>
      <c r="D36" s="351">
        <v>48.03</v>
      </c>
      <c r="E36" s="76">
        <f t="shared" si="1"/>
        <v>1.7216666666666667</v>
      </c>
      <c r="F36" s="115">
        <v>48.03</v>
      </c>
      <c r="G36" s="356">
        <v>48.03</v>
      </c>
      <c r="H36" s="77">
        <f t="shared" si="4"/>
        <v>576.36</v>
      </c>
      <c r="I36" s="77"/>
      <c r="J36" s="116">
        <f t="shared" si="2"/>
        <v>55.580316000000003</v>
      </c>
      <c r="K36" s="116">
        <f t="shared" si="3"/>
        <v>1148.2893285600001</v>
      </c>
      <c r="L36" s="357">
        <f t="shared" si="5"/>
        <v>666.96379200000001</v>
      </c>
      <c r="M36" s="341">
        <f t="shared" si="6"/>
        <v>1.1572</v>
      </c>
      <c r="Q36" s="61"/>
      <c r="R36" s="61"/>
      <c r="S36" s="61"/>
    </row>
    <row r="37" spans="1:21">
      <c r="A37" s="61" t="s">
        <v>129</v>
      </c>
      <c r="B37" s="87" t="s">
        <v>258</v>
      </c>
      <c r="C37" s="350">
        <v>12</v>
      </c>
      <c r="D37" s="351">
        <v>53.19</v>
      </c>
      <c r="E37" s="76">
        <f t="shared" si="1"/>
        <v>3.5716666666666668</v>
      </c>
      <c r="F37" s="115">
        <v>53.19</v>
      </c>
      <c r="G37" s="356">
        <v>53.19</v>
      </c>
      <c r="H37" s="77">
        <f t="shared" si="4"/>
        <v>638.28</v>
      </c>
      <c r="I37" s="77"/>
      <c r="J37" s="116">
        <f t="shared" si="2"/>
        <v>61.551468</v>
      </c>
      <c r="K37" s="116">
        <f t="shared" si="3"/>
        <v>2638.0959184799999</v>
      </c>
      <c r="L37" s="357">
        <f t="shared" si="5"/>
        <v>738.617616</v>
      </c>
      <c r="M37" s="341">
        <f t="shared" si="6"/>
        <v>1.1572</v>
      </c>
      <c r="Q37" s="61"/>
      <c r="R37" s="61"/>
      <c r="S37" s="61"/>
    </row>
    <row r="38" spans="1:21">
      <c r="A38" s="61" t="s">
        <v>129</v>
      </c>
      <c r="B38" s="61" t="s">
        <v>146</v>
      </c>
      <c r="C38" s="350">
        <v>357.8</v>
      </c>
      <c r="D38" s="351">
        <v>33.01</v>
      </c>
      <c r="E38" s="76">
        <f t="shared" si="1"/>
        <v>3.0175000000000001</v>
      </c>
      <c r="F38" s="115">
        <v>33.01</v>
      </c>
      <c r="G38" s="356">
        <v>33.01</v>
      </c>
      <c r="H38" s="77">
        <f t="shared" si="4"/>
        <v>11810.977999999999</v>
      </c>
      <c r="I38" s="77"/>
      <c r="J38" s="116">
        <f t="shared" si="2"/>
        <v>38.199171999999997</v>
      </c>
      <c r="K38" s="116">
        <f t="shared" si="3"/>
        <v>1383.1920181199998</v>
      </c>
      <c r="L38" s="357">
        <f t="shared" si="5"/>
        <v>13667.663741599999</v>
      </c>
      <c r="M38" s="341">
        <f t="shared" si="6"/>
        <v>1.1572</v>
      </c>
      <c r="Q38" s="61"/>
      <c r="R38" s="61"/>
      <c r="S38" s="61"/>
    </row>
    <row r="39" spans="1:21">
      <c r="A39" s="61" t="s">
        <v>129</v>
      </c>
      <c r="B39" s="61" t="s">
        <v>147</v>
      </c>
      <c r="C39" s="350">
        <v>93.5</v>
      </c>
      <c r="D39" s="351">
        <v>28.7</v>
      </c>
      <c r="E39" s="76">
        <f t="shared" si="1"/>
        <v>1.9916666666666665</v>
      </c>
      <c r="F39" s="115">
        <v>28.7</v>
      </c>
      <c r="G39" s="356">
        <v>28.7</v>
      </c>
      <c r="H39" s="77">
        <f t="shared" si="4"/>
        <v>2683.45</v>
      </c>
      <c r="I39" s="77"/>
      <c r="J39" s="116">
        <f t="shared" si="2"/>
        <v>33.211640000000003</v>
      </c>
      <c r="K39" s="116">
        <f t="shared" si="3"/>
        <v>793.758196</v>
      </c>
      <c r="L39" s="357">
        <f t="shared" si="5"/>
        <v>3105.2883400000001</v>
      </c>
      <c r="M39" s="341">
        <f t="shared" si="6"/>
        <v>1.1572</v>
      </c>
      <c r="Q39" s="61"/>
      <c r="R39" s="61"/>
      <c r="S39" s="61"/>
    </row>
    <row r="40" spans="1:21">
      <c r="A40" s="61" t="s">
        <v>129</v>
      </c>
      <c r="B40" s="61" t="s">
        <v>148</v>
      </c>
      <c r="C40" s="350">
        <v>12</v>
      </c>
      <c r="D40" s="351">
        <v>18.89</v>
      </c>
      <c r="E40" s="76">
        <f t="shared" si="1"/>
        <v>4.0025000000000004</v>
      </c>
      <c r="F40" s="115">
        <v>18.89</v>
      </c>
      <c r="G40" s="356">
        <v>18.89</v>
      </c>
      <c r="H40" s="77">
        <f t="shared" si="4"/>
        <v>226.68</v>
      </c>
      <c r="I40" s="77"/>
      <c r="J40" s="116">
        <f t="shared" si="2"/>
        <v>21.859508000000002</v>
      </c>
      <c r="K40" s="116">
        <f t="shared" si="3"/>
        <v>1049.9121692400001</v>
      </c>
      <c r="L40" s="357">
        <f t="shared" si="5"/>
        <v>262.31409600000001</v>
      </c>
      <c r="M40" s="341">
        <f t="shared" si="6"/>
        <v>1.1572</v>
      </c>
      <c r="Q40" s="61"/>
      <c r="R40" s="61"/>
      <c r="S40" s="61"/>
    </row>
    <row r="41" spans="1:21">
      <c r="A41" s="61" t="s">
        <v>129</v>
      </c>
      <c r="B41" s="61" t="s">
        <v>149</v>
      </c>
      <c r="C41" s="350">
        <v>1355</v>
      </c>
      <c r="D41" s="351">
        <v>39.36</v>
      </c>
      <c r="E41" s="76">
        <f t="shared" si="1"/>
        <v>4.4325000000000001</v>
      </c>
      <c r="F41" s="115">
        <v>39.36</v>
      </c>
      <c r="G41" s="356">
        <v>39.36</v>
      </c>
      <c r="H41" s="77">
        <f t="shared" si="4"/>
        <v>53332.799999999996</v>
      </c>
      <c r="I41" s="77"/>
      <c r="J41" s="116">
        <f t="shared" si="2"/>
        <v>45.547392000000002</v>
      </c>
      <c r="K41" s="116">
        <f t="shared" si="3"/>
        <v>2422.6657804800002</v>
      </c>
      <c r="L41" s="357">
        <f t="shared" si="5"/>
        <v>61716.716160000004</v>
      </c>
      <c r="M41" s="341">
        <f t="shared" si="6"/>
        <v>1.1572000000000002</v>
      </c>
      <c r="Q41" s="61"/>
      <c r="R41" s="61"/>
      <c r="S41" s="61"/>
    </row>
    <row r="42" spans="1:21">
      <c r="A42" s="61" t="s">
        <v>129</v>
      </c>
      <c r="B42" s="61" t="s">
        <v>150</v>
      </c>
      <c r="C42" s="350">
        <v>334.9</v>
      </c>
      <c r="D42" s="351">
        <v>32.630000000000003</v>
      </c>
      <c r="E42" s="76">
        <f t="shared" si="1"/>
        <v>2.750833333333333</v>
      </c>
      <c r="F42" s="115">
        <v>32.630000000000003</v>
      </c>
      <c r="G42" s="356">
        <v>32.630000000000003</v>
      </c>
      <c r="H42" s="77">
        <f t="shared" si="4"/>
        <v>10927.787</v>
      </c>
      <c r="I42" s="77"/>
      <c r="J42" s="116">
        <f t="shared" si="2"/>
        <v>37.759436000000001</v>
      </c>
      <c r="K42" s="116">
        <f t="shared" si="3"/>
        <v>1246.43898236</v>
      </c>
      <c r="L42" s="357">
        <f t="shared" si="5"/>
        <v>12645.635116399999</v>
      </c>
      <c r="M42" s="341">
        <f t="shared" si="6"/>
        <v>1.1571999999999998</v>
      </c>
      <c r="Q42" s="61"/>
      <c r="R42" s="61"/>
      <c r="S42" s="61"/>
    </row>
    <row r="43" spans="1:21">
      <c r="A43" s="61" t="s">
        <v>129</v>
      </c>
      <c r="B43" s="61" t="s">
        <v>151</v>
      </c>
      <c r="C43" s="350">
        <v>142</v>
      </c>
      <c r="D43" s="351">
        <v>21</v>
      </c>
      <c r="E43" s="76">
        <f t="shared" si="1"/>
        <v>2.3916666666666666</v>
      </c>
      <c r="F43" s="115">
        <v>21</v>
      </c>
      <c r="G43" s="356">
        <v>21</v>
      </c>
      <c r="H43" s="77">
        <f t="shared" si="4"/>
        <v>2982</v>
      </c>
      <c r="I43" s="77"/>
      <c r="J43" s="116">
        <f t="shared" si="2"/>
        <v>24.301200000000001</v>
      </c>
      <c r="K43" s="116">
        <f t="shared" si="3"/>
        <v>697.44443999999999</v>
      </c>
      <c r="L43" s="357">
        <f t="shared" si="5"/>
        <v>3450.7704000000003</v>
      </c>
      <c r="M43" s="341">
        <f t="shared" si="6"/>
        <v>1.1572</v>
      </c>
      <c r="Q43" s="61"/>
      <c r="R43" s="61"/>
      <c r="S43" s="61"/>
    </row>
    <row r="44" spans="1:21">
      <c r="A44" s="61" t="s">
        <v>129</v>
      </c>
      <c r="B44" s="61" t="s">
        <v>259</v>
      </c>
      <c r="C44" s="350">
        <v>123.6</v>
      </c>
      <c r="D44" s="351">
        <v>59.56</v>
      </c>
      <c r="E44" s="76">
        <f t="shared" si="1"/>
        <v>1.5741666666666667</v>
      </c>
      <c r="F44" s="116">
        <v>59.56</v>
      </c>
      <c r="G44" s="356">
        <v>59.56</v>
      </c>
      <c r="H44" s="77">
        <f t="shared" si="4"/>
        <v>7361.616</v>
      </c>
      <c r="I44" s="77"/>
      <c r="J44" s="116">
        <f t="shared" si="2"/>
        <v>68.922832</v>
      </c>
      <c r="K44" s="116">
        <f t="shared" si="3"/>
        <v>1301.9522964800001</v>
      </c>
      <c r="L44" s="357">
        <f t="shared" si="5"/>
        <v>8518.8620351999998</v>
      </c>
      <c r="M44" s="341">
        <f t="shared" si="6"/>
        <v>1.1572</v>
      </c>
      <c r="Q44" s="61"/>
      <c r="R44" s="61"/>
      <c r="S44" s="61"/>
    </row>
    <row r="45" spans="1:21">
      <c r="A45" s="61" t="s">
        <v>129</v>
      </c>
      <c r="B45" s="61" t="s">
        <v>265</v>
      </c>
      <c r="C45" s="350">
        <v>1278</v>
      </c>
      <c r="D45" s="351">
        <v>38.08</v>
      </c>
      <c r="E45" s="76"/>
      <c r="F45" s="115">
        <v>38.08</v>
      </c>
      <c r="G45" s="356">
        <v>38.08</v>
      </c>
      <c r="H45" s="77">
        <f t="shared" si="4"/>
        <v>48666.239999999998</v>
      </c>
      <c r="I45" s="77"/>
      <c r="J45" s="116">
        <f t="shared" si="2"/>
        <v>44.066175999999999</v>
      </c>
      <c r="K45" s="116">
        <f t="shared" si="3"/>
        <v>1734.44468736</v>
      </c>
      <c r="L45" s="357">
        <f t="shared" si="5"/>
        <v>56316.572928000001</v>
      </c>
      <c r="M45" s="341">
        <f t="shared" si="6"/>
        <v>1.1572</v>
      </c>
      <c r="Q45" s="61"/>
      <c r="R45" s="61"/>
      <c r="S45" s="61"/>
      <c r="U45" s="61"/>
    </row>
    <row r="46" spans="1:21">
      <c r="A46" s="61" t="s">
        <v>129</v>
      </c>
      <c r="B46" s="61" t="s">
        <v>266</v>
      </c>
      <c r="C46" s="350">
        <v>1185.2</v>
      </c>
      <c r="D46" s="352">
        <v>20.66</v>
      </c>
      <c r="E46" s="76">
        <f>D42/12</f>
        <v>2.7191666666666667</v>
      </c>
      <c r="F46" s="115">
        <v>20.66</v>
      </c>
      <c r="G46" s="356">
        <v>20.66</v>
      </c>
      <c r="H46" s="77">
        <f t="shared" si="4"/>
        <v>24486.232</v>
      </c>
      <c r="I46" s="77"/>
      <c r="J46" s="116">
        <f t="shared" si="2"/>
        <v>23.907751999999999</v>
      </c>
      <c r="K46" s="116">
        <f t="shared" si="3"/>
        <v>780.10994776000007</v>
      </c>
      <c r="L46" s="357">
        <f t="shared" si="5"/>
        <v>28335.467670399998</v>
      </c>
      <c r="M46" s="341">
        <f t="shared" si="6"/>
        <v>1.1572</v>
      </c>
      <c r="Q46" s="61"/>
      <c r="R46" s="61"/>
      <c r="S46" s="61"/>
    </row>
    <row r="47" spans="1:21">
      <c r="A47" s="61" t="s">
        <v>129</v>
      </c>
      <c r="B47" s="61" t="s">
        <v>167</v>
      </c>
      <c r="C47" s="350">
        <v>46</v>
      </c>
      <c r="D47" s="350">
        <v>34.17</v>
      </c>
      <c r="E47" s="88"/>
      <c r="F47" s="90">
        <v>34.17</v>
      </c>
      <c r="G47">
        <v>34.17</v>
      </c>
      <c r="H47" s="77">
        <f t="shared" si="4"/>
        <v>1571.8200000000002</v>
      </c>
      <c r="I47" s="77"/>
      <c r="J47" s="116">
        <f t="shared" si="2"/>
        <v>39.541524000000003</v>
      </c>
      <c r="K47" s="116">
        <f t="shared" si="3"/>
        <v>830.37200400000006</v>
      </c>
      <c r="L47" s="357">
        <f t="shared" si="5"/>
        <v>1818.910104</v>
      </c>
      <c r="M47" s="341">
        <f t="shared" si="6"/>
        <v>1.1572</v>
      </c>
      <c r="Q47" s="61"/>
      <c r="R47" s="61"/>
      <c r="S47" s="61"/>
    </row>
    <row r="48" spans="1:21">
      <c r="A48" s="61" t="s">
        <v>129</v>
      </c>
      <c r="B48" s="61" t="s">
        <v>168</v>
      </c>
      <c r="C48" s="350">
        <v>130.5</v>
      </c>
      <c r="D48" s="350">
        <v>44.08</v>
      </c>
      <c r="E48" s="88"/>
      <c r="F48" s="90">
        <v>44.08</v>
      </c>
      <c r="G48">
        <v>44.08</v>
      </c>
      <c r="H48" s="77">
        <f t="shared" si="4"/>
        <v>5752.44</v>
      </c>
      <c r="I48" s="77"/>
      <c r="J48" s="116">
        <f t="shared" si="2"/>
        <v>51.009375999999996</v>
      </c>
      <c r="K48" s="116">
        <f t="shared" si="3"/>
        <v>3038.11843456</v>
      </c>
      <c r="L48" s="357">
        <f t="shared" si="5"/>
        <v>6656.7235679999994</v>
      </c>
      <c r="M48" s="341">
        <f t="shared" si="6"/>
        <v>1.1572</v>
      </c>
      <c r="Q48" s="61"/>
      <c r="R48" s="61"/>
      <c r="S48" s="61"/>
    </row>
    <row r="49" spans="1:19">
      <c r="A49" s="61" t="s">
        <v>129</v>
      </c>
      <c r="B49" s="61" t="s">
        <v>169</v>
      </c>
      <c r="C49" s="350">
        <v>169</v>
      </c>
      <c r="D49" s="351">
        <v>2.56</v>
      </c>
      <c r="E49" s="88"/>
      <c r="F49" s="90">
        <v>2.56</v>
      </c>
      <c r="G49">
        <v>2.56</v>
      </c>
      <c r="H49" s="77">
        <f t="shared" si="4"/>
        <v>432.64</v>
      </c>
      <c r="I49" s="77"/>
      <c r="J49" s="116">
        <f t="shared" si="2"/>
        <v>2.9624320000000002</v>
      </c>
      <c r="K49" s="116">
        <f t="shared" si="3"/>
        <v>112.80941056</v>
      </c>
      <c r="L49" s="357">
        <f t="shared" si="5"/>
        <v>500.65100800000005</v>
      </c>
      <c r="M49" s="341">
        <f t="shared" si="6"/>
        <v>1.1572000000000002</v>
      </c>
      <c r="Q49" s="61"/>
      <c r="R49" s="61"/>
      <c r="S49" s="61"/>
    </row>
    <row r="50" spans="1:19">
      <c r="A50" s="69" t="s">
        <v>129</v>
      </c>
      <c r="B50" s="69" t="s">
        <v>170</v>
      </c>
      <c r="C50" s="350">
        <v>52.7</v>
      </c>
      <c r="D50" s="350">
        <v>42.72</v>
      </c>
      <c r="E50" s="128">
        <f>D46/12</f>
        <v>1.7216666666666667</v>
      </c>
      <c r="F50" s="129">
        <v>42.72</v>
      </c>
      <c r="G50">
        <v>42.72</v>
      </c>
      <c r="H50" s="77">
        <f t="shared" si="4"/>
        <v>2251.3440000000001</v>
      </c>
      <c r="I50" s="77"/>
      <c r="J50" s="116">
        <f t="shared" si="2"/>
        <v>49.435583999999999</v>
      </c>
      <c r="K50" s="116">
        <f t="shared" si="3"/>
        <v>1021.33916544</v>
      </c>
      <c r="L50" s="357">
        <f t="shared" si="5"/>
        <v>2605.2552768</v>
      </c>
      <c r="M50" s="341">
        <f t="shared" si="6"/>
        <v>1.1572</v>
      </c>
      <c r="Q50" s="61"/>
      <c r="R50" s="61"/>
      <c r="S50" s="61"/>
    </row>
    <row r="51" spans="1:19">
      <c r="B51" s="61" t="s">
        <v>508</v>
      </c>
      <c r="C51" s="350"/>
      <c r="D51" s="351"/>
      <c r="E51" s="127" t="e">
        <f>SUM(E21:E44)</f>
        <v>#VALUE!</v>
      </c>
      <c r="H51" s="77">
        <f t="shared" si="4"/>
        <v>0</v>
      </c>
      <c r="I51" s="19"/>
      <c r="J51" s="116"/>
      <c r="K51" s="116"/>
      <c r="L51" s="357">
        <f t="shared" si="5"/>
        <v>0</v>
      </c>
      <c r="M51" s="341"/>
      <c r="Q51" s="61"/>
      <c r="R51" s="61"/>
      <c r="S51" s="61"/>
    </row>
    <row r="52" spans="1:19">
      <c r="C52" s="350"/>
      <c r="D52" s="351"/>
      <c r="H52" s="77">
        <f t="shared" si="4"/>
        <v>0</v>
      </c>
      <c r="I52" s="19"/>
      <c r="J52" s="95"/>
      <c r="K52" s="116"/>
      <c r="L52" s="357">
        <f t="shared" si="5"/>
        <v>0</v>
      </c>
      <c r="M52" s="341"/>
      <c r="Q52" s="61"/>
      <c r="R52" s="61"/>
      <c r="S52" s="61"/>
    </row>
    <row r="53" spans="1:19">
      <c r="B53" s="81" t="s">
        <v>264</v>
      </c>
      <c r="C53" s="350"/>
      <c r="D53" s="351"/>
      <c r="E53" s="61"/>
      <c r="F53" s="115"/>
      <c r="H53" s="82">
        <f>SUM(H21:H52)</f>
        <v>395236.78499999997</v>
      </c>
      <c r="I53" s="82"/>
      <c r="J53" s="104"/>
      <c r="K53" s="342" t="e">
        <f>SUM(K20:K52)</f>
        <v>#VALUE!</v>
      </c>
      <c r="L53" s="358">
        <f>SUM(L20:L52)</f>
        <v>457368.16480200004</v>
      </c>
      <c r="M53" s="341">
        <f t="shared" si="6"/>
        <v>1.1572003977362584</v>
      </c>
      <c r="N53" s="348"/>
      <c r="Q53" s="61"/>
      <c r="R53" s="61"/>
      <c r="S53" s="61"/>
    </row>
    <row r="54" spans="1:19">
      <c r="C54" s="350"/>
      <c r="D54" s="351"/>
      <c r="H54" s="77">
        <f t="shared" si="4"/>
        <v>0</v>
      </c>
      <c r="I54" s="19"/>
      <c r="J54" s="95"/>
      <c r="K54" s="116"/>
      <c r="L54" s="357">
        <f t="shared" si="5"/>
        <v>0</v>
      </c>
      <c r="M54" s="341"/>
      <c r="Q54" s="61"/>
      <c r="R54" s="61"/>
      <c r="S54" s="61"/>
    </row>
    <row r="55" spans="1:19">
      <c r="A55" s="61"/>
      <c r="B55" s="75" t="s">
        <v>152</v>
      </c>
      <c r="C55" s="350"/>
      <c r="D55" s="351"/>
      <c r="E55" s="61"/>
      <c r="F55" s="115"/>
      <c r="H55" s="77">
        <f t="shared" si="4"/>
        <v>0</v>
      </c>
      <c r="I55" s="77"/>
      <c r="J55" s="95"/>
      <c r="K55" s="116"/>
      <c r="L55" s="357">
        <f t="shared" si="5"/>
        <v>0</v>
      </c>
      <c r="M55" s="341"/>
      <c r="Q55" s="61"/>
      <c r="R55" s="61"/>
      <c r="S55" s="61"/>
    </row>
    <row r="56" spans="1:19">
      <c r="A56" s="61" t="s">
        <v>129</v>
      </c>
      <c r="B56" s="61" t="s">
        <v>153</v>
      </c>
      <c r="C56" s="350">
        <v>246</v>
      </c>
      <c r="D56" s="351">
        <v>7.97</v>
      </c>
      <c r="E56" s="61"/>
      <c r="F56" s="115">
        <v>7.97</v>
      </c>
      <c r="G56" s="356">
        <v>7.97</v>
      </c>
      <c r="H56" s="77">
        <f t="shared" si="4"/>
        <v>1960.62</v>
      </c>
      <c r="I56" s="19"/>
      <c r="J56" s="95">
        <f t="shared" ref="J56:J65" si="7">F56*1.1572</f>
        <v>9.2228840000000005</v>
      </c>
      <c r="K56" s="116">
        <f t="shared" ref="K56:K62" si="8">D52*J56</f>
        <v>0</v>
      </c>
      <c r="L56" s="357">
        <f t="shared" si="5"/>
        <v>2268.8294639999999</v>
      </c>
      <c r="M56" s="341">
        <f t="shared" si="6"/>
        <v>1.1572</v>
      </c>
      <c r="Q56" s="61"/>
      <c r="R56" s="61"/>
      <c r="S56" s="61"/>
    </row>
    <row r="57" spans="1:19">
      <c r="A57" s="61" t="s">
        <v>129</v>
      </c>
      <c r="B57" s="61" t="s">
        <v>154</v>
      </c>
      <c r="C57" s="350">
        <v>0</v>
      </c>
      <c r="D57" s="351">
        <v>4.18</v>
      </c>
      <c r="E57" s="61"/>
      <c r="F57" s="115">
        <v>4.18</v>
      </c>
      <c r="G57" s="356">
        <v>4.18</v>
      </c>
      <c r="H57" s="77">
        <f t="shared" si="4"/>
        <v>0</v>
      </c>
      <c r="I57" s="19"/>
      <c r="J57" s="95">
        <f t="shared" si="7"/>
        <v>4.8370959999999998</v>
      </c>
      <c r="K57" s="116">
        <f t="shared" si="8"/>
        <v>0</v>
      </c>
      <c r="L57" s="357">
        <f t="shared" si="5"/>
        <v>0</v>
      </c>
      <c r="M57" s="341"/>
      <c r="Q57" s="61"/>
      <c r="R57" s="61"/>
      <c r="S57" s="61"/>
    </row>
    <row r="58" spans="1:19">
      <c r="A58" s="61" t="s">
        <v>129</v>
      </c>
      <c r="B58" s="61" t="s">
        <v>155</v>
      </c>
      <c r="C58" s="350">
        <v>3</v>
      </c>
      <c r="D58" s="351">
        <v>10.02</v>
      </c>
      <c r="E58" s="61"/>
      <c r="F58" s="115">
        <v>10.02</v>
      </c>
      <c r="G58" s="356">
        <v>10.02</v>
      </c>
      <c r="H58" s="77">
        <f t="shared" si="4"/>
        <v>30.06</v>
      </c>
      <c r="I58" s="19"/>
      <c r="J58" s="95">
        <f t="shared" si="7"/>
        <v>11.595143999999999</v>
      </c>
      <c r="K58" s="116">
        <f t="shared" si="8"/>
        <v>0</v>
      </c>
      <c r="L58" s="357">
        <f t="shared" si="5"/>
        <v>34.785432</v>
      </c>
      <c r="M58" s="341">
        <f t="shared" si="6"/>
        <v>1.1572</v>
      </c>
      <c r="Q58" s="61"/>
      <c r="R58" s="61"/>
      <c r="S58" s="61"/>
    </row>
    <row r="59" spans="1:19">
      <c r="A59" s="61" t="s">
        <v>129</v>
      </c>
      <c r="B59" s="61" t="s">
        <v>156</v>
      </c>
      <c r="C59" s="350">
        <v>8</v>
      </c>
      <c r="D59" s="350">
        <v>13.36</v>
      </c>
      <c r="E59" s="61"/>
      <c r="F59" s="115">
        <v>13.36</v>
      </c>
      <c r="G59" s="356">
        <v>13.36</v>
      </c>
      <c r="H59" s="77">
        <f t="shared" si="4"/>
        <v>106.88</v>
      </c>
      <c r="I59" s="19"/>
      <c r="J59" s="95">
        <f t="shared" si="7"/>
        <v>15.460191999999999</v>
      </c>
      <c r="K59" s="116">
        <f t="shared" si="8"/>
        <v>0</v>
      </c>
      <c r="L59" s="357">
        <f t="shared" si="5"/>
        <v>123.68153599999999</v>
      </c>
      <c r="M59" s="341">
        <f t="shared" si="6"/>
        <v>1.1572</v>
      </c>
      <c r="Q59" s="61"/>
      <c r="R59" s="61"/>
      <c r="S59" s="61"/>
    </row>
    <row r="60" spans="1:19">
      <c r="A60" s="61" t="s">
        <v>129</v>
      </c>
      <c r="B60" s="61" t="s">
        <v>157</v>
      </c>
      <c r="C60" s="350">
        <v>19</v>
      </c>
      <c r="D60" s="351">
        <v>7.85</v>
      </c>
      <c r="E60" s="61"/>
      <c r="F60" s="115">
        <v>7.85</v>
      </c>
      <c r="G60" s="356">
        <v>7.85</v>
      </c>
      <c r="H60" s="77">
        <f t="shared" si="4"/>
        <v>149.15</v>
      </c>
      <c r="I60" s="19"/>
      <c r="J60" s="95">
        <f t="shared" si="7"/>
        <v>9.0840199999999989</v>
      </c>
      <c r="K60" s="116">
        <f t="shared" si="8"/>
        <v>72.399639399999984</v>
      </c>
      <c r="L60" s="357">
        <f t="shared" si="5"/>
        <v>172.59637999999998</v>
      </c>
      <c r="M60" s="341">
        <f t="shared" si="6"/>
        <v>1.1571999999999998</v>
      </c>
      <c r="Q60" s="61"/>
      <c r="R60" s="61"/>
      <c r="S60" s="61"/>
    </row>
    <row r="61" spans="1:19">
      <c r="A61" s="61" t="s">
        <v>129</v>
      </c>
      <c r="B61" s="61" t="s">
        <v>158</v>
      </c>
      <c r="C61" s="350">
        <v>34</v>
      </c>
      <c r="D61" s="353">
        <v>10.72</v>
      </c>
      <c r="E61" s="61"/>
      <c r="F61" s="115">
        <v>10.72</v>
      </c>
      <c r="G61" s="356">
        <v>10.72</v>
      </c>
      <c r="H61" s="77">
        <f t="shared" si="4"/>
        <v>364.48</v>
      </c>
      <c r="I61" s="19"/>
      <c r="J61" s="95">
        <f t="shared" si="7"/>
        <v>12.405184</v>
      </c>
      <c r="K61" s="116">
        <f t="shared" si="8"/>
        <v>51.853669119999999</v>
      </c>
      <c r="L61" s="357">
        <f t="shared" si="5"/>
        <v>421.77625599999999</v>
      </c>
      <c r="M61" s="341">
        <f t="shared" si="6"/>
        <v>1.1572</v>
      </c>
      <c r="Q61" s="61"/>
      <c r="R61" s="61"/>
      <c r="S61" s="61"/>
    </row>
    <row r="62" spans="1:19">
      <c r="A62" s="61" t="s">
        <v>129</v>
      </c>
      <c r="B62" s="69" t="s">
        <v>159</v>
      </c>
      <c r="C62" s="350">
        <v>0</v>
      </c>
      <c r="D62" s="350">
        <v>11.11</v>
      </c>
      <c r="E62" s="61"/>
      <c r="F62" s="115">
        <v>11.11</v>
      </c>
      <c r="G62" s="356">
        <v>11.11</v>
      </c>
      <c r="H62" s="77">
        <f t="shared" si="4"/>
        <v>0</v>
      </c>
      <c r="I62" s="19"/>
      <c r="J62" s="95">
        <f t="shared" si="7"/>
        <v>12.856491999999999</v>
      </c>
      <c r="K62" s="116">
        <f t="shared" si="8"/>
        <v>128.82204983999998</v>
      </c>
      <c r="L62" s="357">
        <f t="shared" si="5"/>
        <v>0</v>
      </c>
      <c r="M62" s="341">
        <f>J62/G62</f>
        <v>1.1572</v>
      </c>
      <c r="Q62" s="61"/>
      <c r="R62" s="61"/>
      <c r="S62" s="61"/>
    </row>
    <row r="63" spans="1:19">
      <c r="A63" s="61" t="s">
        <v>129</v>
      </c>
      <c r="B63" s="61" t="s">
        <v>275</v>
      </c>
      <c r="C63" s="350"/>
      <c r="D63" s="351"/>
      <c r="H63" s="77">
        <v>85</v>
      </c>
      <c r="I63" s="19"/>
      <c r="J63" s="95">
        <f t="shared" si="7"/>
        <v>0</v>
      </c>
      <c r="K63" s="95">
        <f>I63*1.1572</f>
        <v>0</v>
      </c>
      <c r="L63" s="357">
        <f>H63*1.1572</f>
        <v>98.361999999999995</v>
      </c>
      <c r="M63" s="341"/>
      <c r="S63" s="61"/>
    </row>
    <row r="64" spans="1:19">
      <c r="A64" s="61" t="s">
        <v>129</v>
      </c>
      <c r="B64" s="61" t="s">
        <v>276</v>
      </c>
      <c r="C64" s="350"/>
      <c r="D64" s="350"/>
      <c r="E64" s="61"/>
      <c r="H64" s="77">
        <f t="shared" si="4"/>
        <v>0</v>
      </c>
      <c r="I64" s="125"/>
      <c r="J64" s="95">
        <f t="shared" si="7"/>
        <v>0</v>
      </c>
      <c r="K64" s="95"/>
      <c r="L64" s="357">
        <f t="shared" si="5"/>
        <v>0</v>
      </c>
      <c r="M64" s="341"/>
      <c r="S64" s="61"/>
    </row>
    <row r="65" spans="1:19">
      <c r="A65" s="61" t="s">
        <v>129</v>
      </c>
      <c r="B65" s="61" t="s">
        <v>278</v>
      </c>
      <c r="C65" s="350"/>
      <c r="D65" s="350"/>
      <c r="E65" s="331"/>
      <c r="F65" s="331"/>
      <c r="H65" s="77">
        <v>25</v>
      </c>
      <c r="I65" s="148"/>
      <c r="J65" s="95">
        <f t="shared" si="7"/>
        <v>0</v>
      </c>
      <c r="K65" s="95">
        <f>I65*1.1572</f>
        <v>0</v>
      </c>
      <c r="L65" s="357">
        <f>H65*1.1572</f>
        <v>28.93</v>
      </c>
      <c r="M65" s="341"/>
      <c r="S65" s="61"/>
    </row>
    <row r="66" spans="1:19">
      <c r="C66" s="350"/>
      <c r="D66" s="350"/>
      <c r="H66" s="77">
        <f t="shared" si="4"/>
        <v>0</v>
      </c>
      <c r="I66" s="19"/>
      <c r="J66" s="116"/>
      <c r="K66" s="95"/>
      <c r="L66" s="357">
        <f t="shared" si="5"/>
        <v>0</v>
      </c>
      <c r="M66" s="341"/>
      <c r="S66" s="61"/>
    </row>
    <row r="67" spans="1:19">
      <c r="B67" s="81" t="s">
        <v>160</v>
      </c>
      <c r="C67" s="350"/>
      <c r="D67" s="350"/>
      <c r="E67" s="61"/>
      <c r="F67" s="115"/>
      <c r="H67" s="82">
        <f>SUM(H54:H66)</f>
        <v>2721.19</v>
      </c>
      <c r="I67" s="77"/>
      <c r="J67" s="77"/>
      <c r="K67" s="77">
        <f t="shared" ref="K67:L67" si="9">SUM(K54:K66)</f>
        <v>253.07535835999997</v>
      </c>
      <c r="L67" s="82">
        <f t="shared" si="9"/>
        <v>3148.9610680000001</v>
      </c>
      <c r="M67" s="341">
        <f t="shared" si="6"/>
        <v>1.1572</v>
      </c>
      <c r="S67" s="61"/>
    </row>
    <row r="68" spans="1:19">
      <c r="C68" s="350"/>
      <c r="D68" s="350"/>
      <c r="H68" s="82">
        <f t="shared" si="4"/>
        <v>0</v>
      </c>
      <c r="I68" s="19"/>
      <c r="J68" s="95"/>
      <c r="K68" s="95"/>
      <c r="L68" s="358">
        <f t="shared" si="5"/>
        <v>0</v>
      </c>
      <c r="M68" s="341"/>
      <c r="S68" s="61"/>
    </row>
    <row r="69" spans="1:19">
      <c r="B69" s="10" t="s">
        <v>505</v>
      </c>
      <c r="C69" s="350"/>
      <c r="D69" s="350"/>
      <c r="H69" s="82">
        <f>H67+H53</f>
        <v>397957.97499999998</v>
      </c>
      <c r="I69" s="24"/>
      <c r="J69" s="24">
        <f t="shared" ref="J69:K69" si="10">J67+J53</f>
        <v>0</v>
      </c>
      <c r="K69" s="24" t="e">
        <f t="shared" si="10"/>
        <v>#VALUE!</v>
      </c>
      <c r="L69" s="358">
        <f>L67+L53</f>
        <v>460517.12587000005</v>
      </c>
      <c r="M69" s="341">
        <f t="shared" si="6"/>
        <v>1.1572003950165846</v>
      </c>
      <c r="N69" s="347"/>
      <c r="S69" s="61"/>
    </row>
    <row r="70" spans="1:19">
      <c r="B70" s="10" t="s">
        <v>506</v>
      </c>
      <c r="C70" s="350"/>
      <c r="D70" s="351"/>
      <c r="H70" s="77">
        <v>397255</v>
      </c>
      <c r="I70" s="24"/>
      <c r="J70" s="95"/>
      <c r="K70" s="95"/>
      <c r="L70" s="357">
        <f t="shared" si="5"/>
        <v>0</v>
      </c>
      <c r="M70" s="341"/>
      <c r="S70" s="61"/>
    </row>
    <row r="71" spans="1:19">
      <c r="B71" s="10" t="s">
        <v>507</v>
      </c>
      <c r="C71" s="350"/>
      <c r="D71" s="351"/>
      <c r="H71" s="77">
        <f>H69-H70</f>
        <v>702.97499999997672</v>
      </c>
      <c r="I71" s="126"/>
      <c r="J71" s="95"/>
      <c r="K71" s="95"/>
      <c r="L71" s="357">
        <f t="shared" si="5"/>
        <v>0</v>
      </c>
      <c r="M71" s="341"/>
      <c r="S71" s="61"/>
    </row>
    <row r="72" spans="1:19">
      <c r="C72" s="350"/>
      <c r="D72" s="351"/>
      <c r="H72" s="364">
        <f>H71/H70</f>
        <v>1.7695812513372437E-3</v>
      </c>
      <c r="I72" s="19"/>
      <c r="J72" s="95"/>
      <c r="K72" s="95"/>
      <c r="L72" s="357">
        <f t="shared" si="5"/>
        <v>0</v>
      </c>
      <c r="M72" s="341"/>
      <c r="S72" s="61"/>
    </row>
    <row r="73" spans="1:19">
      <c r="I73" s="19"/>
      <c r="J73" s="95"/>
      <c r="K73" s="95"/>
      <c r="L73" s="357">
        <f>C75*J73</f>
        <v>0</v>
      </c>
      <c r="M73" s="341"/>
      <c r="S73" s="61"/>
    </row>
    <row r="74" spans="1:19">
      <c r="A74" s="61"/>
      <c r="B74" s="83" t="s">
        <v>161</v>
      </c>
      <c r="I74" s="77"/>
      <c r="J74" s="116"/>
      <c r="K74" s="116"/>
      <c r="L74" s="357">
        <f>C76*J74</f>
        <v>0</v>
      </c>
      <c r="M74" s="341"/>
      <c r="S74" s="61"/>
    </row>
    <row r="75" spans="1:19">
      <c r="A75" s="61" t="s">
        <v>162</v>
      </c>
      <c r="B75" s="61" t="s">
        <v>163</v>
      </c>
      <c r="C75" s="350">
        <v>1061.2</v>
      </c>
      <c r="D75" s="351">
        <v>20.66</v>
      </c>
      <c r="G75">
        <v>20.66</v>
      </c>
      <c r="H75" s="77">
        <f>C75*G75</f>
        <v>21924.392</v>
      </c>
      <c r="I75" s="124"/>
      <c r="J75" s="116">
        <f t="shared" ref="J75:J99" si="11">F77*1.1572</f>
        <v>23.907751999999999</v>
      </c>
      <c r="K75" s="116">
        <f t="shared" ref="K75:K76" si="12">J75*D71</f>
        <v>0</v>
      </c>
      <c r="L75" s="357">
        <f>C75*J75</f>
        <v>25370.906422399999</v>
      </c>
      <c r="M75" s="341"/>
      <c r="S75" s="61"/>
    </row>
    <row r="76" spans="1:19">
      <c r="A76" s="61" t="s">
        <v>162</v>
      </c>
      <c r="B76" s="61" t="s">
        <v>164</v>
      </c>
      <c r="C76" s="350">
        <v>3810.5</v>
      </c>
      <c r="D76" s="351">
        <v>38.08</v>
      </c>
      <c r="E76" s="61"/>
      <c r="F76" s="115"/>
      <c r="G76">
        <v>38.08</v>
      </c>
      <c r="H76" s="77">
        <f t="shared" ref="H76:H91" si="13">C76*G76</f>
        <v>145103.84</v>
      </c>
      <c r="I76" s="124"/>
      <c r="J76" s="116">
        <f t="shared" si="11"/>
        <v>44.066175999999999</v>
      </c>
      <c r="K76" s="116">
        <f t="shared" si="12"/>
        <v>0</v>
      </c>
      <c r="L76" s="357">
        <f t="shared" ref="L76:L91" si="14">C76*J76</f>
        <v>167914.16364799999</v>
      </c>
      <c r="M76" s="341"/>
      <c r="S76" s="61"/>
    </row>
    <row r="77" spans="1:19">
      <c r="A77" s="61" t="s">
        <v>162</v>
      </c>
      <c r="B77" s="61" t="s">
        <v>165</v>
      </c>
      <c r="C77" s="350">
        <v>166</v>
      </c>
      <c r="D77" s="350">
        <v>38.08</v>
      </c>
      <c r="E77" s="88">
        <f>D71/12</f>
        <v>0</v>
      </c>
      <c r="F77" s="90">
        <v>20.66</v>
      </c>
      <c r="G77">
        <v>38.08</v>
      </c>
      <c r="H77" s="77">
        <f t="shared" si="13"/>
        <v>6321.28</v>
      </c>
      <c r="I77" s="124"/>
      <c r="J77" s="116">
        <f t="shared" si="11"/>
        <v>44.066175999999999</v>
      </c>
      <c r="K77" s="116">
        <f t="shared" ref="K77:K99" si="15">J77*D75</f>
        <v>910.40719616000001</v>
      </c>
      <c r="L77" s="357">
        <f t="shared" si="14"/>
        <v>7314.985216</v>
      </c>
      <c r="M77" s="341"/>
      <c r="S77" s="61"/>
    </row>
    <row r="78" spans="1:19">
      <c r="A78" s="61" t="s">
        <v>162</v>
      </c>
      <c r="B78" s="61" t="s">
        <v>166</v>
      </c>
      <c r="C78" s="350">
        <v>14</v>
      </c>
      <c r="D78" s="350">
        <v>53.28</v>
      </c>
      <c r="E78" s="88"/>
      <c r="F78" s="90">
        <v>38.08</v>
      </c>
      <c r="G78">
        <v>53.28</v>
      </c>
      <c r="H78" s="77">
        <f t="shared" si="13"/>
        <v>745.92000000000007</v>
      </c>
      <c r="I78" s="124"/>
      <c r="J78" s="116">
        <f t="shared" si="11"/>
        <v>61.655616000000002</v>
      </c>
      <c r="K78" s="116">
        <f t="shared" si="15"/>
        <v>2347.84585728</v>
      </c>
      <c r="L78" s="357">
        <f t="shared" si="14"/>
        <v>863.17862400000001</v>
      </c>
      <c r="M78" s="341"/>
      <c r="S78" s="61"/>
    </row>
    <row r="79" spans="1:19">
      <c r="A79" s="61" t="s">
        <v>162</v>
      </c>
      <c r="B79" s="61" t="s">
        <v>167</v>
      </c>
      <c r="C79" s="350"/>
      <c r="D79" s="350"/>
      <c r="E79" s="88"/>
      <c r="F79" s="90">
        <v>38.08</v>
      </c>
      <c r="H79" s="77">
        <f t="shared" si="13"/>
        <v>0</v>
      </c>
      <c r="I79" s="124"/>
      <c r="J79" s="116">
        <f t="shared" si="11"/>
        <v>0</v>
      </c>
      <c r="K79" s="116">
        <f t="shared" si="15"/>
        <v>0</v>
      </c>
      <c r="L79" s="357">
        <f t="shared" si="14"/>
        <v>0</v>
      </c>
      <c r="M79" s="341"/>
      <c r="S79" s="61"/>
    </row>
    <row r="80" spans="1:19">
      <c r="A80" s="61" t="s">
        <v>162</v>
      </c>
      <c r="B80" s="61" t="s">
        <v>168</v>
      </c>
      <c r="C80" s="350"/>
      <c r="D80" s="350"/>
      <c r="E80" s="88"/>
      <c r="F80" s="90">
        <v>53.28</v>
      </c>
      <c r="H80" s="77">
        <f t="shared" si="13"/>
        <v>0</v>
      </c>
      <c r="I80" s="124"/>
      <c r="J80" s="116">
        <f t="shared" si="11"/>
        <v>0</v>
      </c>
      <c r="K80" s="116">
        <f t="shared" si="15"/>
        <v>0</v>
      </c>
      <c r="L80" s="357">
        <f t="shared" si="14"/>
        <v>0</v>
      </c>
      <c r="M80" s="341"/>
      <c r="S80" s="61"/>
    </row>
    <row r="81" spans="1:19">
      <c r="A81" s="61" t="s">
        <v>162</v>
      </c>
      <c r="B81" s="61" t="s">
        <v>169</v>
      </c>
      <c r="C81" s="350"/>
      <c r="D81" s="351"/>
      <c r="H81" s="77">
        <f t="shared" si="13"/>
        <v>0</v>
      </c>
      <c r="I81" s="124"/>
      <c r="J81" s="116">
        <f t="shared" si="11"/>
        <v>0</v>
      </c>
      <c r="K81" s="116">
        <f t="shared" si="15"/>
        <v>0</v>
      </c>
      <c r="L81" s="357">
        <f t="shared" si="14"/>
        <v>0</v>
      </c>
      <c r="M81" s="341"/>
      <c r="S81" s="61"/>
    </row>
    <row r="82" spans="1:19">
      <c r="A82" s="61" t="s">
        <v>162</v>
      </c>
      <c r="B82" s="61" t="s">
        <v>170</v>
      </c>
      <c r="C82" s="350"/>
      <c r="D82" s="351"/>
      <c r="H82" s="77">
        <f t="shared" si="13"/>
        <v>0</v>
      </c>
      <c r="I82" s="124"/>
      <c r="J82" s="116">
        <f t="shared" si="11"/>
        <v>0</v>
      </c>
      <c r="K82" s="116">
        <f t="shared" si="15"/>
        <v>0</v>
      </c>
      <c r="L82" s="357">
        <f t="shared" si="14"/>
        <v>0</v>
      </c>
      <c r="M82" s="341"/>
      <c r="S82" s="61"/>
    </row>
    <row r="83" spans="1:19">
      <c r="A83" s="61" t="s">
        <v>171</v>
      </c>
      <c r="B83" s="61" t="s">
        <v>172</v>
      </c>
      <c r="C83" s="350">
        <v>1014</v>
      </c>
      <c r="D83" s="351">
        <v>6.39</v>
      </c>
      <c r="G83">
        <v>6.39</v>
      </c>
      <c r="H83" s="77">
        <f t="shared" si="13"/>
        <v>6479.46</v>
      </c>
      <c r="I83" s="124"/>
      <c r="J83" s="116">
        <f t="shared" si="11"/>
        <v>7.3945080000000001</v>
      </c>
      <c r="K83" s="116">
        <f t="shared" si="15"/>
        <v>0</v>
      </c>
      <c r="L83" s="357">
        <f t="shared" si="14"/>
        <v>7498.0311119999997</v>
      </c>
      <c r="M83" s="341"/>
      <c r="S83" s="61"/>
    </row>
    <row r="84" spans="1:19">
      <c r="A84" s="61" t="s">
        <v>171</v>
      </c>
      <c r="B84" s="61" t="s">
        <v>173</v>
      </c>
      <c r="C84" s="350" t="s">
        <v>661</v>
      </c>
      <c r="D84" s="351">
        <v>24.13</v>
      </c>
      <c r="G84">
        <v>24.13</v>
      </c>
      <c r="H84" s="77"/>
      <c r="I84" s="124"/>
      <c r="J84" s="116">
        <f t="shared" si="11"/>
        <v>27.923235999999999</v>
      </c>
      <c r="K84" s="116">
        <f t="shared" si="15"/>
        <v>0</v>
      </c>
      <c r="L84" s="357"/>
      <c r="M84" s="341"/>
      <c r="S84" s="61"/>
    </row>
    <row r="85" spans="1:19">
      <c r="A85" s="61" t="s">
        <v>171</v>
      </c>
      <c r="B85" s="61" t="s">
        <v>174</v>
      </c>
      <c r="C85" s="350">
        <v>2</v>
      </c>
      <c r="D85" s="351">
        <v>13.9</v>
      </c>
      <c r="E85" s="88"/>
      <c r="F85" s="90">
        <v>6.39</v>
      </c>
      <c r="G85">
        <v>13.9</v>
      </c>
      <c r="H85" s="77">
        <f t="shared" si="13"/>
        <v>27.8</v>
      </c>
      <c r="I85" s="124"/>
      <c r="J85" s="116">
        <f t="shared" si="11"/>
        <v>16.085080000000001</v>
      </c>
      <c r="K85" s="116">
        <f t="shared" si="15"/>
        <v>102.7836612</v>
      </c>
      <c r="L85" s="357">
        <f t="shared" si="14"/>
        <v>32.170160000000003</v>
      </c>
      <c r="M85" s="341"/>
      <c r="S85" s="61"/>
    </row>
    <row r="86" spans="1:19">
      <c r="A86" s="61" t="s">
        <v>171</v>
      </c>
      <c r="B86" s="61" t="s">
        <v>175</v>
      </c>
      <c r="C86" s="350">
        <v>10</v>
      </c>
      <c r="D86" s="351">
        <v>13.9</v>
      </c>
      <c r="E86" s="88"/>
      <c r="F86" s="90">
        <v>24.13</v>
      </c>
      <c r="G86">
        <v>13.9</v>
      </c>
      <c r="H86" s="77">
        <f t="shared" si="13"/>
        <v>139</v>
      </c>
      <c r="I86" s="124"/>
      <c r="J86" s="116">
        <f t="shared" si="11"/>
        <v>16.085080000000001</v>
      </c>
      <c r="K86" s="116">
        <f t="shared" si="15"/>
        <v>388.13298040000001</v>
      </c>
      <c r="L86" s="357">
        <f t="shared" si="14"/>
        <v>160.85080000000002</v>
      </c>
      <c r="M86" s="341"/>
      <c r="S86" s="61"/>
    </row>
    <row r="87" spans="1:19">
      <c r="A87" s="61" t="s">
        <v>171</v>
      </c>
      <c r="B87" s="61" t="s">
        <v>176</v>
      </c>
      <c r="C87" s="350">
        <v>55</v>
      </c>
      <c r="D87" s="351">
        <v>8.1</v>
      </c>
      <c r="E87" s="88"/>
      <c r="F87" s="90">
        <v>13.9</v>
      </c>
      <c r="G87">
        <v>8.1</v>
      </c>
      <c r="H87" s="77">
        <f t="shared" si="13"/>
        <v>445.5</v>
      </c>
      <c r="I87" s="124"/>
      <c r="J87" s="116">
        <f t="shared" si="11"/>
        <v>9.3733199999999997</v>
      </c>
      <c r="K87" s="116">
        <f t="shared" si="15"/>
        <v>130.28914800000001</v>
      </c>
      <c r="L87" s="357">
        <f t="shared" si="14"/>
        <v>515.5326</v>
      </c>
      <c r="M87" s="341"/>
      <c r="S87" s="61"/>
    </row>
    <row r="88" spans="1:19">
      <c r="A88" s="61" t="s">
        <v>171</v>
      </c>
      <c r="B88" s="61" t="s">
        <v>177</v>
      </c>
      <c r="C88" s="350" t="s">
        <v>661</v>
      </c>
      <c r="D88" s="351">
        <v>24.13</v>
      </c>
      <c r="E88" s="88"/>
      <c r="F88" s="90">
        <v>13.9</v>
      </c>
      <c r="G88">
        <v>24.13</v>
      </c>
      <c r="H88" s="77"/>
      <c r="I88" s="124"/>
      <c r="J88" s="116">
        <f t="shared" si="11"/>
        <v>27.923235999999999</v>
      </c>
      <c r="K88" s="116">
        <f t="shared" si="15"/>
        <v>388.13298040000001</v>
      </c>
      <c r="L88" s="357"/>
      <c r="M88" s="341"/>
      <c r="S88" s="61"/>
    </row>
    <row r="89" spans="1:19">
      <c r="A89" s="61" t="s">
        <v>171</v>
      </c>
      <c r="B89" s="61" t="s">
        <v>178</v>
      </c>
      <c r="C89" s="350" t="s">
        <v>661</v>
      </c>
      <c r="D89" s="351">
        <v>14.02</v>
      </c>
      <c r="E89" s="88"/>
      <c r="F89" s="90">
        <v>8.1</v>
      </c>
      <c r="G89">
        <v>14.02</v>
      </c>
      <c r="H89" s="77"/>
      <c r="I89" s="124"/>
      <c r="J89" s="116">
        <f t="shared" si="11"/>
        <v>16.223943999999999</v>
      </c>
      <c r="K89" s="116">
        <f t="shared" si="15"/>
        <v>131.41394639999999</v>
      </c>
      <c r="L89" s="357"/>
      <c r="M89" s="341"/>
      <c r="S89" s="61"/>
    </row>
    <row r="90" spans="1:19">
      <c r="A90" s="61" t="s">
        <v>171</v>
      </c>
      <c r="B90" s="61" t="s">
        <v>179</v>
      </c>
      <c r="C90" s="350" t="s">
        <v>661</v>
      </c>
      <c r="D90" s="351">
        <v>13.9</v>
      </c>
      <c r="E90" s="88"/>
      <c r="F90" s="90">
        <v>24.13</v>
      </c>
      <c r="G90">
        <v>13.9</v>
      </c>
      <c r="H90" s="77"/>
      <c r="I90" s="124"/>
      <c r="J90" s="116">
        <f t="shared" si="11"/>
        <v>16.085080000000001</v>
      </c>
      <c r="K90" s="116">
        <f t="shared" si="15"/>
        <v>388.13298040000001</v>
      </c>
      <c r="L90" s="357"/>
      <c r="M90" s="341"/>
      <c r="S90" s="61"/>
    </row>
    <row r="91" spans="1:19">
      <c r="A91" s="61" t="s">
        <v>171</v>
      </c>
      <c r="B91" s="61" t="s">
        <v>180</v>
      </c>
      <c r="C91" s="350">
        <v>717.5</v>
      </c>
      <c r="D91" s="351">
        <v>10.43</v>
      </c>
      <c r="E91" s="88"/>
      <c r="F91" s="90">
        <v>14.02</v>
      </c>
      <c r="G91">
        <v>10.43</v>
      </c>
      <c r="H91" s="77">
        <f t="shared" si="13"/>
        <v>7483.5249999999996</v>
      </c>
      <c r="I91" s="124"/>
      <c r="J91" s="116">
        <f t="shared" si="11"/>
        <v>12.069595999999999</v>
      </c>
      <c r="K91" s="116">
        <f t="shared" si="15"/>
        <v>169.21573591999999</v>
      </c>
      <c r="L91" s="357">
        <f t="shared" si="14"/>
        <v>8659.9351299999998</v>
      </c>
      <c r="M91" s="341"/>
      <c r="S91" s="61"/>
    </row>
    <row r="92" spans="1:19">
      <c r="A92" s="61" t="s">
        <v>171</v>
      </c>
      <c r="B92" s="61" t="s">
        <v>181</v>
      </c>
      <c r="C92" s="350" t="s">
        <v>661</v>
      </c>
      <c r="D92" s="351">
        <v>28.95</v>
      </c>
      <c r="E92" s="88"/>
      <c r="F92" s="90">
        <v>13.9</v>
      </c>
      <c r="G92">
        <v>28.95</v>
      </c>
      <c r="H92" s="77"/>
      <c r="I92" s="124"/>
      <c r="J92" s="116">
        <f t="shared" si="11"/>
        <v>33.50094</v>
      </c>
      <c r="K92" s="116">
        <f t="shared" si="15"/>
        <v>465.66306600000001</v>
      </c>
      <c r="L92" s="357"/>
      <c r="M92" s="341"/>
      <c r="S92" s="61"/>
    </row>
    <row r="93" spans="1:19">
      <c r="A93" s="61" t="s">
        <v>171</v>
      </c>
      <c r="B93" s="61" t="s">
        <v>182</v>
      </c>
      <c r="C93" s="350" t="s">
        <v>661</v>
      </c>
      <c r="D93" s="351">
        <v>17.53</v>
      </c>
      <c r="E93" s="88"/>
      <c r="F93" s="90">
        <v>10.43</v>
      </c>
      <c r="G93">
        <v>17.53</v>
      </c>
      <c r="H93" s="77"/>
      <c r="I93" s="124"/>
      <c r="J93" s="116">
        <f t="shared" si="11"/>
        <v>20.285716000000001</v>
      </c>
      <c r="K93" s="116">
        <f t="shared" si="15"/>
        <v>211.58001788000001</v>
      </c>
      <c r="L93" s="357"/>
      <c r="M93" s="341"/>
      <c r="S93" s="61"/>
    </row>
    <row r="94" spans="1:19">
      <c r="A94" s="61" t="s">
        <v>171</v>
      </c>
      <c r="B94" s="61" t="s">
        <v>183</v>
      </c>
      <c r="C94" s="350" t="s">
        <v>661</v>
      </c>
      <c r="D94" s="351">
        <v>17.38</v>
      </c>
      <c r="E94" s="88"/>
      <c r="F94" s="90">
        <v>28.95</v>
      </c>
      <c r="G94">
        <v>17.38</v>
      </c>
      <c r="H94" s="77"/>
      <c r="I94" s="124"/>
      <c r="J94" s="116">
        <f t="shared" si="11"/>
        <v>20.112136</v>
      </c>
      <c r="K94" s="116">
        <f t="shared" si="15"/>
        <v>582.24633719999997</v>
      </c>
      <c r="L94" s="357"/>
      <c r="M94" s="341"/>
      <c r="S94" s="61"/>
    </row>
    <row r="95" spans="1:19">
      <c r="A95" s="61" t="s">
        <v>171</v>
      </c>
      <c r="B95" s="61" t="s">
        <v>184</v>
      </c>
      <c r="C95" s="350" t="s">
        <v>661</v>
      </c>
      <c r="D95" s="351">
        <v>38.090000000000003</v>
      </c>
      <c r="E95" s="88"/>
      <c r="F95" s="90">
        <v>17.53</v>
      </c>
      <c r="G95">
        <v>38.090000000000003</v>
      </c>
      <c r="H95" s="77"/>
      <c r="I95" s="124"/>
      <c r="J95" s="116">
        <f t="shared" si="11"/>
        <v>44.077748000000007</v>
      </c>
      <c r="K95" s="116">
        <f t="shared" si="15"/>
        <v>772.6829224400002</v>
      </c>
      <c r="L95" s="357"/>
      <c r="M95" s="341"/>
      <c r="S95" s="61"/>
    </row>
    <row r="96" spans="1:19">
      <c r="A96" s="61" t="s">
        <v>171</v>
      </c>
      <c r="B96" s="61" t="s">
        <v>185</v>
      </c>
      <c r="C96" s="350" t="s">
        <v>661</v>
      </c>
      <c r="D96" s="351">
        <v>53.31</v>
      </c>
      <c r="E96" s="88"/>
      <c r="F96" s="90">
        <v>17.38</v>
      </c>
      <c r="G96">
        <v>53.31</v>
      </c>
      <c r="H96" s="77"/>
      <c r="I96" s="124"/>
      <c r="J96" s="116">
        <f t="shared" si="11"/>
        <v>61.690332000000005</v>
      </c>
      <c r="K96" s="116">
        <f t="shared" si="15"/>
        <v>1072.1779701600001</v>
      </c>
      <c r="L96" s="357"/>
      <c r="M96" s="341"/>
      <c r="S96" s="61"/>
    </row>
    <row r="97" spans="1:19">
      <c r="A97" s="61" t="s">
        <v>171</v>
      </c>
      <c r="B97" s="61" t="s">
        <v>186</v>
      </c>
      <c r="C97" s="350" t="s">
        <v>661</v>
      </c>
      <c r="D97" s="352">
        <v>38.090000000000003</v>
      </c>
      <c r="E97" s="88"/>
      <c r="F97" s="90">
        <v>38.090000000000003</v>
      </c>
      <c r="G97">
        <v>38.090000000000003</v>
      </c>
      <c r="H97" s="77"/>
      <c r="I97" s="124"/>
      <c r="J97" s="116">
        <f t="shared" si="11"/>
        <v>44.077748000000007</v>
      </c>
      <c r="K97" s="116">
        <f t="shared" si="15"/>
        <v>1678.9214213200005</v>
      </c>
      <c r="L97" s="357"/>
      <c r="M97" s="341"/>
      <c r="S97" s="61"/>
    </row>
    <row r="98" spans="1:19">
      <c r="A98" s="61" t="s">
        <v>171</v>
      </c>
      <c r="B98" s="61" t="s">
        <v>187</v>
      </c>
      <c r="C98" s="350" t="s">
        <v>661</v>
      </c>
      <c r="D98" s="351">
        <v>44.08</v>
      </c>
      <c r="E98" s="88"/>
      <c r="F98" s="90">
        <v>53.31</v>
      </c>
      <c r="G98">
        <v>44.08</v>
      </c>
      <c r="H98" s="77"/>
      <c r="I98" s="124"/>
      <c r="J98" s="116">
        <f t="shared" si="11"/>
        <v>0</v>
      </c>
      <c r="K98" s="116">
        <f t="shared" si="15"/>
        <v>0</v>
      </c>
      <c r="L98" s="357"/>
      <c r="M98" s="341"/>
      <c r="Q98" s="61"/>
      <c r="R98" s="61"/>
      <c r="S98" s="61"/>
    </row>
    <row r="99" spans="1:19">
      <c r="A99" s="61" t="s">
        <v>171</v>
      </c>
      <c r="B99" s="61" t="s">
        <v>188</v>
      </c>
      <c r="C99" s="350" t="s">
        <v>661</v>
      </c>
      <c r="D99" s="351">
        <v>38.090000000000003</v>
      </c>
      <c r="E99" s="88"/>
      <c r="F99" s="90">
        <v>38.090000000000003</v>
      </c>
      <c r="G99">
        <v>38.090000000000003</v>
      </c>
      <c r="H99" s="77"/>
      <c r="I99" s="80"/>
      <c r="J99" s="116">
        <f t="shared" si="11"/>
        <v>0</v>
      </c>
      <c r="K99" s="116">
        <f t="shared" si="15"/>
        <v>0</v>
      </c>
      <c r="L99" s="357"/>
      <c r="M99" s="341"/>
      <c r="Q99" s="61"/>
      <c r="R99" s="61"/>
      <c r="S99" s="61"/>
    </row>
    <row r="100" spans="1:19">
      <c r="A100" s="61"/>
      <c r="B100" s="61"/>
      <c r="C100" s="350"/>
      <c r="D100" s="350"/>
      <c r="E100" s="88"/>
      <c r="F100" s="90"/>
      <c r="H100" s="77">
        <f t="shared" ref="H100:H119" si="16">C100*G100</f>
        <v>0</v>
      </c>
      <c r="I100" s="124"/>
      <c r="J100" s="116"/>
      <c r="K100" s="116"/>
      <c r="L100" s="357">
        <f t="shared" ref="L100:L104" si="17">C100*J100</f>
        <v>0</v>
      </c>
      <c r="M100" s="341"/>
      <c r="Q100" s="61"/>
      <c r="R100" s="61"/>
      <c r="S100" s="61"/>
    </row>
    <row r="101" spans="1:19">
      <c r="A101" s="61"/>
      <c r="B101" s="10" t="s">
        <v>510</v>
      </c>
      <c r="C101" s="350"/>
      <c r="D101" s="350"/>
      <c r="E101" s="88"/>
      <c r="F101" s="90"/>
      <c r="H101" s="82">
        <f>SUM(H75:H99)</f>
        <v>188670.71699999998</v>
      </c>
      <c r="I101" s="82">
        <f t="shared" ref="I101:L101" si="18">SUM(I75:I99)</f>
        <v>0</v>
      </c>
      <c r="J101" s="82"/>
      <c r="K101" s="82">
        <f t="shared" si="18"/>
        <v>9739.6262211600006</v>
      </c>
      <c r="L101" s="82">
        <f t="shared" si="18"/>
        <v>218329.75371239998</v>
      </c>
      <c r="M101" s="341">
        <f>L101/H101</f>
        <v>1.1572</v>
      </c>
      <c r="N101" s="348"/>
      <c r="Q101" s="61"/>
      <c r="R101" s="61"/>
      <c r="S101" s="61"/>
    </row>
    <row r="102" spans="1:19">
      <c r="A102" s="61"/>
      <c r="B102" s="10" t="s">
        <v>509</v>
      </c>
      <c r="C102" s="350"/>
      <c r="D102" s="351"/>
      <c r="E102" s="61"/>
      <c r="F102" s="115"/>
      <c r="H102" s="77">
        <f t="shared" si="16"/>
        <v>0</v>
      </c>
      <c r="I102" s="82"/>
      <c r="J102" s="116"/>
      <c r="K102" s="116"/>
      <c r="L102" s="357">
        <f t="shared" si="17"/>
        <v>0</v>
      </c>
      <c r="M102" s="341"/>
      <c r="Q102" s="61"/>
      <c r="R102" s="61"/>
      <c r="S102" s="61"/>
    </row>
    <row r="103" spans="1:19">
      <c r="B103" s="10" t="s">
        <v>507</v>
      </c>
      <c r="C103" s="350"/>
      <c r="D103" s="351"/>
      <c r="H103" s="77">
        <f t="shared" si="16"/>
        <v>0</v>
      </c>
      <c r="I103" s="126"/>
      <c r="J103" s="95"/>
      <c r="K103" s="95"/>
      <c r="L103" s="357">
        <f t="shared" si="17"/>
        <v>0</v>
      </c>
      <c r="M103" s="341"/>
      <c r="Q103" s="61"/>
      <c r="R103" s="61"/>
      <c r="S103" s="61"/>
    </row>
    <row r="104" spans="1:19">
      <c r="C104" s="350"/>
      <c r="D104" s="351"/>
      <c r="H104" s="77">
        <f t="shared" si="16"/>
        <v>0</v>
      </c>
      <c r="I104" s="19"/>
      <c r="J104" s="95"/>
      <c r="K104" s="95"/>
      <c r="L104" s="357">
        <f t="shared" si="17"/>
        <v>0</v>
      </c>
      <c r="M104" s="341"/>
      <c r="Q104" s="61"/>
      <c r="R104" s="61"/>
      <c r="S104" s="61"/>
    </row>
    <row r="105" spans="1:19">
      <c r="C105" s="350"/>
      <c r="D105" s="351">
        <v>102.48</v>
      </c>
      <c r="Q105" s="61"/>
      <c r="R105" s="61"/>
      <c r="S105" s="61"/>
    </row>
    <row r="106" spans="1:19">
      <c r="A106" s="61"/>
      <c r="B106" s="62" t="s">
        <v>118</v>
      </c>
      <c r="C106" s="350"/>
      <c r="D106" s="351">
        <v>230.65</v>
      </c>
      <c r="E106" s="61"/>
      <c r="F106" s="115"/>
      <c r="Q106" s="61"/>
      <c r="R106" s="61"/>
      <c r="S106" s="61"/>
    </row>
    <row r="107" spans="1:19">
      <c r="A107" s="61" t="s">
        <v>189</v>
      </c>
      <c r="B107" s="61" t="s">
        <v>190</v>
      </c>
      <c r="C107" s="350"/>
      <c r="D107" s="351">
        <v>230.65</v>
      </c>
      <c r="E107" s="61"/>
      <c r="F107" s="115">
        <v>102.48</v>
      </c>
      <c r="G107" s="356">
        <v>102.48</v>
      </c>
      <c r="H107" s="77">
        <f>C107*G107</f>
        <v>0</v>
      </c>
      <c r="I107" s="19"/>
      <c r="J107" s="95">
        <f>G107*1.1572</f>
        <v>118.58985600000001</v>
      </c>
      <c r="K107" s="95"/>
      <c r="L107" s="357">
        <f>C107*J107</f>
        <v>0</v>
      </c>
      <c r="M107" s="341"/>
      <c r="Q107" s="61"/>
      <c r="R107" s="61"/>
      <c r="S107" s="61"/>
    </row>
    <row r="108" spans="1:19">
      <c r="A108" s="61" t="s">
        <v>189</v>
      </c>
      <c r="B108" s="61" t="s">
        <v>191</v>
      </c>
      <c r="C108" s="350"/>
      <c r="D108" s="351">
        <v>59.78</v>
      </c>
      <c r="E108" s="61"/>
      <c r="F108" s="115">
        <v>230.65</v>
      </c>
      <c r="G108" s="356">
        <v>230.65</v>
      </c>
      <c r="H108" s="77">
        <f t="shared" ref="H108:H118" si="19">C108*G108</f>
        <v>0</v>
      </c>
      <c r="I108" s="77"/>
      <c r="J108" s="95">
        <f t="shared" ref="J108:J119" si="20">G108*1.1572</f>
        <v>266.90818000000002</v>
      </c>
      <c r="K108" s="95"/>
      <c r="L108" s="357">
        <f t="shared" ref="L108:L118" si="21">C108*J108</f>
        <v>0</v>
      </c>
      <c r="M108" s="341"/>
      <c r="Q108" s="61"/>
      <c r="R108" s="61"/>
      <c r="S108" s="61"/>
    </row>
    <row r="109" spans="1:19">
      <c r="A109" s="61" t="s">
        <v>189</v>
      </c>
      <c r="B109" s="61" t="s">
        <v>192</v>
      </c>
      <c r="D109" s="351">
        <v>59.78</v>
      </c>
      <c r="E109" s="61"/>
      <c r="F109" s="115">
        <v>230.65</v>
      </c>
      <c r="G109" s="356">
        <v>230.65</v>
      </c>
      <c r="H109" s="77">
        <f t="shared" si="19"/>
        <v>0</v>
      </c>
      <c r="I109" s="124"/>
      <c r="J109" s="95">
        <f t="shared" si="20"/>
        <v>266.90818000000002</v>
      </c>
      <c r="K109" s="95">
        <f t="shared" ref="K109:K118" si="22">J109*D103</f>
        <v>0</v>
      </c>
      <c r="L109" s="357">
        <f t="shared" si="21"/>
        <v>0</v>
      </c>
      <c r="M109" s="341"/>
      <c r="Q109" s="61"/>
      <c r="R109" s="61"/>
      <c r="S109" s="61"/>
    </row>
    <row r="110" spans="1:19">
      <c r="A110" s="61" t="s">
        <v>189</v>
      </c>
      <c r="B110" s="61" t="s">
        <v>193</v>
      </c>
      <c r="D110" s="351">
        <v>230.65</v>
      </c>
      <c r="E110" s="61"/>
      <c r="F110" s="115">
        <v>59.78</v>
      </c>
      <c r="G110" s="356">
        <v>59.78</v>
      </c>
      <c r="H110" s="77">
        <f t="shared" si="19"/>
        <v>0</v>
      </c>
      <c r="I110" s="124"/>
      <c r="J110" s="95">
        <f t="shared" si="20"/>
        <v>69.177416000000008</v>
      </c>
      <c r="K110" s="95">
        <f t="shared" si="22"/>
        <v>0</v>
      </c>
      <c r="L110" s="357">
        <f t="shared" si="21"/>
        <v>0</v>
      </c>
      <c r="M110" s="341"/>
      <c r="Q110" s="61"/>
      <c r="R110" s="61"/>
      <c r="S110" s="61"/>
    </row>
    <row r="111" spans="1:19">
      <c r="A111" s="61" t="s">
        <v>189</v>
      </c>
      <c r="B111" s="61" t="s">
        <v>194</v>
      </c>
      <c r="C111" s="350">
        <v>50</v>
      </c>
      <c r="D111" s="351">
        <v>4.29</v>
      </c>
      <c r="E111" s="61"/>
      <c r="F111" s="115">
        <v>59.78</v>
      </c>
      <c r="G111" s="356">
        <v>59.78</v>
      </c>
      <c r="H111" s="77">
        <f t="shared" si="19"/>
        <v>2989</v>
      </c>
      <c r="I111" s="124"/>
      <c r="J111" s="95">
        <f t="shared" si="20"/>
        <v>69.177416000000008</v>
      </c>
      <c r="K111" s="95">
        <f t="shared" si="22"/>
        <v>7089.3015916800014</v>
      </c>
      <c r="L111" s="357">
        <f t="shared" si="21"/>
        <v>3458.8708000000006</v>
      </c>
      <c r="M111" s="341"/>
      <c r="Q111" s="61"/>
      <c r="R111" s="61"/>
      <c r="S111" s="61"/>
    </row>
    <row r="112" spans="1:19">
      <c r="A112" s="61" t="s">
        <v>189</v>
      </c>
      <c r="B112" s="61" t="s">
        <v>195</v>
      </c>
      <c r="C112" s="350">
        <v>97</v>
      </c>
      <c r="D112" s="351">
        <v>102.48</v>
      </c>
      <c r="E112" s="61"/>
      <c r="F112" s="115">
        <v>230.65</v>
      </c>
      <c r="G112" s="356">
        <v>230.65</v>
      </c>
      <c r="H112" s="77">
        <f t="shared" si="19"/>
        <v>22373.05</v>
      </c>
      <c r="I112" s="124"/>
      <c r="J112" s="95">
        <f t="shared" si="20"/>
        <v>266.90818000000002</v>
      </c>
      <c r="K112" s="95">
        <f t="shared" si="22"/>
        <v>61562.371717000002</v>
      </c>
      <c r="L112" s="357">
        <f t="shared" si="21"/>
        <v>25890.09346</v>
      </c>
      <c r="M112" s="341"/>
      <c r="Q112" s="61"/>
      <c r="R112" s="61"/>
      <c r="S112" s="61"/>
    </row>
    <row r="113" spans="1:19">
      <c r="A113" s="61" t="s">
        <v>189</v>
      </c>
      <c r="B113" s="61" t="s">
        <v>196</v>
      </c>
      <c r="C113" s="350">
        <v>247</v>
      </c>
      <c r="D113" s="351">
        <v>2.58</v>
      </c>
      <c r="E113" s="61"/>
      <c r="F113" s="115">
        <v>4.29</v>
      </c>
      <c r="G113" s="356">
        <v>4.29</v>
      </c>
      <c r="H113" s="77">
        <f t="shared" si="19"/>
        <v>1059.6300000000001</v>
      </c>
      <c r="I113" s="124"/>
      <c r="J113" s="95">
        <f t="shared" si="20"/>
        <v>4.9643880000000005</v>
      </c>
      <c r="K113" s="95">
        <f t="shared" si="22"/>
        <v>1145.0360922000002</v>
      </c>
      <c r="L113" s="357">
        <f t="shared" si="21"/>
        <v>1226.2038360000001</v>
      </c>
      <c r="M113" s="341"/>
      <c r="Q113" s="61"/>
      <c r="R113" s="61"/>
      <c r="S113" s="61"/>
    </row>
    <row r="114" spans="1:19">
      <c r="A114" s="61" t="s">
        <v>189</v>
      </c>
      <c r="B114" s="61" t="s">
        <v>197</v>
      </c>
      <c r="C114" s="350">
        <v>67.099999999999994</v>
      </c>
      <c r="D114" s="352">
        <v>230.65</v>
      </c>
      <c r="E114" s="61">
        <f>D110/12</f>
        <v>19.220833333333335</v>
      </c>
      <c r="F114" s="115">
        <v>102.48</v>
      </c>
      <c r="G114" s="356">
        <v>102.48</v>
      </c>
      <c r="H114" s="77">
        <f t="shared" si="19"/>
        <v>6876.4079999999994</v>
      </c>
      <c r="I114" s="124"/>
      <c r="J114" s="95">
        <f t="shared" si="20"/>
        <v>118.58985600000001</v>
      </c>
      <c r="K114" s="95">
        <f t="shared" si="22"/>
        <v>7089.3015916800005</v>
      </c>
      <c r="L114" s="357">
        <f t="shared" si="21"/>
        <v>7957.3793376000003</v>
      </c>
      <c r="M114" s="341"/>
      <c r="Q114" s="61"/>
      <c r="R114" s="61"/>
      <c r="S114" s="61"/>
    </row>
    <row r="115" spans="1:19">
      <c r="A115" s="61" t="s">
        <v>189</v>
      </c>
      <c r="B115" s="61" t="s">
        <v>198</v>
      </c>
      <c r="C115" s="350">
        <v>2589</v>
      </c>
      <c r="D115" s="351">
        <v>230.65</v>
      </c>
      <c r="E115" s="61"/>
      <c r="F115" s="115">
        <v>2.58</v>
      </c>
      <c r="G115" s="356">
        <v>2.58</v>
      </c>
      <c r="H115" s="77">
        <f t="shared" si="19"/>
        <v>6679.62</v>
      </c>
      <c r="I115" s="124"/>
      <c r="J115" s="95">
        <f t="shared" si="20"/>
        <v>2.985576</v>
      </c>
      <c r="K115" s="95">
        <f t="shared" si="22"/>
        <v>178.47773328</v>
      </c>
      <c r="L115" s="357">
        <f t="shared" si="21"/>
        <v>7729.6562640000002</v>
      </c>
      <c r="M115" s="341"/>
      <c r="Q115" s="61"/>
      <c r="R115" s="61"/>
      <c r="S115" s="61"/>
    </row>
    <row r="116" spans="1:19">
      <c r="A116" s="61" t="s">
        <v>199</v>
      </c>
      <c r="B116" s="61" t="s">
        <v>200</v>
      </c>
      <c r="C116" s="350">
        <v>0</v>
      </c>
      <c r="D116" s="351">
        <v>230.65</v>
      </c>
      <c r="E116" s="61"/>
      <c r="F116" s="115">
        <v>230.65</v>
      </c>
      <c r="G116" s="356">
        <v>230.65</v>
      </c>
      <c r="H116" s="77">
        <f t="shared" si="19"/>
        <v>0</v>
      </c>
      <c r="I116" s="124"/>
      <c r="J116" s="95">
        <f t="shared" si="20"/>
        <v>266.90818000000002</v>
      </c>
      <c r="K116" s="95">
        <f t="shared" si="22"/>
        <v>61562.371717000002</v>
      </c>
      <c r="L116" s="357">
        <f t="shared" si="21"/>
        <v>0</v>
      </c>
      <c r="M116" s="341"/>
      <c r="Q116" s="61"/>
      <c r="R116" s="61"/>
      <c r="S116" s="61"/>
    </row>
    <row r="117" spans="1:19">
      <c r="A117" s="61" t="s">
        <v>199</v>
      </c>
      <c r="B117" s="61" t="s">
        <v>201</v>
      </c>
      <c r="C117" s="350">
        <v>0</v>
      </c>
      <c r="D117" s="351"/>
      <c r="E117" s="61"/>
      <c r="F117" s="115">
        <v>230.65</v>
      </c>
      <c r="G117" s="356">
        <v>230.65</v>
      </c>
      <c r="H117" s="77">
        <f t="shared" si="19"/>
        <v>0</v>
      </c>
      <c r="I117" s="124"/>
      <c r="J117" s="95">
        <f t="shared" si="20"/>
        <v>266.90818000000002</v>
      </c>
      <c r="K117" s="95">
        <f t="shared" si="22"/>
        <v>1145.0360922</v>
      </c>
      <c r="L117" s="357">
        <f t="shared" si="21"/>
        <v>0</v>
      </c>
      <c r="M117" s="341"/>
      <c r="Q117" s="61"/>
      <c r="R117" s="61"/>
      <c r="S117" s="61"/>
    </row>
    <row r="118" spans="1:19">
      <c r="A118" s="61" t="s">
        <v>199</v>
      </c>
      <c r="B118" s="61" t="s">
        <v>202</v>
      </c>
      <c r="C118" s="350">
        <v>0</v>
      </c>
      <c r="D118" s="351"/>
      <c r="E118" s="69"/>
      <c r="F118" s="333">
        <v>230.65</v>
      </c>
      <c r="G118" s="356">
        <v>230.65</v>
      </c>
      <c r="H118" s="77">
        <f t="shared" si="19"/>
        <v>0</v>
      </c>
      <c r="I118" s="124"/>
      <c r="J118" s="95">
        <f t="shared" si="20"/>
        <v>266.90818000000002</v>
      </c>
      <c r="K118" s="95">
        <f t="shared" si="22"/>
        <v>27352.750286400002</v>
      </c>
      <c r="L118" s="357">
        <f t="shared" si="21"/>
        <v>0</v>
      </c>
      <c r="M118" s="341"/>
      <c r="Q118" s="61"/>
      <c r="R118" s="61"/>
      <c r="S118" s="61"/>
    </row>
    <row r="119" spans="1:19">
      <c r="A119" s="61"/>
      <c r="B119" s="61"/>
      <c r="C119" s="350"/>
      <c r="D119" s="351"/>
      <c r="E119" s="61"/>
      <c r="F119" s="115"/>
      <c r="H119" s="77">
        <f t="shared" si="16"/>
        <v>0</v>
      </c>
      <c r="I119" s="77"/>
      <c r="J119" s="95">
        <f t="shared" si="20"/>
        <v>0</v>
      </c>
      <c r="K119" s="95"/>
      <c r="L119" s="357">
        <f t="shared" ref="L119" si="23">C119*J119</f>
        <v>0</v>
      </c>
      <c r="M119" s="341"/>
      <c r="Q119" s="61"/>
      <c r="R119" s="61"/>
      <c r="S119" s="61"/>
    </row>
    <row r="120" spans="1:19">
      <c r="A120" s="61"/>
      <c r="B120" s="10" t="s">
        <v>511</v>
      </c>
      <c r="C120" s="350"/>
      <c r="D120" s="350"/>
      <c r="E120" s="61"/>
      <c r="F120" s="115"/>
      <c r="H120" s="82">
        <f>SUM(H107:H119)</f>
        <v>39977.708000000006</v>
      </c>
      <c r="I120" s="82"/>
      <c r="J120" s="116"/>
      <c r="K120" s="104">
        <f>SUM(K109:K119)</f>
        <v>167124.64682144002</v>
      </c>
      <c r="L120" s="112">
        <f>SUM(L109:L119)</f>
        <v>46262.203697600002</v>
      </c>
      <c r="M120" s="341">
        <f>L120/H120</f>
        <v>1.1571999999999998</v>
      </c>
      <c r="N120" s="348"/>
      <c r="Q120" s="61"/>
      <c r="R120" s="61"/>
      <c r="S120" s="61"/>
    </row>
    <row r="121" spans="1:19">
      <c r="A121" s="61"/>
      <c r="B121" s="10" t="s">
        <v>512</v>
      </c>
      <c r="Q121" s="61"/>
      <c r="R121" s="61"/>
      <c r="S121" s="61"/>
    </row>
    <row r="122" spans="1:19">
      <c r="A122" s="61"/>
      <c r="B122" s="10" t="s">
        <v>507</v>
      </c>
      <c r="Q122" s="61"/>
      <c r="R122" s="61"/>
      <c r="S122" s="61"/>
    </row>
    <row r="123" spans="1:19">
      <c r="A123" s="61"/>
      <c r="B123" s="61"/>
      <c r="Q123" s="61"/>
      <c r="R123" s="61"/>
      <c r="S123" s="61"/>
    </row>
    <row r="124" spans="1:19">
      <c r="Q124" s="61"/>
      <c r="R124" s="61"/>
      <c r="S124" s="61"/>
    </row>
    <row r="125" spans="1:19">
      <c r="A125" s="61"/>
      <c r="B125" s="81" t="s">
        <v>203</v>
      </c>
      <c r="Q125" s="61"/>
      <c r="R125" s="61"/>
      <c r="S125" s="61"/>
    </row>
    <row r="126" spans="1:19">
      <c r="A126" t="s">
        <v>277</v>
      </c>
      <c r="B126" t="s">
        <v>269</v>
      </c>
      <c r="C126" s="350"/>
      <c r="D126" s="351">
        <v>1181.02</v>
      </c>
      <c r="E126" s="61"/>
      <c r="F126" s="115"/>
      <c r="G126">
        <v>1181.02</v>
      </c>
      <c r="H126" s="77">
        <v>1181.02</v>
      </c>
      <c r="I126" s="82"/>
      <c r="J126" s="116">
        <v>1181.02</v>
      </c>
      <c r="K126" s="95"/>
      <c r="L126" s="96">
        <f>G126*1.1572</f>
        <v>1366.676344</v>
      </c>
      <c r="M126" s="341"/>
      <c r="Q126" s="61"/>
      <c r="R126" s="61"/>
      <c r="S126" s="61"/>
    </row>
    <row r="127" spans="1:19">
      <c r="A127" s="61" t="s">
        <v>204</v>
      </c>
      <c r="B127" s="61" t="s">
        <v>205</v>
      </c>
      <c r="C127" s="350">
        <v>3</v>
      </c>
      <c r="D127" s="350">
        <v>28.06</v>
      </c>
      <c r="E127" s="61"/>
      <c r="F127" s="115"/>
      <c r="G127" s="356">
        <v>28.06</v>
      </c>
      <c r="H127" s="77">
        <f t="shared" ref="H127:H154" si="24">C127*G127</f>
        <v>84.179999999999993</v>
      </c>
      <c r="I127" s="126"/>
      <c r="J127" s="116">
        <f>G127*1.1572</f>
        <v>32.471032000000001</v>
      </c>
      <c r="K127" s="95"/>
      <c r="L127" s="96">
        <f>C127*J127</f>
        <v>97.413095999999996</v>
      </c>
      <c r="M127" s="341"/>
      <c r="Q127" s="61"/>
      <c r="R127" s="61"/>
      <c r="S127" s="61"/>
    </row>
    <row r="128" spans="1:19">
      <c r="A128" s="61" t="s">
        <v>206</v>
      </c>
      <c r="B128" s="61" t="s">
        <v>207</v>
      </c>
      <c r="C128" s="350">
        <v>1</v>
      </c>
      <c r="D128" s="351">
        <v>12.57</v>
      </c>
      <c r="E128" s="61"/>
      <c r="F128" s="115"/>
      <c r="G128" s="356">
        <v>12.57</v>
      </c>
      <c r="H128" s="77">
        <f t="shared" si="24"/>
        <v>12.57</v>
      </c>
      <c r="I128" s="82"/>
      <c r="J128" s="116">
        <f t="shared" ref="J128:J176" si="25">G128*1.1572</f>
        <v>14.546004</v>
      </c>
      <c r="K128" s="95"/>
      <c r="L128" s="96">
        <f t="shared" ref="L128:L176" si="26">C128*J128</f>
        <v>14.546004</v>
      </c>
      <c r="M128" s="341"/>
      <c r="Q128" s="61"/>
      <c r="R128" s="61"/>
      <c r="S128" s="61"/>
    </row>
    <row r="129" spans="1:19">
      <c r="A129" s="61" t="s">
        <v>208</v>
      </c>
      <c r="B129" s="61" t="s">
        <v>209</v>
      </c>
      <c r="C129" s="350">
        <v>1</v>
      </c>
      <c r="D129" s="351">
        <v>59.78</v>
      </c>
      <c r="G129" s="356">
        <v>59.78</v>
      </c>
      <c r="H129" s="77">
        <f t="shared" si="24"/>
        <v>59.78</v>
      </c>
      <c r="I129" s="19"/>
      <c r="J129" s="116">
        <f t="shared" si="25"/>
        <v>69.177416000000008</v>
      </c>
      <c r="K129" s="95"/>
      <c r="L129" s="96">
        <f t="shared" si="26"/>
        <v>69.177416000000008</v>
      </c>
      <c r="M129" s="341"/>
      <c r="Q129" s="61"/>
      <c r="R129" s="61"/>
      <c r="S129" s="61"/>
    </row>
    <row r="130" spans="1:19">
      <c r="A130" s="61" t="s">
        <v>208</v>
      </c>
      <c r="B130" s="61" t="s">
        <v>210</v>
      </c>
      <c r="C130" s="350">
        <v>0</v>
      </c>
      <c r="D130" s="351">
        <v>34.17</v>
      </c>
      <c r="E130" s="61"/>
      <c r="F130" s="115"/>
      <c r="G130" s="356">
        <v>34.17</v>
      </c>
      <c r="H130" s="77">
        <f t="shared" si="24"/>
        <v>0</v>
      </c>
      <c r="I130" s="77"/>
      <c r="J130" s="116">
        <f t="shared" si="25"/>
        <v>39.541524000000003</v>
      </c>
      <c r="K130" s="116"/>
      <c r="L130" s="96">
        <f t="shared" si="26"/>
        <v>0</v>
      </c>
      <c r="M130" s="341"/>
      <c r="Q130" s="61"/>
      <c r="R130" s="61"/>
      <c r="S130" s="61"/>
    </row>
    <row r="131" spans="1:19">
      <c r="A131" s="61" t="s">
        <v>211</v>
      </c>
      <c r="B131" s="61" t="s">
        <v>212</v>
      </c>
      <c r="C131" s="350">
        <v>4</v>
      </c>
      <c r="D131" s="351">
        <v>8.0399999999999991</v>
      </c>
      <c r="G131" s="356">
        <v>8.0399999999999991</v>
      </c>
      <c r="H131" s="77">
        <f t="shared" si="24"/>
        <v>32.159999999999997</v>
      </c>
      <c r="I131" s="79"/>
      <c r="J131" s="116">
        <f t="shared" si="25"/>
        <v>9.3038879999999988</v>
      </c>
      <c r="K131" s="116">
        <f>I131*1.1572</f>
        <v>0</v>
      </c>
      <c r="L131" s="96">
        <f t="shared" si="26"/>
        <v>37.215551999999995</v>
      </c>
      <c r="M131" s="341"/>
      <c r="Q131" s="61"/>
      <c r="R131" s="61"/>
      <c r="S131" s="61"/>
    </row>
    <row r="132" spans="1:19">
      <c r="A132" s="61" t="s">
        <v>213</v>
      </c>
      <c r="B132" s="61" t="s">
        <v>214</v>
      </c>
      <c r="C132" s="350">
        <v>0</v>
      </c>
      <c r="D132" s="351">
        <v>127.8</v>
      </c>
      <c r="E132" s="61"/>
      <c r="F132" s="130">
        <v>28.06</v>
      </c>
      <c r="G132" s="356">
        <v>127.8</v>
      </c>
      <c r="H132" s="77">
        <f t="shared" si="24"/>
        <v>0</v>
      </c>
      <c r="I132" s="130"/>
      <c r="J132" s="116">
        <f t="shared" si="25"/>
        <v>147.89016000000001</v>
      </c>
      <c r="K132" s="116">
        <f t="shared" ref="K132:K176" si="27">J132*D128</f>
        <v>1858.9793112000002</v>
      </c>
      <c r="L132" s="96">
        <f t="shared" si="26"/>
        <v>0</v>
      </c>
      <c r="M132" s="341"/>
      <c r="Q132" s="61"/>
      <c r="R132" s="61"/>
      <c r="S132" s="61"/>
    </row>
    <row r="133" spans="1:19">
      <c r="A133" s="61" t="s">
        <v>215</v>
      </c>
      <c r="B133" s="61" t="s">
        <v>216</v>
      </c>
      <c r="C133" s="350">
        <v>2</v>
      </c>
      <c r="D133" s="351">
        <v>15.59</v>
      </c>
      <c r="E133" s="61"/>
      <c r="F133" s="115">
        <v>12.57</v>
      </c>
      <c r="G133" s="356">
        <v>15.59</v>
      </c>
      <c r="H133" s="77">
        <f t="shared" si="24"/>
        <v>31.18</v>
      </c>
      <c r="I133" s="79"/>
      <c r="J133" s="116">
        <f t="shared" si="25"/>
        <v>18.040748000000001</v>
      </c>
      <c r="K133" s="116">
        <f t="shared" si="27"/>
        <v>1078.4759154400001</v>
      </c>
      <c r="L133" s="96">
        <f t="shared" si="26"/>
        <v>36.081496000000001</v>
      </c>
      <c r="M133" s="341"/>
      <c r="Q133" s="61"/>
      <c r="R133" s="61"/>
      <c r="S133" s="61"/>
    </row>
    <row r="134" spans="1:19">
      <c r="A134" s="61" t="s">
        <v>215</v>
      </c>
      <c r="B134" s="61" t="s">
        <v>217</v>
      </c>
      <c r="C134" s="350">
        <v>0</v>
      </c>
      <c r="D134" s="351">
        <v>15.59</v>
      </c>
      <c r="E134" s="61"/>
      <c r="F134" s="115">
        <v>59.78</v>
      </c>
      <c r="G134" s="356">
        <v>15.59</v>
      </c>
      <c r="H134" s="77">
        <f t="shared" si="24"/>
        <v>0</v>
      </c>
      <c r="I134" s="79"/>
      <c r="J134" s="116">
        <f t="shared" si="25"/>
        <v>18.040748000000001</v>
      </c>
      <c r="K134" s="116">
        <f t="shared" si="27"/>
        <v>616.45235916000001</v>
      </c>
      <c r="L134" s="96">
        <f t="shared" si="26"/>
        <v>0</v>
      </c>
      <c r="M134" s="341"/>
      <c r="Q134" s="61"/>
      <c r="R134" s="61"/>
      <c r="S134" s="61"/>
    </row>
    <row r="135" spans="1:19">
      <c r="A135" s="61" t="s">
        <v>215</v>
      </c>
      <c r="B135" s="61" t="s">
        <v>218</v>
      </c>
      <c r="C135" s="350">
        <v>0</v>
      </c>
      <c r="D135" s="351">
        <v>16.84</v>
      </c>
      <c r="E135" s="61"/>
      <c r="F135" s="115">
        <v>34.17</v>
      </c>
      <c r="G135" s="356">
        <v>16.84</v>
      </c>
      <c r="H135" s="77">
        <f t="shared" si="24"/>
        <v>0</v>
      </c>
      <c r="I135" s="79"/>
      <c r="J135" s="116">
        <f t="shared" si="25"/>
        <v>19.487248000000001</v>
      </c>
      <c r="K135" s="116">
        <f t="shared" si="27"/>
        <v>156.67747391999998</v>
      </c>
      <c r="L135" s="96">
        <f t="shared" si="26"/>
        <v>0</v>
      </c>
      <c r="M135" s="341"/>
      <c r="Q135" s="61"/>
      <c r="R135" s="61"/>
      <c r="S135" s="61"/>
    </row>
    <row r="136" spans="1:19">
      <c r="A136" s="61" t="s">
        <v>215</v>
      </c>
      <c r="B136" s="61" t="s">
        <v>219</v>
      </c>
      <c r="C136" s="350">
        <v>1</v>
      </c>
      <c r="D136" s="351">
        <v>56.12</v>
      </c>
      <c r="E136" s="61"/>
      <c r="F136" s="115">
        <v>8.0399999999999991</v>
      </c>
      <c r="G136" s="356">
        <v>56.12</v>
      </c>
      <c r="H136" s="77">
        <f t="shared" si="24"/>
        <v>56.12</v>
      </c>
      <c r="I136" s="79"/>
      <c r="J136" s="116">
        <f t="shared" si="25"/>
        <v>64.942064000000002</v>
      </c>
      <c r="K136" s="116">
        <f t="shared" si="27"/>
        <v>8299.5957792000008</v>
      </c>
      <c r="L136" s="96">
        <f t="shared" si="26"/>
        <v>64.942064000000002</v>
      </c>
      <c r="M136" s="341"/>
      <c r="Q136" s="61"/>
      <c r="R136" s="61"/>
      <c r="S136" s="61"/>
    </row>
    <row r="137" spans="1:19">
      <c r="A137" s="61" t="s">
        <v>215</v>
      </c>
      <c r="B137" s="61" t="s">
        <v>220</v>
      </c>
      <c r="C137" s="350">
        <v>0</v>
      </c>
      <c r="D137" s="351">
        <v>28.06</v>
      </c>
      <c r="E137" s="61"/>
      <c r="F137" s="115">
        <v>127.8</v>
      </c>
      <c r="G137" s="356">
        <v>28.06</v>
      </c>
      <c r="H137" s="77">
        <f t="shared" si="24"/>
        <v>0</v>
      </c>
      <c r="I137" s="79"/>
      <c r="J137" s="116">
        <f t="shared" si="25"/>
        <v>32.471032000000001</v>
      </c>
      <c r="K137" s="116">
        <f t="shared" si="27"/>
        <v>506.22338888000002</v>
      </c>
      <c r="L137" s="96">
        <f t="shared" si="26"/>
        <v>0</v>
      </c>
      <c r="M137" s="341"/>
      <c r="Q137" s="61"/>
      <c r="R137" s="61"/>
      <c r="S137" s="61"/>
    </row>
    <row r="138" spans="1:19">
      <c r="A138" s="61" t="s">
        <v>221</v>
      </c>
      <c r="B138" s="61" t="s">
        <v>263</v>
      </c>
      <c r="C138" s="350">
        <v>26</v>
      </c>
      <c r="D138" s="351">
        <v>1.32</v>
      </c>
      <c r="E138" s="61"/>
      <c r="F138" s="115">
        <v>15.59</v>
      </c>
      <c r="G138" s="356">
        <v>1.32</v>
      </c>
      <c r="H138" s="77">
        <f t="shared" si="24"/>
        <v>34.32</v>
      </c>
      <c r="I138" s="79"/>
      <c r="J138" s="116">
        <f t="shared" si="25"/>
        <v>1.527504</v>
      </c>
      <c r="K138" s="116">
        <f t="shared" si="27"/>
        <v>23.813787359999999</v>
      </c>
      <c r="L138" s="96">
        <f t="shared" si="26"/>
        <v>39.715103999999997</v>
      </c>
      <c r="M138" s="341"/>
      <c r="Q138" s="61"/>
      <c r="R138" s="61"/>
      <c r="S138" s="61"/>
    </row>
    <row r="139" spans="1:19">
      <c r="A139" s="61" t="s">
        <v>221</v>
      </c>
      <c r="B139" s="61" t="s">
        <v>222</v>
      </c>
      <c r="C139" s="350">
        <v>130</v>
      </c>
      <c r="D139" s="351">
        <v>0.54</v>
      </c>
      <c r="E139" s="61"/>
      <c r="F139" s="115">
        <v>15.59</v>
      </c>
      <c r="G139" s="356">
        <v>0.54</v>
      </c>
      <c r="H139" s="77">
        <f t="shared" si="24"/>
        <v>70.2</v>
      </c>
      <c r="I139" s="79"/>
      <c r="J139" s="116">
        <f t="shared" si="25"/>
        <v>0.624888</v>
      </c>
      <c r="K139" s="116">
        <f t="shared" si="27"/>
        <v>10.52311392</v>
      </c>
      <c r="L139" s="96">
        <f t="shared" si="26"/>
        <v>81.235439999999997</v>
      </c>
      <c r="M139" s="341"/>
      <c r="Q139" s="61"/>
      <c r="R139" s="61"/>
      <c r="S139" s="61"/>
    </row>
    <row r="140" spans="1:19">
      <c r="A140" s="61" t="s">
        <v>221</v>
      </c>
      <c r="B140" s="61" t="s">
        <v>262</v>
      </c>
      <c r="C140" s="350">
        <v>26</v>
      </c>
      <c r="D140" s="351">
        <v>2.41</v>
      </c>
      <c r="E140" s="61"/>
      <c r="F140" s="115">
        <v>16.84</v>
      </c>
      <c r="G140" s="356">
        <v>2.41</v>
      </c>
      <c r="H140" s="77">
        <f t="shared" si="24"/>
        <v>62.660000000000004</v>
      </c>
      <c r="I140" s="79"/>
      <c r="J140" s="116">
        <f t="shared" si="25"/>
        <v>2.7888520000000003</v>
      </c>
      <c r="K140" s="116">
        <f t="shared" si="27"/>
        <v>156.51037424</v>
      </c>
      <c r="L140" s="96">
        <f t="shared" si="26"/>
        <v>72.510152000000005</v>
      </c>
      <c r="M140" s="341"/>
      <c r="Q140" s="61"/>
      <c r="R140" s="61"/>
      <c r="S140" s="61"/>
    </row>
    <row r="141" spans="1:19">
      <c r="A141" s="61" t="s">
        <v>221</v>
      </c>
      <c r="B141" s="61" t="s">
        <v>223</v>
      </c>
      <c r="C141" s="350">
        <v>452</v>
      </c>
      <c r="D141" s="351">
        <v>1.02</v>
      </c>
      <c r="E141" s="61"/>
      <c r="F141" s="115">
        <v>56.12</v>
      </c>
      <c r="G141" s="356">
        <v>1.02</v>
      </c>
      <c r="H141" s="77">
        <f t="shared" si="24"/>
        <v>461.04</v>
      </c>
      <c r="I141" s="79"/>
      <c r="J141" s="116">
        <f t="shared" si="25"/>
        <v>1.1803440000000001</v>
      </c>
      <c r="K141" s="116">
        <f t="shared" si="27"/>
        <v>33.120452640000003</v>
      </c>
      <c r="L141" s="96">
        <f t="shared" si="26"/>
        <v>533.515488</v>
      </c>
      <c r="M141" s="341"/>
      <c r="Q141" s="61"/>
      <c r="R141" s="61"/>
      <c r="S141" s="61"/>
    </row>
    <row r="142" spans="1:19">
      <c r="A142" s="61" t="s">
        <v>221</v>
      </c>
      <c r="B142" s="61" t="s">
        <v>224</v>
      </c>
      <c r="C142" s="350">
        <v>0</v>
      </c>
      <c r="D142" s="351">
        <v>2.72</v>
      </c>
      <c r="E142" s="61"/>
      <c r="F142" s="115">
        <v>28.06</v>
      </c>
      <c r="G142" s="356">
        <v>2.72</v>
      </c>
      <c r="H142" s="77">
        <f t="shared" si="24"/>
        <v>0</v>
      </c>
      <c r="I142" s="79"/>
      <c r="J142" s="116">
        <f t="shared" si="25"/>
        <v>3.1475840000000002</v>
      </c>
      <c r="K142" s="116">
        <f t="shared" si="27"/>
        <v>4.1548108800000003</v>
      </c>
      <c r="L142" s="96">
        <f t="shared" si="26"/>
        <v>0</v>
      </c>
      <c r="M142" s="341"/>
      <c r="Q142" s="61"/>
      <c r="R142" s="61"/>
      <c r="S142" s="61"/>
    </row>
    <row r="143" spans="1:19">
      <c r="A143" s="61" t="s">
        <v>221</v>
      </c>
      <c r="B143" s="61" t="s">
        <v>225</v>
      </c>
      <c r="C143" s="350">
        <v>0</v>
      </c>
      <c r="D143" s="351">
        <v>5.42</v>
      </c>
      <c r="E143" s="61"/>
      <c r="F143" s="115">
        <v>1.32</v>
      </c>
      <c r="G143" s="356">
        <v>5.42</v>
      </c>
      <c r="H143" s="77">
        <f t="shared" si="24"/>
        <v>0</v>
      </c>
      <c r="I143" s="79"/>
      <c r="J143" s="116">
        <f t="shared" si="25"/>
        <v>6.272024</v>
      </c>
      <c r="K143" s="116">
        <f t="shared" si="27"/>
        <v>3.3868929600000004</v>
      </c>
      <c r="L143" s="96">
        <f t="shared" si="26"/>
        <v>0</v>
      </c>
      <c r="M143" s="341"/>
      <c r="Q143" s="61"/>
      <c r="R143" s="61"/>
      <c r="S143" s="61"/>
    </row>
    <row r="144" spans="1:19">
      <c r="A144" s="61" t="s">
        <v>221</v>
      </c>
      <c r="B144" s="61" t="s">
        <v>226</v>
      </c>
      <c r="C144" s="350">
        <v>0</v>
      </c>
      <c r="D144" s="351">
        <v>2.72</v>
      </c>
      <c r="E144" s="61"/>
      <c r="F144" s="115">
        <v>0.54</v>
      </c>
      <c r="G144" s="356">
        <v>2.72</v>
      </c>
      <c r="H144" s="77">
        <f t="shared" si="24"/>
        <v>0</v>
      </c>
      <c r="I144" s="79"/>
      <c r="J144" s="116">
        <f t="shared" si="25"/>
        <v>3.1475840000000002</v>
      </c>
      <c r="K144" s="116">
        <f t="shared" si="27"/>
        <v>7.5856774400000004</v>
      </c>
      <c r="L144" s="96">
        <f t="shared" si="26"/>
        <v>0</v>
      </c>
      <c r="M144" s="341"/>
      <c r="Q144" s="61"/>
      <c r="R144" s="61"/>
      <c r="S144" s="61"/>
    </row>
    <row r="145" spans="1:19">
      <c r="A145" s="61" t="s">
        <v>221</v>
      </c>
      <c r="B145" s="61" t="s">
        <v>227</v>
      </c>
      <c r="C145" s="350">
        <v>0</v>
      </c>
      <c r="D145" s="351">
        <v>5.15</v>
      </c>
      <c r="E145" s="61"/>
      <c r="F145" s="115">
        <v>2.41</v>
      </c>
      <c r="G145" s="356">
        <v>5.15</v>
      </c>
      <c r="H145" s="77">
        <f t="shared" si="24"/>
        <v>0</v>
      </c>
      <c r="I145" s="79"/>
      <c r="J145" s="116">
        <f t="shared" si="25"/>
        <v>5.9595800000000008</v>
      </c>
      <c r="K145" s="116">
        <f t="shared" si="27"/>
        <v>6.0787716000000005</v>
      </c>
      <c r="L145" s="96">
        <f t="shared" si="26"/>
        <v>0</v>
      </c>
      <c r="M145" s="341"/>
    </row>
    <row r="146" spans="1:19">
      <c r="A146" s="61" t="s">
        <v>221</v>
      </c>
      <c r="B146" s="61" t="s">
        <v>228</v>
      </c>
      <c r="C146" s="350">
        <v>0</v>
      </c>
      <c r="D146" s="351">
        <v>10.29</v>
      </c>
      <c r="E146" s="61"/>
      <c r="F146" s="115">
        <v>1.02</v>
      </c>
      <c r="G146" s="356">
        <v>10.29</v>
      </c>
      <c r="H146" s="77">
        <f t="shared" si="24"/>
        <v>0</v>
      </c>
      <c r="I146" s="79"/>
      <c r="J146" s="116">
        <f t="shared" si="25"/>
        <v>11.907587999999999</v>
      </c>
      <c r="K146" s="116">
        <f t="shared" si="27"/>
        <v>32.388639359999999</v>
      </c>
      <c r="L146" s="96">
        <f t="shared" si="26"/>
        <v>0</v>
      </c>
      <c r="M146" s="341"/>
      <c r="Q146" s="61"/>
    </row>
    <row r="147" spans="1:19">
      <c r="A147" s="61" t="s">
        <v>221</v>
      </c>
      <c r="B147" s="61" t="s">
        <v>229</v>
      </c>
      <c r="C147" s="350">
        <v>0</v>
      </c>
      <c r="D147" s="351">
        <v>5.15</v>
      </c>
      <c r="E147" s="61"/>
      <c r="F147" s="115">
        <v>2.72</v>
      </c>
      <c r="G147" s="356">
        <v>5.15</v>
      </c>
      <c r="H147" s="77">
        <f t="shared" si="24"/>
        <v>0</v>
      </c>
      <c r="I147" s="79"/>
      <c r="J147" s="116">
        <f t="shared" si="25"/>
        <v>5.9595800000000008</v>
      </c>
      <c r="K147" s="116">
        <f t="shared" si="27"/>
        <v>32.300923600000004</v>
      </c>
      <c r="L147" s="96">
        <f t="shared" si="26"/>
        <v>0</v>
      </c>
      <c r="M147" s="341"/>
      <c r="Q147" s="61"/>
    </row>
    <row r="148" spans="1:19">
      <c r="A148" s="61" t="s">
        <v>230</v>
      </c>
      <c r="B148" s="61" t="s">
        <v>231</v>
      </c>
      <c r="C148" s="350">
        <v>5</v>
      </c>
      <c r="D148" s="351">
        <v>20.97</v>
      </c>
      <c r="E148" s="61"/>
      <c r="F148" s="115">
        <v>5.42</v>
      </c>
      <c r="G148" s="356">
        <v>20.97</v>
      </c>
      <c r="H148" s="77">
        <f t="shared" si="24"/>
        <v>104.85</v>
      </c>
      <c r="I148" s="79"/>
      <c r="J148" s="116">
        <f t="shared" si="25"/>
        <v>24.266483999999998</v>
      </c>
      <c r="K148" s="116">
        <f t="shared" si="27"/>
        <v>66.004836479999994</v>
      </c>
      <c r="L148" s="96">
        <f t="shared" si="26"/>
        <v>121.33241999999998</v>
      </c>
      <c r="M148" s="341"/>
      <c r="Q148" s="61"/>
      <c r="R148" s="61"/>
      <c r="S148" s="61"/>
    </row>
    <row r="149" spans="1:19">
      <c r="A149" s="61" t="s">
        <v>230</v>
      </c>
      <c r="B149" s="61" t="s">
        <v>232</v>
      </c>
      <c r="C149" s="350"/>
      <c r="D149" s="351">
        <v>9.69</v>
      </c>
      <c r="E149" s="61"/>
      <c r="F149" s="115">
        <v>2.72</v>
      </c>
      <c r="G149" s="356">
        <v>9.69</v>
      </c>
      <c r="H149" s="77">
        <f t="shared" si="24"/>
        <v>0</v>
      </c>
      <c r="I149" s="79"/>
      <c r="J149" s="116">
        <f t="shared" si="25"/>
        <v>11.213267999999999</v>
      </c>
      <c r="K149" s="116">
        <f t="shared" si="27"/>
        <v>57.748330199999998</v>
      </c>
      <c r="L149" s="96">
        <f t="shared" si="26"/>
        <v>0</v>
      </c>
      <c r="M149" s="341"/>
      <c r="Q149" s="61"/>
      <c r="R149" s="61"/>
      <c r="S149" s="61"/>
    </row>
    <row r="150" spans="1:19">
      <c r="A150" s="61" t="s">
        <v>230</v>
      </c>
      <c r="B150" s="61" t="s">
        <v>233</v>
      </c>
      <c r="C150" s="350">
        <v>4</v>
      </c>
      <c r="D150" s="351">
        <v>35.78</v>
      </c>
      <c r="E150" s="61"/>
      <c r="F150" s="115">
        <v>5.15</v>
      </c>
      <c r="G150" s="356">
        <v>35.78</v>
      </c>
      <c r="H150" s="77">
        <f t="shared" si="24"/>
        <v>143.12</v>
      </c>
      <c r="I150" s="79"/>
      <c r="J150" s="116">
        <f t="shared" si="25"/>
        <v>41.404616000000004</v>
      </c>
      <c r="K150" s="116">
        <f t="shared" si="27"/>
        <v>426.05349863999999</v>
      </c>
      <c r="L150" s="96">
        <f t="shared" si="26"/>
        <v>165.61846400000002</v>
      </c>
      <c r="M150" s="341"/>
      <c r="Q150" s="61"/>
      <c r="R150" s="61"/>
      <c r="S150" s="61"/>
    </row>
    <row r="151" spans="1:19">
      <c r="A151" s="61" t="s">
        <v>230</v>
      </c>
      <c r="B151" s="61" t="s">
        <v>234</v>
      </c>
      <c r="C151" s="350">
        <v>0</v>
      </c>
      <c r="D151" s="351">
        <v>26.46</v>
      </c>
      <c r="E151" s="61"/>
      <c r="F151" s="115">
        <v>10.29</v>
      </c>
      <c r="G151" s="356">
        <v>26.46</v>
      </c>
      <c r="H151" s="77">
        <f t="shared" si="24"/>
        <v>0</v>
      </c>
      <c r="I151" s="79"/>
      <c r="J151" s="116">
        <f t="shared" si="25"/>
        <v>30.619512</v>
      </c>
      <c r="K151" s="116">
        <f t="shared" si="27"/>
        <v>157.6904868</v>
      </c>
      <c r="L151" s="96">
        <f t="shared" si="26"/>
        <v>0</v>
      </c>
      <c r="M151" s="341"/>
      <c r="Q151" s="61"/>
      <c r="R151" s="61"/>
      <c r="S151" s="61"/>
    </row>
    <row r="152" spans="1:19">
      <c r="A152" s="61" t="s">
        <v>230</v>
      </c>
      <c r="B152" s="61" t="s">
        <v>235</v>
      </c>
      <c r="C152" s="350">
        <v>0</v>
      </c>
      <c r="D152" s="351">
        <v>17.600000000000001</v>
      </c>
      <c r="E152" s="61"/>
      <c r="F152" s="115">
        <v>5.15</v>
      </c>
      <c r="G152" s="356">
        <v>17.600000000000001</v>
      </c>
      <c r="H152" s="77">
        <f t="shared" si="24"/>
        <v>0</v>
      </c>
      <c r="I152" s="79"/>
      <c r="J152" s="116">
        <f t="shared" si="25"/>
        <v>20.366720000000001</v>
      </c>
      <c r="K152" s="116">
        <f t="shared" si="27"/>
        <v>427.09011839999999</v>
      </c>
      <c r="L152" s="96">
        <f t="shared" si="26"/>
        <v>0</v>
      </c>
      <c r="M152" s="341"/>
      <c r="Q152" s="61"/>
      <c r="R152" s="61"/>
      <c r="S152" s="61"/>
    </row>
    <row r="153" spans="1:19">
      <c r="A153" s="61" t="s">
        <v>230</v>
      </c>
      <c r="B153" s="61" t="s">
        <v>236</v>
      </c>
      <c r="C153" s="350">
        <v>0</v>
      </c>
      <c r="D153" s="351">
        <v>35.21</v>
      </c>
      <c r="E153" s="61"/>
      <c r="F153" s="115">
        <v>20.97</v>
      </c>
      <c r="G153" s="356">
        <v>35.21</v>
      </c>
      <c r="H153" s="77">
        <f t="shared" si="24"/>
        <v>0</v>
      </c>
      <c r="I153" s="79"/>
      <c r="J153" s="116">
        <f t="shared" si="25"/>
        <v>40.745012000000003</v>
      </c>
      <c r="K153" s="116">
        <f t="shared" si="27"/>
        <v>394.81916627999999</v>
      </c>
      <c r="L153" s="96">
        <f t="shared" si="26"/>
        <v>0</v>
      </c>
      <c r="M153" s="341"/>
      <c r="Q153" s="61"/>
      <c r="R153" s="61"/>
      <c r="S153" s="61"/>
    </row>
    <row r="154" spans="1:19">
      <c r="A154" s="61" t="s">
        <v>230</v>
      </c>
      <c r="B154" s="61" t="s">
        <v>237</v>
      </c>
      <c r="C154" s="350">
        <v>0</v>
      </c>
      <c r="D154" s="351">
        <v>35.21</v>
      </c>
      <c r="E154" s="61"/>
      <c r="F154" s="115">
        <v>9.69</v>
      </c>
      <c r="G154" s="356">
        <v>35.21</v>
      </c>
      <c r="H154" s="77">
        <f t="shared" si="24"/>
        <v>0</v>
      </c>
      <c r="I154" s="79"/>
      <c r="J154" s="116">
        <f t="shared" si="25"/>
        <v>40.745012000000003</v>
      </c>
      <c r="K154" s="116">
        <f t="shared" si="27"/>
        <v>1457.8565293600002</v>
      </c>
      <c r="L154" s="96">
        <f t="shared" si="26"/>
        <v>0</v>
      </c>
      <c r="M154" s="341"/>
      <c r="Q154" s="61"/>
      <c r="R154" s="61"/>
      <c r="S154" s="61"/>
    </row>
    <row r="155" spans="1:19">
      <c r="A155" s="61" t="s">
        <v>230</v>
      </c>
      <c r="B155" s="61" t="s">
        <v>238</v>
      </c>
      <c r="C155" s="350">
        <v>0</v>
      </c>
      <c r="D155" s="351">
        <v>35.78</v>
      </c>
      <c r="E155" s="61"/>
      <c r="F155" s="115">
        <v>35.78</v>
      </c>
      <c r="G155" s="356">
        <v>35.78</v>
      </c>
      <c r="H155" s="77">
        <f t="shared" ref="H155:H177" si="28">C155*G155</f>
        <v>0</v>
      </c>
      <c r="I155" s="79"/>
      <c r="J155" s="116">
        <f t="shared" si="25"/>
        <v>41.404616000000004</v>
      </c>
      <c r="K155" s="116">
        <f t="shared" si="27"/>
        <v>1095.5661393600001</v>
      </c>
      <c r="L155" s="96">
        <f t="shared" si="26"/>
        <v>0</v>
      </c>
      <c r="M155" s="341"/>
      <c r="Q155" s="61"/>
      <c r="R155" s="61"/>
      <c r="S155" s="61"/>
    </row>
    <row r="156" spans="1:19">
      <c r="A156" s="61" t="s">
        <v>230</v>
      </c>
      <c r="B156" s="61" t="s">
        <v>239</v>
      </c>
      <c r="C156" s="350">
        <v>0</v>
      </c>
      <c r="D156" s="351">
        <v>40.520000000000003</v>
      </c>
      <c r="E156" s="61"/>
      <c r="F156" s="115">
        <v>26.46</v>
      </c>
      <c r="G156" s="356">
        <v>40.520000000000003</v>
      </c>
      <c r="H156" s="77">
        <f t="shared" si="28"/>
        <v>0</v>
      </c>
      <c r="I156" s="79"/>
      <c r="J156" s="116">
        <f t="shared" si="25"/>
        <v>46.889744000000007</v>
      </c>
      <c r="K156" s="116">
        <f t="shared" si="27"/>
        <v>825.25949440000022</v>
      </c>
      <c r="L156" s="96">
        <f t="shared" si="26"/>
        <v>0</v>
      </c>
      <c r="M156" s="341"/>
      <c r="Q156" s="61"/>
      <c r="R156" s="61"/>
      <c r="S156" s="61"/>
    </row>
    <row r="157" spans="1:19">
      <c r="A157" s="61" t="s">
        <v>230</v>
      </c>
      <c r="B157" s="61" t="s">
        <v>240</v>
      </c>
      <c r="C157" s="350">
        <v>0</v>
      </c>
      <c r="D157" s="351">
        <v>17.36</v>
      </c>
      <c r="E157" s="61"/>
      <c r="F157" s="115">
        <v>17.600000000000001</v>
      </c>
      <c r="G157" s="356">
        <v>17.36</v>
      </c>
      <c r="H157" s="77">
        <f t="shared" si="28"/>
        <v>0</v>
      </c>
      <c r="I157" s="79"/>
      <c r="J157" s="116">
        <f t="shared" si="25"/>
        <v>20.088992000000001</v>
      </c>
      <c r="K157" s="116">
        <f t="shared" si="27"/>
        <v>707.3334083200001</v>
      </c>
      <c r="L157" s="96">
        <f t="shared" si="26"/>
        <v>0</v>
      </c>
      <c r="M157" s="341"/>
      <c r="Q157" s="61"/>
      <c r="R157" s="61"/>
      <c r="S157" s="61"/>
    </row>
    <row r="158" spans="1:19">
      <c r="A158" s="61" t="s">
        <v>230</v>
      </c>
      <c r="B158" s="61" t="s">
        <v>241</v>
      </c>
      <c r="C158" s="350">
        <v>0</v>
      </c>
      <c r="D158" s="351">
        <v>8.0399999999999991</v>
      </c>
      <c r="E158" s="61"/>
      <c r="F158" s="115">
        <v>35.21</v>
      </c>
      <c r="G158" s="356">
        <v>8.0399999999999991</v>
      </c>
      <c r="H158" s="77">
        <f t="shared" si="28"/>
        <v>0</v>
      </c>
      <c r="I158" s="79"/>
      <c r="J158" s="116">
        <f t="shared" si="25"/>
        <v>9.3038879999999988</v>
      </c>
      <c r="K158" s="116">
        <f t="shared" si="27"/>
        <v>327.58989647999999</v>
      </c>
      <c r="L158" s="96">
        <f t="shared" si="26"/>
        <v>0</v>
      </c>
      <c r="M158" s="341"/>
      <c r="Q158" s="61"/>
      <c r="R158" s="61"/>
      <c r="S158" s="61"/>
    </row>
    <row r="159" spans="1:19">
      <c r="A159" s="61" t="s">
        <v>230</v>
      </c>
      <c r="B159" s="61" t="s">
        <v>242</v>
      </c>
      <c r="C159" s="350">
        <v>0</v>
      </c>
      <c r="D159" s="351">
        <v>43.57</v>
      </c>
      <c r="E159" s="61"/>
      <c r="F159" s="115">
        <v>35.21</v>
      </c>
      <c r="G159" s="356">
        <v>43.57</v>
      </c>
      <c r="H159" s="77">
        <f t="shared" si="28"/>
        <v>0</v>
      </c>
      <c r="I159" s="79"/>
      <c r="J159" s="116">
        <f t="shared" si="25"/>
        <v>50.419204000000001</v>
      </c>
      <c r="K159" s="116">
        <f t="shared" si="27"/>
        <v>1803.9991191200002</v>
      </c>
      <c r="L159" s="96">
        <f t="shared" si="26"/>
        <v>0</v>
      </c>
      <c r="M159" s="341"/>
      <c r="Q159" s="61"/>
      <c r="R159" s="61"/>
      <c r="S159" s="61"/>
    </row>
    <row r="160" spans="1:19">
      <c r="A160" s="61" t="s">
        <v>230</v>
      </c>
      <c r="B160" s="61" t="s">
        <v>243</v>
      </c>
      <c r="C160" s="350">
        <v>4</v>
      </c>
      <c r="D160" s="351">
        <v>35.74</v>
      </c>
      <c r="E160" s="61"/>
      <c r="F160" s="115">
        <v>35.78</v>
      </c>
      <c r="G160" s="356">
        <v>35.74</v>
      </c>
      <c r="H160" s="77">
        <f t="shared" si="28"/>
        <v>142.96</v>
      </c>
      <c r="I160" s="79"/>
      <c r="J160" s="116">
        <f t="shared" si="25"/>
        <v>41.358328</v>
      </c>
      <c r="K160" s="116">
        <f t="shared" si="27"/>
        <v>1675.8394505600002</v>
      </c>
      <c r="L160" s="96">
        <f t="shared" si="26"/>
        <v>165.433312</v>
      </c>
      <c r="M160" s="341"/>
      <c r="Q160" s="61"/>
      <c r="R160" s="61"/>
      <c r="S160" s="61"/>
    </row>
    <row r="161" spans="1:19">
      <c r="A161" s="61" t="s">
        <v>230</v>
      </c>
      <c r="B161" s="61" t="s">
        <v>244</v>
      </c>
      <c r="C161" s="350">
        <v>0</v>
      </c>
      <c r="D161" s="351">
        <v>11.58</v>
      </c>
      <c r="E161" s="61"/>
      <c r="F161" s="115">
        <v>40.520000000000003</v>
      </c>
      <c r="G161" s="356">
        <v>11.58</v>
      </c>
      <c r="H161" s="77">
        <f t="shared" si="28"/>
        <v>0</v>
      </c>
      <c r="I161" s="79"/>
      <c r="J161" s="116">
        <f t="shared" si="25"/>
        <v>13.400376</v>
      </c>
      <c r="K161" s="116">
        <f t="shared" si="27"/>
        <v>232.63052735999997</v>
      </c>
      <c r="L161" s="96">
        <f t="shared" si="26"/>
        <v>0</v>
      </c>
      <c r="M161" s="341"/>
      <c r="Q161" s="61"/>
      <c r="R161" s="61"/>
      <c r="S161" s="61"/>
    </row>
    <row r="162" spans="1:19">
      <c r="A162" s="61" t="s">
        <v>245</v>
      </c>
      <c r="B162" s="61" t="s">
        <v>246</v>
      </c>
      <c r="C162" s="350">
        <v>0</v>
      </c>
      <c r="D162" s="351">
        <v>67.760000000000005</v>
      </c>
      <c r="E162" s="61"/>
      <c r="F162" s="115">
        <v>17.36</v>
      </c>
      <c r="G162" s="356">
        <v>67.760000000000005</v>
      </c>
      <c r="H162" s="77">
        <f t="shared" si="28"/>
        <v>0</v>
      </c>
      <c r="I162" s="79"/>
      <c r="J162" s="116">
        <f t="shared" si="25"/>
        <v>78.411872000000002</v>
      </c>
      <c r="K162" s="116">
        <f t="shared" si="27"/>
        <v>630.43145087999994</v>
      </c>
      <c r="L162" s="96">
        <f t="shared" si="26"/>
        <v>0</v>
      </c>
      <c r="M162" s="341"/>
      <c r="Q162" s="61"/>
      <c r="R162" s="61"/>
      <c r="S162" s="61"/>
    </row>
    <row r="163" spans="1:19">
      <c r="A163" s="61" t="s">
        <v>245</v>
      </c>
      <c r="B163" s="61" t="s">
        <v>247</v>
      </c>
      <c r="C163" s="350">
        <v>0</v>
      </c>
      <c r="D163" s="351">
        <v>34.130000000000003</v>
      </c>
      <c r="E163" s="61"/>
      <c r="F163" s="115">
        <v>8.0399999999999991</v>
      </c>
      <c r="G163" s="356">
        <v>34.130000000000003</v>
      </c>
      <c r="H163" s="77">
        <f t="shared" si="28"/>
        <v>0</v>
      </c>
      <c r="I163" s="79"/>
      <c r="J163" s="116">
        <f t="shared" si="25"/>
        <v>39.495236000000006</v>
      </c>
      <c r="K163" s="116">
        <f t="shared" si="27"/>
        <v>1720.8074325200002</v>
      </c>
      <c r="L163" s="96">
        <f t="shared" si="26"/>
        <v>0</v>
      </c>
      <c r="M163" s="341"/>
      <c r="Q163" s="61"/>
      <c r="R163" s="61"/>
      <c r="S163" s="61"/>
    </row>
    <row r="164" spans="1:19">
      <c r="A164" s="61" t="s">
        <v>245</v>
      </c>
      <c r="B164" s="61" t="s">
        <v>248</v>
      </c>
      <c r="C164" s="350">
        <v>0</v>
      </c>
      <c r="D164" s="351">
        <v>67.760000000000005</v>
      </c>
      <c r="E164" s="61"/>
      <c r="F164" s="115">
        <v>43.57</v>
      </c>
      <c r="G164" s="356">
        <v>67.760000000000005</v>
      </c>
      <c r="H164" s="77">
        <f t="shared" si="28"/>
        <v>0</v>
      </c>
      <c r="I164" s="79"/>
      <c r="J164" s="116">
        <f t="shared" si="25"/>
        <v>78.411872000000002</v>
      </c>
      <c r="K164" s="116">
        <f t="shared" si="27"/>
        <v>2802.4403052800003</v>
      </c>
      <c r="L164" s="96">
        <f t="shared" si="26"/>
        <v>0</v>
      </c>
      <c r="M164" s="341"/>
      <c r="Q164" s="61"/>
      <c r="R164" s="61"/>
      <c r="S164" s="61"/>
    </row>
    <row r="165" spans="1:19">
      <c r="A165" s="61" t="s">
        <v>245</v>
      </c>
      <c r="B165" s="61" t="s">
        <v>249</v>
      </c>
      <c r="C165" s="350">
        <v>0</v>
      </c>
      <c r="D165" s="351">
        <v>93.93</v>
      </c>
      <c r="E165" s="61"/>
      <c r="F165" s="115">
        <v>35.74</v>
      </c>
      <c r="G165" s="356">
        <v>93.93</v>
      </c>
      <c r="H165" s="77">
        <f t="shared" si="28"/>
        <v>0</v>
      </c>
      <c r="I165" s="79"/>
      <c r="J165" s="116">
        <f t="shared" si="25"/>
        <v>108.695796</v>
      </c>
      <c r="K165" s="116">
        <f t="shared" si="27"/>
        <v>1258.69731768</v>
      </c>
      <c r="L165" s="96">
        <f t="shared" si="26"/>
        <v>0</v>
      </c>
      <c r="M165" s="341"/>
      <c r="Q165" s="61"/>
      <c r="R165" s="61"/>
      <c r="S165" s="61"/>
    </row>
    <row r="166" spans="1:19">
      <c r="A166" s="61" t="s">
        <v>245</v>
      </c>
      <c r="B166" s="61" t="s">
        <v>250</v>
      </c>
      <c r="C166" s="350">
        <v>0</v>
      </c>
      <c r="D166" s="351">
        <v>34.130000000000003</v>
      </c>
      <c r="E166" s="61"/>
      <c r="F166" s="115">
        <v>11.58</v>
      </c>
      <c r="G166" s="356">
        <v>34.130000000000003</v>
      </c>
      <c r="H166" s="77">
        <f t="shared" si="28"/>
        <v>0</v>
      </c>
      <c r="I166" s="79"/>
      <c r="J166" s="116">
        <f t="shared" si="25"/>
        <v>39.495236000000006</v>
      </c>
      <c r="K166" s="116">
        <f t="shared" si="27"/>
        <v>2676.1971913600005</v>
      </c>
      <c r="L166" s="96">
        <f t="shared" si="26"/>
        <v>0</v>
      </c>
      <c r="M166" s="341"/>
      <c r="Q166" s="61"/>
      <c r="R166" s="61"/>
      <c r="S166" s="61"/>
    </row>
    <row r="167" spans="1:19">
      <c r="A167" s="61" t="s">
        <v>245</v>
      </c>
      <c r="B167" s="61" t="s">
        <v>251</v>
      </c>
      <c r="C167" s="350">
        <v>0</v>
      </c>
      <c r="D167" s="351">
        <v>93.93</v>
      </c>
      <c r="E167" s="61"/>
      <c r="F167" s="115">
        <v>67.760000000000005</v>
      </c>
      <c r="G167" s="356">
        <v>93.93</v>
      </c>
      <c r="H167" s="77">
        <f t="shared" si="28"/>
        <v>0</v>
      </c>
      <c r="I167" s="79"/>
      <c r="J167" s="116">
        <f t="shared" si="25"/>
        <v>108.695796</v>
      </c>
      <c r="K167" s="116">
        <f t="shared" si="27"/>
        <v>3709.7875174800001</v>
      </c>
      <c r="L167" s="96">
        <f t="shared" si="26"/>
        <v>0</v>
      </c>
      <c r="M167" s="341"/>
      <c r="Q167" s="61"/>
      <c r="R167" s="61"/>
      <c r="S167" s="61"/>
    </row>
    <row r="168" spans="1:19">
      <c r="A168" s="61" t="s">
        <v>252</v>
      </c>
      <c r="B168" s="61" t="s">
        <v>253</v>
      </c>
      <c r="C168" s="350">
        <v>0</v>
      </c>
      <c r="D168" s="351">
        <v>8.58</v>
      </c>
      <c r="E168" s="61"/>
      <c r="F168" s="115">
        <v>34.130000000000003</v>
      </c>
      <c r="G168" s="356">
        <v>8.58</v>
      </c>
      <c r="H168" s="77">
        <f t="shared" si="28"/>
        <v>0</v>
      </c>
      <c r="I168" s="79"/>
      <c r="J168" s="116">
        <f t="shared" si="25"/>
        <v>9.9287760000000009</v>
      </c>
      <c r="K168" s="116">
        <f t="shared" si="27"/>
        <v>672.77386176000016</v>
      </c>
      <c r="L168" s="96">
        <f t="shared" si="26"/>
        <v>0</v>
      </c>
      <c r="M168" s="341"/>
      <c r="Q168" s="61"/>
      <c r="R168" s="61"/>
      <c r="S168" s="61"/>
    </row>
    <row r="169" spans="1:19">
      <c r="A169" s="61" t="s">
        <v>252</v>
      </c>
      <c r="B169" s="61" t="s">
        <v>254</v>
      </c>
      <c r="C169" s="350">
        <v>0</v>
      </c>
      <c r="D169" s="351">
        <v>5</v>
      </c>
      <c r="E169" s="61"/>
      <c r="F169" s="115">
        <v>67.760000000000005</v>
      </c>
      <c r="G169" s="356">
        <v>5</v>
      </c>
      <c r="H169" s="77">
        <f t="shared" si="28"/>
        <v>0</v>
      </c>
      <c r="I169" s="79"/>
      <c r="J169" s="116">
        <f t="shared" si="25"/>
        <v>5.7859999999999996</v>
      </c>
      <c r="K169" s="116">
        <f t="shared" si="27"/>
        <v>543.47897999999998</v>
      </c>
      <c r="L169" s="96">
        <f t="shared" si="26"/>
        <v>0</v>
      </c>
      <c r="M169" s="341"/>
      <c r="Q169" s="61"/>
      <c r="R169" s="61"/>
      <c r="S169" s="61"/>
    </row>
    <row r="170" spans="1:19">
      <c r="A170" s="61" t="s">
        <v>255</v>
      </c>
      <c r="B170" s="61" t="s">
        <v>256</v>
      </c>
      <c r="C170" s="350">
        <v>4.5</v>
      </c>
      <c r="D170" s="351">
        <v>24.11</v>
      </c>
      <c r="E170" s="61"/>
      <c r="F170" s="115">
        <v>93.93</v>
      </c>
      <c r="G170" s="356">
        <v>24.11</v>
      </c>
      <c r="H170" s="77">
        <f t="shared" si="28"/>
        <v>108.495</v>
      </c>
      <c r="I170" s="79"/>
      <c r="J170" s="116">
        <f t="shared" si="25"/>
        <v>27.900092000000001</v>
      </c>
      <c r="K170" s="116">
        <f t="shared" si="27"/>
        <v>952.23013996000009</v>
      </c>
      <c r="L170" s="96">
        <f t="shared" si="26"/>
        <v>125.550414</v>
      </c>
      <c r="M170" s="341"/>
      <c r="Q170" s="61"/>
      <c r="R170" s="61"/>
      <c r="S170" s="61"/>
    </row>
    <row r="171" spans="1:19">
      <c r="A171" s="61" t="s">
        <v>255</v>
      </c>
      <c r="B171" s="61" t="s">
        <v>260</v>
      </c>
      <c r="C171" s="350">
        <v>0</v>
      </c>
      <c r="D171" s="351">
        <v>8.0399999999999991</v>
      </c>
      <c r="E171" s="61"/>
      <c r="F171" s="115">
        <v>34.130000000000003</v>
      </c>
      <c r="G171" s="356">
        <v>8.0399999999999991</v>
      </c>
      <c r="H171" s="77">
        <f t="shared" si="28"/>
        <v>0</v>
      </c>
      <c r="I171" s="79"/>
      <c r="J171" s="116">
        <f t="shared" si="25"/>
        <v>9.3038879999999988</v>
      </c>
      <c r="K171" s="116">
        <f t="shared" si="27"/>
        <v>873.91419983999992</v>
      </c>
      <c r="L171" s="96">
        <f t="shared" si="26"/>
        <v>0</v>
      </c>
      <c r="M171" s="341"/>
      <c r="Q171" s="61"/>
      <c r="R171" s="61"/>
      <c r="S171" s="61"/>
    </row>
    <row r="172" spans="1:19">
      <c r="A172" s="61"/>
      <c r="B172" s="81" t="s">
        <v>257</v>
      </c>
      <c r="C172" s="350"/>
      <c r="D172" s="352"/>
      <c r="E172" s="61"/>
      <c r="F172" s="115">
        <v>93.93</v>
      </c>
      <c r="H172" s="82">
        <f>SUM(H126:H171)</f>
        <v>2584.6549999999997</v>
      </c>
      <c r="I172" s="86"/>
      <c r="J172" s="342">
        <f t="shared" si="25"/>
        <v>0</v>
      </c>
      <c r="K172" s="342">
        <f t="shared" si="27"/>
        <v>0</v>
      </c>
      <c r="L172" s="112">
        <f>SUM(L126:L171)</f>
        <v>2990.9627660000006</v>
      </c>
      <c r="M172" s="341">
        <f>L172/H172</f>
        <v>1.1572000000000002</v>
      </c>
      <c r="N172" s="337"/>
      <c r="Q172" s="61"/>
      <c r="R172" s="61"/>
      <c r="S172" s="61"/>
    </row>
    <row r="173" spans="1:19">
      <c r="C173" s="350"/>
      <c r="D173" s="351"/>
      <c r="E173" s="61"/>
      <c r="F173" s="115">
        <v>8.58</v>
      </c>
      <c r="H173" s="77">
        <f t="shared" si="28"/>
        <v>0</v>
      </c>
      <c r="I173" s="79"/>
      <c r="J173" s="116">
        <f t="shared" si="25"/>
        <v>0</v>
      </c>
      <c r="K173" s="116">
        <f t="shared" si="27"/>
        <v>0</v>
      </c>
      <c r="L173" s="96">
        <f t="shared" si="26"/>
        <v>0</v>
      </c>
      <c r="M173" s="341"/>
      <c r="Q173" s="61"/>
      <c r="R173" s="61"/>
      <c r="S173" s="61"/>
    </row>
    <row r="174" spans="1:19">
      <c r="C174" s="350"/>
      <c r="D174" s="350"/>
      <c r="E174" s="61"/>
      <c r="F174" s="115">
        <v>5</v>
      </c>
      <c r="H174" s="77">
        <f t="shared" si="28"/>
        <v>0</v>
      </c>
      <c r="I174" s="79"/>
      <c r="J174" s="116">
        <f t="shared" si="25"/>
        <v>0</v>
      </c>
      <c r="K174" s="116">
        <f t="shared" si="27"/>
        <v>0</v>
      </c>
      <c r="L174" s="96">
        <f t="shared" si="26"/>
        <v>0</v>
      </c>
      <c r="M174" s="341"/>
      <c r="Q174" s="61"/>
      <c r="R174" s="61"/>
      <c r="S174" s="61"/>
    </row>
    <row r="175" spans="1:19">
      <c r="A175" s="61"/>
      <c r="B175" s="62" t="s">
        <v>272</v>
      </c>
      <c r="C175" s="350"/>
      <c r="D175" s="350"/>
      <c r="E175" s="61"/>
      <c r="F175" s="115">
        <v>24.11</v>
      </c>
      <c r="H175" s="82">
        <f>H53+H67+H101+H120+H172</f>
        <v>629191.05499999993</v>
      </c>
      <c r="I175" s="82">
        <f t="shared" ref="I175:L175" si="29">I53+I67+I101+I120+I172</f>
        <v>0</v>
      </c>
      <c r="J175" s="82">
        <f t="shared" si="29"/>
        <v>0</v>
      </c>
      <c r="K175" s="82" t="e">
        <f t="shared" si="29"/>
        <v>#VALUE!</v>
      </c>
      <c r="L175" s="82">
        <f t="shared" si="29"/>
        <v>728100.04604599997</v>
      </c>
      <c r="M175" s="341"/>
      <c r="N175" s="348"/>
      <c r="Q175" s="61"/>
      <c r="R175" s="61"/>
      <c r="S175" s="61"/>
    </row>
    <row r="176" spans="1:19">
      <c r="C176" s="350"/>
      <c r="D176" s="351"/>
      <c r="E176" s="69"/>
      <c r="F176" s="333">
        <v>8.0399999999999991</v>
      </c>
      <c r="H176" s="77"/>
      <c r="I176" s="334"/>
      <c r="J176" s="116">
        <f t="shared" si="25"/>
        <v>0</v>
      </c>
      <c r="K176" s="116">
        <f t="shared" si="27"/>
        <v>0</v>
      </c>
      <c r="L176" s="96">
        <f t="shared" si="26"/>
        <v>0</v>
      </c>
      <c r="M176" s="341"/>
      <c r="Q176" s="61"/>
      <c r="R176" s="61"/>
      <c r="S176" s="61"/>
    </row>
    <row r="177" spans="1:19">
      <c r="B177" s="10" t="s">
        <v>279</v>
      </c>
      <c r="C177" s="350"/>
      <c r="D177" s="350"/>
      <c r="E177" s="61"/>
      <c r="F177" s="117"/>
      <c r="H177" s="77">
        <f t="shared" si="28"/>
        <v>0</v>
      </c>
      <c r="I177" s="82"/>
      <c r="J177" s="62"/>
      <c r="K177" s="62" t="e">
        <f>SUM(K131:K176)</f>
        <v>#VALUE!</v>
      </c>
      <c r="M177" s="341"/>
      <c r="Q177" s="332"/>
      <c r="R177" s="61"/>
      <c r="S177" s="61"/>
    </row>
    <row r="178" spans="1:19">
      <c r="A178" s="61"/>
      <c r="B178" s="61"/>
      <c r="C178" s="350"/>
      <c r="D178" s="351"/>
      <c r="E178" s="61"/>
      <c r="F178" s="61"/>
      <c r="H178" s="61"/>
      <c r="I178" s="61"/>
      <c r="J178" s="62"/>
      <c r="K178" s="338"/>
      <c r="L178" s="359"/>
      <c r="M178" s="341"/>
      <c r="Q178" s="332"/>
      <c r="R178" s="61"/>
      <c r="S178" s="61"/>
    </row>
    <row r="179" spans="1:19">
      <c r="A179" s="61"/>
      <c r="B179" s="62"/>
      <c r="C179" s="350"/>
      <c r="D179" s="350"/>
      <c r="E179" s="62"/>
      <c r="F179" s="62"/>
      <c r="H179" s="61"/>
      <c r="I179" s="62"/>
      <c r="J179" s="62"/>
      <c r="K179" s="62"/>
      <c r="L179" s="357"/>
      <c r="M179" s="341"/>
      <c r="Q179" s="61"/>
      <c r="R179" s="61"/>
      <c r="S179" s="61"/>
    </row>
    <row r="180" spans="1:19">
      <c r="C180" s="350"/>
      <c r="D180" s="350"/>
      <c r="J180" s="62"/>
      <c r="K180" s="62"/>
      <c r="L180" s="357"/>
      <c r="M180" s="341"/>
      <c r="Q180" s="61"/>
      <c r="R180" s="61"/>
      <c r="S180" s="61"/>
    </row>
    <row r="181" spans="1:19">
      <c r="A181" s="61"/>
      <c r="B181" s="62" t="s">
        <v>272</v>
      </c>
      <c r="C181" s="350"/>
      <c r="D181" s="351"/>
      <c r="E181" s="61"/>
      <c r="H181" s="62" t="e">
        <f>#REF!</f>
        <v>#REF!</v>
      </c>
      <c r="I181" s="62"/>
      <c r="J181" s="62" t="e">
        <f>#REF!</f>
        <v>#REF!</v>
      </c>
      <c r="K181" s="62" t="e">
        <f>#REF!</f>
        <v>#REF!</v>
      </c>
      <c r="L181" s="358" t="e">
        <f>#REF!</f>
        <v>#REF!</v>
      </c>
      <c r="M181" s="131"/>
      <c r="Q181" s="61"/>
      <c r="R181" s="61"/>
      <c r="S181" s="61"/>
    </row>
    <row r="182" spans="1:19">
      <c r="A182" s="61"/>
      <c r="B182" s="61"/>
      <c r="C182" s="350"/>
      <c r="D182" s="351"/>
      <c r="E182" s="61"/>
      <c r="F182" s="61"/>
      <c r="H182" s="61"/>
      <c r="I182" s="61"/>
      <c r="J182" s="61"/>
      <c r="K182" s="61"/>
      <c r="L182" s="357"/>
      <c r="M182" s="341"/>
      <c r="Q182" s="61"/>
      <c r="R182" s="61"/>
      <c r="S182" s="61"/>
    </row>
    <row r="183" spans="1:19">
      <c r="A183" s="61"/>
      <c r="B183" s="10" t="s">
        <v>270</v>
      </c>
      <c r="C183" s="350"/>
      <c r="D183" s="351"/>
      <c r="I183" s="61"/>
      <c r="J183" s="61"/>
      <c r="K183" s="61"/>
      <c r="L183" s="357"/>
      <c r="M183" s="341"/>
      <c r="Q183" s="61"/>
      <c r="R183" s="61"/>
      <c r="S183" s="61"/>
    </row>
    <row r="184" spans="1:19">
      <c r="A184" s="61"/>
      <c r="B184" s="61" t="s">
        <v>261</v>
      </c>
      <c r="C184" s="350"/>
      <c r="D184" s="355"/>
      <c r="F184" s="61"/>
      <c r="I184" s="61"/>
      <c r="J184" s="61"/>
      <c r="K184" s="61"/>
      <c r="L184" s="357"/>
      <c r="M184" s="341"/>
      <c r="Q184" s="61"/>
      <c r="R184" s="61"/>
      <c r="S184" s="61"/>
    </row>
    <row r="185" spans="1:19">
      <c r="A185" s="61"/>
      <c r="B185" s="61"/>
      <c r="C185" s="350"/>
      <c r="D185" s="351"/>
      <c r="E185" s="61"/>
      <c r="F185" s="61"/>
      <c r="H185" s="61"/>
      <c r="I185" s="61"/>
      <c r="J185" s="61"/>
      <c r="K185" s="61"/>
      <c r="L185" s="357"/>
      <c r="M185" s="341"/>
      <c r="Q185" s="61"/>
      <c r="R185" s="61"/>
      <c r="S185" s="61"/>
    </row>
    <row r="186" spans="1:19">
      <c r="A186" s="61"/>
      <c r="B186" s="61" t="s">
        <v>271</v>
      </c>
      <c r="C186" s="350"/>
      <c r="D186" s="351"/>
      <c r="E186" s="61"/>
      <c r="F186" s="61"/>
      <c r="I186" s="61"/>
      <c r="J186" s="61"/>
      <c r="K186" s="61"/>
      <c r="L186" s="357"/>
      <c r="M186" s="341"/>
      <c r="Q186" s="61"/>
      <c r="R186" s="61"/>
      <c r="S186" s="61"/>
    </row>
    <row r="187" spans="1:19">
      <c r="A187" s="61"/>
      <c r="B187" s="61"/>
      <c r="C187" s="350"/>
      <c r="D187" s="354"/>
      <c r="E187" s="61"/>
      <c r="F187" s="61"/>
      <c r="H187" s="61"/>
      <c r="I187" s="61"/>
      <c r="J187" s="61"/>
      <c r="K187" s="61"/>
      <c r="L187" s="357"/>
      <c r="M187" s="341"/>
      <c r="Q187" s="61"/>
      <c r="R187" s="61"/>
      <c r="S187" s="61"/>
    </row>
    <row r="188" spans="1:19">
      <c r="A188" s="61"/>
      <c r="B188" s="62" t="s">
        <v>273</v>
      </c>
      <c r="C188" s="350"/>
      <c r="D188" s="351"/>
      <c r="E188" s="10"/>
      <c r="F188" s="10"/>
      <c r="I188" s="93"/>
      <c r="J188" s="93" t="e">
        <f t="shared" ref="J188:L188" si="30">J181+J184+J186</f>
        <v>#REF!</v>
      </c>
      <c r="K188" s="93" t="e">
        <f t="shared" si="30"/>
        <v>#REF!</v>
      </c>
      <c r="L188" s="112" t="e">
        <f t="shared" si="30"/>
        <v>#REF!</v>
      </c>
      <c r="M188" s="341"/>
      <c r="Q188" s="61"/>
      <c r="R188" s="61"/>
      <c r="S188" s="61"/>
    </row>
    <row r="189" spans="1:19">
      <c r="A189" s="61"/>
      <c r="B189" s="61"/>
      <c r="C189" s="350"/>
      <c r="D189" s="354"/>
      <c r="E189" s="61"/>
      <c r="F189" s="61"/>
      <c r="H189" s="61"/>
      <c r="I189" s="61"/>
      <c r="J189" s="61"/>
      <c r="K189" s="61"/>
      <c r="L189" s="357"/>
      <c r="M189" s="341"/>
      <c r="Q189" s="61"/>
      <c r="R189" s="61"/>
      <c r="S189" s="61"/>
    </row>
    <row r="190" spans="1:19">
      <c r="A190" s="61"/>
      <c r="B190" s="61"/>
      <c r="C190" s="350"/>
      <c r="D190" s="354"/>
      <c r="E190" s="61"/>
      <c r="F190" s="61"/>
      <c r="H190" s="61"/>
      <c r="I190" s="61"/>
      <c r="J190" s="61"/>
      <c r="K190" s="61"/>
      <c r="L190" s="357"/>
      <c r="M190" s="341"/>
      <c r="Q190" s="61"/>
      <c r="R190" s="61"/>
      <c r="S190" s="61"/>
    </row>
    <row r="191" spans="1:19">
      <c r="A191" s="61"/>
      <c r="B191" s="62" t="s">
        <v>267</v>
      </c>
      <c r="C191" s="350"/>
      <c r="D191" s="351"/>
      <c r="E191" s="62"/>
      <c r="F191" s="62"/>
      <c r="I191" s="62"/>
      <c r="J191" s="62">
        <f>'RESULTS OF OPERATIONS'!C19</f>
        <v>0</v>
      </c>
      <c r="K191" s="62">
        <f>'RESULTS OF OPERATIONS'!D19</f>
        <v>0</v>
      </c>
      <c r="L191" s="358">
        <f>'RESULTS OF OPERATIONS'!E19</f>
        <v>685066</v>
      </c>
      <c r="M191" s="341"/>
      <c r="Q191" s="61"/>
      <c r="R191" s="61"/>
      <c r="S191" s="61"/>
    </row>
    <row r="192" spans="1:19">
      <c r="A192" s="61"/>
      <c r="B192" s="61"/>
      <c r="C192" s="350"/>
      <c r="D192" s="351"/>
      <c r="E192" s="61"/>
      <c r="F192" s="61"/>
      <c r="H192" s="61"/>
      <c r="I192" s="61"/>
      <c r="J192" s="61"/>
      <c r="K192" s="61"/>
      <c r="L192" s="357"/>
      <c r="M192" s="341"/>
      <c r="Q192" s="61"/>
      <c r="R192" s="61"/>
      <c r="S192" s="61"/>
    </row>
    <row r="193" spans="1:19">
      <c r="A193" s="61"/>
      <c r="B193" s="62" t="s">
        <v>274</v>
      </c>
      <c r="C193" s="350"/>
      <c r="D193" s="351"/>
      <c r="E193" s="62"/>
      <c r="F193" s="62"/>
      <c r="I193" s="62"/>
      <c r="J193" s="61"/>
      <c r="K193" s="61"/>
      <c r="L193" s="357"/>
      <c r="M193" s="341"/>
      <c r="Q193" s="61"/>
      <c r="R193" s="61"/>
      <c r="S193" s="61"/>
    </row>
    <row r="194" spans="1:19">
      <c r="A194" s="61"/>
      <c r="B194" s="62"/>
      <c r="C194" s="350"/>
      <c r="D194" s="351"/>
      <c r="E194" s="62"/>
      <c r="F194" s="62"/>
      <c r="I194" s="131"/>
      <c r="J194" s="70"/>
      <c r="K194" s="61"/>
      <c r="L194" s="357"/>
      <c r="M194" s="61"/>
      <c r="N194" s="61"/>
      <c r="O194" s="61"/>
      <c r="P194" s="341"/>
      <c r="Q194" s="61"/>
      <c r="R194" s="61"/>
      <c r="S194" s="61"/>
    </row>
    <row r="195" spans="1:19">
      <c r="A195" s="61"/>
      <c r="B195" s="61"/>
      <c r="C195" s="350"/>
      <c r="D195" s="350"/>
      <c r="E195" s="61"/>
      <c r="F195" s="61"/>
      <c r="H195" s="61"/>
      <c r="I195" s="61"/>
      <c r="J195" s="70"/>
      <c r="K195" s="61"/>
      <c r="L195" s="357"/>
      <c r="M195" s="61"/>
      <c r="N195" s="61"/>
      <c r="O195" s="61"/>
      <c r="P195" s="341"/>
      <c r="R195" s="61"/>
      <c r="S195" s="61"/>
    </row>
    <row r="196" spans="1:19">
      <c r="A196" s="61"/>
      <c r="B196" s="61"/>
      <c r="C196" s="350"/>
      <c r="D196" s="350"/>
      <c r="E196" s="61"/>
      <c r="F196" s="61"/>
      <c r="H196" s="61"/>
      <c r="I196" s="61"/>
      <c r="J196" s="70"/>
      <c r="K196" s="61"/>
      <c r="L196" s="357"/>
      <c r="M196" s="61"/>
      <c r="N196" s="61"/>
      <c r="O196" s="61"/>
      <c r="P196" s="341"/>
      <c r="R196" s="61"/>
      <c r="S196" s="61"/>
    </row>
    <row r="197" spans="1:19">
      <c r="A197" s="61"/>
      <c r="B197" s="61"/>
      <c r="C197" s="350"/>
      <c r="D197" s="350"/>
      <c r="E197" s="61"/>
      <c r="F197" s="61"/>
      <c r="H197" s="61"/>
      <c r="I197" s="61"/>
      <c r="J197" s="70"/>
      <c r="K197" s="61"/>
      <c r="L197" s="357"/>
      <c r="M197" s="61"/>
      <c r="N197" s="61"/>
      <c r="O197" s="61"/>
      <c r="P197" s="341"/>
      <c r="Q197" s="61"/>
      <c r="R197" s="61"/>
      <c r="S197" s="61"/>
    </row>
    <row r="198" spans="1:19">
      <c r="A198" s="61"/>
      <c r="B198" s="61"/>
      <c r="C198" s="350"/>
      <c r="D198" s="350"/>
      <c r="E198" s="61"/>
      <c r="F198" s="61"/>
      <c r="H198" s="61"/>
      <c r="I198" s="61"/>
      <c r="J198" s="70"/>
      <c r="K198" s="61"/>
      <c r="L198" s="357"/>
      <c r="M198" s="61"/>
      <c r="N198" s="61"/>
      <c r="O198" s="61"/>
      <c r="P198" s="341"/>
      <c r="Q198" s="61"/>
      <c r="R198" s="61"/>
      <c r="S198" s="61"/>
    </row>
    <row r="199" spans="1:19">
      <c r="C199" s="350"/>
      <c r="D199" s="350"/>
      <c r="L199" s="96"/>
      <c r="P199" s="341"/>
      <c r="Q199" s="61"/>
      <c r="R199" s="61"/>
      <c r="S199" s="61"/>
    </row>
    <row r="200" spans="1:19">
      <c r="C200" s="350"/>
      <c r="D200" s="350"/>
      <c r="L200" s="96"/>
      <c r="P200" s="341"/>
      <c r="Q200" s="61"/>
      <c r="R200" s="61"/>
      <c r="S200" s="61"/>
    </row>
    <row r="201" spans="1:19">
      <c r="C201" s="350"/>
      <c r="D201" s="350"/>
      <c r="L201" s="96"/>
      <c r="P201" s="341"/>
      <c r="Q201" s="61"/>
      <c r="R201" s="61"/>
      <c r="S201" s="61"/>
    </row>
    <row r="202" spans="1:19">
      <c r="C202" s="350"/>
      <c r="D202" s="350"/>
      <c r="L202" s="96"/>
      <c r="P202" s="341"/>
      <c r="Q202" s="61"/>
      <c r="R202" s="61"/>
    </row>
    <row r="203" spans="1:19">
      <c r="C203" s="350"/>
      <c r="D203" s="350"/>
      <c r="L203" s="96"/>
      <c r="P203" s="341"/>
      <c r="Q203" s="61"/>
      <c r="R203" s="61"/>
    </row>
    <row r="204" spans="1:19">
      <c r="C204" s="350"/>
      <c r="D204" s="350"/>
      <c r="L204" s="96"/>
      <c r="P204" s="341"/>
      <c r="Q204" s="61"/>
      <c r="R204" s="61"/>
    </row>
    <row r="205" spans="1:19">
      <c r="C205" s="350"/>
      <c r="D205" s="350"/>
      <c r="L205" s="96"/>
      <c r="P205" s="341"/>
      <c r="Q205" s="61"/>
      <c r="R205" s="61"/>
    </row>
    <row r="206" spans="1:19">
      <c r="C206" s="350"/>
      <c r="D206" s="350"/>
      <c r="L206" s="96"/>
      <c r="P206" s="341"/>
      <c r="Q206" s="61"/>
      <c r="R206" s="61"/>
    </row>
    <row r="207" spans="1:19">
      <c r="C207" s="350"/>
      <c r="D207" s="350"/>
      <c r="L207" s="96"/>
      <c r="P207" s="341"/>
      <c r="Q207" s="61"/>
      <c r="R207" s="61"/>
    </row>
    <row r="208" spans="1:19">
      <c r="C208" s="350"/>
      <c r="D208" s="350"/>
      <c r="L208" s="96"/>
      <c r="P208" s="341"/>
      <c r="Q208" s="61"/>
      <c r="R208" s="61"/>
    </row>
    <row r="209" spans="1:18">
      <c r="C209" s="350"/>
      <c r="D209" s="350"/>
      <c r="L209" s="96"/>
      <c r="P209" s="341"/>
      <c r="Q209" s="61"/>
      <c r="R209" s="61"/>
    </row>
    <row r="210" spans="1:18">
      <c r="C210" s="350"/>
      <c r="D210" s="350"/>
      <c r="L210" s="96"/>
      <c r="O210" s="341"/>
      <c r="P210" s="61"/>
      <c r="Q210" s="61"/>
      <c r="R210" s="61"/>
    </row>
    <row r="211" spans="1:18">
      <c r="C211" s="350"/>
      <c r="D211" s="350"/>
      <c r="L211" s="96"/>
      <c r="O211" s="341"/>
      <c r="P211" s="61"/>
      <c r="Q211" s="61"/>
      <c r="R211" s="61"/>
    </row>
    <row r="212" spans="1:18">
      <c r="C212" s="350"/>
      <c r="D212" s="350"/>
      <c r="L212" s="96"/>
      <c r="O212" s="341"/>
      <c r="P212" s="61"/>
      <c r="Q212" s="61"/>
      <c r="R212" s="61"/>
    </row>
    <row r="213" spans="1:18">
      <c r="L213" s="96"/>
      <c r="O213" s="341"/>
      <c r="P213" s="61"/>
      <c r="Q213" s="61"/>
      <c r="R213" s="61"/>
    </row>
    <row r="214" spans="1:18">
      <c r="L214" s="96"/>
      <c r="O214" s="341"/>
      <c r="P214" s="61"/>
      <c r="Q214" s="61"/>
      <c r="R214" s="61"/>
    </row>
    <row r="215" spans="1:18">
      <c r="L215" s="96"/>
      <c r="O215" s="341"/>
      <c r="P215" s="61"/>
      <c r="Q215" s="61"/>
      <c r="R215" s="61"/>
    </row>
    <row r="216" spans="1:18">
      <c r="L216" s="96"/>
      <c r="O216" s="341"/>
      <c r="P216" s="61"/>
      <c r="Q216" s="61"/>
      <c r="R216" s="61"/>
    </row>
    <row r="217" spans="1:18">
      <c r="L217" s="96"/>
      <c r="P217" s="61"/>
      <c r="Q217" s="61"/>
      <c r="R217" s="61"/>
    </row>
    <row r="218" spans="1:18">
      <c r="A218" s="61"/>
      <c r="B218" s="61"/>
      <c r="C218" s="61"/>
      <c r="D218" s="61"/>
      <c r="E218" s="61"/>
      <c r="F218" s="61"/>
      <c r="G218" s="61"/>
      <c r="H218" s="70"/>
      <c r="I218" s="61"/>
      <c r="J218" s="61"/>
      <c r="K218" s="61"/>
      <c r="L218" s="357"/>
      <c r="M218" s="61"/>
      <c r="N218" s="61"/>
      <c r="O218" s="61"/>
      <c r="P218" s="61"/>
      <c r="Q218" s="61"/>
      <c r="R218" s="61"/>
    </row>
    <row r="219" spans="1:18">
      <c r="A219" s="61"/>
      <c r="B219" s="61"/>
      <c r="C219" s="61"/>
      <c r="D219" s="61"/>
      <c r="E219" s="61"/>
      <c r="F219" s="61"/>
      <c r="G219" s="61"/>
      <c r="H219" s="70"/>
      <c r="I219" s="61"/>
      <c r="J219" s="61"/>
      <c r="K219" s="61"/>
      <c r="L219" s="61"/>
      <c r="M219" s="61"/>
      <c r="N219" s="61"/>
      <c r="O219" s="61"/>
      <c r="P219" s="61"/>
      <c r="Q219" s="61"/>
      <c r="R219" s="61"/>
    </row>
    <row r="220" spans="1:18">
      <c r="A220" s="61"/>
      <c r="B220" s="61"/>
      <c r="C220" s="61"/>
      <c r="D220" s="61"/>
      <c r="E220" s="61"/>
      <c r="F220" s="61"/>
      <c r="G220" s="61"/>
      <c r="H220" s="70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1:18">
      <c r="A221" s="61"/>
      <c r="B221" s="62"/>
      <c r="C221" s="62"/>
      <c r="D221" s="62"/>
      <c r="E221" s="62"/>
      <c r="F221" s="62"/>
      <c r="G221" s="62"/>
      <c r="H221" s="70"/>
      <c r="I221" s="61"/>
      <c r="J221" s="62"/>
      <c r="K221" s="62"/>
      <c r="L221" s="62"/>
      <c r="M221" s="62"/>
      <c r="N221" s="61"/>
      <c r="O221" s="61"/>
      <c r="P221" s="61"/>
      <c r="Q221" s="61"/>
      <c r="R221" s="61"/>
    </row>
    <row r="222" spans="1:18">
      <c r="A222" s="61"/>
      <c r="B222" s="61"/>
      <c r="C222" s="61"/>
      <c r="D222" s="61"/>
      <c r="E222" s="61"/>
      <c r="F222" s="61"/>
      <c r="G222" s="61"/>
      <c r="H222" s="70"/>
      <c r="I222" s="61"/>
      <c r="J222" s="61"/>
      <c r="K222" s="61"/>
      <c r="L222" s="61"/>
      <c r="M222" s="61"/>
      <c r="N222" s="61"/>
      <c r="O222" s="61"/>
      <c r="P222" s="61"/>
      <c r="Q222" s="61"/>
      <c r="R222" s="61"/>
    </row>
    <row r="223" spans="1:18">
      <c r="A223" s="61"/>
      <c r="B223" s="61"/>
      <c r="C223" s="61"/>
      <c r="D223" s="61"/>
      <c r="E223" s="61"/>
      <c r="F223" s="61"/>
      <c r="G223" s="61"/>
      <c r="H223" s="70"/>
      <c r="I223" s="61"/>
      <c r="J223" s="61"/>
      <c r="K223" s="61"/>
      <c r="L223" s="62"/>
      <c r="M223" s="61"/>
      <c r="N223" s="61"/>
      <c r="O223" s="61"/>
      <c r="P223" s="61"/>
      <c r="Q223" s="61"/>
      <c r="R223" s="61"/>
    </row>
    <row r="224" spans="1:18">
      <c r="A224" s="61"/>
      <c r="B224" s="62"/>
      <c r="C224" s="62"/>
      <c r="D224" s="62"/>
      <c r="E224" s="62"/>
      <c r="F224" s="62"/>
      <c r="G224" s="62"/>
      <c r="H224" s="70"/>
      <c r="I224" s="61"/>
      <c r="J224" s="62"/>
      <c r="K224" s="62"/>
      <c r="L224" s="61"/>
      <c r="M224" s="61"/>
      <c r="N224" s="61"/>
      <c r="O224" s="61"/>
      <c r="P224" s="61"/>
      <c r="Q224" s="61"/>
      <c r="R224" s="61"/>
    </row>
  </sheetData>
  <printOptions gridLines="1"/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52"/>
  <sheetViews>
    <sheetView topLeftCell="A6" workbookViewId="0">
      <pane xSplit="3" ySplit="3" topLeftCell="L96" activePane="bottomRight" state="frozen"/>
      <selection activeCell="A6" sqref="A6"/>
      <selection pane="topRight" activeCell="D6" sqref="D6"/>
      <selection pane="bottomLeft" activeCell="A9" sqref="A9"/>
      <selection pane="bottomRight" activeCell="Z120" sqref="Z120"/>
    </sheetView>
  </sheetViews>
  <sheetFormatPr defaultRowHeight="14.4"/>
  <cols>
    <col min="1" max="1" width="7.5546875" customWidth="1"/>
    <col min="2" max="2" width="5.33203125" customWidth="1"/>
    <col min="3" max="3" width="16.33203125" customWidth="1"/>
    <col min="4" max="4" width="3.6640625" customWidth="1"/>
    <col min="5" max="5" width="9.6640625" customWidth="1"/>
    <col min="6" max="7" width="8" customWidth="1"/>
    <col min="8" max="8" width="10.44140625" customWidth="1"/>
    <col min="9" max="9" width="2.33203125" customWidth="1"/>
    <col min="10" max="10" width="3.44140625" customWidth="1"/>
    <col min="11" max="11" width="7.77734375" bestFit="1" customWidth="1"/>
    <col min="12" max="12" width="5" customWidth="1"/>
    <col min="13" max="13" width="9.44140625" customWidth="1"/>
    <col min="14" max="14" width="9.6640625" customWidth="1"/>
    <col min="15" max="15" width="10.6640625" customWidth="1"/>
    <col min="16" max="16" width="9.77734375" bestFit="1" customWidth="1"/>
    <col min="17" max="17" width="8.77734375" bestFit="1" customWidth="1"/>
    <col min="18" max="19" width="9.77734375" bestFit="1" customWidth="1"/>
    <col min="20" max="20" width="8.77734375" bestFit="1" customWidth="1"/>
    <col min="21" max="21" width="9.77734375" customWidth="1"/>
    <col min="22" max="22" width="9.88671875" customWidth="1"/>
    <col min="24" max="24" width="10" bestFit="1" customWidth="1"/>
    <col min="25" max="25" width="12.109375" bestFit="1" customWidth="1"/>
    <col min="26" max="26" width="8.77734375" customWidth="1"/>
  </cols>
  <sheetData>
    <row r="1" spans="1:26" ht="24.6">
      <c r="A1" s="6" t="s">
        <v>0</v>
      </c>
      <c r="B1" s="6"/>
      <c r="H1" s="7"/>
      <c r="I1" s="8"/>
      <c r="J1" s="8"/>
      <c r="K1" s="9"/>
    </row>
    <row r="2" spans="1:26" ht="17.399999999999999">
      <c r="A2" s="6" t="s">
        <v>109</v>
      </c>
      <c r="B2" s="6"/>
      <c r="F2" s="5"/>
      <c r="G2" s="5"/>
      <c r="I2" s="8"/>
      <c r="J2" s="8"/>
    </row>
    <row r="3" spans="1:26">
      <c r="F3" s="5" t="s">
        <v>1</v>
      </c>
      <c r="G3" s="5"/>
      <c r="H3" s="132">
        <v>2022</v>
      </c>
    </row>
    <row r="4" spans="1:26">
      <c r="F4" s="5" t="s">
        <v>2</v>
      </c>
      <c r="G4" s="5"/>
      <c r="H4" s="132">
        <v>2023</v>
      </c>
    </row>
    <row r="5" spans="1:26">
      <c r="A5" s="10"/>
      <c r="B5" s="10"/>
      <c r="C5" s="10"/>
      <c r="D5" s="10"/>
      <c r="E5" s="11"/>
      <c r="F5" s="11"/>
      <c r="G5" s="11"/>
      <c r="H5" s="11"/>
      <c r="I5" s="11"/>
      <c r="J5" s="11"/>
      <c r="K5" s="11" t="s">
        <v>3</v>
      </c>
      <c r="L5" s="11" t="s">
        <v>4</v>
      </c>
      <c r="N5" s="11">
        <v>2019</v>
      </c>
      <c r="O5" s="11">
        <v>2019</v>
      </c>
      <c r="P5" s="11">
        <v>2019</v>
      </c>
      <c r="Q5" s="10"/>
      <c r="R5" s="11">
        <v>2020</v>
      </c>
      <c r="S5" s="11">
        <v>2020</v>
      </c>
      <c r="T5" s="11">
        <v>2021</v>
      </c>
      <c r="U5" s="11">
        <v>2021</v>
      </c>
      <c r="V5" s="11">
        <v>2021</v>
      </c>
      <c r="W5" s="11">
        <v>2022</v>
      </c>
      <c r="X5" s="11">
        <v>2022</v>
      </c>
      <c r="Y5" s="11">
        <v>2022</v>
      </c>
      <c r="Z5" s="11">
        <v>2023</v>
      </c>
    </row>
    <row r="6" spans="1:26">
      <c r="A6" s="11" t="s">
        <v>5</v>
      </c>
      <c r="B6" s="11" t="s">
        <v>5</v>
      </c>
      <c r="C6" s="10"/>
      <c r="D6" s="10" t="s">
        <v>6</v>
      </c>
      <c r="E6" s="11" t="s">
        <v>7</v>
      </c>
      <c r="F6" s="11"/>
      <c r="G6" s="133" t="s">
        <v>514</v>
      </c>
      <c r="H6" s="11" t="s">
        <v>3</v>
      </c>
      <c r="I6" s="11"/>
      <c r="J6" s="11"/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13</v>
      </c>
      <c r="Q6" s="11">
        <v>2020</v>
      </c>
      <c r="R6" s="11" t="s">
        <v>86</v>
      </c>
      <c r="S6" s="11" t="s">
        <v>13</v>
      </c>
      <c r="T6" s="10"/>
      <c r="U6" s="11" t="s">
        <v>86</v>
      </c>
      <c r="V6" s="11" t="s">
        <v>13</v>
      </c>
      <c r="W6" s="11"/>
      <c r="X6" s="11" t="s">
        <v>86</v>
      </c>
      <c r="Y6" s="11" t="s">
        <v>13</v>
      </c>
      <c r="Z6" s="11" t="s">
        <v>97</v>
      </c>
    </row>
    <row r="7" spans="1:26">
      <c r="A7" s="11" t="s">
        <v>14</v>
      </c>
      <c r="B7" s="11" t="s">
        <v>4</v>
      </c>
      <c r="C7" s="10" t="s">
        <v>15</v>
      </c>
      <c r="D7" s="10" t="s">
        <v>16</v>
      </c>
      <c r="E7" s="11" t="s">
        <v>17</v>
      </c>
      <c r="F7" s="11" t="s">
        <v>18</v>
      </c>
      <c r="G7" s="133" t="s">
        <v>513</v>
      </c>
      <c r="H7" s="11" t="s">
        <v>19</v>
      </c>
      <c r="I7" s="11" t="s">
        <v>20</v>
      </c>
      <c r="J7" s="11" t="s">
        <v>21</v>
      </c>
      <c r="K7" s="11" t="s">
        <v>4</v>
      </c>
      <c r="L7" s="11" t="s">
        <v>22</v>
      </c>
      <c r="M7" s="11" t="s">
        <v>3</v>
      </c>
      <c r="N7" s="11" t="s">
        <v>23</v>
      </c>
      <c r="O7" s="11" t="s">
        <v>3</v>
      </c>
      <c r="P7" s="11" t="s">
        <v>24</v>
      </c>
      <c r="Q7" s="11" t="s">
        <v>3</v>
      </c>
      <c r="R7" s="11" t="s">
        <v>3</v>
      </c>
      <c r="S7" s="11" t="s">
        <v>24</v>
      </c>
      <c r="T7" s="11" t="s">
        <v>3</v>
      </c>
      <c r="U7" s="11" t="s">
        <v>3</v>
      </c>
      <c r="V7" s="11" t="s">
        <v>24</v>
      </c>
      <c r="W7" s="11" t="s">
        <v>3</v>
      </c>
      <c r="X7" s="11" t="s">
        <v>3</v>
      </c>
      <c r="Y7" s="11" t="s">
        <v>24</v>
      </c>
      <c r="Z7" s="11" t="s">
        <v>3</v>
      </c>
    </row>
    <row r="8" spans="1:26" ht="15.6">
      <c r="A8" s="12" t="s">
        <v>25</v>
      </c>
      <c r="B8" s="12"/>
      <c r="G8" s="132"/>
      <c r="M8" s="1"/>
      <c r="N8" s="1"/>
    </row>
    <row r="9" spans="1:26">
      <c r="G9" s="132"/>
    </row>
    <row r="10" spans="1:26">
      <c r="A10" s="13">
        <v>42004</v>
      </c>
      <c r="B10" s="14">
        <v>2014</v>
      </c>
      <c r="C10" t="s">
        <v>32</v>
      </c>
      <c r="D10" s="8" t="s">
        <v>16</v>
      </c>
      <c r="E10" s="15">
        <v>28594</v>
      </c>
      <c r="F10" s="18">
        <v>9522</v>
      </c>
      <c r="G10" s="134"/>
      <c r="H10" s="53">
        <f>E10-F10</f>
        <v>19072</v>
      </c>
      <c r="I10" s="1" t="s">
        <v>27</v>
      </c>
      <c r="J10" s="44">
        <v>5</v>
      </c>
      <c r="K10" s="42">
        <f t="shared" ref="K10:K21" si="0">H10/J10</f>
        <v>3814.4</v>
      </c>
      <c r="L10" s="17">
        <f t="shared" ref="L10:L23" si="1">B10+J10</f>
        <v>2019</v>
      </c>
      <c r="M10" s="18">
        <f t="shared" ref="M10:M17" si="2">IF($H$3&gt;=L10,0,K10)</f>
        <v>0</v>
      </c>
      <c r="N10" s="18">
        <f t="shared" ref="N10:N18" si="3">IF(($H$3-B10)*K10&gt;H10,H10,($H$3-B10)*K10)</f>
        <v>19072</v>
      </c>
      <c r="O10" s="18">
        <f t="shared" ref="O10:O18" si="4">IF(($H$4-B10)*K10&gt;H10,H10,($H$4-B10)*K10)</f>
        <v>19072</v>
      </c>
      <c r="P10" s="18">
        <v>0</v>
      </c>
      <c r="Q10">
        <v>0</v>
      </c>
      <c r="R10" s="19">
        <f t="shared" ref="R10:R22" si="5">O10+Q10</f>
        <v>19072</v>
      </c>
      <c r="S10" s="19">
        <f t="shared" ref="S10:S21" si="6">P10-Q10</f>
        <v>0</v>
      </c>
      <c r="U10" s="19">
        <f t="shared" ref="U10:U24" si="7">R10+T10</f>
        <v>19072</v>
      </c>
      <c r="V10" s="19">
        <f t="shared" ref="V10:V23" si="8">H10-U10</f>
        <v>0</v>
      </c>
      <c r="W10" s="19">
        <f t="shared" ref="W10:W18" si="9">H10-U10</f>
        <v>0</v>
      </c>
      <c r="X10" s="19">
        <f>U10+W10</f>
        <v>19072</v>
      </c>
      <c r="Y10" s="19">
        <f>H10-X10</f>
        <v>0</v>
      </c>
      <c r="Z10" s="119"/>
    </row>
    <row r="11" spans="1:26">
      <c r="A11" s="13"/>
      <c r="B11" s="14">
        <v>2019</v>
      </c>
      <c r="C11" t="s">
        <v>103</v>
      </c>
      <c r="D11" s="8"/>
      <c r="E11" s="15"/>
      <c r="F11" s="18"/>
      <c r="G11" s="135">
        <f>L11-J11</f>
        <v>2019</v>
      </c>
      <c r="H11" s="53">
        <v>9522</v>
      </c>
      <c r="I11" s="1" t="s">
        <v>27</v>
      </c>
      <c r="J11" s="45">
        <v>3</v>
      </c>
      <c r="K11" s="42">
        <f t="shared" si="0"/>
        <v>3174</v>
      </c>
      <c r="L11" s="17">
        <f t="shared" si="1"/>
        <v>2022</v>
      </c>
      <c r="M11" s="18">
        <f t="shared" si="2"/>
        <v>0</v>
      </c>
      <c r="N11" s="18">
        <v>0</v>
      </c>
      <c r="O11" s="18">
        <f>K11</f>
        <v>3174</v>
      </c>
      <c r="P11" s="18">
        <f>H11-O11</f>
        <v>6348</v>
      </c>
      <c r="Q11">
        <v>3174</v>
      </c>
      <c r="R11" s="19">
        <f t="shared" si="5"/>
        <v>6348</v>
      </c>
      <c r="S11" s="19">
        <f t="shared" si="6"/>
        <v>3174</v>
      </c>
      <c r="T11">
        <v>3174</v>
      </c>
      <c r="U11" s="19">
        <f t="shared" si="7"/>
        <v>9522</v>
      </c>
      <c r="V11" s="19">
        <f t="shared" si="8"/>
        <v>0</v>
      </c>
      <c r="W11" s="19">
        <f t="shared" si="9"/>
        <v>0</v>
      </c>
      <c r="X11" s="19">
        <f t="shared" ref="X11:X63" si="10">U11+W11</f>
        <v>9522</v>
      </c>
      <c r="Y11" s="19">
        <f t="shared" ref="Y11:Y65" si="11">H11-X11</f>
        <v>0</v>
      </c>
      <c r="Z11" s="119"/>
    </row>
    <row r="12" spans="1:26">
      <c r="A12" s="13">
        <v>42040</v>
      </c>
      <c r="B12" s="14">
        <v>2015</v>
      </c>
      <c r="C12" t="s">
        <v>33</v>
      </c>
      <c r="D12" s="8" t="s">
        <v>6</v>
      </c>
      <c r="E12" s="15">
        <v>1964</v>
      </c>
      <c r="F12" s="18"/>
      <c r="G12" s="135">
        <f>L12-J12</f>
        <v>2015</v>
      </c>
      <c r="H12" s="53">
        <f t="shared" ref="H12:H21" si="12">E12-F12</f>
        <v>1964</v>
      </c>
      <c r="I12" s="1" t="s">
        <v>27</v>
      </c>
      <c r="J12" s="45">
        <v>3</v>
      </c>
      <c r="K12" s="42">
        <f t="shared" si="0"/>
        <v>654.66666666666663</v>
      </c>
      <c r="L12" s="17">
        <f t="shared" si="1"/>
        <v>2018</v>
      </c>
      <c r="M12" s="18">
        <f t="shared" si="2"/>
        <v>0</v>
      </c>
      <c r="N12" s="18">
        <f t="shared" si="3"/>
        <v>1964</v>
      </c>
      <c r="O12" s="18">
        <f t="shared" si="4"/>
        <v>1964</v>
      </c>
      <c r="P12" s="18">
        <f t="shared" ref="P12:P17" si="13">E12-O12</f>
        <v>0</v>
      </c>
      <c r="Q12">
        <v>0</v>
      </c>
      <c r="R12" s="19">
        <f t="shared" si="5"/>
        <v>1964</v>
      </c>
      <c r="S12" s="19">
        <f t="shared" si="6"/>
        <v>0</v>
      </c>
      <c r="U12" s="19">
        <f t="shared" si="7"/>
        <v>1964</v>
      </c>
      <c r="V12" s="19">
        <f t="shared" si="8"/>
        <v>0</v>
      </c>
      <c r="W12" s="19">
        <f t="shared" si="9"/>
        <v>0</v>
      </c>
      <c r="X12" s="19">
        <f t="shared" si="10"/>
        <v>1964</v>
      </c>
      <c r="Y12" s="19">
        <f t="shared" si="11"/>
        <v>0</v>
      </c>
      <c r="Z12" s="119"/>
    </row>
    <row r="13" spans="1:26">
      <c r="A13" s="13">
        <v>42293</v>
      </c>
      <c r="B13" s="14">
        <v>2015</v>
      </c>
      <c r="C13" t="s">
        <v>35</v>
      </c>
      <c r="D13" s="8" t="s">
        <v>16</v>
      </c>
      <c r="E13" s="15">
        <v>2490</v>
      </c>
      <c r="F13" s="18"/>
      <c r="G13" s="135">
        <f t="shared" ref="G13:G26" si="14">L13-J13</f>
        <v>2015</v>
      </c>
      <c r="H13" s="53">
        <f t="shared" si="12"/>
        <v>2490</v>
      </c>
      <c r="I13" s="1" t="s">
        <v>27</v>
      </c>
      <c r="J13" s="45">
        <v>3</v>
      </c>
      <c r="K13" s="42">
        <f t="shared" si="0"/>
        <v>830</v>
      </c>
      <c r="L13" s="17">
        <f t="shared" si="1"/>
        <v>2018</v>
      </c>
      <c r="M13" s="18">
        <f t="shared" si="2"/>
        <v>0</v>
      </c>
      <c r="N13" s="18">
        <f t="shared" si="3"/>
        <v>2490</v>
      </c>
      <c r="O13" s="18">
        <f t="shared" si="4"/>
        <v>2490</v>
      </c>
      <c r="P13" s="18">
        <f t="shared" si="13"/>
        <v>0</v>
      </c>
      <c r="Q13">
        <v>0</v>
      </c>
      <c r="R13" s="19">
        <f t="shared" si="5"/>
        <v>2490</v>
      </c>
      <c r="S13" s="19">
        <f t="shared" si="6"/>
        <v>0</v>
      </c>
      <c r="U13" s="19">
        <f t="shared" si="7"/>
        <v>2490</v>
      </c>
      <c r="V13" s="19">
        <f t="shared" si="8"/>
        <v>0</v>
      </c>
      <c r="W13" s="19">
        <f t="shared" si="9"/>
        <v>0</v>
      </c>
      <c r="X13" s="19">
        <f t="shared" si="10"/>
        <v>2490</v>
      </c>
      <c r="Y13" s="19">
        <f t="shared" si="11"/>
        <v>0</v>
      </c>
      <c r="Z13" s="119"/>
    </row>
    <row r="14" spans="1:26">
      <c r="A14" s="13">
        <v>42329</v>
      </c>
      <c r="B14" s="14">
        <v>2015</v>
      </c>
      <c r="C14" t="s">
        <v>36</v>
      </c>
      <c r="D14" s="8" t="s">
        <v>6</v>
      </c>
      <c r="E14" s="15">
        <v>14633</v>
      </c>
      <c r="F14" s="18"/>
      <c r="G14" s="135">
        <f t="shared" si="14"/>
        <v>2015</v>
      </c>
      <c r="H14" s="53">
        <f t="shared" si="12"/>
        <v>14633</v>
      </c>
      <c r="I14" s="1" t="s">
        <v>27</v>
      </c>
      <c r="J14" s="45">
        <v>3</v>
      </c>
      <c r="K14" s="42">
        <f t="shared" si="0"/>
        <v>4877.666666666667</v>
      </c>
      <c r="L14" s="17">
        <f t="shared" si="1"/>
        <v>2018</v>
      </c>
      <c r="M14" s="18">
        <f t="shared" si="2"/>
        <v>0</v>
      </c>
      <c r="N14" s="18">
        <f t="shared" si="3"/>
        <v>14633</v>
      </c>
      <c r="O14" s="18">
        <f t="shared" si="4"/>
        <v>14633</v>
      </c>
      <c r="P14" s="18">
        <f t="shared" si="13"/>
        <v>0</v>
      </c>
      <c r="Q14">
        <v>0</v>
      </c>
      <c r="R14" s="19">
        <f t="shared" si="5"/>
        <v>14633</v>
      </c>
      <c r="S14" s="19">
        <f t="shared" si="6"/>
        <v>0</v>
      </c>
      <c r="U14" s="19">
        <f t="shared" si="7"/>
        <v>14633</v>
      </c>
      <c r="V14" s="19">
        <f t="shared" si="8"/>
        <v>0</v>
      </c>
      <c r="W14" s="19">
        <f t="shared" si="9"/>
        <v>0</v>
      </c>
      <c r="X14" s="19">
        <f t="shared" si="10"/>
        <v>14633</v>
      </c>
      <c r="Y14" s="19">
        <f t="shared" si="11"/>
        <v>0</v>
      </c>
      <c r="Z14" s="119"/>
    </row>
    <row r="15" spans="1:26">
      <c r="A15" s="13">
        <v>42422</v>
      </c>
      <c r="B15" s="14">
        <v>2016</v>
      </c>
      <c r="C15" t="s">
        <v>37</v>
      </c>
      <c r="D15" s="8" t="s">
        <v>6</v>
      </c>
      <c r="E15" s="15">
        <v>7535</v>
      </c>
      <c r="F15" s="18"/>
      <c r="G15" s="135">
        <f t="shared" si="14"/>
        <v>2016</v>
      </c>
      <c r="H15" s="53">
        <f t="shared" si="12"/>
        <v>7535</v>
      </c>
      <c r="I15" s="1" t="s">
        <v>27</v>
      </c>
      <c r="J15" s="45">
        <v>3</v>
      </c>
      <c r="K15" s="42">
        <f t="shared" si="0"/>
        <v>2511.6666666666665</v>
      </c>
      <c r="L15" s="17">
        <f t="shared" si="1"/>
        <v>2019</v>
      </c>
      <c r="M15" s="18">
        <f t="shared" si="2"/>
        <v>0</v>
      </c>
      <c r="N15" s="18">
        <f t="shared" si="3"/>
        <v>7535</v>
      </c>
      <c r="O15" s="18">
        <f t="shared" si="4"/>
        <v>7535</v>
      </c>
      <c r="P15" s="18">
        <f t="shared" si="13"/>
        <v>0</v>
      </c>
      <c r="Q15">
        <v>0</v>
      </c>
      <c r="R15" s="19">
        <f t="shared" si="5"/>
        <v>7535</v>
      </c>
      <c r="S15" s="19">
        <f t="shared" si="6"/>
        <v>0</v>
      </c>
      <c r="U15" s="19">
        <f t="shared" si="7"/>
        <v>7535</v>
      </c>
      <c r="V15" s="19">
        <f t="shared" si="8"/>
        <v>0</v>
      </c>
      <c r="W15" s="19">
        <f t="shared" si="9"/>
        <v>0</v>
      </c>
      <c r="X15" s="19">
        <f t="shared" si="10"/>
        <v>7535</v>
      </c>
      <c r="Y15" s="19">
        <f t="shared" si="11"/>
        <v>0</v>
      </c>
      <c r="Z15" s="119"/>
    </row>
    <row r="16" spans="1:26">
      <c r="A16" s="13">
        <v>42509</v>
      </c>
      <c r="B16" s="14">
        <v>2016</v>
      </c>
      <c r="C16" t="s">
        <v>37</v>
      </c>
      <c r="D16" s="8" t="s">
        <v>6</v>
      </c>
      <c r="E16" s="15">
        <v>4619</v>
      </c>
      <c r="F16" s="18"/>
      <c r="G16" s="135">
        <f t="shared" si="14"/>
        <v>2016</v>
      </c>
      <c r="H16" s="53">
        <f t="shared" si="12"/>
        <v>4619</v>
      </c>
      <c r="I16" s="1" t="s">
        <v>27</v>
      </c>
      <c r="J16" s="45">
        <v>3</v>
      </c>
      <c r="K16" s="42">
        <f t="shared" si="0"/>
        <v>1539.6666666666667</v>
      </c>
      <c r="L16" s="17">
        <f t="shared" si="1"/>
        <v>2019</v>
      </c>
      <c r="M16" s="18">
        <f t="shared" si="2"/>
        <v>0</v>
      </c>
      <c r="N16" s="18">
        <f t="shared" si="3"/>
        <v>4619</v>
      </c>
      <c r="O16" s="18">
        <f t="shared" si="4"/>
        <v>4619</v>
      </c>
      <c r="P16" s="18">
        <f t="shared" si="13"/>
        <v>0</v>
      </c>
      <c r="Q16">
        <v>0</v>
      </c>
      <c r="R16" s="19">
        <f t="shared" si="5"/>
        <v>4619</v>
      </c>
      <c r="S16" s="19">
        <f t="shared" si="6"/>
        <v>0</v>
      </c>
      <c r="U16" s="19">
        <f t="shared" si="7"/>
        <v>4619</v>
      </c>
      <c r="V16" s="19">
        <f t="shared" si="8"/>
        <v>0</v>
      </c>
      <c r="W16" s="19">
        <f t="shared" si="9"/>
        <v>0</v>
      </c>
      <c r="X16" s="19">
        <f t="shared" si="10"/>
        <v>4619</v>
      </c>
      <c r="Y16" s="19">
        <f t="shared" si="11"/>
        <v>0</v>
      </c>
      <c r="Z16" s="119"/>
    </row>
    <row r="17" spans="1:32">
      <c r="A17" s="20">
        <v>42721</v>
      </c>
      <c r="B17" s="58">
        <v>2016</v>
      </c>
      <c r="C17" t="s">
        <v>37</v>
      </c>
      <c r="D17" s="8" t="s">
        <v>6</v>
      </c>
      <c r="E17" s="3">
        <v>3128</v>
      </c>
      <c r="F17" s="4"/>
      <c r="G17" s="135">
        <f t="shared" si="14"/>
        <v>2016</v>
      </c>
      <c r="H17" s="59">
        <f t="shared" si="12"/>
        <v>3128</v>
      </c>
      <c r="I17" s="1" t="s">
        <v>27</v>
      </c>
      <c r="J17" s="45">
        <v>3</v>
      </c>
      <c r="K17" s="43">
        <f t="shared" si="0"/>
        <v>1042.6666666666667</v>
      </c>
      <c r="L17" s="2">
        <f t="shared" si="1"/>
        <v>2019</v>
      </c>
      <c r="M17" s="4">
        <f t="shared" si="2"/>
        <v>0</v>
      </c>
      <c r="N17" s="4">
        <f t="shared" si="3"/>
        <v>3128</v>
      </c>
      <c r="O17" s="4">
        <f t="shared" si="4"/>
        <v>3128</v>
      </c>
      <c r="P17" s="4">
        <f t="shared" si="13"/>
        <v>0</v>
      </c>
      <c r="Q17">
        <v>0</v>
      </c>
      <c r="R17" s="19">
        <f t="shared" si="5"/>
        <v>3128</v>
      </c>
      <c r="S17" s="19">
        <f t="shared" si="6"/>
        <v>0</v>
      </c>
      <c r="U17" s="19">
        <f t="shared" si="7"/>
        <v>3128</v>
      </c>
      <c r="V17" s="19">
        <f t="shared" si="8"/>
        <v>0</v>
      </c>
      <c r="W17" s="19">
        <f t="shared" si="9"/>
        <v>0</v>
      </c>
      <c r="X17" s="19">
        <f t="shared" si="10"/>
        <v>3128</v>
      </c>
      <c r="Y17" s="19">
        <f t="shared" si="11"/>
        <v>0</v>
      </c>
      <c r="Z17" s="119"/>
    </row>
    <row r="18" spans="1:32">
      <c r="A18" s="13">
        <v>42795</v>
      </c>
      <c r="B18" s="14">
        <v>2017</v>
      </c>
      <c r="C18" t="s">
        <v>38</v>
      </c>
      <c r="D18" s="8" t="s">
        <v>6</v>
      </c>
      <c r="E18" s="21">
        <v>3961</v>
      </c>
      <c r="F18" s="21"/>
      <c r="G18" s="135">
        <f t="shared" si="14"/>
        <v>2017</v>
      </c>
      <c r="H18" s="53">
        <f t="shared" si="12"/>
        <v>3961</v>
      </c>
      <c r="I18" s="1" t="s">
        <v>27</v>
      </c>
      <c r="J18" s="50">
        <v>3</v>
      </c>
      <c r="K18" s="42">
        <f t="shared" si="0"/>
        <v>1320.3333333333333</v>
      </c>
      <c r="L18" s="17">
        <f t="shared" si="1"/>
        <v>2020</v>
      </c>
      <c r="M18" s="18">
        <v>0</v>
      </c>
      <c r="N18" s="18">
        <f t="shared" si="3"/>
        <v>3961</v>
      </c>
      <c r="O18" s="18">
        <f t="shared" si="4"/>
        <v>3961</v>
      </c>
      <c r="P18" s="18">
        <v>0</v>
      </c>
      <c r="Q18">
        <v>0</v>
      </c>
      <c r="R18" s="19">
        <f t="shared" si="5"/>
        <v>3961</v>
      </c>
      <c r="S18" s="19">
        <f t="shared" si="6"/>
        <v>0</v>
      </c>
      <c r="U18" s="19">
        <f t="shared" si="7"/>
        <v>3961</v>
      </c>
      <c r="V18" s="19">
        <f t="shared" si="8"/>
        <v>0</v>
      </c>
      <c r="W18" s="19">
        <f t="shared" si="9"/>
        <v>0</v>
      </c>
      <c r="X18" s="19">
        <f t="shared" si="10"/>
        <v>3961</v>
      </c>
      <c r="Y18" s="19">
        <f t="shared" si="11"/>
        <v>0</v>
      </c>
      <c r="Z18" s="119"/>
    </row>
    <row r="19" spans="1:32">
      <c r="A19" s="13">
        <v>43647</v>
      </c>
      <c r="B19" s="14">
        <v>2019</v>
      </c>
      <c r="C19" t="s">
        <v>39</v>
      </c>
      <c r="D19" s="8" t="s">
        <v>16</v>
      </c>
      <c r="E19" s="15">
        <v>83928</v>
      </c>
      <c r="F19" s="18"/>
      <c r="G19" s="135">
        <f t="shared" si="14"/>
        <v>2019</v>
      </c>
      <c r="H19" s="53">
        <f t="shared" si="12"/>
        <v>83928</v>
      </c>
      <c r="I19" s="1" t="s">
        <v>27</v>
      </c>
      <c r="J19" s="45">
        <v>5</v>
      </c>
      <c r="K19" s="42">
        <f t="shared" si="0"/>
        <v>16785.599999999999</v>
      </c>
      <c r="L19" s="17">
        <f t="shared" si="1"/>
        <v>2024</v>
      </c>
      <c r="M19" s="18">
        <f>IF($H$3&gt;=L19,0,K19)</f>
        <v>16785.599999999999</v>
      </c>
      <c r="N19" s="134">
        <v>0</v>
      </c>
      <c r="O19" s="134">
        <f>M19</f>
        <v>16785.599999999999</v>
      </c>
      <c r="P19" s="18">
        <f>H19-K19</f>
        <v>67142.399999999994</v>
      </c>
      <c r="Q19">
        <v>16786</v>
      </c>
      <c r="R19" s="19">
        <f t="shared" si="5"/>
        <v>33571.599999999999</v>
      </c>
      <c r="S19" s="19">
        <f t="shared" si="6"/>
        <v>50356.399999999994</v>
      </c>
      <c r="T19">
        <v>16786</v>
      </c>
      <c r="U19" s="19">
        <f t="shared" si="7"/>
        <v>50357.599999999999</v>
      </c>
      <c r="V19" s="19">
        <f t="shared" si="8"/>
        <v>33570.400000000001</v>
      </c>
      <c r="W19" s="19">
        <f>K19</f>
        <v>16785.599999999999</v>
      </c>
      <c r="X19" s="19">
        <f t="shared" si="10"/>
        <v>67143.199999999997</v>
      </c>
      <c r="Y19" s="19">
        <f t="shared" si="11"/>
        <v>16784.800000000003</v>
      </c>
      <c r="Z19" s="119">
        <v>16785</v>
      </c>
    </row>
    <row r="20" spans="1:32">
      <c r="A20" s="13">
        <v>43647</v>
      </c>
      <c r="B20" s="14">
        <v>2019</v>
      </c>
      <c r="C20" t="s">
        <v>40</v>
      </c>
      <c r="D20" s="8" t="s">
        <v>16</v>
      </c>
      <c r="E20" s="15">
        <v>78548</v>
      </c>
      <c r="F20" s="18"/>
      <c r="G20" s="135">
        <f t="shared" si="14"/>
        <v>2019</v>
      </c>
      <c r="H20" s="53">
        <f t="shared" si="12"/>
        <v>78548</v>
      </c>
      <c r="I20" s="1" t="s">
        <v>27</v>
      </c>
      <c r="J20" s="45">
        <v>5</v>
      </c>
      <c r="K20" s="42">
        <f t="shared" si="0"/>
        <v>15709.6</v>
      </c>
      <c r="L20" s="17">
        <f t="shared" si="1"/>
        <v>2024</v>
      </c>
      <c r="M20" s="18">
        <f>IF($H$3&gt;=L20,0,K20)</f>
        <v>15709.6</v>
      </c>
      <c r="N20" s="134">
        <v>0</v>
      </c>
      <c r="O20" s="134">
        <f t="shared" ref="O20:O22" si="15">M20</f>
        <v>15709.6</v>
      </c>
      <c r="P20" s="18">
        <f t="shared" ref="P20:P22" si="16">H20-K20</f>
        <v>62838.400000000001</v>
      </c>
      <c r="Q20">
        <v>15710</v>
      </c>
      <c r="R20" s="19">
        <f t="shared" si="5"/>
        <v>31419.599999999999</v>
      </c>
      <c r="S20" s="19">
        <f t="shared" si="6"/>
        <v>47128.4</v>
      </c>
      <c r="T20">
        <v>15710</v>
      </c>
      <c r="U20" s="19">
        <f t="shared" si="7"/>
        <v>47129.599999999999</v>
      </c>
      <c r="V20" s="19">
        <f t="shared" si="8"/>
        <v>31418.400000000001</v>
      </c>
      <c r="W20" s="19">
        <f t="shared" ref="W20:W23" si="17">K20</f>
        <v>15709.6</v>
      </c>
      <c r="X20" s="19">
        <f t="shared" si="10"/>
        <v>62839.199999999997</v>
      </c>
      <c r="Y20" s="19">
        <f t="shared" si="11"/>
        <v>15708.800000000003</v>
      </c>
      <c r="Z20" s="119">
        <v>15709</v>
      </c>
    </row>
    <row r="21" spans="1:32">
      <c r="A21" s="13">
        <v>43709</v>
      </c>
      <c r="B21" s="58">
        <v>2019</v>
      </c>
      <c r="C21" t="s">
        <v>41</v>
      </c>
      <c r="D21" s="8" t="s">
        <v>16</v>
      </c>
      <c r="E21" s="3">
        <v>43742</v>
      </c>
      <c r="F21" s="4"/>
      <c r="G21" s="135">
        <f t="shared" si="14"/>
        <v>2019</v>
      </c>
      <c r="H21" s="59">
        <f t="shared" si="12"/>
        <v>43742</v>
      </c>
      <c r="I21" s="1" t="s">
        <v>27</v>
      </c>
      <c r="J21" s="45">
        <v>5</v>
      </c>
      <c r="K21" s="43">
        <f t="shared" si="0"/>
        <v>8748.4</v>
      </c>
      <c r="L21" s="2">
        <f t="shared" si="1"/>
        <v>2024</v>
      </c>
      <c r="M21" s="4">
        <f>IF($H$3&gt;=L21,0,K21)</f>
        <v>8748.4</v>
      </c>
      <c r="N21" s="136">
        <v>0</v>
      </c>
      <c r="O21" s="134">
        <f t="shared" si="15"/>
        <v>8748.4</v>
      </c>
      <c r="P21" s="18">
        <f t="shared" si="16"/>
        <v>34993.599999999999</v>
      </c>
      <c r="Q21">
        <v>8748</v>
      </c>
      <c r="R21" s="19">
        <f t="shared" si="5"/>
        <v>17496.400000000001</v>
      </c>
      <c r="S21" s="19">
        <f t="shared" si="6"/>
        <v>26245.599999999999</v>
      </c>
      <c r="T21">
        <v>8748</v>
      </c>
      <c r="U21" s="19">
        <f t="shared" si="7"/>
        <v>26244.400000000001</v>
      </c>
      <c r="V21" s="19">
        <f t="shared" si="8"/>
        <v>17497.599999999999</v>
      </c>
      <c r="W21" s="19">
        <f t="shared" si="17"/>
        <v>8748.4</v>
      </c>
      <c r="X21" s="19">
        <f t="shared" si="10"/>
        <v>34992.800000000003</v>
      </c>
      <c r="Y21" s="19">
        <f t="shared" si="11"/>
        <v>8749.1999999999971</v>
      </c>
      <c r="Z21" s="119">
        <v>8749</v>
      </c>
    </row>
    <row r="22" spans="1:32">
      <c r="A22" s="13">
        <v>42329</v>
      </c>
      <c r="B22" s="14">
        <v>2020</v>
      </c>
      <c r="C22" t="s">
        <v>93</v>
      </c>
      <c r="D22" s="8" t="s">
        <v>6</v>
      </c>
      <c r="E22" s="3">
        <v>1284</v>
      </c>
      <c r="G22" s="135">
        <f t="shared" si="14"/>
        <v>2020</v>
      </c>
      <c r="H22" s="52">
        <f>E22</f>
        <v>1284</v>
      </c>
      <c r="I22" s="1" t="s">
        <v>27</v>
      </c>
      <c r="J22" s="45">
        <v>5</v>
      </c>
      <c r="K22" s="43">
        <f>H22/5</f>
        <v>256.8</v>
      </c>
      <c r="L22" s="2">
        <f t="shared" si="1"/>
        <v>2025</v>
      </c>
      <c r="M22" s="4"/>
      <c r="N22" s="136">
        <v>0</v>
      </c>
      <c r="O22" s="134">
        <f t="shared" si="15"/>
        <v>0</v>
      </c>
      <c r="P22" s="18">
        <f t="shared" si="16"/>
        <v>1027.2</v>
      </c>
      <c r="Q22">
        <v>257</v>
      </c>
      <c r="R22" s="19">
        <f t="shared" si="5"/>
        <v>257</v>
      </c>
      <c r="S22" s="19">
        <f>H22-R22</f>
        <v>1027</v>
      </c>
      <c r="T22">
        <v>257</v>
      </c>
      <c r="U22" s="19">
        <f t="shared" si="7"/>
        <v>514</v>
      </c>
      <c r="V22" s="19">
        <f t="shared" si="8"/>
        <v>770</v>
      </c>
      <c r="W22" s="19">
        <f t="shared" si="17"/>
        <v>256.8</v>
      </c>
      <c r="X22" s="19">
        <f t="shared" si="10"/>
        <v>770.8</v>
      </c>
      <c r="Y22" s="19">
        <f t="shared" si="11"/>
        <v>513.20000000000005</v>
      </c>
      <c r="Z22" s="119">
        <v>257</v>
      </c>
    </row>
    <row r="23" spans="1:32">
      <c r="A23" s="13">
        <v>44501</v>
      </c>
      <c r="B23" s="14">
        <v>2021</v>
      </c>
      <c r="C23" t="s">
        <v>98</v>
      </c>
      <c r="D23" s="8" t="s">
        <v>16</v>
      </c>
      <c r="E23" s="3">
        <v>87118.91</v>
      </c>
      <c r="G23" s="135">
        <f t="shared" si="14"/>
        <v>2021</v>
      </c>
      <c r="H23" s="52">
        <f t="shared" ref="H23:H25" si="18">E23</f>
        <v>87118.91</v>
      </c>
      <c r="I23" s="1" t="s">
        <v>27</v>
      </c>
      <c r="J23" s="45">
        <v>5</v>
      </c>
      <c r="K23" s="43">
        <f>H23/J23</f>
        <v>17423.781999999999</v>
      </c>
      <c r="L23" s="2">
        <f t="shared" si="1"/>
        <v>2026</v>
      </c>
      <c r="T23" s="19">
        <f>K23/12*2</f>
        <v>2903.9636666666665</v>
      </c>
      <c r="U23" s="19">
        <f t="shared" si="7"/>
        <v>2903.9636666666665</v>
      </c>
      <c r="V23" s="19">
        <f t="shared" si="8"/>
        <v>84214.946333333341</v>
      </c>
      <c r="W23" s="19">
        <f t="shared" si="17"/>
        <v>17423.781999999999</v>
      </c>
      <c r="X23" s="19">
        <f t="shared" si="10"/>
        <v>20327.745666666666</v>
      </c>
      <c r="Y23" s="19">
        <f t="shared" si="11"/>
        <v>66791.164333333334</v>
      </c>
      <c r="Z23" s="119">
        <v>17424</v>
      </c>
    </row>
    <row r="24" spans="1:32">
      <c r="A24" s="20">
        <v>44594</v>
      </c>
      <c r="B24" s="14">
        <v>2022</v>
      </c>
      <c r="C24" t="s">
        <v>104</v>
      </c>
      <c r="D24" s="8" t="s">
        <v>16</v>
      </c>
      <c r="E24" s="48">
        <v>47246</v>
      </c>
      <c r="F24" s="1"/>
      <c r="G24" s="135">
        <f t="shared" si="14"/>
        <v>2025</v>
      </c>
      <c r="H24" s="52">
        <f t="shared" si="18"/>
        <v>47246</v>
      </c>
      <c r="I24" s="1" t="s">
        <v>105</v>
      </c>
      <c r="J24" s="45">
        <v>5</v>
      </c>
      <c r="K24" s="31">
        <f>H24/J24</f>
        <v>9449.2000000000007</v>
      </c>
      <c r="L24" s="2">
        <v>2030</v>
      </c>
      <c r="M24" s="22"/>
      <c r="N24" s="1"/>
      <c r="O24" s="1"/>
      <c r="P24" s="22"/>
      <c r="U24" s="19">
        <f t="shared" si="7"/>
        <v>0</v>
      </c>
      <c r="W24" s="19">
        <f>K24/12*11</f>
        <v>8661.7666666666664</v>
      </c>
      <c r="X24" s="19">
        <f t="shared" si="10"/>
        <v>8661.7666666666664</v>
      </c>
      <c r="Y24" s="19">
        <f t="shared" si="11"/>
        <v>38584.233333333337</v>
      </c>
      <c r="Z24" s="119">
        <v>9449</v>
      </c>
    </row>
    <row r="25" spans="1:32">
      <c r="A25" s="13">
        <v>44802</v>
      </c>
      <c r="B25" s="14">
        <v>2022</v>
      </c>
      <c r="C25" t="s">
        <v>106</v>
      </c>
      <c r="E25" s="3">
        <v>6464</v>
      </c>
      <c r="G25" s="135">
        <f t="shared" si="14"/>
        <v>2022</v>
      </c>
      <c r="H25" s="52">
        <f t="shared" si="18"/>
        <v>6464</v>
      </c>
      <c r="I25" s="1" t="s">
        <v>46</v>
      </c>
      <c r="J25" s="46">
        <v>3</v>
      </c>
      <c r="K25" s="31">
        <f>H25/3</f>
        <v>2154.6666666666665</v>
      </c>
      <c r="L25">
        <v>2025</v>
      </c>
      <c r="W25" s="19">
        <f>K25/12*5</f>
        <v>897.77777777777771</v>
      </c>
      <c r="X25" s="19">
        <f t="shared" si="10"/>
        <v>897.77777777777771</v>
      </c>
      <c r="Y25" s="19">
        <f t="shared" si="11"/>
        <v>5566.2222222222226</v>
      </c>
      <c r="Z25" s="119">
        <v>2155</v>
      </c>
    </row>
    <row r="26" spans="1:32">
      <c r="A26" s="13">
        <v>44833</v>
      </c>
      <c r="B26" s="14">
        <v>2022</v>
      </c>
      <c r="C26" t="s">
        <v>107</v>
      </c>
      <c r="E26" s="3">
        <v>17767</v>
      </c>
      <c r="G26" s="135">
        <f t="shared" si="14"/>
        <v>2022</v>
      </c>
      <c r="H26" s="52">
        <f>E26</f>
        <v>17767</v>
      </c>
      <c r="I26" s="1" t="s">
        <v>108</v>
      </c>
      <c r="J26" s="51">
        <v>3</v>
      </c>
      <c r="K26" s="31">
        <f>H26/3</f>
        <v>5922.333333333333</v>
      </c>
      <c r="L26">
        <v>2025</v>
      </c>
      <c r="W26" s="19">
        <f>K26/12*4</f>
        <v>1974.1111111111111</v>
      </c>
      <c r="X26" s="19">
        <f t="shared" si="10"/>
        <v>1974.1111111111111</v>
      </c>
      <c r="Y26" s="19">
        <f t="shared" si="11"/>
        <v>15792.888888888889</v>
      </c>
      <c r="Z26" s="119">
        <v>5922</v>
      </c>
    </row>
    <row r="27" spans="1:32">
      <c r="H27" s="52"/>
      <c r="J27" s="46"/>
      <c r="K27" s="31"/>
      <c r="W27" s="19"/>
      <c r="X27" s="19"/>
      <c r="Y27" s="19"/>
      <c r="Z27" s="120"/>
      <c r="AA27" s="10"/>
      <c r="AB27" s="10"/>
      <c r="AC27" s="10"/>
      <c r="AD27" s="10"/>
      <c r="AE27" s="10"/>
      <c r="AF27" s="10"/>
    </row>
    <row r="28" spans="1:32">
      <c r="A28" s="13"/>
      <c r="H28" s="52"/>
      <c r="J28" s="46"/>
      <c r="K28" s="31"/>
      <c r="W28" s="19"/>
      <c r="X28" s="19"/>
      <c r="Y28" s="19"/>
      <c r="Z28" s="119"/>
    </row>
    <row r="29" spans="1:32">
      <c r="A29" s="13"/>
      <c r="H29" s="52"/>
      <c r="J29" s="46"/>
      <c r="K29" s="31"/>
      <c r="W29" s="19"/>
      <c r="X29" s="19"/>
      <c r="Y29" s="19"/>
      <c r="Z29" s="119"/>
    </row>
    <row r="30" spans="1:32">
      <c r="A30" s="13"/>
      <c r="H30" s="49"/>
      <c r="J30" s="46"/>
      <c r="K30" s="31"/>
      <c r="W30" s="19"/>
      <c r="X30" s="19"/>
      <c r="Y30" s="19"/>
      <c r="Z30" s="119"/>
    </row>
    <row r="31" spans="1:32">
      <c r="A31" s="10" t="s">
        <v>42</v>
      </c>
      <c r="D31" s="23"/>
      <c r="E31" s="23">
        <f>SUM(E10:E30)</f>
        <v>433021.91000000003</v>
      </c>
      <c r="F31" s="23"/>
      <c r="G31" s="23"/>
      <c r="H31" s="57">
        <f>SUM(H10:H30)</f>
        <v>433021.91000000003</v>
      </c>
      <c r="I31" s="23"/>
      <c r="J31" s="47"/>
      <c r="K31" s="23"/>
      <c r="L31" s="23"/>
      <c r="M31" s="137">
        <f>SUM(N9:N24)</f>
        <v>57402</v>
      </c>
      <c r="N31" s="137">
        <f>SUM(O9:O24)</f>
        <v>101819.6</v>
      </c>
      <c r="O31" s="137">
        <f>SUM(P9:P24)</f>
        <v>172349.6</v>
      </c>
      <c r="P31" s="137">
        <f>SUM(Q9:Q24)</f>
        <v>44675</v>
      </c>
      <c r="Q31" s="137">
        <f>SUM(Q10:Q30)</f>
        <v>44675</v>
      </c>
      <c r="R31" s="138">
        <f>SUM(R10:R30)</f>
        <v>146494.6</v>
      </c>
      <c r="S31" s="137">
        <f>SUM(T9:T24)</f>
        <v>47578.963666666663</v>
      </c>
      <c r="T31" s="19">
        <f>SUM(T9:T30)</f>
        <v>47578.963666666663</v>
      </c>
      <c r="U31" s="19">
        <f>SUM(V9:V30)</f>
        <v>167471.34633333335</v>
      </c>
      <c r="V31" s="19">
        <f>SUM(W9:W30)</f>
        <v>70457.837555555554</v>
      </c>
      <c r="W31" s="19">
        <f>SUM(W10:W30)</f>
        <v>70457.837555555554</v>
      </c>
      <c r="X31" s="19">
        <f>SUM(X10:X30)</f>
        <v>264531.40122222219</v>
      </c>
      <c r="Y31" s="24">
        <f>SUM(Y10:Y30)</f>
        <v>168490.50877777775</v>
      </c>
      <c r="Z31" s="119">
        <f>SUM(Z10:Z30)</f>
        <v>76450</v>
      </c>
    </row>
    <row r="32" spans="1:32">
      <c r="X32" s="19"/>
      <c r="Y32" s="19"/>
    </row>
    <row r="33" spans="1:26">
      <c r="X33" s="19"/>
      <c r="Y33" s="19"/>
    </row>
    <row r="34" spans="1:26">
      <c r="X34" s="19"/>
      <c r="Y34" s="19"/>
    </row>
    <row r="35" spans="1:26">
      <c r="U35" s="19"/>
      <c r="X35" s="19"/>
      <c r="Y35" s="19"/>
    </row>
    <row r="36" spans="1:26">
      <c r="U36" s="19"/>
      <c r="X36" s="19"/>
      <c r="Y36" s="19"/>
    </row>
    <row r="37" spans="1:26">
      <c r="U37" s="19"/>
      <c r="X37" s="19"/>
      <c r="Y37" s="19"/>
    </row>
    <row r="38" spans="1:26">
      <c r="U38" s="19"/>
      <c r="X38" s="19"/>
      <c r="Y38" s="19"/>
    </row>
    <row r="39" spans="1:26">
      <c r="U39" s="19"/>
      <c r="X39" s="19"/>
      <c r="Y39" s="19"/>
    </row>
    <row r="40" spans="1:26" ht="17.399999999999999">
      <c r="A40" s="6"/>
      <c r="B40" s="6"/>
      <c r="E40" s="1"/>
      <c r="F40" s="25"/>
      <c r="G40" s="25"/>
      <c r="H40" s="25"/>
      <c r="I40" s="26"/>
      <c r="J40" s="26"/>
      <c r="K40" s="22" t="s">
        <v>3</v>
      </c>
      <c r="L40" s="22"/>
      <c r="M40" s="22"/>
      <c r="N40" s="22">
        <v>2019</v>
      </c>
      <c r="O40" s="22">
        <v>2019</v>
      </c>
      <c r="P40" s="140">
        <v>2019</v>
      </c>
      <c r="R40" s="11">
        <v>2020</v>
      </c>
      <c r="S40" s="11">
        <v>2020</v>
      </c>
      <c r="T40" s="11">
        <v>2021</v>
      </c>
      <c r="U40" s="11">
        <v>2021</v>
      </c>
      <c r="V40" s="11">
        <v>2021</v>
      </c>
      <c r="W40" s="11">
        <v>2022</v>
      </c>
      <c r="X40" s="11">
        <v>2022</v>
      </c>
      <c r="Y40" s="11">
        <v>2022</v>
      </c>
      <c r="Z40" s="133">
        <v>2023</v>
      </c>
    </row>
    <row r="41" spans="1:26" ht="15.6">
      <c r="A41" s="12" t="s">
        <v>43</v>
      </c>
      <c r="B41" s="12"/>
      <c r="E41" s="1"/>
      <c r="F41" s="1"/>
      <c r="G41" s="1"/>
      <c r="H41" s="1"/>
      <c r="I41" s="1"/>
      <c r="J41" s="1"/>
      <c r="K41" s="22" t="s">
        <v>8</v>
      </c>
      <c r="L41" s="22"/>
      <c r="M41" s="22"/>
      <c r="N41" s="140" t="s">
        <v>516</v>
      </c>
      <c r="O41" s="22" t="s">
        <v>515</v>
      </c>
      <c r="P41" s="133" t="s">
        <v>13</v>
      </c>
      <c r="Q41" s="11">
        <v>2020</v>
      </c>
      <c r="R41" s="11" t="s">
        <v>87</v>
      </c>
      <c r="S41" s="11" t="s">
        <v>13</v>
      </c>
      <c r="T41" s="11"/>
      <c r="U41" s="24" t="s">
        <v>86</v>
      </c>
      <c r="V41" s="11" t="s">
        <v>13</v>
      </c>
      <c r="W41" s="11"/>
      <c r="X41" s="55" t="s">
        <v>87</v>
      </c>
      <c r="Y41" s="54" t="s">
        <v>13</v>
      </c>
      <c r="Z41" s="11" t="s">
        <v>97</v>
      </c>
    </row>
    <row r="42" spans="1:26">
      <c r="A42" s="28"/>
      <c r="B42" s="28"/>
      <c r="C42" s="10" t="s">
        <v>44</v>
      </c>
      <c r="D42" s="8"/>
      <c r="E42" s="16"/>
      <c r="F42" s="16"/>
      <c r="G42" s="16"/>
      <c r="H42" s="16"/>
      <c r="I42" s="1"/>
      <c r="J42" s="1"/>
      <c r="K42" s="22" t="s">
        <v>4</v>
      </c>
      <c r="L42" s="1"/>
      <c r="M42" s="1"/>
      <c r="N42" s="141" t="s">
        <v>88</v>
      </c>
      <c r="O42" s="27" t="s">
        <v>88</v>
      </c>
      <c r="P42" s="133" t="s">
        <v>24</v>
      </c>
      <c r="Q42" s="11" t="s">
        <v>3</v>
      </c>
      <c r="R42" s="11" t="s">
        <v>3</v>
      </c>
      <c r="S42" s="11" t="s">
        <v>24</v>
      </c>
      <c r="T42" s="11" t="s">
        <v>3</v>
      </c>
      <c r="U42" s="24" t="s">
        <v>3</v>
      </c>
      <c r="V42" s="11" t="s">
        <v>24</v>
      </c>
      <c r="W42" s="11" t="s">
        <v>3</v>
      </c>
      <c r="X42" s="55" t="s">
        <v>3</v>
      </c>
      <c r="Y42" s="54" t="s">
        <v>24</v>
      </c>
      <c r="Z42" s="11" t="s">
        <v>3</v>
      </c>
    </row>
    <row r="43" spans="1:26">
      <c r="A43" s="29">
        <v>33420</v>
      </c>
      <c r="B43" s="5">
        <v>1991</v>
      </c>
      <c r="C43" t="s">
        <v>45</v>
      </c>
      <c r="D43" s="8" t="s">
        <v>6</v>
      </c>
      <c r="E43" s="15">
        <v>4089</v>
      </c>
      <c r="F43" s="15"/>
      <c r="G43" s="135">
        <f t="shared" ref="G43:G63" si="19">L43-J43</f>
        <v>1991</v>
      </c>
      <c r="H43" s="15">
        <f t="shared" ref="H43:H49" si="20">E43-F43</f>
        <v>4089</v>
      </c>
      <c r="I43" s="1" t="s">
        <v>46</v>
      </c>
      <c r="J43" s="1">
        <v>10</v>
      </c>
      <c r="K43" s="15">
        <f t="shared" ref="K43:K49" si="21">H43/J43</f>
        <v>408.9</v>
      </c>
      <c r="L43" s="17">
        <f t="shared" ref="L43:L49" si="22">B43+J43</f>
        <v>2001</v>
      </c>
      <c r="M43" s="18">
        <f t="shared" ref="M43:M53" si="23">IF($H$3&gt;=L43,0,K43)</f>
        <v>0</v>
      </c>
      <c r="N43" s="18">
        <f t="shared" ref="N43:N54" si="24">IF(($H$3-B43)*K43&gt;H43,H43,($H$3-B43)*K43)</f>
        <v>4089</v>
      </c>
      <c r="O43" s="18">
        <f t="shared" ref="O43:O54" si="25">IF(($H$4-B43)*K43&gt;H43,H43,($H$4-B43)*K43)</f>
        <v>4089</v>
      </c>
      <c r="P43" s="18">
        <f t="shared" ref="P43:P57" si="26">E43-O43</f>
        <v>0</v>
      </c>
      <c r="Q43">
        <v>0</v>
      </c>
      <c r="R43" s="19">
        <f>O43+Q43</f>
        <v>4089</v>
      </c>
      <c r="S43" s="19">
        <f t="shared" ref="S43:S49" si="27">H43-R43</f>
        <v>0</v>
      </c>
      <c r="U43" s="19">
        <f>R43-T43</f>
        <v>4089</v>
      </c>
      <c r="V43" s="19">
        <f>H43-U43</f>
        <v>0</v>
      </c>
      <c r="W43">
        <v>0</v>
      </c>
      <c r="X43" s="19">
        <f t="shared" si="10"/>
        <v>4089</v>
      </c>
      <c r="Y43" s="19">
        <f t="shared" si="11"/>
        <v>0</v>
      </c>
    </row>
    <row r="44" spans="1:26">
      <c r="A44" s="29">
        <v>34639</v>
      </c>
      <c r="B44" s="5">
        <v>1994</v>
      </c>
      <c r="C44" t="s">
        <v>45</v>
      </c>
      <c r="D44" s="8" t="s">
        <v>6</v>
      </c>
      <c r="E44" s="15">
        <v>3698</v>
      </c>
      <c r="F44" s="15"/>
      <c r="G44" s="135">
        <f t="shared" si="19"/>
        <v>1994</v>
      </c>
      <c r="H44" s="15">
        <f t="shared" si="20"/>
        <v>3698</v>
      </c>
      <c r="I44" s="1" t="s">
        <v>46</v>
      </c>
      <c r="J44" s="1">
        <v>10</v>
      </c>
      <c r="K44" s="15">
        <f t="shared" si="21"/>
        <v>369.8</v>
      </c>
      <c r="L44" s="17">
        <f t="shared" si="22"/>
        <v>2004</v>
      </c>
      <c r="M44" s="18">
        <f t="shared" si="23"/>
        <v>0</v>
      </c>
      <c r="N44" s="18">
        <f t="shared" si="24"/>
        <v>3698</v>
      </c>
      <c r="O44" s="18">
        <f t="shared" si="25"/>
        <v>3698</v>
      </c>
      <c r="P44" s="18">
        <f t="shared" si="26"/>
        <v>0</v>
      </c>
      <c r="Q44">
        <v>0</v>
      </c>
      <c r="R44" s="19">
        <f t="shared" ref="R44:R60" si="28">O44+Q44</f>
        <v>3698</v>
      </c>
      <c r="S44" s="19">
        <f t="shared" si="27"/>
        <v>0</v>
      </c>
      <c r="U44" s="19">
        <f t="shared" ref="U44:U50" si="29">R44-T44</f>
        <v>3698</v>
      </c>
      <c r="V44" s="19">
        <f t="shared" ref="V44:V54" si="30">H44-U44</f>
        <v>0</v>
      </c>
      <c r="W44">
        <v>0</v>
      </c>
      <c r="X44" s="19">
        <f t="shared" si="10"/>
        <v>3698</v>
      </c>
      <c r="Y44" s="19">
        <f t="shared" si="11"/>
        <v>0</v>
      </c>
    </row>
    <row r="45" spans="1:26">
      <c r="A45" s="29">
        <v>34790</v>
      </c>
      <c r="B45" s="5">
        <v>1995</v>
      </c>
      <c r="C45" t="s">
        <v>45</v>
      </c>
      <c r="D45" s="8" t="s">
        <v>6</v>
      </c>
      <c r="E45" s="15">
        <v>4224</v>
      </c>
      <c r="F45" s="15"/>
      <c r="G45" s="135">
        <f t="shared" si="19"/>
        <v>1995</v>
      </c>
      <c r="H45" s="15">
        <f t="shared" si="20"/>
        <v>4224</v>
      </c>
      <c r="I45" s="1" t="s">
        <v>46</v>
      </c>
      <c r="J45" s="1">
        <v>10</v>
      </c>
      <c r="K45" s="15">
        <f t="shared" si="21"/>
        <v>422.4</v>
      </c>
      <c r="L45" s="17">
        <f t="shared" si="22"/>
        <v>2005</v>
      </c>
      <c r="M45" s="18">
        <f t="shared" si="23"/>
        <v>0</v>
      </c>
      <c r="N45" s="18">
        <f t="shared" si="24"/>
        <v>4224</v>
      </c>
      <c r="O45" s="18">
        <f t="shared" si="25"/>
        <v>4224</v>
      </c>
      <c r="P45" s="18">
        <f t="shared" si="26"/>
        <v>0</v>
      </c>
      <c r="Q45">
        <v>0</v>
      </c>
      <c r="R45" s="19">
        <f t="shared" si="28"/>
        <v>4224</v>
      </c>
      <c r="S45" s="19">
        <f t="shared" si="27"/>
        <v>0</v>
      </c>
      <c r="U45" s="19">
        <f t="shared" si="29"/>
        <v>4224</v>
      </c>
      <c r="V45" s="19">
        <f t="shared" si="30"/>
        <v>0</v>
      </c>
      <c r="W45">
        <v>0</v>
      </c>
      <c r="X45" s="19">
        <f t="shared" si="10"/>
        <v>4224</v>
      </c>
      <c r="Y45" s="19">
        <f t="shared" si="11"/>
        <v>0</v>
      </c>
    </row>
    <row r="46" spans="1:26">
      <c r="A46" s="29">
        <v>34912</v>
      </c>
      <c r="B46" s="5">
        <v>1995</v>
      </c>
      <c r="C46" t="s">
        <v>45</v>
      </c>
      <c r="D46" s="8" t="s">
        <v>6</v>
      </c>
      <c r="E46" s="15">
        <v>4148</v>
      </c>
      <c r="F46" s="15"/>
      <c r="G46" s="135">
        <f t="shared" si="19"/>
        <v>1995</v>
      </c>
      <c r="H46" s="15">
        <f t="shared" si="20"/>
        <v>4148</v>
      </c>
      <c r="I46" s="1" t="s">
        <v>46</v>
      </c>
      <c r="J46" s="1">
        <v>10</v>
      </c>
      <c r="K46" s="15">
        <f t="shared" si="21"/>
        <v>414.8</v>
      </c>
      <c r="L46" s="17">
        <f t="shared" si="22"/>
        <v>2005</v>
      </c>
      <c r="M46" s="18">
        <f t="shared" si="23"/>
        <v>0</v>
      </c>
      <c r="N46" s="18">
        <f t="shared" si="24"/>
        <v>4148</v>
      </c>
      <c r="O46" s="18">
        <f t="shared" si="25"/>
        <v>4148</v>
      </c>
      <c r="P46" s="18">
        <f t="shared" si="26"/>
        <v>0</v>
      </c>
      <c r="Q46">
        <v>0</v>
      </c>
      <c r="R46" s="19">
        <f t="shared" si="28"/>
        <v>4148</v>
      </c>
      <c r="S46" s="19">
        <f t="shared" si="27"/>
        <v>0</v>
      </c>
      <c r="U46" s="19">
        <f t="shared" si="29"/>
        <v>4148</v>
      </c>
      <c r="V46" s="19">
        <f t="shared" si="30"/>
        <v>0</v>
      </c>
      <c r="W46">
        <v>0</v>
      </c>
      <c r="X46" s="19">
        <f t="shared" si="10"/>
        <v>4148</v>
      </c>
      <c r="Y46" s="19">
        <f t="shared" si="11"/>
        <v>0</v>
      </c>
    </row>
    <row r="47" spans="1:26">
      <c r="A47" s="29">
        <v>34912</v>
      </c>
      <c r="B47" s="5">
        <v>1995</v>
      </c>
      <c r="C47" t="s">
        <v>45</v>
      </c>
      <c r="D47" s="8" t="s">
        <v>6</v>
      </c>
      <c r="E47" s="15">
        <v>4148</v>
      </c>
      <c r="F47" s="15"/>
      <c r="G47" s="135">
        <f t="shared" si="19"/>
        <v>1995</v>
      </c>
      <c r="H47" s="15">
        <f t="shared" si="20"/>
        <v>4148</v>
      </c>
      <c r="I47" s="1" t="s">
        <v>46</v>
      </c>
      <c r="J47" s="1">
        <v>10</v>
      </c>
      <c r="K47" s="15">
        <f t="shared" si="21"/>
        <v>414.8</v>
      </c>
      <c r="L47" s="17">
        <f t="shared" si="22"/>
        <v>2005</v>
      </c>
      <c r="M47" s="18">
        <f t="shared" si="23"/>
        <v>0</v>
      </c>
      <c r="N47" s="18">
        <f t="shared" si="24"/>
        <v>4148</v>
      </c>
      <c r="O47" s="18">
        <f t="shared" si="25"/>
        <v>4148</v>
      </c>
      <c r="P47" s="18">
        <f t="shared" si="26"/>
        <v>0</v>
      </c>
      <c r="Q47">
        <v>0</v>
      </c>
      <c r="R47" s="19">
        <f t="shared" si="28"/>
        <v>4148</v>
      </c>
      <c r="S47" s="19">
        <f t="shared" si="27"/>
        <v>0</v>
      </c>
      <c r="U47" s="19">
        <f t="shared" si="29"/>
        <v>4148</v>
      </c>
      <c r="V47" s="19">
        <f t="shared" si="30"/>
        <v>0</v>
      </c>
      <c r="W47">
        <v>0</v>
      </c>
      <c r="X47" s="19">
        <f t="shared" si="10"/>
        <v>4148</v>
      </c>
      <c r="Y47" s="19">
        <f t="shared" si="11"/>
        <v>0</v>
      </c>
    </row>
    <row r="48" spans="1:26">
      <c r="A48" s="29">
        <v>35582</v>
      </c>
      <c r="B48" s="5">
        <v>1997</v>
      </c>
      <c r="C48" t="s">
        <v>45</v>
      </c>
      <c r="D48" s="8" t="s">
        <v>6</v>
      </c>
      <c r="E48" s="15">
        <v>4420</v>
      </c>
      <c r="F48" s="15"/>
      <c r="G48" s="135">
        <f t="shared" si="19"/>
        <v>1997</v>
      </c>
      <c r="H48" s="15">
        <f t="shared" si="20"/>
        <v>4420</v>
      </c>
      <c r="I48" s="1" t="s">
        <v>46</v>
      </c>
      <c r="J48" s="1">
        <v>10</v>
      </c>
      <c r="K48" s="15">
        <f t="shared" si="21"/>
        <v>442</v>
      </c>
      <c r="L48" s="17">
        <f t="shared" si="22"/>
        <v>2007</v>
      </c>
      <c r="M48" s="18">
        <f t="shared" si="23"/>
        <v>0</v>
      </c>
      <c r="N48" s="18">
        <f t="shared" si="24"/>
        <v>4420</v>
      </c>
      <c r="O48" s="18">
        <f t="shared" si="25"/>
        <v>4420</v>
      </c>
      <c r="P48" s="18">
        <f t="shared" si="26"/>
        <v>0</v>
      </c>
      <c r="Q48">
        <v>0</v>
      </c>
      <c r="R48" s="19">
        <f t="shared" si="28"/>
        <v>4420</v>
      </c>
      <c r="S48" s="19">
        <f t="shared" si="27"/>
        <v>0</v>
      </c>
      <c r="U48" s="19">
        <f t="shared" si="29"/>
        <v>4420</v>
      </c>
      <c r="V48" s="19">
        <f t="shared" si="30"/>
        <v>0</v>
      </c>
      <c r="W48">
        <v>0</v>
      </c>
      <c r="X48" s="19">
        <f t="shared" si="10"/>
        <v>4420</v>
      </c>
      <c r="Y48" s="19">
        <f t="shared" si="11"/>
        <v>0</v>
      </c>
    </row>
    <row r="49" spans="1:33">
      <c r="A49" s="29">
        <v>37377</v>
      </c>
      <c r="B49" s="5">
        <v>2002</v>
      </c>
      <c r="C49" t="s">
        <v>47</v>
      </c>
      <c r="D49" s="8" t="s">
        <v>6</v>
      </c>
      <c r="E49" s="15">
        <v>10349</v>
      </c>
      <c r="F49" s="18"/>
      <c r="G49" s="135">
        <f t="shared" si="19"/>
        <v>2002</v>
      </c>
      <c r="H49" s="15">
        <f t="shared" si="20"/>
        <v>10349</v>
      </c>
      <c r="I49" s="1" t="s">
        <v>46</v>
      </c>
      <c r="J49" s="1">
        <v>10</v>
      </c>
      <c r="K49" s="15">
        <f t="shared" si="21"/>
        <v>1034.9000000000001</v>
      </c>
      <c r="L49" s="17">
        <f t="shared" si="22"/>
        <v>2012</v>
      </c>
      <c r="M49" s="18">
        <f t="shared" si="23"/>
        <v>0</v>
      </c>
      <c r="N49" s="18">
        <f t="shared" si="24"/>
        <v>10349</v>
      </c>
      <c r="O49" s="18">
        <f t="shared" si="25"/>
        <v>10349</v>
      </c>
      <c r="P49" s="18">
        <f t="shared" si="26"/>
        <v>0</v>
      </c>
      <c r="Q49">
        <v>0</v>
      </c>
      <c r="R49" s="19">
        <f t="shared" si="28"/>
        <v>10349</v>
      </c>
      <c r="S49" s="19">
        <f t="shared" si="27"/>
        <v>0</v>
      </c>
      <c r="U49" s="19">
        <f t="shared" si="29"/>
        <v>10349</v>
      </c>
      <c r="V49" s="19">
        <f t="shared" si="30"/>
        <v>0</v>
      </c>
      <c r="W49">
        <v>0</v>
      </c>
      <c r="X49" s="19">
        <f t="shared" si="10"/>
        <v>10349</v>
      </c>
      <c r="Y49" s="19">
        <f t="shared" si="11"/>
        <v>0</v>
      </c>
    </row>
    <row r="50" spans="1:33">
      <c r="A50" s="20">
        <v>4</v>
      </c>
      <c r="B50" s="5">
        <v>2004</v>
      </c>
      <c r="C50" t="s">
        <v>48</v>
      </c>
      <c r="E50" s="15">
        <v>100</v>
      </c>
      <c r="F50" s="18"/>
      <c r="G50" s="135"/>
      <c r="H50" s="15">
        <v>100</v>
      </c>
      <c r="I50" s="1"/>
      <c r="J50" s="1"/>
      <c r="K50" s="15"/>
      <c r="L50" s="17"/>
      <c r="M50" s="18">
        <f t="shared" si="23"/>
        <v>0</v>
      </c>
      <c r="N50" s="18">
        <f t="shared" si="24"/>
        <v>0</v>
      </c>
      <c r="O50" s="18">
        <f t="shared" si="25"/>
        <v>0</v>
      </c>
      <c r="P50" s="18">
        <f t="shared" si="26"/>
        <v>100</v>
      </c>
      <c r="R50" s="19">
        <v>100</v>
      </c>
      <c r="S50" s="19"/>
      <c r="U50" s="19">
        <f t="shared" si="29"/>
        <v>100</v>
      </c>
      <c r="V50" s="19">
        <f t="shared" si="30"/>
        <v>0</v>
      </c>
      <c r="W50">
        <v>0</v>
      </c>
      <c r="X50" s="19">
        <f t="shared" si="10"/>
        <v>100</v>
      </c>
      <c r="Y50" s="19">
        <f t="shared" si="11"/>
        <v>0</v>
      </c>
    </row>
    <row r="51" spans="1:33">
      <c r="A51" s="20">
        <v>38473</v>
      </c>
      <c r="B51" s="5">
        <v>2005</v>
      </c>
      <c r="C51" t="s">
        <v>47</v>
      </c>
      <c r="D51" s="8" t="s">
        <v>6</v>
      </c>
      <c r="E51" s="15">
        <v>12509</v>
      </c>
      <c r="F51" s="18"/>
      <c r="G51" s="135">
        <f t="shared" si="19"/>
        <v>2005</v>
      </c>
      <c r="H51" s="15">
        <f t="shared" ref="H51:H63" si="31">E51-F51</f>
        <v>12509</v>
      </c>
      <c r="I51" s="1" t="s">
        <v>46</v>
      </c>
      <c r="J51" s="1">
        <v>10</v>
      </c>
      <c r="K51" s="15">
        <f t="shared" ref="K51:K63" si="32">H51/J51</f>
        <v>1250.9000000000001</v>
      </c>
      <c r="L51" s="17">
        <f t="shared" ref="L51:L63" si="33">B51+J51</f>
        <v>2015</v>
      </c>
      <c r="M51" s="18">
        <f t="shared" si="23"/>
        <v>0</v>
      </c>
      <c r="N51" s="18">
        <f t="shared" si="24"/>
        <v>12509</v>
      </c>
      <c r="O51" s="18">
        <f t="shared" si="25"/>
        <v>12509</v>
      </c>
      <c r="P51" s="18">
        <f t="shared" si="26"/>
        <v>0</v>
      </c>
      <c r="Q51">
        <v>0</v>
      </c>
      <c r="R51" s="19">
        <f t="shared" si="28"/>
        <v>12509</v>
      </c>
      <c r="S51" s="19">
        <f t="shared" ref="S51:S60" si="34">H51-R51</f>
        <v>0</v>
      </c>
      <c r="U51" s="19">
        <f t="shared" ref="U51:U62" si="35">R51+T51</f>
        <v>12509</v>
      </c>
      <c r="V51" s="19">
        <f t="shared" si="30"/>
        <v>0</v>
      </c>
      <c r="W51">
        <v>0</v>
      </c>
      <c r="X51" s="19">
        <f t="shared" si="10"/>
        <v>12509</v>
      </c>
      <c r="Y51" s="19">
        <f t="shared" si="11"/>
        <v>0</v>
      </c>
      <c r="Z51" s="10"/>
      <c r="AA51" s="10"/>
      <c r="AB51" s="10"/>
      <c r="AC51" s="10"/>
      <c r="AD51" s="10"/>
      <c r="AE51" s="10"/>
      <c r="AF51" s="10"/>
      <c r="AG51" s="10"/>
    </row>
    <row r="52" spans="1:33">
      <c r="A52" s="20">
        <v>38534</v>
      </c>
      <c r="B52" s="5">
        <v>2005</v>
      </c>
      <c r="C52" t="s">
        <v>49</v>
      </c>
      <c r="D52" s="8" t="s">
        <v>16</v>
      </c>
      <c r="E52" s="15">
        <v>150</v>
      </c>
      <c r="F52" s="18"/>
      <c r="G52" s="135">
        <f t="shared" si="19"/>
        <v>2005</v>
      </c>
      <c r="H52" s="15">
        <f t="shared" si="31"/>
        <v>150</v>
      </c>
      <c r="I52" s="1" t="s">
        <v>46</v>
      </c>
      <c r="J52" s="1">
        <v>3</v>
      </c>
      <c r="K52" s="15">
        <f t="shared" si="32"/>
        <v>50</v>
      </c>
      <c r="L52" s="17">
        <f t="shared" si="33"/>
        <v>2008</v>
      </c>
      <c r="M52" s="18">
        <f t="shared" si="23"/>
        <v>0</v>
      </c>
      <c r="N52" s="18">
        <f t="shared" si="24"/>
        <v>150</v>
      </c>
      <c r="O52" s="18">
        <f t="shared" si="25"/>
        <v>150</v>
      </c>
      <c r="P52" s="18">
        <f t="shared" si="26"/>
        <v>0</v>
      </c>
      <c r="Q52">
        <v>0</v>
      </c>
      <c r="R52" s="19">
        <f t="shared" si="28"/>
        <v>150</v>
      </c>
      <c r="S52" s="19">
        <f t="shared" si="34"/>
        <v>0</v>
      </c>
      <c r="U52" s="19">
        <f t="shared" si="35"/>
        <v>150</v>
      </c>
      <c r="V52" s="19">
        <f t="shared" si="30"/>
        <v>0</v>
      </c>
      <c r="W52">
        <v>0</v>
      </c>
      <c r="X52" s="19">
        <f t="shared" si="10"/>
        <v>150</v>
      </c>
      <c r="Y52" s="19">
        <f t="shared" si="11"/>
        <v>0</v>
      </c>
    </row>
    <row r="53" spans="1:33">
      <c r="A53" s="20">
        <v>38820</v>
      </c>
      <c r="B53" s="5">
        <v>2006</v>
      </c>
      <c r="C53" t="s">
        <v>47</v>
      </c>
      <c r="D53" s="8" t="s">
        <v>6</v>
      </c>
      <c r="E53" s="15">
        <v>12771</v>
      </c>
      <c r="F53" s="18"/>
      <c r="G53" s="135">
        <f t="shared" si="19"/>
        <v>2006</v>
      </c>
      <c r="H53" s="15">
        <f t="shared" si="31"/>
        <v>12771</v>
      </c>
      <c r="I53" s="1" t="s">
        <v>46</v>
      </c>
      <c r="J53" s="1">
        <v>10</v>
      </c>
      <c r="K53" s="15">
        <f t="shared" si="32"/>
        <v>1277.0999999999999</v>
      </c>
      <c r="L53" s="17">
        <f t="shared" si="33"/>
        <v>2016</v>
      </c>
      <c r="M53" s="18">
        <f t="shared" si="23"/>
        <v>0</v>
      </c>
      <c r="N53" s="18">
        <f t="shared" si="24"/>
        <v>12771</v>
      </c>
      <c r="O53" s="18">
        <f t="shared" si="25"/>
        <v>12771</v>
      </c>
      <c r="P53" s="18">
        <f t="shared" si="26"/>
        <v>0</v>
      </c>
      <c r="Q53">
        <v>0</v>
      </c>
      <c r="R53" s="19">
        <f t="shared" si="28"/>
        <v>12771</v>
      </c>
      <c r="S53" s="19">
        <f t="shared" si="34"/>
        <v>0</v>
      </c>
      <c r="U53" s="19">
        <f t="shared" si="35"/>
        <v>12771</v>
      </c>
      <c r="V53" s="19">
        <f t="shared" si="30"/>
        <v>0</v>
      </c>
      <c r="W53">
        <v>0</v>
      </c>
      <c r="X53" s="19">
        <f t="shared" si="10"/>
        <v>12771</v>
      </c>
      <c r="Y53" s="19">
        <f t="shared" si="11"/>
        <v>0</v>
      </c>
    </row>
    <row r="54" spans="1:33">
      <c r="A54" s="29">
        <v>40366</v>
      </c>
      <c r="B54" s="5">
        <v>2010</v>
      </c>
      <c r="C54" t="s">
        <v>50</v>
      </c>
      <c r="D54" s="8" t="s">
        <v>6</v>
      </c>
      <c r="E54" s="15">
        <v>6409</v>
      </c>
      <c r="F54" s="18"/>
      <c r="G54" s="135">
        <f t="shared" si="19"/>
        <v>2010</v>
      </c>
      <c r="H54" s="15">
        <f t="shared" si="31"/>
        <v>6409</v>
      </c>
      <c r="I54" s="1" t="s">
        <v>46</v>
      </c>
      <c r="J54" s="1">
        <v>10</v>
      </c>
      <c r="K54" s="15">
        <f t="shared" si="32"/>
        <v>640.9</v>
      </c>
      <c r="L54" s="17">
        <f t="shared" si="33"/>
        <v>2020</v>
      </c>
      <c r="M54" s="18">
        <v>0</v>
      </c>
      <c r="N54" s="18">
        <f t="shared" si="24"/>
        <v>6409</v>
      </c>
      <c r="O54" s="18">
        <f t="shared" si="25"/>
        <v>6409</v>
      </c>
      <c r="P54" s="18">
        <f t="shared" si="26"/>
        <v>0</v>
      </c>
      <c r="Q54">
        <v>0</v>
      </c>
      <c r="R54" s="19">
        <f t="shared" si="28"/>
        <v>6409</v>
      </c>
      <c r="S54" s="19">
        <f t="shared" si="34"/>
        <v>0</v>
      </c>
      <c r="U54" s="19">
        <f t="shared" si="35"/>
        <v>6409</v>
      </c>
      <c r="V54" s="19">
        <f t="shared" si="30"/>
        <v>0</v>
      </c>
      <c r="W54">
        <v>0</v>
      </c>
      <c r="X54" s="19">
        <f t="shared" si="10"/>
        <v>6409</v>
      </c>
      <c r="Y54" s="19">
        <f t="shared" si="11"/>
        <v>0</v>
      </c>
    </row>
    <row r="55" spans="1:33">
      <c r="A55" s="20">
        <v>42004</v>
      </c>
      <c r="B55" s="5">
        <v>2014</v>
      </c>
      <c r="C55" t="s">
        <v>50</v>
      </c>
      <c r="D55" s="8" t="s">
        <v>6</v>
      </c>
      <c r="E55" s="15">
        <v>19391</v>
      </c>
      <c r="F55" s="18"/>
      <c r="G55" s="135">
        <f t="shared" si="19"/>
        <v>2014</v>
      </c>
      <c r="H55" s="15">
        <f t="shared" si="31"/>
        <v>19391</v>
      </c>
      <c r="I55" s="1" t="s">
        <v>46</v>
      </c>
      <c r="J55" s="1">
        <v>10</v>
      </c>
      <c r="K55" s="15">
        <f t="shared" si="32"/>
        <v>1939.1</v>
      </c>
      <c r="L55" s="17">
        <f t="shared" si="33"/>
        <v>2024</v>
      </c>
      <c r="M55" s="134">
        <f t="shared" ref="M55:M60" si="36">IF($H$3&gt;=L55,0,K55)</f>
        <v>1939.1</v>
      </c>
      <c r="N55" s="134">
        <f>(M55*5)</f>
        <v>9695.5</v>
      </c>
      <c r="O55" s="134">
        <f>M55+N55</f>
        <v>11634.6</v>
      </c>
      <c r="P55" s="134">
        <f t="shared" si="26"/>
        <v>7756.4</v>
      </c>
      <c r="Q55" s="132">
        <v>1939</v>
      </c>
      <c r="R55" s="139">
        <f t="shared" si="28"/>
        <v>13573.6</v>
      </c>
      <c r="S55" s="139">
        <f t="shared" si="34"/>
        <v>5817.4</v>
      </c>
      <c r="T55" s="132">
        <f>Q55</f>
        <v>1939</v>
      </c>
      <c r="U55" s="139">
        <f t="shared" si="35"/>
        <v>15512.6</v>
      </c>
      <c r="V55" s="139">
        <f t="shared" ref="V55:V62" si="37">H55-U55</f>
        <v>3878.3999999999996</v>
      </c>
      <c r="W55" s="139">
        <f>T55</f>
        <v>1939</v>
      </c>
      <c r="X55" s="139">
        <f t="shared" si="10"/>
        <v>17451.599999999999</v>
      </c>
      <c r="Y55" s="139">
        <f t="shared" si="11"/>
        <v>1939.4000000000015</v>
      </c>
      <c r="Z55" s="132">
        <v>0</v>
      </c>
    </row>
    <row r="56" spans="1:33">
      <c r="A56" s="20">
        <v>42515</v>
      </c>
      <c r="B56" s="5">
        <v>2016</v>
      </c>
      <c r="C56" t="s">
        <v>51</v>
      </c>
      <c r="D56" s="8" t="s">
        <v>6</v>
      </c>
      <c r="E56" s="15">
        <v>8593</v>
      </c>
      <c r="F56" s="18"/>
      <c r="G56" s="135">
        <f t="shared" si="19"/>
        <v>2016</v>
      </c>
      <c r="H56" s="15">
        <f t="shared" si="31"/>
        <v>8593</v>
      </c>
      <c r="I56" s="1" t="s">
        <v>46</v>
      </c>
      <c r="J56" s="1">
        <v>10</v>
      </c>
      <c r="K56" s="15">
        <f t="shared" si="32"/>
        <v>859.3</v>
      </c>
      <c r="L56" s="17">
        <f t="shared" si="33"/>
        <v>2026</v>
      </c>
      <c r="M56" s="18">
        <f t="shared" si="36"/>
        <v>859.3</v>
      </c>
      <c r="N56" s="134">
        <f>(M56*4)</f>
        <v>3437.2</v>
      </c>
      <c r="O56" s="134">
        <f>M56+N56</f>
        <v>4296.5</v>
      </c>
      <c r="P56" s="134">
        <f t="shared" si="26"/>
        <v>4296.5</v>
      </c>
      <c r="Q56" s="132">
        <v>859</v>
      </c>
      <c r="R56" s="139">
        <f t="shared" si="28"/>
        <v>5155.5</v>
      </c>
      <c r="S56" s="139">
        <f t="shared" si="34"/>
        <v>3437.5</v>
      </c>
      <c r="T56" s="132">
        <v>859</v>
      </c>
      <c r="U56" s="139">
        <f t="shared" si="35"/>
        <v>6014.5</v>
      </c>
      <c r="V56" s="139">
        <f t="shared" si="37"/>
        <v>2578.5</v>
      </c>
      <c r="W56" s="139">
        <f t="shared" ref="W56:W62" si="38">K56</f>
        <v>859.3</v>
      </c>
      <c r="X56" s="139">
        <f t="shared" si="10"/>
        <v>6873.8</v>
      </c>
      <c r="Y56" s="139">
        <f t="shared" si="11"/>
        <v>1719.1999999999998</v>
      </c>
      <c r="Z56" s="132">
        <v>0</v>
      </c>
    </row>
    <row r="57" spans="1:33">
      <c r="A57" s="20">
        <v>43348</v>
      </c>
      <c r="B57" s="5">
        <v>2018</v>
      </c>
      <c r="C57" t="s">
        <v>52</v>
      </c>
      <c r="D57" s="8" t="s">
        <v>6</v>
      </c>
      <c r="E57" s="15">
        <v>11325</v>
      </c>
      <c r="F57" s="18"/>
      <c r="G57" s="135">
        <f t="shared" si="19"/>
        <v>2018</v>
      </c>
      <c r="H57" s="15">
        <f t="shared" si="31"/>
        <v>11325</v>
      </c>
      <c r="I57" s="1" t="s">
        <v>46</v>
      </c>
      <c r="J57" s="1">
        <v>10</v>
      </c>
      <c r="K57" s="15">
        <f t="shared" si="32"/>
        <v>1132.5</v>
      </c>
      <c r="L57" s="17">
        <f t="shared" si="33"/>
        <v>2028</v>
      </c>
      <c r="M57" s="18">
        <f t="shared" si="36"/>
        <v>1132.5</v>
      </c>
      <c r="N57" s="134">
        <f>(M57*2)</f>
        <v>2265</v>
      </c>
      <c r="O57" s="134">
        <f>M57+N57</f>
        <v>3397.5</v>
      </c>
      <c r="P57" s="134">
        <f t="shared" si="26"/>
        <v>7927.5</v>
      </c>
      <c r="Q57" s="132">
        <v>1133</v>
      </c>
      <c r="R57" s="139">
        <f t="shared" si="28"/>
        <v>4530.5</v>
      </c>
      <c r="S57" s="139">
        <f t="shared" si="34"/>
        <v>6794.5</v>
      </c>
      <c r="T57" s="132">
        <v>1133</v>
      </c>
      <c r="U57" s="139">
        <f t="shared" si="35"/>
        <v>5663.5</v>
      </c>
      <c r="V57" s="139">
        <f t="shared" si="37"/>
        <v>5661.5</v>
      </c>
      <c r="W57" s="139">
        <f t="shared" si="38"/>
        <v>1132.5</v>
      </c>
      <c r="X57" s="139">
        <f t="shared" si="10"/>
        <v>6796</v>
      </c>
      <c r="Y57" s="139">
        <f t="shared" si="11"/>
        <v>4529</v>
      </c>
      <c r="Z57" s="132">
        <v>1133</v>
      </c>
    </row>
    <row r="58" spans="1:33">
      <c r="A58" s="13">
        <v>43678</v>
      </c>
      <c r="B58" s="5">
        <v>2019</v>
      </c>
      <c r="C58" t="s">
        <v>53</v>
      </c>
      <c r="D58" s="8" t="s">
        <v>6</v>
      </c>
      <c r="E58" s="15">
        <v>20750.66</v>
      </c>
      <c r="F58" s="18"/>
      <c r="G58" s="135">
        <f t="shared" si="19"/>
        <v>2019</v>
      </c>
      <c r="H58" s="15">
        <f t="shared" si="31"/>
        <v>20750.66</v>
      </c>
      <c r="I58" s="1" t="s">
        <v>46</v>
      </c>
      <c r="J58" s="1">
        <v>10</v>
      </c>
      <c r="K58" s="15">
        <f t="shared" si="32"/>
        <v>2075.0659999999998</v>
      </c>
      <c r="L58" s="17">
        <f t="shared" si="33"/>
        <v>2029</v>
      </c>
      <c r="M58" s="18">
        <f t="shared" si="36"/>
        <v>2075.0659999999998</v>
      </c>
      <c r="N58" s="134">
        <f>M58</f>
        <v>2075.0659999999998</v>
      </c>
      <c r="O58" s="134">
        <f>M58+N58</f>
        <v>4150.1319999999996</v>
      </c>
      <c r="P58" s="134">
        <f t="shared" ref="P58:P60" si="39">E58-O58</f>
        <v>16600.527999999998</v>
      </c>
      <c r="Q58" s="132">
        <v>2075</v>
      </c>
      <c r="R58" s="139">
        <f t="shared" si="28"/>
        <v>6225.1319999999996</v>
      </c>
      <c r="S58" s="139">
        <f t="shared" si="34"/>
        <v>14525.528</v>
      </c>
      <c r="T58" s="132">
        <v>2075</v>
      </c>
      <c r="U58" s="139">
        <f t="shared" si="35"/>
        <v>8300.1319999999996</v>
      </c>
      <c r="V58" s="139">
        <f t="shared" si="37"/>
        <v>12450.528</v>
      </c>
      <c r="W58" s="139">
        <f t="shared" si="38"/>
        <v>2075.0659999999998</v>
      </c>
      <c r="X58" s="139">
        <f t="shared" si="10"/>
        <v>10375.198</v>
      </c>
      <c r="Y58" s="139">
        <f t="shared" si="11"/>
        <v>10375.462</v>
      </c>
      <c r="Z58" s="132">
        <v>2075</v>
      </c>
    </row>
    <row r="59" spans="1:33">
      <c r="A59" s="13">
        <v>43678</v>
      </c>
      <c r="B59" s="5">
        <v>2019</v>
      </c>
      <c r="C59" t="s">
        <v>54</v>
      </c>
      <c r="D59" s="8" t="s">
        <v>55</v>
      </c>
      <c r="E59" s="18">
        <v>3389</v>
      </c>
      <c r="F59" s="18"/>
      <c r="G59" s="135">
        <f t="shared" si="19"/>
        <v>2019</v>
      </c>
      <c r="H59" s="15">
        <f t="shared" si="31"/>
        <v>3389</v>
      </c>
      <c r="I59" s="1" t="s">
        <v>56</v>
      </c>
      <c r="J59" s="1">
        <v>3</v>
      </c>
      <c r="K59" s="15">
        <f t="shared" si="32"/>
        <v>1129.6666666666667</v>
      </c>
      <c r="L59" s="17">
        <f t="shared" si="33"/>
        <v>2022</v>
      </c>
      <c r="M59" s="18">
        <f t="shared" si="36"/>
        <v>0</v>
      </c>
      <c r="N59" s="134">
        <f t="shared" ref="N59:N60" si="40">M59</f>
        <v>0</v>
      </c>
      <c r="O59" s="134">
        <f t="shared" ref="O59:O60" si="41">M59+N59</f>
        <v>0</v>
      </c>
      <c r="P59" s="134">
        <f t="shared" si="39"/>
        <v>3389</v>
      </c>
      <c r="Q59" s="132">
        <v>1130</v>
      </c>
      <c r="R59" s="139">
        <f t="shared" si="28"/>
        <v>1130</v>
      </c>
      <c r="S59" s="139">
        <f t="shared" si="34"/>
        <v>2259</v>
      </c>
      <c r="T59" s="132">
        <v>1129</v>
      </c>
      <c r="U59" s="139">
        <f t="shared" si="35"/>
        <v>2259</v>
      </c>
      <c r="V59" s="139">
        <f t="shared" si="37"/>
        <v>1130</v>
      </c>
      <c r="W59" s="139">
        <v>0</v>
      </c>
      <c r="X59" s="139">
        <f t="shared" si="10"/>
        <v>2259</v>
      </c>
      <c r="Y59" s="139">
        <f t="shared" si="11"/>
        <v>1130</v>
      </c>
      <c r="Z59" s="132">
        <v>0</v>
      </c>
    </row>
    <row r="60" spans="1:33">
      <c r="A60" s="20">
        <v>43727</v>
      </c>
      <c r="B60" s="5">
        <v>2019</v>
      </c>
      <c r="C60" t="s">
        <v>57</v>
      </c>
      <c r="D60" s="8" t="s">
        <v>6</v>
      </c>
      <c r="E60" s="3">
        <v>1143.79</v>
      </c>
      <c r="F60" s="4"/>
      <c r="G60" s="135">
        <f t="shared" si="19"/>
        <v>2019</v>
      </c>
      <c r="H60" s="3">
        <f t="shared" si="31"/>
        <v>1143.79</v>
      </c>
      <c r="I60" s="1" t="s">
        <v>46</v>
      </c>
      <c r="J60" s="1">
        <v>10</v>
      </c>
      <c r="K60" s="3">
        <f t="shared" si="32"/>
        <v>114.37899999999999</v>
      </c>
      <c r="L60" s="2">
        <f t="shared" si="33"/>
        <v>2029</v>
      </c>
      <c r="M60" s="4">
        <f t="shared" si="36"/>
        <v>114.37899999999999</v>
      </c>
      <c r="N60" s="134">
        <f t="shared" si="40"/>
        <v>114.37899999999999</v>
      </c>
      <c r="O60" s="134">
        <f t="shared" si="41"/>
        <v>228.75799999999998</v>
      </c>
      <c r="P60" s="134">
        <f t="shared" si="39"/>
        <v>915.03199999999993</v>
      </c>
      <c r="Q60" s="132">
        <v>114</v>
      </c>
      <c r="R60" s="139">
        <f t="shared" si="28"/>
        <v>342.75799999999998</v>
      </c>
      <c r="S60" s="139">
        <f t="shared" si="34"/>
        <v>801.03199999999993</v>
      </c>
      <c r="T60" s="132">
        <v>114</v>
      </c>
      <c r="U60" s="139">
        <f t="shared" si="35"/>
        <v>456.75799999999998</v>
      </c>
      <c r="V60" s="139">
        <f t="shared" si="37"/>
        <v>687.03199999999993</v>
      </c>
      <c r="W60" s="139">
        <f t="shared" si="38"/>
        <v>114.37899999999999</v>
      </c>
      <c r="X60" s="139">
        <f t="shared" si="10"/>
        <v>571.13699999999994</v>
      </c>
      <c r="Y60" s="139">
        <f t="shared" si="11"/>
        <v>572.65300000000002</v>
      </c>
      <c r="Z60" s="132">
        <v>114</v>
      </c>
    </row>
    <row r="61" spans="1:33">
      <c r="A61" s="20">
        <v>44380</v>
      </c>
      <c r="B61" s="5">
        <v>2021</v>
      </c>
      <c r="C61" t="s">
        <v>99</v>
      </c>
      <c r="D61" s="8" t="s">
        <v>6</v>
      </c>
      <c r="E61" s="3">
        <v>5291.77</v>
      </c>
      <c r="F61" s="4"/>
      <c r="G61" s="135">
        <f t="shared" si="19"/>
        <v>2021</v>
      </c>
      <c r="H61" s="3">
        <f t="shared" si="31"/>
        <v>5291.77</v>
      </c>
      <c r="I61" s="1" t="s">
        <v>46</v>
      </c>
      <c r="J61" s="1">
        <v>3</v>
      </c>
      <c r="K61" s="3">
        <f t="shared" si="32"/>
        <v>1763.9233333333334</v>
      </c>
      <c r="L61" s="2">
        <f t="shared" si="33"/>
        <v>2024</v>
      </c>
      <c r="M61" s="4"/>
      <c r="N61" s="4"/>
      <c r="O61" s="4"/>
      <c r="P61" s="4"/>
      <c r="R61" s="19"/>
      <c r="S61" s="19"/>
      <c r="T61" s="139">
        <f>K61</f>
        <v>1763.9233333333334</v>
      </c>
      <c r="U61" s="139">
        <f t="shared" si="35"/>
        <v>1763.9233333333334</v>
      </c>
      <c r="V61" s="139">
        <f t="shared" si="37"/>
        <v>3527.8466666666673</v>
      </c>
      <c r="W61" s="139">
        <f t="shared" si="38"/>
        <v>1763.9233333333334</v>
      </c>
      <c r="X61" s="139">
        <f t="shared" si="10"/>
        <v>3527.8466666666668</v>
      </c>
      <c r="Y61" s="139">
        <f t="shared" si="11"/>
        <v>1763.9233333333336</v>
      </c>
      <c r="Z61" s="132">
        <v>1764</v>
      </c>
    </row>
    <row r="62" spans="1:33">
      <c r="A62" s="20">
        <v>44494</v>
      </c>
      <c r="B62" s="5">
        <v>2021</v>
      </c>
      <c r="C62" t="s">
        <v>99</v>
      </c>
      <c r="D62" s="8" t="s">
        <v>6</v>
      </c>
      <c r="E62" s="3">
        <v>5080.07</v>
      </c>
      <c r="F62" s="4"/>
      <c r="G62" s="135">
        <f t="shared" si="19"/>
        <v>2021</v>
      </c>
      <c r="H62" s="3">
        <f t="shared" si="31"/>
        <v>5080.07</v>
      </c>
      <c r="I62" s="1" t="s">
        <v>46</v>
      </c>
      <c r="J62" s="1">
        <v>3</v>
      </c>
      <c r="K62" s="3">
        <f t="shared" si="32"/>
        <v>1693.3566666666666</v>
      </c>
      <c r="L62" s="2">
        <f t="shared" si="33"/>
        <v>2024</v>
      </c>
      <c r="M62" s="4"/>
      <c r="N62" s="4"/>
      <c r="O62" s="4"/>
      <c r="P62" s="4"/>
      <c r="R62" s="19"/>
      <c r="S62" s="19"/>
      <c r="T62" s="139">
        <f>K62</f>
        <v>1693.3566666666666</v>
      </c>
      <c r="U62" s="139">
        <f t="shared" si="35"/>
        <v>1693.3566666666666</v>
      </c>
      <c r="V62" s="139">
        <f t="shared" si="37"/>
        <v>3386.7133333333331</v>
      </c>
      <c r="W62" s="139">
        <f t="shared" si="38"/>
        <v>1693.3566666666666</v>
      </c>
      <c r="X62" s="139">
        <f t="shared" si="10"/>
        <v>3386.7133333333331</v>
      </c>
      <c r="Y62" s="139">
        <f t="shared" si="11"/>
        <v>1693.3566666666666</v>
      </c>
      <c r="Z62" s="132">
        <v>1693</v>
      </c>
    </row>
    <row r="63" spans="1:33">
      <c r="A63" s="20">
        <v>44774</v>
      </c>
      <c r="B63" s="5">
        <v>2022</v>
      </c>
      <c r="C63" t="s">
        <v>99</v>
      </c>
      <c r="D63" s="8" t="s">
        <v>6</v>
      </c>
      <c r="E63" s="3">
        <v>5001</v>
      </c>
      <c r="G63" s="135">
        <f t="shared" si="19"/>
        <v>2022</v>
      </c>
      <c r="H63" s="3">
        <f t="shared" si="31"/>
        <v>5001</v>
      </c>
      <c r="I63" s="1" t="s">
        <v>46</v>
      </c>
      <c r="J63" s="1">
        <v>3</v>
      </c>
      <c r="K63" s="3">
        <f t="shared" si="32"/>
        <v>1667</v>
      </c>
      <c r="L63" s="2">
        <f t="shared" si="33"/>
        <v>2025</v>
      </c>
      <c r="N63" s="19"/>
      <c r="W63" s="139">
        <f>K63</f>
        <v>1667</v>
      </c>
      <c r="X63" s="139">
        <f t="shared" si="10"/>
        <v>1667</v>
      </c>
      <c r="Y63" s="139">
        <f t="shared" si="11"/>
        <v>3334</v>
      </c>
      <c r="Z63" s="132">
        <v>1667</v>
      </c>
      <c r="AB63" s="19"/>
    </row>
    <row r="64" spans="1:33">
      <c r="N64" s="19"/>
      <c r="Y64" s="19">
        <f t="shared" si="11"/>
        <v>0</v>
      </c>
    </row>
    <row r="65" spans="1:30">
      <c r="Y65" s="19">
        <f t="shared" si="11"/>
        <v>0</v>
      </c>
    </row>
    <row r="66" spans="1:30">
      <c r="C66" s="10" t="s">
        <v>58</v>
      </c>
      <c r="D66" s="10"/>
      <c r="E66" s="23">
        <f>SUM(E43:E63)</f>
        <v>146980.29</v>
      </c>
      <c r="F66" s="23"/>
      <c r="G66" s="23"/>
      <c r="H66" s="23">
        <f>SUM(H43:H63)</f>
        <v>146980.29</v>
      </c>
      <c r="I66" s="27"/>
      <c r="J66" s="27"/>
      <c r="K66" s="30"/>
      <c r="L66" s="23"/>
      <c r="M66" s="137">
        <f>SUM(M43:M59)</f>
        <v>6005.9659999999994</v>
      </c>
      <c r="N66" s="137"/>
      <c r="O66" s="137">
        <f>SUM(O43:O61)</f>
        <v>90622.49</v>
      </c>
      <c r="P66" s="137">
        <f>SUM(P43:P61)</f>
        <v>40984.959999999999</v>
      </c>
      <c r="Q66">
        <f>SUM(Q43:Q60)</f>
        <v>7250</v>
      </c>
      <c r="R66" s="19">
        <f>SUM(R43:R60)</f>
        <v>97972.49</v>
      </c>
      <c r="S66" s="19">
        <f>SUM(S43:S60)</f>
        <v>33634.959999999999</v>
      </c>
      <c r="T66" s="101">
        <f>SUM(T43:T62)</f>
        <v>10706.28</v>
      </c>
      <c r="U66" s="19">
        <f>SUM(U43:U65)</f>
        <v>108678.77000000002</v>
      </c>
      <c r="V66" s="19">
        <f>SUM(V43:V62)</f>
        <v>33300.520000000004</v>
      </c>
      <c r="W66" s="1">
        <f>SUM(W43:W63)</f>
        <v>11244.525</v>
      </c>
      <c r="X66" s="19">
        <f>SUM(X43:X65)</f>
        <v>119923.29500000001</v>
      </c>
      <c r="Y66" s="24">
        <f>SUM(Y43:Y65)</f>
        <v>27056.994999999999</v>
      </c>
      <c r="Z66">
        <f>SUM(Z43:Z64)</f>
        <v>8446</v>
      </c>
    </row>
    <row r="67" spans="1:30">
      <c r="C67" s="10"/>
      <c r="D67" s="10"/>
      <c r="E67" s="23"/>
      <c r="F67" s="23"/>
      <c r="G67" s="23"/>
      <c r="H67" s="23"/>
      <c r="I67" s="27"/>
      <c r="J67" s="27"/>
      <c r="K67" s="30"/>
      <c r="L67" s="23"/>
      <c r="M67" s="137"/>
      <c r="N67" s="137"/>
      <c r="O67" s="137"/>
      <c r="P67" s="137"/>
      <c r="R67" s="19"/>
      <c r="S67" s="19"/>
      <c r="T67" s="101"/>
      <c r="U67" s="19"/>
      <c r="V67" s="19"/>
      <c r="W67" s="1"/>
      <c r="X67" s="19"/>
      <c r="Y67" s="24"/>
    </row>
    <row r="68" spans="1:30">
      <c r="A68" s="20"/>
      <c r="B68" s="20"/>
      <c r="C68" s="10" t="s">
        <v>59</v>
      </c>
      <c r="E68" s="1"/>
      <c r="F68" s="1"/>
      <c r="G68" s="1"/>
      <c r="H68" s="1"/>
      <c r="I68" s="1"/>
      <c r="J68" s="1"/>
      <c r="K68" s="1"/>
      <c r="L68" s="22"/>
      <c r="M68" s="22"/>
      <c r="N68" s="22"/>
      <c r="O68" s="27" t="s">
        <v>88</v>
      </c>
      <c r="P68" s="22" t="s">
        <v>24</v>
      </c>
      <c r="Q68" s="11"/>
      <c r="R68" s="11" t="s">
        <v>3</v>
      </c>
      <c r="S68" s="11" t="s">
        <v>24</v>
      </c>
      <c r="T68" s="11" t="s">
        <v>3</v>
      </c>
      <c r="U68" s="11"/>
      <c r="V68" s="11"/>
      <c r="W68" s="11"/>
      <c r="X68" s="11"/>
      <c r="Y68" s="19"/>
    </row>
    <row r="69" spans="1:30">
      <c r="A69" s="29">
        <v>34973</v>
      </c>
      <c r="B69" s="5">
        <v>1995</v>
      </c>
      <c r="C69" t="s">
        <v>60</v>
      </c>
      <c r="D69" s="8" t="s">
        <v>6</v>
      </c>
      <c r="E69" s="15">
        <v>6916</v>
      </c>
      <c r="F69" s="15"/>
      <c r="G69" s="135">
        <f t="shared" ref="G69:G77" si="42">L69-J69</f>
        <v>1995</v>
      </c>
      <c r="H69" s="15">
        <f t="shared" ref="H69:H77" si="43">E69-F69</f>
        <v>6916</v>
      </c>
      <c r="I69" s="1" t="s">
        <v>46</v>
      </c>
      <c r="J69" s="1">
        <v>10</v>
      </c>
      <c r="K69" s="15">
        <f t="shared" ref="K69:K77" si="44">H69/J69</f>
        <v>691.6</v>
      </c>
      <c r="L69" s="17">
        <f t="shared" ref="L69:L77" si="45">B69+J69</f>
        <v>2005</v>
      </c>
      <c r="M69" s="18">
        <f t="shared" ref="M69:M77" si="46">IF($H$3&gt;=L69,0,K69)</f>
        <v>0</v>
      </c>
      <c r="N69" s="18">
        <f t="shared" ref="N69:N73" si="47">IF(($H$3-B69)*K69&gt;H69,H69,($H$3-B69)*K69)</f>
        <v>6916</v>
      </c>
      <c r="O69" s="18">
        <f t="shared" ref="O69:O73" si="48">IF(($H$4-B69)*K69&gt;H69,H69,($H$4-B69)*K69)</f>
        <v>6916</v>
      </c>
      <c r="P69" s="18">
        <f t="shared" ref="P69:P76" si="49">E69-O69</f>
        <v>0</v>
      </c>
      <c r="Q69" s="31">
        <v>0</v>
      </c>
      <c r="R69" s="31">
        <f>O69+Q69</f>
        <v>6916</v>
      </c>
      <c r="S69" s="31">
        <f t="shared" ref="S69:S76" si="50">H69-R69</f>
        <v>0</v>
      </c>
      <c r="T69">
        <v>0</v>
      </c>
      <c r="U69" s="31">
        <f t="shared" ref="U69:U77" si="51">R69+T69</f>
        <v>6916</v>
      </c>
      <c r="V69">
        <v>0</v>
      </c>
      <c r="W69">
        <v>0</v>
      </c>
      <c r="X69" s="31">
        <f>U69+W69</f>
        <v>6916</v>
      </c>
      <c r="Y69" s="19">
        <f t="shared" ref="Y69:Y79" si="52">H69-X69</f>
        <v>0</v>
      </c>
    </row>
    <row r="70" spans="1:30">
      <c r="A70" s="29">
        <v>34973</v>
      </c>
      <c r="B70" s="5">
        <v>1995</v>
      </c>
      <c r="C70" t="s">
        <v>60</v>
      </c>
      <c r="D70" s="8" t="s">
        <v>6</v>
      </c>
      <c r="E70" s="15">
        <v>6916</v>
      </c>
      <c r="F70" s="15"/>
      <c r="G70" s="135">
        <f t="shared" si="42"/>
        <v>1995</v>
      </c>
      <c r="H70" s="15">
        <f t="shared" si="43"/>
        <v>6916</v>
      </c>
      <c r="I70" s="1" t="s">
        <v>46</v>
      </c>
      <c r="J70" s="1">
        <v>10</v>
      </c>
      <c r="K70" s="15">
        <f t="shared" si="44"/>
        <v>691.6</v>
      </c>
      <c r="L70" s="17">
        <f t="shared" si="45"/>
        <v>2005</v>
      </c>
      <c r="M70" s="18">
        <f t="shared" si="46"/>
        <v>0</v>
      </c>
      <c r="N70" s="18">
        <f t="shared" si="47"/>
        <v>6916</v>
      </c>
      <c r="O70" s="18">
        <f t="shared" si="48"/>
        <v>6916</v>
      </c>
      <c r="P70" s="18">
        <f t="shared" si="49"/>
        <v>0</v>
      </c>
      <c r="Q70" s="31">
        <v>0</v>
      </c>
      <c r="R70" s="31">
        <f t="shared" ref="R70:R76" si="53">O70+Q70</f>
        <v>6916</v>
      </c>
      <c r="S70" s="31">
        <f t="shared" si="50"/>
        <v>0</v>
      </c>
      <c r="T70">
        <v>0</v>
      </c>
      <c r="U70" s="31">
        <f t="shared" si="51"/>
        <v>6916</v>
      </c>
      <c r="V70">
        <v>0</v>
      </c>
      <c r="W70">
        <v>0</v>
      </c>
      <c r="X70" s="31">
        <f t="shared" ref="X70:X77" si="54">U70+W70</f>
        <v>6916</v>
      </c>
      <c r="Y70" s="19">
        <f t="shared" si="52"/>
        <v>0</v>
      </c>
    </row>
    <row r="71" spans="1:30">
      <c r="A71" s="20">
        <v>38473</v>
      </c>
      <c r="B71" s="5">
        <v>2005</v>
      </c>
      <c r="C71" t="s">
        <v>61</v>
      </c>
      <c r="D71" s="8" t="s">
        <v>6</v>
      </c>
      <c r="E71" s="15">
        <v>16709</v>
      </c>
      <c r="F71" s="18"/>
      <c r="G71" s="135">
        <f t="shared" si="42"/>
        <v>2005</v>
      </c>
      <c r="H71" s="15">
        <f t="shared" si="43"/>
        <v>16709</v>
      </c>
      <c r="I71" s="1" t="s">
        <v>46</v>
      </c>
      <c r="J71" s="1">
        <v>10</v>
      </c>
      <c r="K71" s="15">
        <f t="shared" si="44"/>
        <v>1670.9</v>
      </c>
      <c r="L71" s="17">
        <f t="shared" si="45"/>
        <v>2015</v>
      </c>
      <c r="M71" s="18">
        <f t="shared" si="46"/>
        <v>0</v>
      </c>
      <c r="N71" s="18">
        <f t="shared" si="47"/>
        <v>16709</v>
      </c>
      <c r="O71" s="18">
        <f t="shared" si="48"/>
        <v>16709</v>
      </c>
      <c r="P71" s="18">
        <f t="shared" si="49"/>
        <v>0</v>
      </c>
      <c r="Q71" s="31">
        <v>0</v>
      </c>
      <c r="R71" s="31">
        <f t="shared" si="53"/>
        <v>16709</v>
      </c>
      <c r="S71" s="31">
        <f t="shared" si="50"/>
        <v>0</v>
      </c>
      <c r="T71">
        <v>0</v>
      </c>
      <c r="U71" s="31">
        <f t="shared" si="51"/>
        <v>16709</v>
      </c>
      <c r="V71">
        <v>0</v>
      </c>
      <c r="W71">
        <v>0</v>
      </c>
      <c r="X71" s="31">
        <f t="shared" si="54"/>
        <v>16709</v>
      </c>
      <c r="Y71" s="19">
        <f t="shared" si="52"/>
        <v>0</v>
      </c>
    </row>
    <row r="72" spans="1:30">
      <c r="A72" s="20">
        <v>39203</v>
      </c>
      <c r="B72" s="5">
        <v>2007</v>
      </c>
      <c r="C72" s="32" t="s">
        <v>62</v>
      </c>
      <c r="D72" s="33" t="s">
        <v>16</v>
      </c>
      <c r="E72" s="15">
        <v>1135</v>
      </c>
      <c r="F72" s="18"/>
      <c r="G72" s="135">
        <f t="shared" si="42"/>
        <v>2007</v>
      </c>
      <c r="H72" s="15">
        <f t="shared" si="43"/>
        <v>1135</v>
      </c>
      <c r="I72" s="34" t="s">
        <v>46</v>
      </c>
      <c r="J72" s="1">
        <v>5</v>
      </c>
      <c r="K72" s="15">
        <f t="shared" si="44"/>
        <v>227</v>
      </c>
      <c r="L72" s="17">
        <f t="shared" si="45"/>
        <v>2012</v>
      </c>
      <c r="M72" s="18">
        <f t="shared" si="46"/>
        <v>0</v>
      </c>
      <c r="N72" s="18">
        <f t="shared" si="47"/>
        <v>1135</v>
      </c>
      <c r="O72" s="18">
        <f t="shared" si="48"/>
        <v>1135</v>
      </c>
      <c r="P72" s="18">
        <f t="shared" si="49"/>
        <v>0</v>
      </c>
      <c r="Q72" s="31">
        <v>0</v>
      </c>
      <c r="R72" s="31">
        <f t="shared" si="53"/>
        <v>1135</v>
      </c>
      <c r="S72" s="31">
        <f t="shared" si="50"/>
        <v>0</v>
      </c>
      <c r="T72">
        <v>0</v>
      </c>
      <c r="U72" s="31">
        <f t="shared" si="51"/>
        <v>1135</v>
      </c>
      <c r="V72">
        <v>0</v>
      </c>
      <c r="W72">
        <v>0</v>
      </c>
      <c r="X72" s="31">
        <f t="shared" si="54"/>
        <v>1135</v>
      </c>
      <c r="Y72" s="19">
        <f t="shared" si="52"/>
        <v>0</v>
      </c>
    </row>
    <row r="73" spans="1:30">
      <c r="A73" s="29">
        <v>40817</v>
      </c>
      <c r="B73" s="5">
        <v>2011</v>
      </c>
      <c r="C73" t="s">
        <v>63</v>
      </c>
      <c r="D73" s="8" t="s">
        <v>16</v>
      </c>
      <c r="E73" s="15">
        <v>624</v>
      </c>
      <c r="F73" s="18"/>
      <c r="G73" s="135">
        <f t="shared" si="42"/>
        <v>2011</v>
      </c>
      <c r="H73" s="15">
        <f t="shared" si="43"/>
        <v>624</v>
      </c>
      <c r="I73" s="1" t="s">
        <v>46</v>
      </c>
      <c r="J73" s="1">
        <v>5</v>
      </c>
      <c r="K73" s="15">
        <f t="shared" si="44"/>
        <v>124.8</v>
      </c>
      <c r="L73" s="17">
        <f t="shared" si="45"/>
        <v>2016</v>
      </c>
      <c r="M73" s="18">
        <f t="shared" si="46"/>
        <v>0</v>
      </c>
      <c r="N73" s="18">
        <f t="shared" si="47"/>
        <v>624</v>
      </c>
      <c r="O73" s="18">
        <f t="shared" si="48"/>
        <v>624</v>
      </c>
      <c r="P73" s="18">
        <f t="shared" si="49"/>
        <v>0</v>
      </c>
      <c r="Q73" s="31">
        <v>0</v>
      </c>
      <c r="R73" s="31">
        <f t="shared" si="53"/>
        <v>624</v>
      </c>
      <c r="S73" s="31">
        <f t="shared" si="50"/>
        <v>0</v>
      </c>
      <c r="T73">
        <v>0</v>
      </c>
      <c r="U73" s="31">
        <f t="shared" si="51"/>
        <v>624</v>
      </c>
      <c r="V73">
        <v>0</v>
      </c>
      <c r="W73">
        <v>0</v>
      </c>
      <c r="X73" s="31">
        <f t="shared" si="54"/>
        <v>624</v>
      </c>
      <c r="Y73" s="19">
        <f t="shared" si="52"/>
        <v>0</v>
      </c>
    </row>
    <row r="74" spans="1:30">
      <c r="A74" s="29">
        <v>42004</v>
      </c>
      <c r="B74" s="5">
        <v>2014</v>
      </c>
      <c r="C74" s="10" t="s">
        <v>64</v>
      </c>
      <c r="D74" s="8" t="s">
        <v>6</v>
      </c>
      <c r="E74" s="15">
        <v>12238</v>
      </c>
      <c r="F74" s="18"/>
      <c r="G74" s="135">
        <f t="shared" si="42"/>
        <v>2014</v>
      </c>
      <c r="H74" s="15">
        <f t="shared" si="43"/>
        <v>12238</v>
      </c>
      <c r="I74" s="1" t="s">
        <v>46</v>
      </c>
      <c r="J74" s="1">
        <v>10</v>
      </c>
      <c r="K74" s="15">
        <f t="shared" si="44"/>
        <v>1223.8</v>
      </c>
      <c r="L74" s="17">
        <f t="shared" si="45"/>
        <v>2024</v>
      </c>
      <c r="M74" s="18">
        <f t="shared" si="46"/>
        <v>1223.8</v>
      </c>
      <c r="N74" s="134">
        <f>(M74*5)</f>
        <v>6119</v>
      </c>
      <c r="O74" s="134">
        <f>M74+N74</f>
        <v>7342.8</v>
      </c>
      <c r="P74" s="134">
        <f t="shared" si="49"/>
        <v>4895.2</v>
      </c>
      <c r="Q74" s="142">
        <v>1224</v>
      </c>
      <c r="R74" s="142">
        <f t="shared" si="53"/>
        <v>8566.7999999999993</v>
      </c>
      <c r="S74" s="142">
        <f t="shared" si="50"/>
        <v>3671.2000000000007</v>
      </c>
      <c r="T74" s="132">
        <v>1224</v>
      </c>
      <c r="U74" s="142">
        <f t="shared" si="51"/>
        <v>9790.7999999999993</v>
      </c>
      <c r="V74" s="139">
        <f>H74-U74</f>
        <v>2447.2000000000007</v>
      </c>
      <c r="W74" s="139">
        <f>K74</f>
        <v>1223.8</v>
      </c>
      <c r="X74" s="142">
        <f t="shared" si="54"/>
        <v>11014.599999999999</v>
      </c>
      <c r="Y74" s="139">
        <f t="shared" si="52"/>
        <v>1223.4000000000015</v>
      </c>
      <c r="Z74" s="132">
        <v>1223</v>
      </c>
    </row>
    <row r="75" spans="1:30">
      <c r="A75" s="29">
        <v>43423</v>
      </c>
      <c r="B75" s="5">
        <v>2018</v>
      </c>
      <c r="C75" t="s">
        <v>65</v>
      </c>
      <c r="D75" s="8" t="s">
        <v>16</v>
      </c>
      <c r="E75" s="15">
        <v>944</v>
      </c>
      <c r="F75" s="18"/>
      <c r="G75" s="135">
        <f t="shared" si="42"/>
        <v>2018</v>
      </c>
      <c r="H75" s="15">
        <f t="shared" si="43"/>
        <v>944</v>
      </c>
      <c r="I75" s="1" t="s">
        <v>46</v>
      </c>
      <c r="J75" s="1">
        <v>5</v>
      </c>
      <c r="K75" s="15">
        <f t="shared" si="44"/>
        <v>188.8</v>
      </c>
      <c r="L75" s="17">
        <f t="shared" si="45"/>
        <v>2023</v>
      </c>
      <c r="M75" s="18">
        <f t="shared" si="46"/>
        <v>188.8</v>
      </c>
      <c r="N75" s="134">
        <f>(M75*2)</f>
        <v>377.6</v>
      </c>
      <c r="O75" s="134">
        <f>M75+N75</f>
        <v>566.40000000000009</v>
      </c>
      <c r="P75" s="134">
        <f t="shared" si="49"/>
        <v>377.59999999999991</v>
      </c>
      <c r="Q75" s="142">
        <f>M75</f>
        <v>188.8</v>
      </c>
      <c r="R75" s="142">
        <f t="shared" si="53"/>
        <v>755.2</v>
      </c>
      <c r="S75" s="142">
        <f t="shared" si="50"/>
        <v>188.79999999999995</v>
      </c>
      <c r="T75" s="132">
        <v>189</v>
      </c>
      <c r="U75" s="142">
        <f t="shared" si="51"/>
        <v>944.2</v>
      </c>
      <c r="V75" s="139">
        <f>H75-U75</f>
        <v>-0.20000000000004547</v>
      </c>
      <c r="W75" s="139">
        <v>0</v>
      </c>
      <c r="X75" s="142">
        <f t="shared" si="54"/>
        <v>944.2</v>
      </c>
      <c r="Y75" s="139">
        <f t="shared" si="52"/>
        <v>-0.20000000000004547</v>
      </c>
      <c r="Z75" s="132">
        <v>0</v>
      </c>
    </row>
    <row r="76" spans="1:30">
      <c r="A76" s="13">
        <v>43678</v>
      </c>
      <c r="B76" s="5">
        <v>2019</v>
      </c>
      <c r="C76" t="s">
        <v>66</v>
      </c>
      <c r="D76" s="8" t="s">
        <v>6</v>
      </c>
      <c r="E76" s="3">
        <v>26704</v>
      </c>
      <c r="F76" s="4"/>
      <c r="G76" s="135">
        <f t="shared" si="42"/>
        <v>2019</v>
      </c>
      <c r="H76" s="3">
        <f t="shared" si="43"/>
        <v>26704</v>
      </c>
      <c r="I76" s="1" t="s">
        <v>46</v>
      </c>
      <c r="J76" s="1">
        <v>10</v>
      </c>
      <c r="K76" s="3">
        <f t="shared" si="44"/>
        <v>2670.4</v>
      </c>
      <c r="L76" s="2">
        <f t="shared" si="45"/>
        <v>2029</v>
      </c>
      <c r="M76" s="4">
        <f t="shared" si="46"/>
        <v>2670.4</v>
      </c>
      <c r="N76" s="134">
        <f>M76</f>
        <v>2670.4</v>
      </c>
      <c r="O76" s="134">
        <f>M76+N76</f>
        <v>5340.8</v>
      </c>
      <c r="P76" s="136">
        <f t="shared" si="49"/>
        <v>21363.200000000001</v>
      </c>
      <c r="Q76" s="142">
        <v>2670</v>
      </c>
      <c r="R76" s="142">
        <f t="shared" si="53"/>
        <v>8010.8</v>
      </c>
      <c r="S76" s="142">
        <f t="shared" si="50"/>
        <v>18693.2</v>
      </c>
      <c r="T76" s="132">
        <v>2670</v>
      </c>
      <c r="U76" s="142">
        <f t="shared" si="51"/>
        <v>10680.8</v>
      </c>
      <c r="V76" s="139">
        <f>H76-U76</f>
        <v>16023.2</v>
      </c>
      <c r="W76" s="139">
        <f>K76</f>
        <v>2670.4</v>
      </c>
      <c r="X76" s="142">
        <f t="shared" si="54"/>
        <v>13351.199999999999</v>
      </c>
      <c r="Y76" s="139">
        <f t="shared" si="52"/>
        <v>13352.800000000001</v>
      </c>
      <c r="Z76" s="132">
        <v>2670</v>
      </c>
    </row>
    <row r="77" spans="1:30">
      <c r="A77" s="13">
        <v>44510</v>
      </c>
      <c r="B77" s="5">
        <v>2021</v>
      </c>
      <c r="C77" t="s">
        <v>100</v>
      </c>
      <c r="D77" s="8" t="s">
        <v>6</v>
      </c>
      <c r="E77" s="3">
        <v>3764.11</v>
      </c>
      <c r="F77" s="4"/>
      <c r="G77" s="135">
        <f t="shared" si="42"/>
        <v>2021</v>
      </c>
      <c r="H77" s="143">
        <f t="shared" si="43"/>
        <v>3764.11</v>
      </c>
      <c r="I77" s="144" t="s">
        <v>46</v>
      </c>
      <c r="J77" s="144">
        <v>3</v>
      </c>
      <c r="K77" s="143">
        <f t="shared" si="44"/>
        <v>1254.7033333333334</v>
      </c>
      <c r="L77" s="145">
        <f t="shared" si="45"/>
        <v>2024</v>
      </c>
      <c r="M77" s="146">
        <f t="shared" si="46"/>
        <v>1254.7033333333334</v>
      </c>
      <c r="N77" s="146">
        <v>0</v>
      </c>
      <c r="O77" s="146">
        <v>0</v>
      </c>
      <c r="P77" s="146">
        <v>0</v>
      </c>
      <c r="Q77" s="147"/>
      <c r="R77" s="147"/>
      <c r="S77" s="147"/>
      <c r="T77" s="148">
        <f>K77/12*2</f>
        <v>209.11722222222224</v>
      </c>
      <c r="U77" s="149">
        <f t="shared" si="51"/>
        <v>209.11722222222224</v>
      </c>
      <c r="V77" s="149">
        <f t="shared" ref="V77" si="55">H77-U77</f>
        <v>3554.992777777778</v>
      </c>
      <c r="W77" s="149">
        <f>K77</f>
        <v>1254.7033333333334</v>
      </c>
      <c r="X77" s="150">
        <f t="shared" si="54"/>
        <v>1463.8205555555555</v>
      </c>
      <c r="Y77" s="149">
        <f t="shared" si="52"/>
        <v>2300.2894444444446</v>
      </c>
      <c r="Z77" s="151">
        <v>1255</v>
      </c>
    </row>
    <row r="78" spans="1:30">
      <c r="C78" s="10" t="s">
        <v>67</v>
      </c>
      <c r="D78" s="35"/>
      <c r="E78" s="23">
        <f>SUM(E69:E77)</f>
        <v>75950.11</v>
      </c>
      <c r="F78" s="23"/>
      <c r="G78" s="23"/>
      <c r="H78" s="23">
        <f>SUM(H69:H77)</f>
        <v>75950.11</v>
      </c>
      <c r="I78" s="23"/>
      <c r="J78" s="23"/>
      <c r="K78" s="23"/>
      <c r="L78" s="23"/>
      <c r="M78" s="137">
        <f>SUM(M69:M77)</f>
        <v>5337.7033333333329</v>
      </c>
      <c r="N78" s="137"/>
      <c r="O78" s="137">
        <f>SUM(O69:O77)</f>
        <v>45550.000000000007</v>
      </c>
      <c r="P78" s="137">
        <f>SUM(P69:P77)</f>
        <v>26636</v>
      </c>
      <c r="Q78" s="31">
        <f>SUM(Q69:Q76)</f>
        <v>4082.8</v>
      </c>
      <c r="R78" s="31">
        <f>SUM(R69:R76)</f>
        <v>49632.800000000003</v>
      </c>
      <c r="S78" s="31">
        <f>SUM(S69:S76)</f>
        <v>22553.200000000001</v>
      </c>
      <c r="T78" s="31">
        <f>SUM(T69:T77)</f>
        <v>4292.1172222222222</v>
      </c>
      <c r="U78" s="31">
        <f>SUM(U69:U77)</f>
        <v>53924.917222222226</v>
      </c>
      <c r="V78" s="31">
        <f>SUM(V69:V77)</f>
        <v>22025.192777777778</v>
      </c>
      <c r="W78" s="31">
        <f>SUM(W69:W77)</f>
        <v>5148.9033333333336</v>
      </c>
      <c r="X78" s="31">
        <f>SUM(X69:X77)</f>
        <v>59073.820555555547</v>
      </c>
      <c r="Y78" s="24">
        <f t="shared" si="52"/>
        <v>16876.289444444454</v>
      </c>
      <c r="Z78" s="36">
        <f>SUM(Z69:Z77)</f>
        <v>5148</v>
      </c>
    </row>
    <row r="79" spans="1:30">
      <c r="E79" s="1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9">
        <f t="shared" si="52"/>
        <v>0</v>
      </c>
      <c r="AD79" s="1"/>
    </row>
    <row r="80" spans="1:30">
      <c r="C80" s="10" t="s">
        <v>101</v>
      </c>
      <c r="E80" s="24">
        <f>E78+E66</f>
        <v>222930.40000000002</v>
      </c>
      <c r="F80" s="24"/>
      <c r="G80" s="24"/>
      <c r="H80" s="24">
        <f>H78+H66</f>
        <v>222930.40000000002</v>
      </c>
      <c r="I80" s="24">
        <f>I78+I66</f>
        <v>0</v>
      </c>
      <c r="J80" s="24"/>
      <c r="K80" s="24"/>
      <c r="L80" s="24"/>
      <c r="M80" s="24">
        <f t="shared" ref="M80:W80" si="56">M78+M66</f>
        <v>11343.669333333331</v>
      </c>
      <c r="N80" s="24">
        <f t="shared" si="56"/>
        <v>0</v>
      </c>
      <c r="O80" s="24">
        <f t="shared" si="56"/>
        <v>136172.49000000002</v>
      </c>
      <c r="P80" s="24">
        <f t="shared" si="56"/>
        <v>67620.959999999992</v>
      </c>
      <c r="Q80" s="24">
        <f t="shared" si="56"/>
        <v>11332.8</v>
      </c>
      <c r="R80" s="56">
        <f t="shared" si="56"/>
        <v>147605.29</v>
      </c>
      <c r="S80" s="56">
        <f t="shared" si="56"/>
        <v>56188.160000000003</v>
      </c>
      <c r="T80" s="56">
        <f t="shared" si="56"/>
        <v>14998.397222222222</v>
      </c>
      <c r="U80" s="56">
        <f t="shared" si="56"/>
        <v>162603.68722222224</v>
      </c>
      <c r="V80" s="56">
        <f t="shared" si="56"/>
        <v>55325.712777777779</v>
      </c>
      <c r="W80" s="56">
        <f t="shared" si="56"/>
        <v>16393.428333333333</v>
      </c>
      <c r="X80" s="56">
        <f t="shared" ref="X80:Z80" si="57">X78+X66</f>
        <v>178997.11555555556</v>
      </c>
      <c r="Y80" s="56">
        <f t="shared" si="57"/>
        <v>43933.284444444449</v>
      </c>
      <c r="Z80" s="56">
        <f t="shared" si="57"/>
        <v>13594</v>
      </c>
      <c r="AD80" s="1"/>
    </row>
    <row r="81" spans="1:32">
      <c r="AD81" s="1"/>
    </row>
    <row r="82" spans="1:32">
      <c r="Z82" s="1"/>
      <c r="AA82" s="1"/>
      <c r="AB82" s="1"/>
      <c r="AC82" s="1"/>
      <c r="AD82" s="1"/>
    </row>
    <row r="83" spans="1:32" ht="15.6">
      <c r="A83" s="12" t="s">
        <v>68</v>
      </c>
      <c r="B83" s="12"/>
      <c r="D83" s="8"/>
      <c r="E83" s="16"/>
      <c r="F83" s="16"/>
      <c r="G83" s="16"/>
      <c r="H83" s="16"/>
      <c r="I83" s="1"/>
      <c r="J83" s="1"/>
      <c r="K83" s="22"/>
      <c r="L83" s="22"/>
      <c r="M83" s="22"/>
      <c r="N83" s="27"/>
      <c r="O83" s="27"/>
      <c r="P83" s="22"/>
      <c r="R83" s="11">
        <v>2020</v>
      </c>
      <c r="S83" s="11">
        <v>2020</v>
      </c>
      <c r="T83" s="11">
        <v>2021</v>
      </c>
      <c r="U83" s="11">
        <v>2021</v>
      </c>
      <c r="V83" s="11">
        <v>2021</v>
      </c>
      <c r="W83" s="11">
        <v>2022</v>
      </c>
      <c r="X83" s="11">
        <v>2022</v>
      </c>
      <c r="Y83" s="54">
        <v>2022</v>
      </c>
      <c r="Z83" s="1"/>
      <c r="AA83" s="1"/>
      <c r="AB83" s="1"/>
      <c r="AC83" s="1"/>
      <c r="AD83" s="1"/>
    </row>
    <row r="84" spans="1:32">
      <c r="D84" s="8"/>
      <c r="E84" s="16"/>
      <c r="F84" s="16"/>
      <c r="G84" s="16"/>
      <c r="H84" s="16"/>
      <c r="I84" s="1"/>
      <c r="J84" s="1"/>
      <c r="K84" s="1"/>
      <c r="L84" s="22"/>
      <c r="M84" s="22" t="s">
        <v>89</v>
      </c>
      <c r="N84" s="22" t="s">
        <v>90</v>
      </c>
      <c r="O84" s="22" t="s">
        <v>92</v>
      </c>
      <c r="P84" s="22" t="s">
        <v>13</v>
      </c>
      <c r="Q84" s="11">
        <v>2020</v>
      </c>
      <c r="R84" s="11" t="s">
        <v>87</v>
      </c>
      <c r="S84" s="11" t="s">
        <v>13</v>
      </c>
      <c r="T84" s="11"/>
      <c r="U84" s="11" t="s">
        <v>86</v>
      </c>
      <c r="V84" s="11" t="s">
        <v>13</v>
      </c>
      <c r="W84" s="11"/>
      <c r="X84" s="11" t="s">
        <v>86</v>
      </c>
      <c r="Y84" s="55" t="s">
        <v>13</v>
      </c>
      <c r="Z84" s="1"/>
      <c r="AA84" s="1"/>
      <c r="AB84" s="1"/>
      <c r="AC84" s="1"/>
    </row>
    <row r="85" spans="1:32">
      <c r="E85" s="1"/>
      <c r="F85" s="1"/>
      <c r="G85" s="1"/>
      <c r="H85" s="1"/>
      <c r="I85" s="1"/>
      <c r="J85" s="1"/>
      <c r="K85" s="1"/>
      <c r="L85" s="1"/>
      <c r="M85" s="27" t="s">
        <v>3</v>
      </c>
      <c r="N85" s="27" t="s">
        <v>91</v>
      </c>
      <c r="O85" s="27" t="s">
        <v>88</v>
      </c>
      <c r="P85" s="27" t="s">
        <v>24</v>
      </c>
      <c r="Q85" s="11" t="s">
        <v>3</v>
      </c>
      <c r="R85" s="11" t="s">
        <v>3</v>
      </c>
      <c r="S85" s="11" t="s">
        <v>24</v>
      </c>
      <c r="T85" s="11" t="s">
        <v>3</v>
      </c>
      <c r="U85" s="11" t="s">
        <v>3</v>
      </c>
      <c r="V85" s="11" t="s">
        <v>24</v>
      </c>
      <c r="W85" s="11" t="s">
        <v>3</v>
      </c>
      <c r="X85" s="11" t="s">
        <v>3</v>
      </c>
      <c r="Y85" s="55" t="s">
        <v>24</v>
      </c>
      <c r="Z85" s="1"/>
      <c r="AA85" s="1"/>
      <c r="AB85" s="1"/>
      <c r="AC85" s="1"/>
    </row>
    <row r="86" spans="1:32">
      <c r="A86" s="29">
        <v>33756</v>
      </c>
      <c r="B86" s="5">
        <v>1992</v>
      </c>
      <c r="C86" t="s">
        <v>69</v>
      </c>
      <c r="D86" s="5" t="s">
        <v>6</v>
      </c>
      <c r="E86" s="15">
        <v>641</v>
      </c>
      <c r="F86" s="15"/>
      <c r="G86" s="135">
        <f t="shared" ref="G86:G95" si="58">L86-J86</f>
        <v>1992</v>
      </c>
      <c r="H86" s="15">
        <f t="shared" ref="H86:H87" si="59">E86-F86</f>
        <v>641</v>
      </c>
      <c r="I86" s="1" t="s">
        <v>46</v>
      </c>
      <c r="J86" s="1">
        <v>5</v>
      </c>
      <c r="K86" s="15">
        <f t="shared" ref="K86:K95" si="60">H86/J86</f>
        <v>128.19999999999999</v>
      </c>
      <c r="L86" s="17">
        <f t="shared" ref="L86:L95" si="61">B86+J86</f>
        <v>1997</v>
      </c>
      <c r="M86" s="18">
        <f t="shared" ref="M86:M90" si="62">IF($H$3&gt;=L86,0,K86)</f>
        <v>0</v>
      </c>
      <c r="N86" s="18">
        <f t="shared" ref="N86:N90" si="63">IF(($H$3-B86)*K86&gt;H86,H86,($H$3-B86)*K86)</f>
        <v>641</v>
      </c>
      <c r="O86" s="18">
        <f t="shared" ref="O86:O90" si="64">IF(($H$4-B86)*K86&gt;H86,H86,($H$4-B86)*K86)</f>
        <v>641</v>
      </c>
      <c r="P86" s="18">
        <f t="shared" ref="P86:P94" si="65">E86-O86</f>
        <v>0</v>
      </c>
      <c r="Q86">
        <v>0</v>
      </c>
      <c r="R86" s="19">
        <f>O86+Q86</f>
        <v>641</v>
      </c>
      <c r="S86" s="19">
        <f>H86-R86</f>
        <v>0</v>
      </c>
      <c r="U86" s="19">
        <f t="shared" ref="U86:U95" si="66">R86+T86</f>
        <v>641</v>
      </c>
      <c r="V86" s="19">
        <f t="shared" ref="V86:V95" si="67">H86-U86</f>
        <v>0</v>
      </c>
      <c r="X86" s="19">
        <f>U86+W86</f>
        <v>641</v>
      </c>
      <c r="Y86" s="19">
        <f t="shared" ref="Y86:Y95" si="68">H86-X86</f>
        <v>0</v>
      </c>
      <c r="Z86" s="1"/>
      <c r="AA86" s="1"/>
      <c r="AB86" s="1"/>
      <c r="AC86" s="1"/>
    </row>
    <row r="87" spans="1:32">
      <c r="A87" s="29">
        <v>35431</v>
      </c>
      <c r="B87" s="5">
        <v>1997</v>
      </c>
      <c r="C87" t="s">
        <v>70</v>
      </c>
      <c r="D87" s="5" t="s">
        <v>6</v>
      </c>
      <c r="E87" s="18">
        <v>571</v>
      </c>
      <c r="F87" s="18"/>
      <c r="G87" s="135">
        <f t="shared" si="58"/>
        <v>1997</v>
      </c>
      <c r="H87" s="15">
        <f t="shared" si="59"/>
        <v>571</v>
      </c>
      <c r="I87" s="1" t="s">
        <v>46</v>
      </c>
      <c r="J87" s="1">
        <v>5</v>
      </c>
      <c r="K87" s="15">
        <f t="shared" si="60"/>
        <v>114.2</v>
      </c>
      <c r="L87" s="17">
        <f t="shared" si="61"/>
        <v>2002</v>
      </c>
      <c r="M87" s="18">
        <f t="shared" si="62"/>
        <v>0</v>
      </c>
      <c r="N87" s="18">
        <f t="shared" si="63"/>
        <v>571</v>
      </c>
      <c r="O87" s="18">
        <f t="shared" si="64"/>
        <v>571</v>
      </c>
      <c r="P87" s="18">
        <f t="shared" si="65"/>
        <v>0</v>
      </c>
      <c r="Q87">
        <v>0</v>
      </c>
      <c r="R87" s="19">
        <f t="shared" ref="R87" si="69">O87+Q87</f>
        <v>571</v>
      </c>
      <c r="S87" s="19">
        <f>H87-R87</f>
        <v>0</v>
      </c>
      <c r="U87" s="19">
        <f t="shared" si="66"/>
        <v>571</v>
      </c>
      <c r="V87" s="19">
        <f t="shared" si="67"/>
        <v>0</v>
      </c>
      <c r="X87" s="19">
        <f t="shared" ref="X87" si="70">U87+W87</f>
        <v>571</v>
      </c>
      <c r="Y87" s="19">
        <f t="shared" si="68"/>
        <v>0</v>
      </c>
    </row>
    <row r="88" spans="1:32">
      <c r="A88" s="20">
        <v>42464</v>
      </c>
      <c r="B88">
        <v>2016</v>
      </c>
      <c r="C88" t="s">
        <v>77</v>
      </c>
      <c r="D88" s="5" t="s">
        <v>16</v>
      </c>
      <c r="E88" s="18">
        <v>1897</v>
      </c>
      <c r="F88" s="18"/>
      <c r="G88" s="135">
        <f t="shared" si="58"/>
        <v>2016</v>
      </c>
      <c r="H88" s="15">
        <f t="shared" ref="H88:H95" si="71">E88-F88</f>
        <v>1897</v>
      </c>
      <c r="I88" s="1" t="s">
        <v>46</v>
      </c>
      <c r="J88" s="1">
        <v>3</v>
      </c>
      <c r="K88" s="15">
        <f t="shared" si="60"/>
        <v>632.33333333333337</v>
      </c>
      <c r="L88" s="17">
        <f t="shared" si="61"/>
        <v>2019</v>
      </c>
      <c r="M88" s="18">
        <f t="shared" si="62"/>
        <v>0</v>
      </c>
      <c r="N88" s="18">
        <f t="shared" si="63"/>
        <v>1897</v>
      </c>
      <c r="O88" s="18">
        <f t="shared" si="64"/>
        <v>1897</v>
      </c>
      <c r="P88" s="18">
        <f t="shared" si="65"/>
        <v>0</v>
      </c>
      <c r="Q88">
        <v>0</v>
      </c>
      <c r="R88" s="19">
        <f t="shared" ref="R88:R95" si="72">O88+Q88</f>
        <v>1897</v>
      </c>
      <c r="S88" s="19">
        <f>H88-R88</f>
        <v>0</v>
      </c>
      <c r="U88" s="19">
        <f t="shared" si="66"/>
        <v>1897</v>
      </c>
      <c r="V88" s="19">
        <f t="shared" si="67"/>
        <v>0</v>
      </c>
      <c r="X88" s="19">
        <f t="shared" ref="X88:X95" si="73">U88+W88</f>
        <v>1897</v>
      </c>
      <c r="Y88" s="19">
        <f t="shared" si="68"/>
        <v>0</v>
      </c>
    </row>
    <row r="89" spans="1:32">
      <c r="A89" s="20">
        <v>42705</v>
      </c>
      <c r="B89">
        <v>2016</v>
      </c>
      <c r="C89" t="s">
        <v>78</v>
      </c>
      <c r="D89" s="5" t="s">
        <v>6</v>
      </c>
      <c r="E89" s="18">
        <v>1281</v>
      </c>
      <c r="F89" s="18"/>
      <c r="G89" s="135">
        <f t="shared" si="58"/>
        <v>2016</v>
      </c>
      <c r="H89" s="15">
        <f t="shared" si="71"/>
        <v>1281</v>
      </c>
      <c r="I89" s="1" t="s">
        <v>46</v>
      </c>
      <c r="J89" s="1">
        <v>5</v>
      </c>
      <c r="K89" s="15">
        <f t="shared" si="60"/>
        <v>256.2</v>
      </c>
      <c r="L89" s="17">
        <f t="shared" si="61"/>
        <v>2021</v>
      </c>
      <c r="M89" s="18">
        <f t="shared" si="62"/>
        <v>0</v>
      </c>
      <c r="N89" s="18">
        <f t="shared" si="63"/>
        <v>1281</v>
      </c>
      <c r="O89" s="18">
        <f t="shared" si="64"/>
        <v>1281</v>
      </c>
      <c r="P89" s="18">
        <f t="shared" si="65"/>
        <v>0</v>
      </c>
      <c r="Q89">
        <v>0</v>
      </c>
      <c r="R89" s="19">
        <f t="shared" si="72"/>
        <v>1281</v>
      </c>
      <c r="S89" s="19">
        <f>H89-R89</f>
        <v>0</v>
      </c>
      <c r="U89" s="19">
        <f t="shared" si="66"/>
        <v>1281</v>
      </c>
      <c r="V89" s="19">
        <f t="shared" si="67"/>
        <v>0</v>
      </c>
      <c r="W89" s="10"/>
      <c r="X89" s="19">
        <f t="shared" si="73"/>
        <v>1281</v>
      </c>
      <c r="Y89" s="19">
        <f t="shared" si="68"/>
        <v>0</v>
      </c>
    </row>
    <row r="90" spans="1:32">
      <c r="A90" s="20">
        <v>42726</v>
      </c>
      <c r="B90">
        <v>2016</v>
      </c>
      <c r="C90" t="s">
        <v>79</v>
      </c>
      <c r="D90" s="5" t="s">
        <v>6</v>
      </c>
      <c r="E90" s="18">
        <v>908</v>
      </c>
      <c r="F90" s="18"/>
      <c r="G90" s="135">
        <f t="shared" si="58"/>
        <v>2016</v>
      </c>
      <c r="H90" s="15">
        <f t="shared" si="71"/>
        <v>908</v>
      </c>
      <c r="I90" s="1" t="s">
        <v>46</v>
      </c>
      <c r="J90" s="1">
        <v>5</v>
      </c>
      <c r="K90" s="15">
        <f t="shared" si="60"/>
        <v>181.6</v>
      </c>
      <c r="L90" s="17">
        <f t="shared" si="61"/>
        <v>2021</v>
      </c>
      <c r="M90" s="18">
        <f t="shared" si="62"/>
        <v>0</v>
      </c>
      <c r="N90" s="18">
        <f t="shared" si="63"/>
        <v>908</v>
      </c>
      <c r="O90" s="18">
        <f t="shared" si="64"/>
        <v>908</v>
      </c>
      <c r="P90" s="18">
        <f t="shared" si="65"/>
        <v>0</v>
      </c>
      <c r="Q90">
        <v>0</v>
      </c>
      <c r="R90" s="19">
        <f t="shared" si="72"/>
        <v>908</v>
      </c>
      <c r="S90" s="19">
        <f>H90-R90</f>
        <v>0</v>
      </c>
      <c r="U90" s="19">
        <f t="shared" si="66"/>
        <v>908</v>
      </c>
      <c r="V90" s="19">
        <f t="shared" si="67"/>
        <v>0</v>
      </c>
      <c r="X90" s="19">
        <f t="shared" si="73"/>
        <v>908</v>
      </c>
      <c r="Y90" s="19">
        <f t="shared" si="68"/>
        <v>0</v>
      </c>
    </row>
    <row r="91" spans="1:32">
      <c r="A91" s="37">
        <v>42854</v>
      </c>
      <c r="B91">
        <v>2017</v>
      </c>
      <c r="C91" t="s">
        <v>80</v>
      </c>
      <c r="D91" s="5" t="s">
        <v>6</v>
      </c>
      <c r="E91" s="18">
        <v>378</v>
      </c>
      <c r="F91" s="18"/>
      <c r="G91" s="135">
        <f t="shared" si="58"/>
        <v>2017</v>
      </c>
      <c r="H91" s="15">
        <f t="shared" si="71"/>
        <v>378</v>
      </c>
      <c r="I91" s="1" t="s">
        <v>46</v>
      </c>
      <c r="J91" s="1">
        <v>5</v>
      </c>
      <c r="K91" s="15">
        <f t="shared" si="60"/>
        <v>75.599999999999994</v>
      </c>
      <c r="L91" s="17">
        <f t="shared" si="61"/>
        <v>2022</v>
      </c>
      <c r="M91" s="134">
        <f>K91</f>
        <v>75.599999999999994</v>
      </c>
      <c r="N91" s="134">
        <f>(M91*2)</f>
        <v>151.19999999999999</v>
      </c>
      <c r="O91" s="134">
        <f t="shared" ref="O91:O94" si="74">M91+N91</f>
        <v>226.79999999999998</v>
      </c>
      <c r="P91" s="134">
        <f t="shared" si="65"/>
        <v>151.20000000000002</v>
      </c>
      <c r="Q91" s="139">
        <f>K91</f>
        <v>75.599999999999994</v>
      </c>
      <c r="R91" s="139">
        <f t="shared" si="72"/>
        <v>302.39999999999998</v>
      </c>
      <c r="S91" s="139">
        <v>76</v>
      </c>
      <c r="T91" s="139">
        <f>K91</f>
        <v>75.599999999999994</v>
      </c>
      <c r="U91" s="139">
        <f t="shared" si="66"/>
        <v>378</v>
      </c>
      <c r="V91" s="139">
        <f t="shared" si="67"/>
        <v>0</v>
      </c>
      <c r="W91" s="132"/>
      <c r="X91" s="139">
        <f t="shared" si="73"/>
        <v>378</v>
      </c>
      <c r="Y91" s="139">
        <f t="shared" si="68"/>
        <v>0</v>
      </c>
      <c r="Z91" s="132"/>
    </row>
    <row r="92" spans="1:32">
      <c r="A92" s="37">
        <v>42855</v>
      </c>
      <c r="B92">
        <v>2017</v>
      </c>
      <c r="C92" t="s">
        <v>81</v>
      </c>
      <c r="D92" s="5" t="s">
        <v>6</v>
      </c>
      <c r="E92" s="18">
        <v>962</v>
      </c>
      <c r="F92" s="18"/>
      <c r="G92" s="135">
        <f t="shared" si="58"/>
        <v>2017</v>
      </c>
      <c r="H92" s="15">
        <f t="shared" si="71"/>
        <v>962</v>
      </c>
      <c r="I92" s="1" t="s">
        <v>46</v>
      </c>
      <c r="J92" s="1">
        <v>5</v>
      </c>
      <c r="K92" s="15">
        <f t="shared" si="60"/>
        <v>192.4</v>
      </c>
      <c r="L92" s="17">
        <f t="shared" si="61"/>
        <v>2022</v>
      </c>
      <c r="M92" s="134">
        <f t="shared" ref="M92:M94" si="75">K92</f>
        <v>192.4</v>
      </c>
      <c r="N92" s="134">
        <f t="shared" ref="N92:N94" si="76">(M92*2)</f>
        <v>384.8</v>
      </c>
      <c r="O92" s="134">
        <f t="shared" si="74"/>
        <v>577.20000000000005</v>
      </c>
      <c r="P92" s="134">
        <f t="shared" si="65"/>
        <v>384.79999999999995</v>
      </c>
      <c r="Q92" s="139">
        <f t="shared" ref="Q92:Q93" si="77">K92</f>
        <v>192.4</v>
      </c>
      <c r="R92" s="139">
        <f t="shared" si="72"/>
        <v>769.6</v>
      </c>
      <c r="S92" s="139">
        <v>192</v>
      </c>
      <c r="T92" s="139">
        <f t="shared" ref="T92:T95" si="78">K92</f>
        <v>192.4</v>
      </c>
      <c r="U92" s="139">
        <f t="shared" si="66"/>
        <v>962</v>
      </c>
      <c r="V92" s="139">
        <f t="shared" si="67"/>
        <v>0</v>
      </c>
      <c r="W92" s="132"/>
      <c r="X92" s="139">
        <f t="shared" si="73"/>
        <v>962</v>
      </c>
      <c r="Y92" s="139">
        <f t="shared" si="68"/>
        <v>0</v>
      </c>
      <c r="Z92" s="132"/>
      <c r="AD92" s="10"/>
      <c r="AE92" s="10"/>
      <c r="AF92" s="10"/>
    </row>
    <row r="93" spans="1:32">
      <c r="A93" s="20">
        <v>42948</v>
      </c>
      <c r="B93">
        <v>2017</v>
      </c>
      <c r="C93" t="s">
        <v>82</v>
      </c>
      <c r="D93" s="5" t="s">
        <v>6</v>
      </c>
      <c r="E93" s="18">
        <v>431</v>
      </c>
      <c r="F93" s="18"/>
      <c r="G93" s="135">
        <f t="shared" si="58"/>
        <v>2017</v>
      </c>
      <c r="H93" s="15">
        <f t="shared" si="71"/>
        <v>431</v>
      </c>
      <c r="I93" s="1" t="s">
        <v>46</v>
      </c>
      <c r="J93" s="1">
        <v>5</v>
      </c>
      <c r="K93" s="15">
        <f t="shared" si="60"/>
        <v>86.2</v>
      </c>
      <c r="L93" s="17">
        <f t="shared" si="61"/>
        <v>2022</v>
      </c>
      <c r="M93" s="134">
        <f t="shared" si="75"/>
        <v>86.2</v>
      </c>
      <c r="N93" s="134">
        <f t="shared" si="76"/>
        <v>172.4</v>
      </c>
      <c r="O93" s="134">
        <f t="shared" si="74"/>
        <v>258.60000000000002</v>
      </c>
      <c r="P93" s="134">
        <f t="shared" si="65"/>
        <v>172.39999999999998</v>
      </c>
      <c r="Q93" s="139">
        <f t="shared" si="77"/>
        <v>86.2</v>
      </c>
      <c r="R93" s="139">
        <f t="shared" si="72"/>
        <v>344.8</v>
      </c>
      <c r="S93" s="139">
        <f>H93-R93</f>
        <v>86.199999999999989</v>
      </c>
      <c r="T93" s="139">
        <f t="shared" si="78"/>
        <v>86.2</v>
      </c>
      <c r="U93" s="139">
        <f t="shared" si="66"/>
        <v>431</v>
      </c>
      <c r="V93" s="139">
        <f t="shared" si="67"/>
        <v>0</v>
      </c>
      <c r="W93" s="132"/>
      <c r="X93" s="139">
        <f t="shared" si="73"/>
        <v>431</v>
      </c>
      <c r="Y93" s="139">
        <f t="shared" si="68"/>
        <v>0</v>
      </c>
      <c r="Z93" s="132"/>
    </row>
    <row r="94" spans="1:32">
      <c r="A94" s="20">
        <v>42949</v>
      </c>
      <c r="B94">
        <v>2017</v>
      </c>
      <c r="C94" t="s">
        <v>83</v>
      </c>
      <c r="D94" s="5" t="s">
        <v>16</v>
      </c>
      <c r="E94" s="4">
        <v>973</v>
      </c>
      <c r="F94" s="60"/>
      <c r="G94" s="135">
        <f t="shared" si="58"/>
        <v>2017</v>
      </c>
      <c r="H94" s="3">
        <f t="shared" si="71"/>
        <v>973</v>
      </c>
      <c r="I94" s="1" t="s">
        <v>46</v>
      </c>
      <c r="J94" s="1">
        <v>3</v>
      </c>
      <c r="K94" s="3">
        <f t="shared" si="60"/>
        <v>324.33333333333331</v>
      </c>
      <c r="L94" s="2">
        <f t="shared" si="61"/>
        <v>2020</v>
      </c>
      <c r="M94" s="134">
        <f t="shared" si="75"/>
        <v>324.33333333333331</v>
      </c>
      <c r="N94" s="134">
        <f t="shared" si="76"/>
        <v>648.66666666666663</v>
      </c>
      <c r="O94" s="134">
        <f t="shared" si="74"/>
        <v>973</v>
      </c>
      <c r="P94" s="136">
        <f t="shared" si="65"/>
        <v>0</v>
      </c>
      <c r="Q94" s="139">
        <v>0</v>
      </c>
      <c r="R94" s="139">
        <f t="shared" si="72"/>
        <v>973</v>
      </c>
      <c r="S94" s="139">
        <f>H94-R94</f>
        <v>0</v>
      </c>
      <c r="T94" s="139">
        <v>0</v>
      </c>
      <c r="U94" s="139">
        <f t="shared" si="66"/>
        <v>973</v>
      </c>
      <c r="V94" s="139">
        <f t="shared" si="67"/>
        <v>0</v>
      </c>
      <c r="W94" s="132"/>
      <c r="X94" s="139">
        <f t="shared" si="73"/>
        <v>973</v>
      </c>
      <c r="Y94" s="139">
        <f t="shared" si="68"/>
        <v>0</v>
      </c>
      <c r="Z94" s="132"/>
    </row>
    <row r="95" spans="1:32">
      <c r="A95" s="37">
        <v>44005</v>
      </c>
      <c r="B95" s="1">
        <v>2020</v>
      </c>
      <c r="C95" t="s">
        <v>82</v>
      </c>
      <c r="D95" s="5" t="s">
        <v>6</v>
      </c>
      <c r="E95" s="4">
        <v>640</v>
      </c>
      <c r="G95" s="135">
        <f t="shared" si="58"/>
        <v>2020</v>
      </c>
      <c r="H95" s="3">
        <f t="shared" si="71"/>
        <v>640</v>
      </c>
      <c r="I95" s="1" t="s">
        <v>46</v>
      </c>
      <c r="J95" s="1">
        <v>3</v>
      </c>
      <c r="K95" s="3">
        <f t="shared" si="60"/>
        <v>213.33333333333334</v>
      </c>
      <c r="L95" s="2">
        <f t="shared" si="61"/>
        <v>2023</v>
      </c>
      <c r="M95" s="136"/>
      <c r="N95" s="136"/>
      <c r="O95" s="136"/>
      <c r="P95" s="136"/>
      <c r="Q95" s="139">
        <f>K95</f>
        <v>213.33333333333334</v>
      </c>
      <c r="R95" s="139">
        <f t="shared" si="72"/>
        <v>213.33333333333334</v>
      </c>
      <c r="S95" s="139">
        <f>H95-R95</f>
        <v>426.66666666666663</v>
      </c>
      <c r="T95" s="139">
        <f t="shared" si="78"/>
        <v>213.33333333333334</v>
      </c>
      <c r="U95" s="139">
        <f t="shared" si="66"/>
        <v>426.66666666666669</v>
      </c>
      <c r="V95" s="139">
        <f t="shared" si="67"/>
        <v>213.33333333333331</v>
      </c>
      <c r="W95" s="152">
        <f>K95</f>
        <v>213.33333333333334</v>
      </c>
      <c r="X95" s="139">
        <f t="shared" si="73"/>
        <v>640</v>
      </c>
      <c r="Y95" s="139">
        <f t="shared" si="68"/>
        <v>0</v>
      </c>
      <c r="Z95" s="153">
        <v>0</v>
      </c>
      <c r="AA95" s="10"/>
      <c r="AB95" s="10"/>
      <c r="AC95" s="10"/>
    </row>
    <row r="96" spans="1:32">
      <c r="E96" s="18"/>
    </row>
    <row r="97" spans="1:48">
      <c r="E97" s="18"/>
      <c r="N97" s="1"/>
      <c r="O97" s="1"/>
    </row>
    <row r="98" spans="1:48">
      <c r="E98" s="18"/>
      <c r="AD98" s="10"/>
      <c r="AE98" s="10"/>
      <c r="AF98" s="10"/>
      <c r="AG98" s="10"/>
      <c r="AH98" s="10"/>
    </row>
    <row r="99" spans="1:48">
      <c r="C99" s="38" t="s">
        <v>110</v>
      </c>
      <c r="E99" s="27">
        <f>SUM(E86:E98)</f>
        <v>8682</v>
      </c>
      <c r="F99" s="27">
        <f>SUM(F86:F98)</f>
        <v>0</v>
      </c>
      <c r="G99" s="27"/>
      <c r="H99" s="27">
        <f>SUM(H86:H98)</f>
        <v>8682</v>
      </c>
      <c r="I99" s="27"/>
      <c r="J99" s="27"/>
      <c r="K99" s="27"/>
      <c r="L99" s="27"/>
      <c r="M99" s="27">
        <f t="shared" ref="M99:T99" si="79">SUM(M86:M98)</f>
        <v>678.5333333333333</v>
      </c>
      <c r="N99" s="27">
        <f t="shared" si="79"/>
        <v>6655.0666666666666</v>
      </c>
      <c r="O99" s="27">
        <f t="shared" si="79"/>
        <v>7333.6</v>
      </c>
      <c r="P99" s="27">
        <f t="shared" si="79"/>
        <v>708.4</v>
      </c>
      <c r="Q99" s="27">
        <f t="shared" si="79"/>
        <v>567.5333333333333</v>
      </c>
      <c r="R99" s="27">
        <f t="shared" si="79"/>
        <v>7901.1333333333332</v>
      </c>
      <c r="S99" s="27">
        <f t="shared" si="79"/>
        <v>780.86666666666656</v>
      </c>
      <c r="T99" s="27">
        <f t="shared" si="79"/>
        <v>567.5333333333333</v>
      </c>
      <c r="U99" s="24">
        <f>SUM(U86:U95)</f>
        <v>8468.6666666666661</v>
      </c>
      <c r="V99" s="24">
        <f>SUM(V91:V95)</f>
        <v>213.33333333333331</v>
      </c>
      <c r="W99" s="24">
        <f>SUM(W95)</f>
        <v>213.33333333333334</v>
      </c>
      <c r="X99" s="27">
        <f>SUM(X86:X98)</f>
        <v>8682</v>
      </c>
      <c r="Y99" s="24">
        <f>SUM(Y86:Y95)</f>
        <v>0</v>
      </c>
      <c r="Z99" s="27">
        <f>SUM(Z85:Z98)</f>
        <v>0</v>
      </c>
    </row>
    <row r="101" spans="1:48">
      <c r="Z101" s="10"/>
      <c r="AA101" s="10"/>
      <c r="AB101" s="10"/>
      <c r="AC101" s="10"/>
    </row>
    <row r="104" spans="1:48"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10"/>
      <c r="AT104" s="10"/>
      <c r="AU104" s="10"/>
      <c r="AV104" s="10"/>
    </row>
    <row r="106" spans="1:48">
      <c r="A106" s="39">
        <v>43845</v>
      </c>
      <c r="B106" s="10">
        <v>2020</v>
      </c>
      <c r="C106" s="10" t="s">
        <v>96</v>
      </c>
      <c r="D106" s="10" t="s">
        <v>16</v>
      </c>
      <c r="E106" s="10">
        <v>4500</v>
      </c>
      <c r="F106" s="10"/>
      <c r="G106" s="10">
        <v>2020</v>
      </c>
      <c r="H106" s="10">
        <v>4500</v>
      </c>
      <c r="I106" s="10" t="s">
        <v>46</v>
      </c>
      <c r="J106" s="10">
        <v>10</v>
      </c>
      <c r="K106" s="10">
        <f>H106/10</f>
        <v>450</v>
      </c>
      <c r="L106" s="10"/>
      <c r="M106" s="10"/>
      <c r="N106" s="10"/>
      <c r="O106" s="10"/>
      <c r="P106" s="10"/>
      <c r="Q106" s="10">
        <v>450</v>
      </c>
      <c r="R106" s="10">
        <f>O106+Q106</f>
        <v>450</v>
      </c>
      <c r="S106" s="10">
        <f>H106-R106</f>
        <v>4050</v>
      </c>
      <c r="T106" s="10">
        <v>450</v>
      </c>
      <c r="U106" s="10">
        <f>R106+T106</f>
        <v>900</v>
      </c>
      <c r="V106" s="10">
        <f>H106-U106</f>
        <v>3600</v>
      </c>
      <c r="W106" s="10">
        <v>450</v>
      </c>
      <c r="X106" s="10">
        <f>U106+W106</f>
        <v>1350</v>
      </c>
      <c r="Y106" s="10">
        <f>H106-X106</f>
        <v>3150</v>
      </c>
      <c r="Z106" s="10">
        <v>450</v>
      </c>
    </row>
    <row r="107" spans="1:48">
      <c r="Z107" s="27"/>
      <c r="AA107" s="27"/>
      <c r="AB107" s="27"/>
      <c r="AC107" s="27"/>
    </row>
    <row r="110" spans="1:48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R110" s="11">
        <v>2020</v>
      </c>
      <c r="S110" s="11">
        <v>2020</v>
      </c>
      <c r="T110" s="11">
        <v>2021</v>
      </c>
      <c r="U110" s="11">
        <v>2021</v>
      </c>
      <c r="V110" s="11">
        <v>2021</v>
      </c>
      <c r="W110" s="11">
        <v>2022</v>
      </c>
    </row>
    <row r="111" spans="1:48">
      <c r="A111" s="10" t="s">
        <v>84</v>
      </c>
      <c r="B111" s="1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1">
        <v>2020</v>
      </c>
      <c r="R111" s="11" t="s">
        <v>87</v>
      </c>
      <c r="S111" s="11" t="s">
        <v>13</v>
      </c>
      <c r="T111" s="11"/>
      <c r="U111" s="11" t="s">
        <v>86</v>
      </c>
      <c r="V111" s="11" t="s">
        <v>13</v>
      </c>
      <c r="W111" s="11"/>
    </row>
    <row r="112" spans="1:48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1" t="s">
        <v>3</v>
      </c>
      <c r="R112" s="11" t="s">
        <v>3</v>
      </c>
      <c r="S112" s="11" t="s">
        <v>24</v>
      </c>
      <c r="T112" s="11" t="s">
        <v>3</v>
      </c>
      <c r="U112" s="11" t="s">
        <v>3</v>
      </c>
      <c r="V112" s="11" t="s">
        <v>24</v>
      </c>
      <c r="W112" s="11" t="s">
        <v>3</v>
      </c>
    </row>
    <row r="113" spans="1:26" ht="16.2">
      <c r="A113" s="40">
        <v>43800</v>
      </c>
      <c r="B113" s="10">
        <v>2019</v>
      </c>
      <c r="C113" s="10" t="s">
        <v>85</v>
      </c>
      <c r="D113" s="10"/>
      <c r="E113" s="23">
        <v>4109</v>
      </c>
      <c r="F113" s="27"/>
      <c r="G113" s="135">
        <f t="shared" ref="G113" si="80">L113-J113</f>
        <v>2019</v>
      </c>
      <c r="H113" s="23">
        <f>E113-F113</f>
        <v>4109</v>
      </c>
      <c r="I113" s="27" t="s">
        <v>46</v>
      </c>
      <c r="J113" s="27">
        <v>3</v>
      </c>
      <c r="K113" s="30">
        <f>H113/J113</f>
        <v>1369.6666666666667</v>
      </c>
      <c r="L113" s="328">
        <f>B113+J113</f>
        <v>2022</v>
      </c>
      <c r="M113" s="41">
        <f>K113</f>
        <v>1369.6666666666667</v>
      </c>
      <c r="N113" s="134">
        <v>0</v>
      </c>
      <c r="O113" s="134">
        <f t="shared" ref="O113" si="81">M113+N113</f>
        <v>1369.6666666666667</v>
      </c>
      <c r="P113" s="329">
        <f>E113-O113</f>
        <v>2739.333333333333</v>
      </c>
      <c r="Q113" s="330">
        <f>K113</f>
        <v>1369.6666666666667</v>
      </c>
      <c r="R113" s="139">
        <f t="shared" ref="R113" si="82">O113+Q113</f>
        <v>2739.3333333333335</v>
      </c>
      <c r="S113" s="139">
        <f>H113-R113</f>
        <v>1369.6666666666665</v>
      </c>
      <c r="T113" s="330">
        <f>K113</f>
        <v>1369.6666666666667</v>
      </c>
      <c r="U113" s="139">
        <f>R113+T113</f>
        <v>4109</v>
      </c>
      <c r="V113" s="139">
        <f>H113-U113</f>
        <v>0</v>
      </c>
      <c r="W113" s="132">
        <v>0</v>
      </c>
      <c r="X113" s="139">
        <f>U113+W113</f>
        <v>4109</v>
      </c>
      <c r="Y113" s="19">
        <f>H113-X113</f>
        <v>0</v>
      </c>
      <c r="Z113">
        <v>0</v>
      </c>
    </row>
    <row r="115" spans="1:26">
      <c r="A115" s="10" t="s">
        <v>111</v>
      </c>
      <c r="E115" s="24">
        <f>E31+E80+E99+E106+E113</f>
        <v>673243.31</v>
      </c>
      <c r="F115" s="24"/>
      <c r="G115" s="24"/>
      <c r="H115" s="24">
        <f>H31+H80+H99+H106+H113</f>
        <v>673243.31</v>
      </c>
      <c r="I115" s="24" t="e">
        <f>I113+I99+I139+I78+I66+H31+I106</f>
        <v>#VALUE!</v>
      </c>
      <c r="J115" s="24">
        <f>J113+J99+J139+J78+J66+I31+J106</f>
        <v>18</v>
      </c>
      <c r="K115" s="24"/>
      <c r="L115" s="24"/>
      <c r="M115" s="24">
        <f t="shared" ref="M115:U115" si="83">M113+M99+M139+M78+M66+L31+M106</f>
        <v>13391.869333333332</v>
      </c>
      <c r="N115" s="24">
        <f t="shared" si="83"/>
        <v>64057.066666666666</v>
      </c>
      <c r="O115" s="24">
        <f t="shared" si="83"/>
        <v>246695.35666666669</v>
      </c>
      <c r="P115" s="24">
        <f t="shared" si="83"/>
        <v>243418.29333333333</v>
      </c>
      <c r="Q115" s="24">
        <f t="shared" si="83"/>
        <v>58897.133333333331</v>
      </c>
      <c r="R115" s="24">
        <f t="shared" si="83"/>
        <v>203872.89</v>
      </c>
      <c r="S115" s="24">
        <f t="shared" si="83"/>
        <v>212147.16</v>
      </c>
      <c r="T115" s="24">
        <f t="shared" si="83"/>
        <v>65717.560888888882</v>
      </c>
      <c r="U115" s="24">
        <f t="shared" si="83"/>
        <v>224915.45088888891</v>
      </c>
      <c r="V115" s="24">
        <f>V31+V80+V95+V106+V113</f>
        <v>129596.88366666666</v>
      </c>
      <c r="W115" s="24">
        <f>W31+W80+W99+W106+W113</f>
        <v>87514.599222222212</v>
      </c>
      <c r="X115" s="24">
        <f>X113+X99+X78+X66+X31+X106</f>
        <v>457669.51677777775</v>
      </c>
      <c r="Y115" s="24">
        <f>Y31+Y80+Y66+Y99+Y106+Y113</f>
        <v>242630.78822222218</v>
      </c>
      <c r="Z115" s="24">
        <f>Z31+Z80+Z66+Z99+Z106+Z113</f>
        <v>98940</v>
      </c>
    </row>
    <row r="117" spans="1:26">
      <c r="X117" t="s">
        <v>662</v>
      </c>
    </row>
    <row r="118" spans="1:26">
      <c r="X118" t="s">
        <v>663</v>
      </c>
      <c r="Y118" s="19">
        <f>V115</f>
        <v>129596.88366666666</v>
      </c>
    </row>
    <row r="119" spans="1:26">
      <c r="Y119" s="19">
        <f>Y115+Y118</f>
        <v>372227.67188888881</v>
      </c>
    </row>
    <row r="120" spans="1:26">
      <c r="F120" s="24"/>
      <c r="G120" s="24"/>
      <c r="W120" t="s">
        <v>664</v>
      </c>
      <c r="Y120" s="95">
        <f>Y119/2</f>
        <v>186113.83594444441</v>
      </c>
    </row>
    <row r="122" spans="1:26">
      <c r="U122" s="11">
        <v>2022</v>
      </c>
      <c r="V122" s="54">
        <v>2022</v>
      </c>
      <c r="W122" s="11"/>
    </row>
    <row r="123" spans="1:26">
      <c r="U123" s="11" t="s">
        <v>86</v>
      </c>
      <c r="V123" s="55" t="s">
        <v>13</v>
      </c>
      <c r="W123" s="11"/>
      <c r="X123" s="11" t="s">
        <v>349</v>
      </c>
    </row>
    <row r="124" spans="1:26">
      <c r="U124" s="11" t="s">
        <v>3</v>
      </c>
      <c r="V124" s="55" t="s">
        <v>24</v>
      </c>
      <c r="W124" s="11"/>
      <c r="X124" s="11" t="s">
        <v>350</v>
      </c>
      <c r="Y124" s="11" t="s">
        <v>351</v>
      </c>
    </row>
    <row r="126" spans="1:26">
      <c r="A126" s="10" t="s">
        <v>102</v>
      </c>
      <c r="C126">
        <v>2022</v>
      </c>
    </row>
    <row r="128" spans="1:26">
      <c r="A128" s="13">
        <v>38231</v>
      </c>
      <c r="B128" s="14">
        <v>2004</v>
      </c>
      <c r="C128" t="s">
        <v>26</v>
      </c>
      <c r="D128" s="8" t="s">
        <v>16</v>
      </c>
      <c r="E128" s="15">
        <v>4067</v>
      </c>
      <c r="F128" s="15">
        <v>1342</v>
      </c>
      <c r="G128" s="15"/>
      <c r="H128" s="15">
        <f>E128-F128</f>
        <v>2725</v>
      </c>
      <c r="I128" s="1" t="s">
        <v>27</v>
      </c>
      <c r="J128" s="16">
        <v>5</v>
      </c>
      <c r="K128" s="15">
        <f t="shared" ref="K128:K133" si="84">H128/J128</f>
        <v>545</v>
      </c>
      <c r="L128" s="17">
        <f t="shared" ref="L128:L133" si="85">B128+J128</f>
        <v>2009</v>
      </c>
      <c r="M128" s="18">
        <f t="shared" ref="M128:M133" si="86">IF($H$3&gt;=L128,0,K128)</f>
        <v>0</v>
      </c>
      <c r="N128" s="18">
        <f t="shared" ref="N128:N133" si="87">IF(($H$3-B128)*K128&gt;H128,H128,($H$3-B128)*K128)</f>
        <v>2725</v>
      </c>
      <c r="O128" s="18">
        <f t="shared" ref="O128:O133" si="88">IF(($H$4-B128)*K128&gt;H128,H128,($H$4-B128)*K128)</f>
        <v>2725</v>
      </c>
      <c r="P128" s="18">
        <v>0</v>
      </c>
      <c r="Q128">
        <v>0</v>
      </c>
      <c r="R128" s="19">
        <f t="shared" ref="R128:R133" si="89">O128+Q128</f>
        <v>2725</v>
      </c>
      <c r="S128" s="19">
        <f t="shared" ref="S128:S133" si="90">P128-Q128</f>
        <v>0</v>
      </c>
      <c r="U128" s="19">
        <f t="shared" ref="U128:U133" si="91">R128+T128</f>
        <v>2725</v>
      </c>
      <c r="V128" s="19">
        <f t="shared" ref="V128:V133" si="92">H128-U128</f>
        <v>0</v>
      </c>
      <c r="W128" s="19">
        <f t="shared" ref="W128:W133" si="93">H128-U128</f>
        <v>0</v>
      </c>
    </row>
    <row r="129" spans="1:25">
      <c r="A129" s="13"/>
      <c r="B129" s="14">
        <v>2019</v>
      </c>
      <c r="C129" t="s">
        <v>28</v>
      </c>
      <c r="D129" s="8"/>
      <c r="E129" s="15"/>
      <c r="F129" s="15"/>
      <c r="G129" s="15"/>
      <c r="H129" s="15">
        <v>1342</v>
      </c>
      <c r="I129" s="1" t="s">
        <v>27</v>
      </c>
      <c r="J129" s="16">
        <v>3</v>
      </c>
      <c r="K129" s="15">
        <f t="shared" si="84"/>
        <v>447.33333333333331</v>
      </c>
      <c r="L129" s="17">
        <f t="shared" si="85"/>
        <v>2022</v>
      </c>
      <c r="M129" s="18">
        <f t="shared" si="86"/>
        <v>0</v>
      </c>
      <c r="N129" s="18">
        <f t="shared" si="87"/>
        <v>1342</v>
      </c>
      <c r="O129" s="18">
        <f t="shared" si="88"/>
        <v>1342</v>
      </c>
      <c r="P129" s="18">
        <f>H129-O129</f>
        <v>0</v>
      </c>
      <c r="Q129">
        <v>447</v>
      </c>
      <c r="R129" s="19">
        <f t="shared" si="89"/>
        <v>1789</v>
      </c>
      <c r="S129" s="19">
        <f t="shared" si="90"/>
        <v>-447</v>
      </c>
      <c r="T129">
        <v>448</v>
      </c>
      <c r="U129" s="19">
        <f t="shared" si="91"/>
        <v>2237</v>
      </c>
      <c r="V129" s="19">
        <f t="shared" si="92"/>
        <v>-895</v>
      </c>
      <c r="W129" s="19">
        <f t="shared" si="93"/>
        <v>-895</v>
      </c>
    </row>
    <row r="130" spans="1:25">
      <c r="A130" s="13">
        <v>38139</v>
      </c>
      <c r="B130" s="14">
        <v>2004</v>
      </c>
      <c r="C130" t="s">
        <v>29</v>
      </c>
      <c r="D130" s="8" t="s">
        <v>16</v>
      </c>
      <c r="E130" s="15">
        <v>11825</v>
      </c>
      <c r="F130" s="15">
        <v>3902</v>
      </c>
      <c r="G130" s="15"/>
      <c r="H130" s="15">
        <f>E130-F130</f>
        <v>7923</v>
      </c>
      <c r="I130" s="1" t="s">
        <v>27</v>
      </c>
      <c r="J130" s="16">
        <v>5</v>
      </c>
      <c r="K130" s="15">
        <f t="shared" si="84"/>
        <v>1584.6</v>
      </c>
      <c r="L130" s="17">
        <f t="shared" si="85"/>
        <v>2009</v>
      </c>
      <c r="M130" s="18">
        <f t="shared" si="86"/>
        <v>0</v>
      </c>
      <c r="N130" s="18">
        <f t="shared" si="87"/>
        <v>7923</v>
      </c>
      <c r="O130" s="18">
        <f t="shared" si="88"/>
        <v>7923</v>
      </c>
      <c r="P130" s="18">
        <v>0</v>
      </c>
      <c r="Q130">
        <v>0</v>
      </c>
      <c r="R130" s="19">
        <f t="shared" si="89"/>
        <v>7923</v>
      </c>
      <c r="S130" s="19">
        <f t="shared" si="90"/>
        <v>0</v>
      </c>
      <c r="U130" s="19">
        <f t="shared" si="91"/>
        <v>7923</v>
      </c>
      <c r="V130" s="19">
        <f t="shared" si="92"/>
        <v>0</v>
      </c>
      <c r="W130" s="19">
        <f t="shared" si="93"/>
        <v>0</v>
      </c>
    </row>
    <row r="131" spans="1:25">
      <c r="A131" s="13"/>
      <c r="B131" s="14">
        <v>2019</v>
      </c>
      <c r="C131" t="s">
        <v>30</v>
      </c>
      <c r="D131" s="8"/>
      <c r="E131" s="15"/>
      <c r="F131" s="15"/>
      <c r="G131" s="15"/>
      <c r="H131" s="15">
        <v>3902</v>
      </c>
      <c r="I131" s="1" t="s">
        <v>27</v>
      </c>
      <c r="J131" s="16">
        <v>3</v>
      </c>
      <c r="K131" s="15">
        <f t="shared" si="84"/>
        <v>1300.6666666666667</v>
      </c>
      <c r="L131" s="17">
        <f t="shared" si="85"/>
        <v>2022</v>
      </c>
      <c r="M131" s="18">
        <f t="shared" si="86"/>
        <v>0</v>
      </c>
      <c r="N131" s="18">
        <f t="shared" si="87"/>
        <v>3902</v>
      </c>
      <c r="O131" s="18">
        <f t="shared" si="88"/>
        <v>3902</v>
      </c>
      <c r="P131" s="18">
        <f>H131-O131</f>
        <v>0</v>
      </c>
      <c r="Q131">
        <v>1301</v>
      </c>
      <c r="R131" s="19">
        <f t="shared" si="89"/>
        <v>5203</v>
      </c>
      <c r="S131" s="19">
        <f t="shared" si="90"/>
        <v>-1301</v>
      </c>
      <c r="T131">
        <v>1300</v>
      </c>
      <c r="U131" s="19">
        <f t="shared" si="91"/>
        <v>6503</v>
      </c>
      <c r="V131" s="19">
        <f t="shared" si="92"/>
        <v>-2601</v>
      </c>
      <c r="W131" s="19">
        <f t="shared" si="93"/>
        <v>-2601</v>
      </c>
    </row>
    <row r="132" spans="1:25">
      <c r="A132" s="20">
        <v>38991</v>
      </c>
      <c r="B132" s="14">
        <v>2006</v>
      </c>
      <c r="C132" t="s">
        <v>31</v>
      </c>
      <c r="D132" s="8" t="s">
        <v>16</v>
      </c>
      <c r="E132" s="15">
        <v>5296</v>
      </c>
      <c r="F132" s="18"/>
      <c r="G132" s="18"/>
      <c r="H132" s="15">
        <f>E132-F132</f>
        <v>5296</v>
      </c>
      <c r="I132" s="1" t="s">
        <v>27</v>
      </c>
      <c r="J132" s="16">
        <v>3</v>
      </c>
      <c r="K132" s="15">
        <f t="shared" si="84"/>
        <v>1765.3333333333333</v>
      </c>
      <c r="L132" s="17">
        <f t="shared" si="85"/>
        <v>2009</v>
      </c>
      <c r="M132" s="18">
        <f t="shared" si="86"/>
        <v>0</v>
      </c>
      <c r="N132" s="18">
        <f t="shared" si="87"/>
        <v>5296</v>
      </c>
      <c r="O132" s="18">
        <f t="shared" si="88"/>
        <v>5296</v>
      </c>
      <c r="P132" s="18">
        <f>E132-O132</f>
        <v>0</v>
      </c>
      <c r="Q132">
        <v>0</v>
      </c>
      <c r="R132" s="19">
        <f t="shared" si="89"/>
        <v>5296</v>
      </c>
      <c r="S132" s="19">
        <f t="shared" si="90"/>
        <v>0</v>
      </c>
      <c r="U132" s="19">
        <f t="shared" si="91"/>
        <v>5296</v>
      </c>
      <c r="V132" s="19">
        <f t="shared" si="92"/>
        <v>0</v>
      </c>
      <c r="W132" s="19">
        <f t="shared" si="93"/>
        <v>0</v>
      </c>
      <c r="Y132" s="19"/>
    </row>
    <row r="133" spans="1:25">
      <c r="A133" s="13">
        <v>42081</v>
      </c>
      <c r="B133" s="14">
        <v>2015</v>
      </c>
      <c r="C133" t="s">
        <v>34</v>
      </c>
      <c r="D133" s="8" t="s">
        <v>6</v>
      </c>
      <c r="E133" s="15">
        <v>3728</v>
      </c>
      <c r="F133" s="18"/>
      <c r="G133" s="18"/>
      <c r="H133" s="15">
        <f>E133-F133</f>
        <v>3728</v>
      </c>
      <c r="I133" s="1" t="s">
        <v>27</v>
      </c>
      <c r="J133" s="16">
        <v>3</v>
      </c>
      <c r="K133" s="15">
        <f t="shared" si="84"/>
        <v>1242.6666666666667</v>
      </c>
      <c r="L133" s="17">
        <f t="shared" si="85"/>
        <v>2018</v>
      </c>
      <c r="M133" s="18">
        <f t="shared" si="86"/>
        <v>0</v>
      </c>
      <c r="N133" s="18">
        <f t="shared" si="87"/>
        <v>3728</v>
      </c>
      <c r="O133" s="18">
        <f t="shared" si="88"/>
        <v>3728</v>
      </c>
      <c r="P133" s="18">
        <f>E133-O133</f>
        <v>0</v>
      </c>
      <c r="Q133">
        <v>0</v>
      </c>
      <c r="R133" s="19">
        <f t="shared" si="89"/>
        <v>3728</v>
      </c>
      <c r="S133" s="19">
        <f t="shared" si="90"/>
        <v>0</v>
      </c>
      <c r="U133" s="19">
        <f t="shared" si="91"/>
        <v>3728</v>
      </c>
      <c r="V133" s="19">
        <f t="shared" si="92"/>
        <v>0</v>
      </c>
      <c r="W133" s="19">
        <f t="shared" si="93"/>
        <v>0</v>
      </c>
    </row>
    <row r="135" spans="1:25">
      <c r="E135" s="19">
        <f>SUM(E128:E134)</f>
        <v>24916</v>
      </c>
      <c r="F135" s="19">
        <f>SUM(F128:F134)</f>
        <v>5244</v>
      </c>
      <c r="G135" s="19"/>
      <c r="H135" s="19">
        <f>SUM(H128:H134)</f>
        <v>24916</v>
      </c>
      <c r="R135" s="19">
        <f t="shared" ref="R135:W135" si="94">SUM(R128:R134)</f>
        <v>26664</v>
      </c>
      <c r="S135" s="19">
        <f t="shared" si="94"/>
        <v>-1748</v>
      </c>
      <c r="T135" s="19">
        <f t="shared" si="94"/>
        <v>1748</v>
      </c>
      <c r="U135" s="19">
        <f t="shared" si="94"/>
        <v>28412</v>
      </c>
      <c r="V135" s="19">
        <f t="shared" si="94"/>
        <v>-3496</v>
      </c>
      <c r="W135" s="19">
        <f t="shared" si="94"/>
        <v>-3496</v>
      </c>
      <c r="X135" s="19">
        <v>19607</v>
      </c>
      <c r="Y135" s="19">
        <f>V135-X135</f>
        <v>-23103</v>
      </c>
    </row>
    <row r="136" spans="1:25">
      <c r="Y136" s="19"/>
    </row>
    <row r="138" spans="1:25" ht="15.6">
      <c r="A138" s="10" t="s">
        <v>94</v>
      </c>
      <c r="C138" s="12"/>
      <c r="E138" s="25"/>
      <c r="F138" s="25"/>
      <c r="G138" s="25"/>
      <c r="H138" s="25"/>
      <c r="I138" s="26"/>
      <c r="J138" s="26"/>
      <c r="K138" s="25"/>
      <c r="L138" s="27"/>
      <c r="M138" s="27"/>
      <c r="N138" s="27"/>
      <c r="O138" s="27"/>
      <c r="P138" s="27"/>
      <c r="Q138" s="1"/>
      <c r="R138" s="1"/>
      <c r="S138" s="1"/>
      <c r="T138" s="1"/>
      <c r="U138" s="1"/>
      <c r="V138" s="1"/>
      <c r="W138" s="1"/>
      <c r="X138" s="1"/>
    </row>
    <row r="139" spans="1:25">
      <c r="A139" s="20">
        <v>43952</v>
      </c>
      <c r="B139">
        <v>2020</v>
      </c>
      <c r="C139" t="s">
        <v>95</v>
      </c>
      <c r="D139" t="s">
        <v>16</v>
      </c>
      <c r="E139" s="10">
        <v>3766</v>
      </c>
      <c r="F139" s="10"/>
      <c r="G139" s="135">
        <f t="shared" ref="G139:G147" si="95">L139-J139</f>
        <v>2020</v>
      </c>
      <c r="H139" s="10">
        <v>3766</v>
      </c>
      <c r="I139" s="10" t="s">
        <v>46</v>
      </c>
      <c r="J139" s="10">
        <v>5</v>
      </c>
      <c r="K139" s="27">
        <f>H139/5</f>
        <v>753.2</v>
      </c>
      <c r="L139" s="27">
        <v>2025</v>
      </c>
      <c r="M139" s="27"/>
      <c r="N139" s="27">
        <v>0</v>
      </c>
      <c r="O139" s="27">
        <v>0</v>
      </c>
      <c r="P139" s="27"/>
      <c r="Q139" s="27">
        <f>K139/12*8</f>
        <v>502.13333333333338</v>
      </c>
      <c r="R139" s="27">
        <f>O139+Q139</f>
        <v>502.13333333333338</v>
      </c>
      <c r="S139" s="27">
        <f>H139-R139</f>
        <v>3263.8666666666668</v>
      </c>
      <c r="T139" s="27">
        <v>753</v>
      </c>
      <c r="U139" s="27">
        <f>R139+T139</f>
        <v>1255.1333333333334</v>
      </c>
      <c r="V139" s="27">
        <f>H139-U139</f>
        <v>2510.8666666666668</v>
      </c>
      <c r="W139" s="27"/>
      <c r="X139" s="101">
        <v>6500</v>
      </c>
      <c r="Y139" s="19">
        <f>V139-X139</f>
        <v>-3989.1333333333332</v>
      </c>
    </row>
    <row r="140" spans="1:25">
      <c r="G140" s="17"/>
      <c r="Y140" s="19">
        <f t="shared" ref="Y140:Y144" si="96">H143-X143</f>
        <v>0</v>
      </c>
    </row>
    <row r="141" spans="1:25">
      <c r="G141" s="17"/>
      <c r="Y141" s="19">
        <f t="shared" si="96"/>
        <v>0</v>
      </c>
    </row>
    <row r="142" spans="1:25">
      <c r="A142" s="20">
        <v>41487</v>
      </c>
      <c r="B142">
        <v>2013</v>
      </c>
      <c r="C142" t="s">
        <v>71</v>
      </c>
      <c r="D142" s="5" t="s">
        <v>6</v>
      </c>
      <c r="E142" s="15">
        <v>1398</v>
      </c>
      <c r="F142" s="18"/>
      <c r="G142" s="135">
        <f t="shared" si="95"/>
        <v>2013</v>
      </c>
      <c r="H142" s="15">
        <f t="shared" ref="H142:H147" si="97">E142-F142</f>
        <v>1398</v>
      </c>
      <c r="I142" s="1" t="s">
        <v>46</v>
      </c>
      <c r="J142" s="1">
        <v>3</v>
      </c>
      <c r="K142" s="15">
        <f>H142/J142</f>
        <v>466</v>
      </c>
      <c r="L142" s="17">
        <f>B142+J142</f>
        <v>2016</v>
      </c>
      <c r="M142" s="18">
        <f t="shared" ref="M142:M147" si="98">IF($H$3&gt;=L142,0,K142)</f>
        <v>0</v>
      </c>
      <c r="N142" s="18">
        <f t="shared" ref="N142:N147" si="99">IF(($H$3-B142)*K142&gt;H142,H142,($H$3-B142)*K142)</f>
        <v>1398</v>
      </c>
      <c r="O142" s="18">
        <f t="shared" ref="O142:O147" si="100">IF(($H$4-B142)*K142&gt;H142,H142,($H$4-B142)*K142)</f>
        <v>1398</v>
      </c>
      <c r="P142" s="18">
        <f t="shared" ref="P142:P147" si="101">E142-O142</f>
        <v>0</v>
      </c>
      <c r="Q142">
        <v>0</v>
      </c>
      <c r="R142" s="19">
        <f t="shared" ref="R142:R147" si="102">O142+Q142</f>
        <v>1398</v>
      </c>
      <c r="S142" s="19">
        <f t="shared" ref="S142:S147" si="103">H142-R142</f>
        <v>0</v>
      </c>
      <c r="U142" s="19">
        <f t="shared" ref="U142:U147" si="104">R142+T142</f>
        <v>1398</v>
      </c>
      <c r="V142" s="19">
        <f t="shared" ref="V142:V147" si="105">H142-U142</f>
        <v>0</v>
      </c>
      <c r="X142" s="19">
        <f t="shared" ref="X142:X147" si="106">U142+W142</f>
        <v>1398</v>
      </c>
      <c r="Y142" s="19">
        <f t="shared" si="96"/>
        <v>0</v>
      </c>
    </row>
    <row r="143" spans="1:25">
      <c r="A143" s="20">
        <v>41518</v>
      </c>
      <c r="B143">
        <v>2013</v>
      </c>
      <c r="C143" t="s">
        <v>72</v>
      </c>
      <c r="D143" s="5" t="s">
        <v>16</v>
      </c>
      <c r="E143" s="15">
        <v>618</v>
      </c>
      <c r="F143" s="18"/>
      <c r="G143" s="135">
        <f t="shared" si="95"/>
        <v>2013</v>
      </c>
      <c r="H143" s="15">
        <f t="shared" si="97"/>
        <v>618</v>
      </c>
      <c r="I143" s="1" t="s">
        <v>46</v>
      </c>
      <c r="J143" s="1">
        <v>3</v>
      </c>
      <c r="K143" s="15">
        <f>H143/J143</f>
        <v>206</v>
      </c>
      <c r="L143" s="17">
        <f>B143+J143</f>
        <v>2016</v>
      </c>
      <c r="M143" s="18">
        <f t="shared" si="98"/>
        <v>0</v>
      </c>
      <c r="N143" s="18">
        <f t="shared" si="99"/>
        <v>618</v>
      </c>
      <c r="O143" s="18">
        <f t="shared" si="100"/>
        <v>618</v>
      </c>
      <c r="P143" s="18">
        <f t="shared" si="101"/>
        <v>0</v>
      </c>
      <c r="Q143">
        <v>0</v>
      </c>
      <c r="R143" s="19">
        <f t="shared" si="102"/>
        <v>618</v>
      </c>
      <c r="S143" s="19">
        <f t="shared" si="103"/>
        <v>0</v>
      </c>
      <c r="U143" s="19">
        <f t="shared" si="104"/>
        <v>618</v>
      </c>
      <c r="V143" s="19">
        <f t="shared" si="105"/>
        <v>0</v>
      </c>
      <c r="W143" s="10"/>
      <c r="X143" s="19">
        <f t="shared" si="106"/>
        <v>618</v>
      </c>
      <c r="Y143" s="19">
        <f t="shared" si="96"/>
        <v>0</v>
      </c>
    </row>
    <row r="144" spans="1:25">
      <c r="A144" s="20">
        <v>41900</v>
      </c>
      <c r="B144">
        <v>2014</v>
      </c>
      <c r="C144" t="s">
        <v>73</v>
      </c>
      <c r="D144" s="5" t="s">
        <v>6</v>
      </c>
      <c r="E144" s="15">
        <v>222</v>
      </c>
      <c r="F144" s="18"/>
      <c r="G144" s="135">
        <f t="shared" si="95"/>
        <v>2014</v>
      </c>
      <c r="H144" s="15">
        <f t="shared" si="97"/>
        <v>222</v>
      </c>
      <c r="I144" s="1" t="s">
        <v>46</v>
      </c>
      <c r="J144" s="1">
        <v>3</v>
      </c>
      <c r="K144" s="15">
        <f>H144/J144</f>
        <v>74</v>
      </c>
      <c r="L144" s="17">
        <f>B144+J144</f>
        <v>2017</v>
      </c>
      <c r="M144" s="18">
        <f t="shared" si="98"/>
        <v>0</v>
      </c>
      <c r="N144" s="18">
        <f t="shared" si="99"/>
        <v>222</v>
      </c>
      <c r="O144" s="18">
        <f t="shared" si="100"/>
        <v>222</v>
      </c>
      <c r="P144" s="18">
        <f t="shared" si="101"/>
        <v>0</v>
      </c>
      <c r="Q144">
        <v>0</v>
      </c>
      <c r="R144" s="19">
        <f t="shared" si="102"/>
        <v>222</v>
      </c>
      <c r="S144" s="19">
        <f t="shared" si="103"/>
        <v>0</v>
      </c>
      <c r="U144" s="19">
        <f t="shared" si="104"/>
        <v>222</v>
      </c>
      <c r="V144" s="19">
        <f t="shared" si="105"/>
        <v>0</v>
      </c>
      <c r="X144" s="19">
        <f t="shared" si="106"/>
        <v>222</v>
      </c>
      <c r="Y144" s="19">
        <f t="shared" si="96"/>
        <v>0</v>
      </c>
    </row>
    <row r="145" spans="1:25">
      <c r="A145" s="20">
        <v>37803</v>
      </c>
      <c r="B145">
        <v>2003</v>
      </c>
      <c r="C145" t="s">
        <v>74</v>
      </c>
      <c r="E145" s="18"/>
      <c r="F145" s="18"/>
      <c r="G145" s="135">
        <f t="shared" si="95"/>
        <v>0</v>
      </c>
      <c r="H145" s="15">
        <f t="shared" si="97"/>
        <v>0</v>
      </c>
      <c r="I145" s="1"/>
      <c r="J145" s="1"/>
      <c r="K145" s="15"/>
      <c r="L145" s="17"/>
      <c r="M145" s="18">
        <f t="shared" si="98"/>
        <v>0</v>
      </c>
      <c r="N145" s="18">
        <f t="shared" si="99"/>
        <v>0</v>
      </c>
      <c r="O145" s="18">
        <f t="shared" si="100"/>
        <v>0</v>
      </c>
      <c r="P145" s="18">
        <f t="shared" si="101"/>
        <v>0</v>
      </c>
      <c r="Q145">
        <v>0</v>
      </c>
      <c r="R145" s="19">
        <f t="shared" si="102"/>
        <v>0</v>
      </c>
      <c r="S145" s="19">
        <f t="shared" si="103"/>
        <v>0</v>
      </c>
      <c r="U145" s="19">
        <f t="shared" si="104"/>
        <v>0</v>
      </c>
      <c r="V145" s="19">
        <f t="shared" si="105"/>
        <v>0</v>
      </c>
      <c r="X145" s="19">
        <f t="shared" si="106"/>
        <v>0</v>
      </c>
    </row>
    <row r="146" spans="1:25">
      <c r="A146" s="20">
        <v>42311</v>
      </c>
      <c r="B146">
        <v>2015</v>
      </c>
      <c r="C146" t="s">
        <v>75</v>
      </c>
      <c r="D146" s="5" t="s">
        <v>6</v>
      </c>
      <c r="E146" s="15">
        <v>323</v>
      </c>
      <c r="F146" s="18"/>
      <c r="G146" s="135">
        <f t="shared" si="95"/>
        <v>2015</v>
      </c>
      <c r="H146" s="15">
        <f t="shared" si="97"/>
        <v>323</v>
      </c>
      <c r="I146" s="1" t="s">
        <v>46</v>
      </c>
      <c r="J146" s="1">
        <v>3</v>
      </c>
      <c r="K146" s="15">
        <f>H146/J146</f>
        <v>107.66666666666667</v>
      </c>
      <c r="L146" s="17">
        <f>B146+J146</f>
        <v>2018</v>
      </c>
      <c r="M146" s="18">
        <f t="shared" si="98"/>
        <v>0</v>
      </c>
      <c r="N146" s="18">
        <f t="shared" si="99"/>
        <v>323</v>
      </c>
      <c r="O146" s="18">
        <f t="shared" si="100"/>
        <v>323</v>
      </c>
      <c r="P146" s="18">
        <f t="shared" si="101"/>
        <v>0</v>
      </c>
      <c r="Q146">
        <v>0</v>
      </c>
      <c r="R146" s="19">
        <f t="shared" si="102"/>
        <v>323</v>
      </c>
      <c r="S146" s="19">
        <f t="shared" si="103"/>
        <v>0</v>
      </c>
      <c r="U146" s="19">
        <f t="shared" si="104"/>
        <v>323</v>
      </c>
      <c r="V146" s="19">
        <f t="shared" si="105"/>
        <v>0</v>
      </c>
      <c r="X146" s="19">
        <f t="shared" si="106"/>
        <v>323</v>
      </c>
    </row>
    <row r="147" spans="1:25">
      <c r="A147" s="20">
        <v>42456</v>
      </c>
      <c r="B147">
        <v>2016</v>
      </c>
      <c r="C147" t="s">
        <v>76</v>
      </c>
      <c r="D147" s="5" t="s">
        <v>6</v>
      </c>
      <c r="E147" s="15">
        <v>255</v>
      </c>
      <c r="F147" s="18"/>
      <c r="G147" s="135">
        <f t="shared" si="95"/>
        <v>2016</v>
      </c>
      <c r="H147" s="15">
        <f t="shared" si="97"/>
        <v>255</v>
      </c>
      <c r="I147" s="1" t="s">
        <v>46</v>
      </c>
      <c r="J147" s="1">
        <v>3</v>
      </c>
      <c r="K147" s="15">
        <f>H147/J147</f>
        <v>85</v>
      </c>
      <c r="L147" s="17">
        <f>B147+J147</f>
        <v>2019</v>
      </c>
      <c r="M147" s="18">
        <f t="shared" si="98"/>
        <v>0</v>
      </c>
      <c r="N147" s="18">
        <f t="shared" si="99"/>
        <v>255</v>
      </c>
      <c r="O147" s="18">
        <f t="shared" si="100"/>
        <v>255</v>
      </c>
      <c r="P147" s="18">
        <f t="shared" si="101"/>
        <v>0</v>
      </c>
      <c r="Q147">
        <v>0</v>
      </c>
      <c r="R147" s="19">
        <f t="shared" si="102"/>
        <v>255</v>
      </c>
      <c r="S147" s="19">
        <f t="shared" si="103"/>
        <v>0</v>
      </c>
      <c r="U147" s="19">
        <f t="shared" si="104"/>
        <v>255</v>
      </c>
      <c r="V147" s="19">
        <f t="shared" si="105"/>
        <v>0</v>
      </c>
      <c r="X147" s="19">
        <f t="shared" si="106"/>
        <v>255</v>
      </c>
    </row>
    <row r="149" spans="1:25">
      <c r="E149" s="19">
        <f>SUM(E142:E147)</f>
        <v>2816</v>
      </c>
      <c r="F149" s="19">
        <f t="shared" ref="F149:X149" si="107">SUM(F142:F147)</f>
        <v>0</v>
      </c>
      <c r="G149" s="19"/>
      <c r="H149" s="19">
        <f t="shared" si="107"/>
        <v>2816</v>
      </c>
      <c r="I149" s="19">
        <f t="shared" si="107"/>
        <v>0</v>
      </c>
      <c r="J149" s="19">
        <f t="shared" si="107"/>
        <v>15</v>
      </c>
      <c r="K149" s="19"/>
      <c r="L149" s="19"/>
      <c r="M149" s="19">
        <f t="shared" si="107"/>
        <v>0</v>
      </c>
      <c r="N149" s="19">
        <f t="shared" si="107"/>
        <v>2816</v>
      </c>
      <c r="O149" s="19">
        <f t="shared" si="107"/>
        <v>2816</v>
      </c>
      <c r="P149" s="19">
        <f t="shared" si="107"/>
        <v>0</v>
      </c>
      <c r="Q149" s="19">
        <f t="shared" si="107"/>
        <v>0</v>
      </c>
      <c r="R149" s="19">
        <f t="shared" si="107"/>
        <v>2816</v>
      </c>
      <c r="S149" s="19">
        <f t="shared" si="107"/>
        <v>0</v>
      </c>
      <c r="T149" s="19">
        <f t="shared" si="107"/>
        <v>0</v>
      </c>
      <c r="U149" s="19">
        <f t="shared" si="107"/>
        <v>2816</v>
      </c>
      <c r="V149" s="19">
        <f t="shared" si="107"/>
        <v>0</v>
      </c>
      <c r="W149" s="19">
        <f t="shared" si="107"/>
        <v>0</v>
      </c>
      <c r="X149" s="19">
        <f t="shared" si="107"/>
        <v>2816</v>
      </c>
      <c r="Y149">
        <v>0</v>
      </c>
    </row>
    <row r="152" spans="1:25">
      <c r="A152" t="s">
        <v>352</v>
      </c>
      <c r="Y152" s="19">
        <f>SUM(Y135:Y151)</f>
        <v>-27092.133333333331</v>
      </c>
    </row>
  </sheetData>
  <printOptions gridLines="1"/>
  <pageMargins left="0.25" right="0.25" top="0.75" bottom="0.75" header="0.3" footer="0.3"/>
  <pageSetup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422"/>
  <sheetViews>
    <sheetView workbookViewId="0">
      <selection activeCell="Q33" sqref="Q33"/>
    </sheetView>
  </sheetViews>
  <sheetFormatPr defaultRowHeight="14.4"/>
  <cols>
    <col min="3" max="3" width="8.88671875" customWidth="1"/>
    <col min="4" max="4" width="1.109375" customWidth="1"/>
    <col min="11" max="11" width="9.88671875" customWidth="1"/>
    <col min="13" max="13" width="9.44140625" customWidth="1"/>
    <col min="16" max="16" width="11.109375" customWidth="1"/>
    <col min="17" max="17" width="10.44140625" customWidth="1"/>
  </cols>
  <sheetData>
    <row r="1" spans="1:150" ht="25.8">
      <c r="A1" s="109" t="s">
        <v>385</v>
      </c>
    </row>
    <row r="3" spans="1:150">
      <c r="E3" s="10" t="s">
        <v>389</v>
      </c>
      <c r="F3" s="10" t="s">
        <v>388</v>
      </c>
      <c r="G3" s="10" t="s">
        <v>387</v>
      </c>
      <c r="H3" s="10" t="s">
        <v>390</v>
      </c>
      <c r="I3" s="10" t="s">
        <v>391</v>
      </c>
      <c r="J3" s="10" t="s">
        <v>392</v>
      </c>
      <c r="K3" s="10" t="s">
        <v>393</v>
      </c>
      <c r="L3" s="10" t="s">
        <v>394</v>
      </c>
      <c r="M3" s="10" t="s">
        <v>395</v>
      </c>
      <c r="N3" s="10" t="s">
        <v>396</v>
      </c>
      <c r="O3" s="10" t="s">
        <v>397</v>
      </c>
      <c r="P3" s="10" t="s">
        <v>398</v>
      </c>
      <c r="Q3" s="10" t="s">
        <v>490</v>
      </c>
      <c r="R3" s="10"/>
      <c r="S3" s="10"/>
      <c r="T3" s="10"/>
      <c r="U3" s="10"/>
      <c r="V3" s="10"/>
      <c r="W3" s="10"/>
    </row>
    <row r="4" spans="1:150">
      <c r="E4" s="10" t="s">
        <v>399</v>
      </c>
      <c r="F4" s="11" t="s">
        <v>399</v>
      </c>
      <c r="G4" s="11" t="s">
        <v>425</v>
      </c>
      <c r="H4" s="11" t="s">
        <v>399</v>
      </c>
      <c r="I4" s="11" t="s">
        <v>399</v>
      </c>
      <c r="J4" s="11" t="s">
        <v>425</v>
      </c>
      <c r="K4" s="11" t="s">
        <v>425</v>
      </c>
      <c r="L4" s="11" t="s">
        <v>399</v>
      </c>
      <c r="M4" s="10" t="s">
        <v>399</v>
      </c>
      <c r="N4" s="11" t="s">
        <v>435</v>
      </c>
      <c r="O4" s="11" t="s">
        <v>399</v>
      </c>
      <c r="P4" s="11" t="s">
        <v>399</v>
      </c>
      <c r="Q4" s="11" t="s">
        <v>491</v>
      </c>
      <c r="R4" s="11"/>
      <c r="S4" s="11"/>
      <c r="T4" s="11"/>
      <c r="U4" s="11"/>
      <c r="V4" s="11"/>
      <c r="W4" s="11"/>
      <c r="X4" s="10"/>
      <c r="Y4" s="10"/>
      <c r="Z4" s="10"/>
      <c r="AA4" s="10"/>
    </row>
    <row r="5" spans="1:150">
      <c r="E5" s="11" t="s">
        <v>382</v>
      </c>
      <c r="F5" s="11" t="s">
        <v>410</v>
      </c>
      <c r="G5" s="11" t="s">
        <v>465</v>
      </c>
      <c r="H5" s="11" t="s">
        <v>430</v>
      </c>
      <c r="I5" s="11" t="s">
        <v>431</v>
      </c>
      <c r="J5" s="11" t="s">
        <v>426</v>
      </c>
      <c r="K5" s="11" t="s">
        <v>449</v>
      </c>
      <c r="L5" s="11">
        <v>2023</v>
      </c>
      <c r="M5" s="11" t="s">
        <v>419</v>
      </c>
      <c r="N5" s="11" t="s">
        <v>436</v>
      </c>
      <c r="O5" s="11" t="s">
        <v>362</v>
      </c>
      <c r="P5" s="11" t="s">
        <v>430</v>
      </c>
      <c r="Q5" s="11" t="s">
        <v>363</v>
      </c>
      <c r="R5" s="11"/>
      <c r="S5" s="11"/>
      <c r="T5" s="11"/>
      <c r="U5" s="11"/>
      <c r="V5" s="11"/>
      <c r="W5" s="11"/>
      <c r="X5" s="10"/>
      <c r="Y5" s="10"/>
      <c r="Z5" s="10"/>
      <c r="AA5" s="10"/>
    </row>
    <row r="6" spans="1:150">
      <c r="E6" s="11" t="s">
        <v>408</v>
      </c>
      <c r="F6" s="11"/>
      <c r="G6" s="11" t="s">
        <v>466</v>
      </c>
      <c r="H6" s="11" t="s">
        <v>429</v>
      </c>
      <c r="I6" s="11" t="s">
        <v>432</v>
      </c>
      <c r="J6" s="11" t="s">
        <v>427</v>
      </c>
      <c r="K6" s="11" t="s">
        <v>657</v>
      </c>
      <c r="L6" s="11" t="s">
        <v>434</v>
      </c>
      <c r="M6" s="11" t="s">
        <v>420</v>
      </c>
      <c r="N6" s="11" t="s">
        <v>437</v>
      </c>
      <c r="O6" s="11" t="s">
        <v>422</v>
      </c>
      <c r="P6" s="11" t="s">
        <v>492</v>
      </c>
      <c r="Q6" s="11" t="s">
        <v>421</v>
      </c>
      <c r="R6" s="11"/>
      <c r="S6" s="11"/>
      <c r="T6" s="11"/>
      <c r="U6" s="11"/>
      <c r="V6" s="11"/>
      <c r="W6" s="11"/>
      <c r="X6" s="10"/>
      <c r="Y6" s="10"/>
      <c r="Z6" s="10"/>
      <c r="AA6" s="10"/>
    </row>
    <row r="7" spans="1:150">
      <c r="E7" s="11" t="s">
        <v>409</v>
      </c>
      <c r="F7" s="11" t="s">
        <v>363</v>
      </c>
      <c r="G7" s="11" t="s">
        <v>428</v>
      </c>
      <c r="H7" s="11" t="s">
        <v>363</v>
      </c>
      <c r="I7" s="11" t="s">
        <v>433</v>
      </c>
      <c r="J7" s="11"/>
      <c r="K7" s="11" t="s">
        <v>450</v>
      </c>
      <c r="L7" s="11" t="s">
        <v>421</v>
      </c>
      <c r="M7" s="11" t="s">
        <v>421</v>
      </c>
      <c r="N7" s="11" t="s">
        <v>438</v>
      </c>
      <c r="O7" s="11" t="s">
        <v>363</v>
      </c>
      <c r="P7" s="11" t="s">
        <v>421</v>
      </c>
      <c r="Q7" s="11"/>
      <c r="R7" s="11"/>
      <c r="S7" s="11"/>
      <c r="T7" s="11"/>
      <c r="U7" s="11"/>
      <c r="V7" s="11"/>
      <c r="W7" s="11"/>
      <c r="X7" s="10"/>
      <c r="Y7" s="10"/>
      <c r="Z7" s="10"/>
      <c r="AA7" s="10"/>
    </row>
    <row r="8" spans="1:150" ht="18">
      <c r="A8" s="99" t="s">
        <v>386</v>
      </c>
      <c r="E8" s="8"/>
      <c r="F8" s="8"/>
      <c r="G8" s="8"/>
      <c r="H8" s="8"/>
      <c r="I8" s="8"/>
      <c r="J8" s="8"/>
      <c r="K8" s="11" t="s">
        <v>363</v>
      </c>
      <c r="L8" s="8"/>
      <c r="M8" s="8"/>
      <c r="N8" s="8"/>
      <c r="P8" s="8"/>
      <c r="Q8" s="8"/>
      <c r="R8" s="8"/>
      <c r="S8" s="8"/>
      <c r="T8" s="8"/>
      <c r="U8" s="8"/>
      <c r="V8" s="8"/>
      <c r="W8" s="8"/>
    </row>
    <row r="9" spans="1:150">
      <c r="A9" t="s">
        <v>116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</row>
    <row r="10" spans="1:150">
      <c r="A10" t="s">
        <v>117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</row>
    <row r="11" spans="1:150">
      <c r="A11" t="s">
        <v>118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</row>
    <row r="12" spans="1:150">
      <c r="A12" t="s">
        <v>284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</row>
    <row r="13" spans="1:150">
      <c r="A13" s="10" t="s">
        <v>285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</row>
    <row r="14" spans="1:150"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</row>
    <row r="15" spans="1:150">
      <c r="A15" t="s">
        <v>286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</row>
    <row r="16" spans="1:150">
      <c r="A16" s="10" t="s">
        <v>287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</row>
    <row r="17" spans="1:150"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</row>
    <row r="18" spans="1:150">
      <c r="A18" s="10" t="s">
        <v>288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</row>
    <row r="19" spans="1:150"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</row>
    <row r="20" spans="1:150"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</row>
    <row r="21" spans="1:150" ht="18">
      <c r="A21" s="99" t="s">
        <v>289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</row>
    <row r="22" spans="1:150">
      <c r="A22" t="s">
        <v>355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>
        <v>1677.25</v>
      </c>
      <c r="Q22" s="96">
        <f t="shared" ref="Q22:Q60" si="0">SUM(E22:O22)</f>
        <v>1677.25</v>
      </c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</row>
    <row r="23" spans="1:150">
      <c r="A23" t="s">
        <v>290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Q23" s="96">
        <f t="shared" si="0"/>
        <v>0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</row>
    <row r="24" spans="1:150">
      <c r="A24" t="s">
        <v>291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Q24" s="96">
        <f t="shared" si="0"/>
        <v>0</v>
      </c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</row>
    <row r="25" spans="1:150">
      <c r="A25" t="s">
        <v>292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Q25" s="96">
        <f t="shared" si="0"/>
        <v>0</v>
      </c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</row>
    <row r="26" spans="1:150">
      <c r="A26" t="s">
        <v>293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>
        <v>4402.5</v>
      </c>
      <c r="Q26" s="96">
        <f t="shared" si="0"/>
        <v>4402.5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</row>
    <row r="27" spans="1:150">
      <c r="A27" t="s">
        <v>294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Q27" s="96">
        <f t="shared" si="0"/>
        <v>0</v>
      </c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</row>
    <row r="28" spans="1:150">
      <c r="A28" t="s">
        <v>295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Q28" s="96">
        <f t="shared" si="0"/>
        <v>0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</row>
    <row r="29" spans="1:150">
      <c r="A29" t="s">
        <v>296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Q29" s="96">
        <f t="shared" si="0"/>
        <v>0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</row>
    <row r="30" spans="1:150">
      <c r="A30" t="s">
        <v>297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Q30" s="96">
        <f t="shared" si="0"/>
        <v>0</v>
      </c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</row>
    <row r="31" spans="1:150">
      <c r="A31" t="s">
        <v>298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Q31" s="96">
        <f t="shared" si="0"/>
        <v>0</v>
      </c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</row>
    <row r="32" spans="1:150">
      <c r="A32" t="s">
        <v>299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>
        <v>-665</v>
      </c>
      <c r="Q32" s="96">
        <f>SUM(D32:P32)</f>
        <v>-665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</row>
    <row r="33" spans="1:150">
      <c r="A33" t="s">
        <v>300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>
        <v>979</v>
      </c>
      <c r="Q33" s="96">
        <f t="shared" si="0"/>
        <v>979</v>
      </c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</row>
    <row r="34" spans="1:150">
      <c r="A34" t="s">
        <v>301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Q34" s="96">
        <f t="shared" si="0"/>
        <v>0</v>
      </c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</row>
    <row r="35" spans="1:150">
      <c r="A35" t="s">
        <v>302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Q35" s="96">
        <f t="shared" si="0"/>
        <v>0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</row>
    <row r="36" spans="1:150">
      <c r="A36" t="s">
        <v>303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>
        <v>3170.25</v>
      </c>
      <c r="Q36" s="96">
        <f t="shared" si="0"/>
        <v>3170.25</v>
      </c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</row>
    <row r="37" spans="1:150">
      <c r="A37" t="s">
        <v>304</v>
      </c>
      <c r="D37" s="96"/>
      <c r="E37" s="96"/>
      <c r="F37" s="96"/>
      <c r="G37" s="96"/>
      <c r="H37" s="96"/>
      <c r="I37" s="96"/>
      <c r="J37" s="96"/>
      <c r="K37" s="96">
        <v>2107.13</v>
      </c>
      <c r="L37" s="96"/>
      <c r="M37" s="96"/>
      <c r="N37" s="96"/>
      <c r="O37" s="96"/>
      <c r="Q37" s="96">
        <f t="shared" si="0"/>
        <v>2107.13</v>
      </c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</row>
    <row r="38" spans="1:150">
      <c r="A38" t="s">
        <v>305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Q38" s="96">
        <f t="shared" si="0"/>
        <v>0</v>
      </c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</row>
    <row r="39" spans="1:150">
      <c r="A39" t="s">
        <v>306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Q39" s="96">
        <f t="shared" si="0"/>
        <v>0</v>
      </c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</row>
    <row r="40" spans="1:150">
      <c r="A40" t="s">
        <v>307</v>
      </c>
      <c r="D40" s="96"/>
      <c r="E40" s="96"/>
      <c r="F40" s="96"/>
      <c r="G40" s="96"/>
      <c r="H40" s="96"/>
      <c r="I40" s="96"/>
      <c r="J40" s="96"/>
      <c r="K40" s="96"/>
      <c r="L40" s="96"/>
      <c r="M40" s="96">
        <v>-1147</v>
      </c>
      <c r="N40" s="96"/>
      <c r="O40" s="96"/>
      <c r="Q40" s="96">
        <f t="shared" si="0"/>
        <v>-1147</v>
      </c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</row>
    <row r="41" spans="1:150">
      <c r="A41" t="s">
        <v>308</v>
      </c>
      <c r="D41" s="96"/>
      <c r="E41" s="96"/>
      <c r="F41" s="96"/>
      <c r="G41" s="96">
        <v>571.12</v>
      </c>
      <c r="H41" s="96"/>
      <c r="I41" s="96"/>
      <c r="J41" s="96"/>
      <c r="K41" s="96"/>
      <c r="L41" s="96"/>
      <c r="M41" s="96"/>
      <c r="N41" s="96"/>
      <c r="O41" s="96"/>
      <c r="Q41" s="96">
        <f t="shared" si="0"/>
        <v>571.12</v>
      </c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</row>
    <row r="42" spans="1:150">
      <c r="A42" t="s">
        <v>309</v>
      </c>
      <c r="D42" s="96"/>
      <c r="E42" s="96"/>
      <c r="F42" s="96">
        <v>6652</v>
      </c>
      <c r="G42" s="96"/>
      <c r="H42" s="96"/>
      <c r="I42" s="96"/>
      <c r="J42" s="96"/>
      <c r="K42" s="96"/>
      <c r="L42" s="96"/>
      <c r="M42" s="96"/>
      <c r="N42" s="96"/>
      <c r="O42" s="96"/>
      <c r="Q42" s="96">
        <f t="shared" si="0"/>
        <v>6652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</row>
    <row r="43" spans="1:150">
      <c r="A43" t="s">
        <v>310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Q43" s="96">
        <f t="shared" si="0"/>
        <v>0</v>
      </c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</row>
    <row r="44" spans="1:150">
      <c r="A44" t="s">
        <v>311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Q44" s="96">
        <f t="shared" si="0"/>
        <v>0</v>
      </c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</row>
    <row r="45" spans="1:150">
      <c r="A45" t="s">
        <v>312</v>
      </c>
      <c r="D45" s="96"/>
      <c r="E45" s="96"/>
      <c r="F45" s="96"/>
      <c r="G45" s="96"/>
      <c r="H45" s="96">
        <v>65</v>
      </c>
      <c r="I45" s="96"/>
      <c r="J45" s="96"/>
      <c r="K45" s="96"/>
      <c r="L45" s="96"/>
      <c r="M45" s="96"/>
      <c r="N45" s="96"/>
      <c r="O45" s="96"/>
      <c r="Q45" s="96">
        <f t="shared" si="0"/>
        <v>65</v>
      </c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</row>
    <row r="46" spans="1:150">
      <c r="A46" t="s">
        <v>313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>
        <v>573.5</v>
      </c>
      <c r="Q46" s="96">
        <f t="shared" si="0"/>
        <v>573.5</v>
      </c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</row>
    <row r="47" spans="1:150">
      <c r="A47" t="s">
        <v>314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>
        <v>134.13</v>
      </c>
      <c r="Q47" s="96">
        <f t="shared" si="0"/>
        <v>134.13</v>
      </c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</row>
    <row r="48" spans="1:150">
      <c r="A48" t="s">
        <v>315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>
        <v>55</v>
      </c>
      <c r="Q48" s="96">
        <f t="shared" si="0"/>
        <v>55</v>
      </c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</row>
    <row r="49" spans="1:150">
      <c r="A49" t="s">
        <v>316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>
        <v>27.75</v>
      </c>
      <c r="Q49" s="96">
        <f t="shared" si="0"/>
        <v>27.75</v>
      </c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</row>
    <row r="50" spans="1:150">
      <c r="A50" t="s">
        <v>317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Q50" s="96">
        <f t="shared" si="0"/>
        <v>0</v>
      </c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</row>
    <row r="51" spans="1:150">
      <c r="A51" t="s">
        <v>318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Q51" s="96">
        <f t="shared" si="0"/>
        <v>0</v>
      </c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</row>
    <row r="52" spans="1:150">
      <c r="A52" t="s">
        <v>319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Q52" s="96">
        <f t="shared" si="0"/>
        <v>0</v>
      </c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</row>
    <row r="53" spans="1:150">
      <c r="A53" t="s">
        <v>320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Q53" s="96">
        <f t="shared" si="0"/>
        <v>0</v>
      </c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</row>
    <row r="54" spans="1:150">
      <c r="A54" t="s">
        <v>464</v>
      </c>
      <c r="N54">
        <v>-540.54</v>
      </c>
      <c r="Q54" s="96">
        <f t="shared" si="0"/>
        <v>-540.54</v>
      </c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</row>
    <row r="55" spans="1:150">
      <c r="A55" t="s">
        <v>321</v>
      </c>
      <c r="D55" s="96"/>
      <c r="E55" s="96">
        <v>-600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Q55" s="96">
        <f t="shared" si="0"/>
        <v>-600</v>
      </c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</row>
    <row r="56" spans="1:150">
      <c r="A56" t="s">
        <v>322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Q56" s="96">
        <f t="shared" si="0"/>
        <v>0</v>
      </c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</row>
    <row r="57" spans="1:150">
      <c r="A57" t="s">
        <v>323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Q57" s="96">
        <f t="shared" si="0"/>
        <v>0</v>
      </c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</row>
    <row r="58" spans="1:150">
      <c r="A58" t="s">
        <v>324</v>
      </c>
      <c r="D58" s="96"/>
      <c r="E58" s="96"/>
      <c r="F58" s="96"/>
      <c r="G58" s="96"/>
      <c r="H58" s="96"/>
      <c r="I58" s="96">
        <v>1164</v>
      </c>
      <c r="J58" s="96"/>
      <c r="K58" s="96"/>
      <c r="L58" s="96"/>
      <c r="M58" s="96"/>
      <c r="N58" s="96"/>
      <c r="O58" s="96"/>
      <c r="Q58" s="96">
        <f t="shared" si="0"/>
        <v>1164</v>
      </c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</row>
    <row r="59" spans="1:150">
      <c r="A59" t="s">
        <v>354</v>
      </c>
      <c r="D59" s="96"/>
      <c r="E59" s="96"/>
      <c r="F59" s="96"/>
      <c r="G59" s="96"/>
      <c r="H59" s="96"/>
      <c r="I59" s="96"/>
      <c r="J59" s="96">
        <v>-3960</v>
      </c>
      <c r="K59" s="96"/>
      <c r="L59" s="96"/>
      <c r="M59" s="96"/>
      <c r="N59" s="96"/>
      <c r="O59" s="96"/>
      <c r="Q59" s="96">
        <f t="shared" si="0"/>
        <v>-3960</v>
      </c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</row>
    <row r="60" spans="1:150"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Q60" s="96">
        <f t="shared" si="0"/>
        <v>0</v>
      </c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</row>
    <row r="61" spans="1:150" ht="18">
      <c r="A61" s="99" t="s">
        <v>325</v>
      </c>
      <c r="D61" s="96"/>
      <c r="E61" s="96">
        <f>SUM(E22:E60)</f>
        <v>-600</v>
      </c>
      <c r="F61" s="96">
        <f t="shared" ref="F61:O61" si="1">SUM(F22:F60)</f>
        <v>6652</v>
      </c>
      <c r="G61" s="96">
        <f t="shared" si="1"/>
        <v>571.12</v>
      </c>
      <c r="H61" s="96">
        <f t="shared" si="1"/>
        <v>65</v>
      </c>
      <c r="I61" s="96">
        <f>SUM(I22:I60)</f>
        <v>1164</v>
      </c>
      <c r="J61" s="96">
        <f t="shared" si="1"/>
        <v>-3960</v>
      </c>
      <c r="K61" s="96">
        <f t="shared" si="1"/>
        <v>2107.13</v>
      </c>
      <c r="L61" s="96">
        <f t="shared" si="1"/>
        <v>0</v>
      </c>
      <c r="M61" s="96">
        <f t="shared" si="1"/>
        <v>-1147</v>
      </c>
      <c r="N61" s="96">
        <f t="shared" si="1"/>
        <v>-540.54</v>
      </c>
      <c r="O61" s="96">
        <f t="shared" si="1"/>
        <v>11019.38</v>
      </c>
      <c r="P61" s="96">
        <f>SUM(P20:P60)</f>
        <v>-665</v>
      </c>
      <c r="Q61" s="96">
        <f>SUM(Q22:Q60)</f>
        <v>14666.09</v>
      </c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</row>
    <row r="62" spans="1:150">
      <c r="D62" s="96"/>
      <c r="E62" s="96" t="s">
        <v>389</v>
      </c>
      <c r="F62" s="96" t="s">
        <v>451</v>
      </c>
      <c r="G62" s="96" t="s">
        <v>387</v>
      </c>
      <c r="H62" s="96" t="s">
        <v>452</v>
      </c>
      <c r="I62" s="96" t="s">
        <v>391</v>
      </c>
      <c r="J62" s="96" t="s">
        <v>392</v>
      </c>
      <c r="K62" s="96" t="s">
        <v>393</v>
      </c>
      <c r="L62" s="96" t="s">
        <v>394</v>
      </c>
      <c r="M62" s="96" t="s">
        <v>395</v>
      </c>
      <c r="N62" s="96" t="s">
        <v>396</v>
      </c>
      <c r="O62" s="96" t="s">
        <v>397</v>
      </c>
      <c r="P62" s="96" t="s">
        <v>502</v>
      </c>
      <c r="Q62" s="96">
        <f>SUM(E62:P62)</f>
        <v>0</v>
      </c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</row>
    <row r="63" spans="1:150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Q63" s="96">
        <f>SUM(E63:O63)</f>
        <v>0</v>
      </c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</row>
    <row r="64" spans="1:150">
      <c r="A64" s="10" t="s">
        <v>326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Q64" s="96">
        <f>SUM(E64:O64)</f>
        <v>0</v>
      </c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</row>
    <row r="65" spans="1:150">
      <c r="A65" s="10" t="s">
        <v>327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Q65" s="96">
        <f>SUM(E65:O65)</f>
        <v>0</v>
      </c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</row>
    <row r="66" spans="1:150">
      <c r="A66" s="10" t="s">
        <v>328</v>
      </c>
      <c r="D66" s="96"/>
      <c r="E66" s="96"/>
      <c r="F66" s="96"/>
      <c r="G66" s="96"/>
      <c r="H66" s="96"/>
      <c r="I66" s="96"/>
      <c r="J66" s="96"/>
      <c r="K66" s="96"/>
      <c r="L66" s="96">
        <v>-3311</v>
      </c>
      <c r="M66" s="96"/>
      <c r="N66" s="96"/>
      <c r="O66" s="96"/>
      <c r="Q66" s="96">
        <f>SUM(E66:O66)</f>
        <v>-3311</v>
      </c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</row>
    <row r="67" spans="1:150" ht="18">
      <c r="A67" s="99" t="s">
        <v>329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</row>
    <row r="68" spans="1:150">
      <c r="A68" s="10" t="s">
        <v>330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Q68" s="96">
        <f>SUM(Q8:Q66)</f>
        <v>26021.18</v>
      </c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</row>
    <row r="69" spans="1:150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</row>
    <row r="70" spans="1:150" ht="18">
      <c r="A70" s="99" t="s">
        <v>331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</row>
    <row r="71" spans="1:150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</row>
    <row r="72" spans="1:150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</row>
    <row r="73" spans="1:150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</row>
    <row r="74" spans="1:150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</row>
    <row r="75" spans="1:150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</row>
    <row r="76" spans="1:150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</row>
    <row r="77" spans="1:150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</row>
    <row r="78" spans="1:150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</row>
    <row r="79" spans="1:150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</row>
    <row r="80" spans="1:150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</row>
    <row r="81" spans="4:150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</row>
    <row r="82" spans="4:150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</row>
    <row r="83" spans="4:150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</row>
    <row r="84" spans="4:150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</row>
    <row r="85" spans="4:150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</row>
    <row r="86" spans="4:150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</row>
    <row r="87" spans="4:150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</row>
    <row r="88" spans="4:150"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</row>
    <row r="89" spans="4:150"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</row>
    <row r="90" spans="4:150"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</row>
    <row r="91" spans="4:150"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</row>
    <row r="92" spans="4:150"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</row>
    <row r="93" spans="4:150"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</row>
    <row r="94" spans="4:150"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</row>
    <row r="95" spans="4:150"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</row>
    <row r="96" spans="4:150"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</row>
    <row r="97" spans="4:150"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</row>
    <row r="98" spans="4:150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</row>
    <row r="99" spans="4:150"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</row>
    <row r="100" spans="4:150"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</row>
    <row r="101" spans="4:150"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</row>
    <row r="102" spans="4:150"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</row>
    <row r="103" spans="4:150"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</row>
    <row r="104" spans="4:150"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</row>
    <row r="105" spans="4:150"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</row>
    <row r="106" spans="4:150"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</row>
    <row r="107" spans="4:150"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</row>
    <row r="108" spans="4:150"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</row>
    <row r="109" spans="4:150"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</row>
    <row r="110" spans="4:150"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</row>
    <row r="111" spans="4:150"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</row>
    <row r="112" spans="4:150"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</row>
    <row r="113" spans="4:150"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</row>
    <row r="114" spans="4:150"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</row>
    <row r="115" spans="4:150"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</row>
    <row r="116" spans="4:150"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</row>
    <row r="117" spans="4:150"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</row>
    <row r="118" spans="4:150"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</row>
    <row r="119" spans="4:150"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</row>
    <row r="120" spans="4:150"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</row>
    <row r="121" spans="4:150"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</row>
    <row r="122" spans="4:150"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</row>
    <row r="123" spans="4:150"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</row>
    <row r="124" spans="4:150"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</row>
    <row r="125" spans="4:150"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</row>
    <row r="126" spans="4:150"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</row>
    <row r="127" spans="4:150"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</row>
    <row r="128" spans="4:150"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</row>
    <row r="129" spans="4:150"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</row>
    <row r="130" spans="4:150"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</row>
    <row r="131" spans="4:150"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</row>
    <row r="132" spans="4:150"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</row>
    <row r="133" spans="4:150"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</row>
    <row r="134" spans="4:150"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</row>
    <row r="135" spans="4:150"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</row>
    <row r="136" spans="4:150"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</row>
    <row r="137" spans="4:150"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</row>
    <row r="138" spans="4:150"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</row>
    <row r="139" spans="4:150"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</row>
    <row r="140" spans="4:150"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</row>
    <row r="141" spans="4:150"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</row>
    <row r="142" spans="4:150"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</row>
    <row r="143" spans="4:150"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</row>
    <row r="144" spans="4:150"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</row>
    <row r="145" spans="4:150"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</row>
    <row r="146" spans="4:150"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</row>
    <row r="147" spans="4:150"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</row>
    <row r="148" spans="4:150"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</row>
    <row r="149" spans="4:150"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</row>
    <row r="150" spans="4:150"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</row>
    <row r="151" spans="4:150"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</row>
    <row r="152" spans="4:150"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</row>
    <row r="153" spans="4:150"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</row>
    <row r="154" spans="4:150"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</row>
    <row r="155" spans="4:150"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</row>
    <row r="156" spans="4:150"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</row>
    <row r="157" spans="4:150"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</row>
    <row r="158" spans="4:150"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</row>
    <row r="159" spans="4:150"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</row>
    <row r="160" spans="4:150"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</row>
    <row r="161" spans="4:150"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</row>
    <row r="162" spans="4:150"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</row>
    <row r="163" spans="4:150"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</row>
    <row r="164" spans="4:150"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</row>
    <row r="165" spans="4:150"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</row>
    <row r="166" spans="4:150"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</row>
    <row r="167" spans="4:150"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</row>
    <row r="168" spans="4:150"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96"/>
      <c r="ES168" s="96"/>
      <c r="ET168" s="96"/>
    </row>
    <row r="169" spans="4:150"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</row>
    <row r="170" spans="4:150"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</row>
    <row r="171" spans="4:150"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</row>
    <row r="172" spans="4:150"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</row>
    <row r="173" spans="4:150"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</row>
    <row r="174" spans="4:150"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/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/>
      <c r="EL174" s="96"/>
      <c r="EM174" s="96"/>
      <c r="EN174" s="96"/>
      <c r="EO174" s="96"/>
      <c r="EP174" s="96"/>
      <c r="EQ174" s="96"/>
      <c r="ER174" s="96"/>
      <c r="ES174" s="96"/>
      <c r="ET174" s="96"/>
    </row>
    <row r="175" spans="4:150"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</row>
    <row r="176" spans="4:150"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</row>
    <row r="177" spans="4:150"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</row>
    <row r="178" spans="4:150"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  <c r="EP178" s="96"/>
      <c r="EQ178" s="96"/>
      <c r="ER178" s="96"/>
      <c r="ES178" s="96"/>
      <c r="ET178" s="96"/>
    </row>
    <row r="179" spans="4:150"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</row>
    <row r="180" spans="4:150"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/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</row>
    <row r="181" spans="4:150"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</row>
    <row r="182" spans="4:150"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</row>
    <row r="183" spans="4:150"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/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/>
      <c r="EL183" s="96"/>
      <c r="EM183" s="96"/>
      <c r="EN183" s="96"/>
      <c r="EO183" s="96"/>
      <c r="EP183" s="96"/>
      <c r="EQ183" s="96"/>
      <c r="ER183" s="96"/>
      <c r="ES183" s="96"/>
      <c r="ET183" s="96"/>
    </row>
    <row r="184" spans="4:150"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</row>
    <row r="185" spans="4:150"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</row>
    <row r="186" spans="4:150"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/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/>
      <c r="EL186" s="96"/>
      <c r="EM186" s="96"/>
      <c r="EN186" s="96"/>
      <c r="EO186" s="96"/>
      <c r="EP186" s="96"/>
      <c r="EQ186" s="96"/>
      <c r="ER186" s="96"/>
      <c r="ES186" s="96"/>
      <c r="ET186" s="96"/>
    </row>
    <row r="187" spans="4:150"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</row>
    <row r="188" spans="4:150"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96"/>
      <c r="DR188" s="96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</row>
    <row r="189" spans="4:150"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/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</row>
    <row r="190" spans="4:150"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</row>
    <row r="191" spans="4:150"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</row>
    <row r="192" spans="4:150"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</row>
    <row r="193" spans="4:150"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</row>
    <row r="194" spans="4:150"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</row>
    <row r="195" spans="4:150"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</row>
    <row r="196" spans="4:150"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</row>
    <row r="197" spans="4:150"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</row>
    <row r="198" spans="4:150"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</row>
    <row r="199" spans="4:150"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  <c r="ES199" s="96"/>
      <c r="ET199" s="96"/>
    </row>
    <row r="200" spans="4:150"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  <c r="EP200" s="96"/>
      <c r="EQ200" s="96"/>
      <c r="ER200" s="96"/>
      <c r="ES200" s="96"/>
      <c r="ET200" s="96"/>
    </row>
    <row r="201" spans="4:150"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</row>
    <row r="202" spans="4:150"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</row>
    <row r="203" spans="4:150"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6"/>
      <c r="ER203" s="96"/>
      <c r="ES203" s="96"/>
      <c r="ET203" s="96"/>
    </row>
    <row r="204" spans="4:150"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  <c r="EP204" s="96"/>
      <c r="EQ204" s="96"/>
      <c r="ER204" s="96"/>
      <c r="ES204" s="96"/>
      <c r="ET204" s="96"/>
    </row>
    <row r="205" spans="4:150"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</row>
    <row r="206" spans="4:150"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  <c r="EP206" s="96"/>
      <c r="EQ206" s="96"/>
      <c r="ER206" s="96"/>
      <c r="ES206" s="96"/>
      <c r="ET206" s="96"/>
    </row>
    <row r="207" spans="4:150"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6"/>
      <c r="EN207" s="96"/>
      <c r="EO207" s="96"/>
      <c r="EP207" s="96"/>
      <c r="EQ207" s="96"/>
      <c r="ER207" s="96"/>
      <c r="ES207" s="96"/>
      <c r="ET207" s="96"/>
    </row>
    <row r="208" spans="4:150"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</row>
    <row r="209" spans="4:150"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</row>
    <row r="210" spans="4:150"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</row>
    <row r="211" spans="4:150"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  <c r="DK211" s="96"/>
      <c r="DL211" s="96"/>
      <c r="DM211" s="96"/>
      <c r="DN211" s="96"/>
      <c r="DO211" s="96"/>
      <c r="DP211" s="96"/>
      <c r="DQ211" s="96"/>
      <c r="DR211" s="96"/>
      <c r="DS211" s="96"/>
      <c r="DT211" s="96"/>
      <c r="DU211" s="96"/>
      <c r="DV211" s="96"/>
      <c r="DW211" s="96"/>
      <c r="DX211" s="96"/>
      <c r="DY211" s="96"/>
      <c r="DZ211" s="96"/>
      <c r="EA211" s="96"/>
      <c r="EB211" s="96"/>
      <c r="EC211" s="96"/>
      <c r="ED211" s="96"/>
      <c r="EE211" s="96"/>
      <c r="EF211" s="96"/>
      <c r="EG211" s="96"/>
      <c r="EH211" s="96"/>
      <c r="EI211" s="96"/>
      <c r="EJ211" s="96"/>
      <c r="EK211" s="96"/>
      <c r="EL211" s="96"/>
      <c r="EM211" s="96"/>
      <c r="EN211" s="96"/>
      <c r="EO211" s="96"/>
      <c r="EP211" s="96"/>
      <c r="EQ211" s="96"/>
      <c r="ER211" s="96"/>
      <c r="ES211" s="96"/>
      <c r="ET211" s="96"/>
    </row>
    <row r="212" spans="4:150"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  <c r="DK212" s="96"/>
      <c r="DL212" s="96"/>
      <c r="DM212" s="96"/>
      <c r="DN212" s="96"/>
      <c r="DO212" s="96"/>
      <c r="DP212" s="96"/>
      <c r="DQ212" s="96"/>
      <c r="DR212" s="96"/>
      <c r="DS212" s="96"/>
      <c r="DT212" s="96"/>
      <c r="DU212" s="96"/>
      <c r="DV212" s="96"/>
      <c r="DW212" s="96"/>
      <c r="DX212" s="96"/>
      <c r="DY212" s="96"/>
      <c r="DZ212" s="96"/>
      <c r="EA212" s="96"/>
      <c r="EB212" s="96"/>
      <c r="EC212" s="96"/>
      <c r="ED212" s="96"/>
      <c r="EE212" s="96"/>
      <c r="EF212" s="96"/>
      <c r="EG212" s="96"/>
      <c r="EH212" s="96"/>
      <c r="EI212" s="96"/>
      <c r="EJ212" s="96"/>
      <c r="EK212" s="96"/>
      <c r="EL212" s="96"/>
      <c r="EM212" s="96"/>
      <c r="EN212" s="96"/>
      <c r="EO212" s="96"/>
      <c r="EP212" s="96"/>
      <c r="EQ212" s="96"/>
      <c r="ER212" s="96"/>
      <c r="ES212" s="96"/>
      <c r="ET212" s="96"/>
    </row>
    <row r="213" spans="4:150"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</row>
    <row r="214" spans="4:150"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</row>
    <row r="215" spans="4:150"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</row>
    <row r="216" spans="4:150"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</row>
    <row r="217" spans="4:150"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</row>
    <row r="218" spans="4:150"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/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  <c r="EP218" s="96"/>
      <c r="EQ218" s="96"/>
      <c r="ER218" s="96"/>
      <c r="ES218" s="96"/>
      <c r="ET218" s="96"/>
    </row>
    <row r="219" spans="4:150"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</row>
    <row r="220" spans="4:150"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6"/>
      <c r="ER220" s="96"/>
      <c r="ES220" s="96"/>
      <c r="ET220" s="96"/>
    </row>
    <row r="221" spans="4:150"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</row>
    <row r="222" spans="4:150"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</row>
    <row r="223" spans="4:150"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</row>
    <row r="224" spans="4:150"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96"/>
      <c r="DL224" s="96"/>
      <c r="DM224" s="96"/>
      <c r="DN224" s="96"/>
      <c r="DO224" s="96"/>
      <c r="DP224" s="96"/>
      <c r="DQ224" s="96"/>
      <c r="DR224" s="96"/>
      <c r="DS224" s="96"/>
      <c r="DT224" s="96"/>
      <c r="DU224" s="96"/>
      <c r="DV224" s="96"/>
      <c r="DW224" s="96"/>
      <c r="DX224" s="96"/>
      <c r="DY224" s="96"/>
      <c r="DZ224" s="96"/>
      <c r="EA224" s="96"/>
      <c r="EB224" s="96"/>
      <c r="EC224" s="96"/>
      <c r="ED224" s="96"/>
      <c r="EE224" s="96"/>
      <c r="EF224" s="96"/>
      <c r="EG224" s="96"/>
      <c r="EH224" s="96"/>
      <c r="EI224" s="96"/>
      <c r="EJ224" s="96"/>
      <c r="EK224" s="96"/>
      <c r="EL224" s="96"/>
      <c r="EM224" s="96"/>
      <c r="EN224" s="96"/>
      <c r="EO224" s="96"/>
      <c r="EP224" s="96"/>
      <c r="EQ224" s="96"/>
      <c r="ER224" s="96"/>
      <c r="ES224" s="96"/>
      <c r="ET224" s="96"/>
    </row>
    <row r="225" spans="4:150"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  <c r="EP225" s="96"/>
      <c r="EQ225" s="96"/>
      <c r="ER225" s="96"/>
      <c r="ES225" s="96"/>
      <c r="ET225" s="96"/>
    </row>
    <row r="226" spans="4:150"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</row>
    <row r="227" spans="4:150"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</row>
    <row r="228" spans="4:150"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  <c r="EP228" s="96"/>
      <c r="EQ228" s="96"/>
      <c r="ER228" s="96"/>
      <c r="ES228" s="96"/>
      <c r="ET228" s="96"/>
    </row>
    <row r="229" spans="4:150"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  <c r="DQ229" s="96"/>
      <c r="DR229" s="96"/>
      <c r="DS229" s="96"/>
      <c r="DT229" s="96"/>
      <c r="DU229" s="96"/>
      <c r="DV229" s="96"/>
      <c r="DW229" s="96"/>
      <c r="DX229" s="96"/>
      <c r="DY229" s="96"/>
      <c r="DZ229" s="96"/>
      <c r="EA229" s="96"/>
      <c r="EB229" s="96"/>
      <c r="EC229" s="96"/>
      <c r="ED229" s="96"/>
      <c r="EE229" s="96"/>
      <c r="EF229" s="96"/>
      <c r="EG229" s="96"/>
      <c r="EH229" s="96"/>
      <c r="EI229" s="96"/>
      <c r="EJ229" s="96"/>
      <c r="EK229" s="96"/>
      <c r="EL229" s="96"/>
      <c r="EM229" s="96"/>
      <c r="EN229" s="96"/>
      <c r="EO229" s="96"/>
      <c r="EP229" s="96"/>
      <c r="EQ229" s="96"/>
      <c r="ER229" s="96"/>
      <c r="ES229" s="96"/>
      <c r="ET229" s="96"/>
    </row>
    <row r="230" spans="4:150"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  <c r="EP230" s="96"/>
      <c r="EQ230" s="96"/>
      <c r="ER230" s="96"/>
      <c r="ES230" s="96"/>
      <c r="ET230" s="96"/>
    </row>
    <row r="231" spans="4:150"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</row>
    <row r="232" spans="4:150"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</row>
    <row r="233" spans="4:150"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6"/>
      <c r="ES233" s="96"/>
      <c r="ET233" s="96"/>
    </row>
    <row r="234" spans="4:150"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</row>
    <row r="235" spans="4:150"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</row>
    <row r="236" spans="4:150"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</row>
    <row r="237" spans="4:150"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</row>
    <row r="238" spans="4:150"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</row>
    <row r="239" spans="4:150"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  <c r="EP239" s="96"/>
      <c r="EQ239" s="96"/>
      <c r="ER239" s="96"/>
      <c r="ES239" s="96"/>
      <c r="ET239" s="96"/>
    </row>
    <row r="240" spans="4:150"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</row>
    <row r="241" spans="4:150"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</row>
    <row r="242" spans="4:150"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</row>
    <row r="243" spans="4:150"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</row>
    <row r="244" spans="4:150"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</row>
    <row r="245" spans="4:150"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</row>
    <row r="246" spans="4:150"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  <c r="EP246" s="96"/>
      <c r="EQ246" s="96"/>
      <c r="ER246" s="96"/>
      <c r="ES246" s="96"/>
      <c r="ET246" s="96"/>
    </row>
    <row r="247" spans="4:150"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  <c r="EP247" s="96"/>
      <c r="EQ247" s="96"/>
      <c r="ER247" s="96"/>
      <c r="ES247" s="96"/>
      <c r="ET247" s="96"/>
    </row>
    <row r="248" spans="4:150"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</row>
    <row r="249" spans="4:150"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</row>
    <row r="250" spans="4:150"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</row>
    <row r="251" spans="4:150"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</row>
    <row r="252" spans="4:150"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</row>
    <row r="253" spans="4:150"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</row>
    <row r="254" spans="4:150"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</row>
    <row r="255" spans="4:150"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</row>
    <row r="256" spans="4:150"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</row>
    <row r="257" spans="4:150"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</row>
    <row r="258" spans="4:150"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</row>
    <row r="259" spans="4:150"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</row>
    <row r="260" spans="4:150"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</row>
    <row r="261" spans="4:150"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</row>
    <row r="262" spans="4:150"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</row>
    <row r="263" spans="4:150"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</row>
    <row r="264" spans="4:150"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</row>
    <row r="265" spans="4:150"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</row>
    <row r="266" spans="4:150"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</row>
    <row r="267" spans="4:150"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/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/>
      <c r="EL267" s="96"/>
      <c r="EM267" s="96"/>
      <c r="EN267" s="96"/>
      <c r="EO267" s="96"/>
      <c r="EP267" s="96"/>
      <c r="EQ267" s="96"/>
      <c r="ER267" s="96"/>
      <c r="ES267" s="96"/>
      <c r="ET267" s="96"/>
    </row>
    <row r="268" spans="4:150"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</row>
    <row r="269" spans="4:150"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</row>
    <row r="270" spans="4:150"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</row>
    <row r="271" spans="4:150"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</row>
    <row r="272" spans="4:150"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</row>
    <row r="273" spans="4:150"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</row>
    <row r="274" spans="4:150"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</row>
    <row r="275" spans="4:150"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96"/>
      <c r="CI275" s="96"/>
      <c r="CJ275" s="96"/>
      <c r="CK275" s="96"/>
      <c r="CL275" s="96"/>
      <c r="CM275" s="96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/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/>
      <c r="EL275" s="96"/>
      <c r="EM275" s="96"/>
      <c r="EN275" s="96"/>
      <c r="EO275" s="96"/>
      <c r="EP275" s="96"/>
      <c r="EQ275" s="96"/>
      <c r="ER275" s="96"/>
      <c r="ES275" s="96"/>
      <c r="ET275" s="96"/>
    </row>
    <row r="276" spans="4:150"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</row>
    <row r="277" spans="4:150"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96"/>
      <c r="CI277" s="96"/>
      <c r="CJ277" s="96"/>
      <c r="CK277" s="96"/>
      <c r="CL277" s="96"/>
      <c r="CM277" s="96"/>
      <c r="CN277" s="96"/>
      <c r="CO277" s="96"/>
      <c r="CP277" s="96"/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  <c r="DA277" s="96"/>
      <c r="DB277" s="96"/>
      <c r="DC277" s="96"/>
      <c r="DD277" s="96"/>
      <c r="DE277" s="96"/>
      <c r="DF277" s="96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6"/>
      <c r="DX277" s="96"/>
      <c r="DY277" s="96"/>
      <c r="DZ277" s="96"/>
      <c r="EA277" s="96"/>
      <c r="EB277" s="96"/>
      <c r="EC277" s="96"/>
      <c r="ED277" s="96"/>
      <c r="EE277" s="96"/>
      <c r="EF277" s="96"/>
      <c r="EG277" s="96"/>
      <c r="EH277" s="96"/>
      <c r="EI277" s="96"/>
      <c r="EJ277" s="96"/>
      <c r="EK277" s="96"/>
      <c r="EL277" s="96"/>
      <c r="EM277" s="96"/>
      <c r="EN277" s="96"/>
      <c r="EO277" s="96"/>
      <c r="EP277" s="96"/>
      <c r="EQ277" s="96"/>
      <c r="ER277" s="96"/>
      <c r="ES277" s="96"/>
      <c r="ET277" s="96"/>
    </row>
    <row r="278" spans="4:150"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6"/>
      <c r="BS278" s="96"/>
      <c r="BT278" s="96"/>
      <c r="BU278" s="96"/>
      <c r="BV278" s="96"/>
      <c r="BW278" s="96"/>
      <c r="BX278" s="96"/>
      <c r="BY278" s="96"/>
      <c r="BZ278" s="96"/>
      <c r="CA278" s="96"/>
      <c r="CB278" s="96"/>
      <c r="CC278" s="96"/>
      <c r="CD278" s="96"/>
      <c r="CE278" s="96"/>
      <c r="CF278" s="96"/>
      <c r="CG278" s="96"/>
      <c r="CH278" s="96"/>
      <c r="CI278" s="96"/>
      <c r="CJ278" s="96"/>
      <c r="CK278" s="96"/>
      <c r="CL278" s="96"/>
      <c r="CM278" s="96"/>
      <c r="CN278" s="96"/>
      <c r="CO278" s="96"/>
      <c r="CP278" s="96"/>
      <c r="CQ278" s="96"/>
      <c r="CR278" s="96"/>
      <c r="CS278" s="96"/>
      <c r="CT278" s="96"/>
      <c r="CU278" s="96"/>
      <c r="CV278" s="96"/>
      <c r="CW278" s="96"/>
      <c r="CX278" s="96"/>
      <c r="CY278" s="96"/>
      <c r="CZ278" s="96"/>
      <c r="DA278" s="96"/>
      <c r="DB278" s="96"/>
      <c r="DC278" s="96"/>
      <c r="DD278" s="96"/>
      <c r="DE278" s="96"/>
      <c r="DF278" s="96"/>
      <c r="DG278" s="96"/>
      <c r="DH278" s="96"/>
      <c r="DI278" s="96"/>
      <c r="DJ278" s="96"/>
      <c r="DK278" s="96"/>
      <c r="DL278" s="96"/>
      <c r="DM278" s="96"/>
      <c r="DN278" s="96"/>
      <c r="DO278" s="96"/>
      <c r="DP278" s="96"/>
      <c r="DQ278" s="96"/>
      <c r="DR278" s="96"/>
      <c r="DS278" s="96"/>
      <c r="DT278" s="96"/>
      <c r="DU278" s="96"/>
      <c r="DV278" s="96"/>
      <c r="DW278" s="96"/>
      <c r="DX278" s="96"/>
      <c r="DY278" s="96"/>
      <c r="DZ278" s="96"/>
      <c r="EA278" s="96"/>
      <c r="EB278" s="96"/>
      <c r="EC278" s="96"/>
      <c r="ED278" s="96"/>
      <c r="EE278" s="96"/>
      <c r="EF278" s="96"/>
      <c r="EG278" s="96"/>
      <c r="EH278" s="96"/>
      <c r="EI278" s="96"/>
      <c r="EJ278" s="96"/>
      <c r="EK278" s="96"/>
      <c r="EL278" s="96"/>
      <c r="EM278" s="96"/>
      <c r="EN278" s="96"/>
      <c r="EO278" s="96"/>
      <c r="EP278" s="96"/>
      <c r="EQ278" s="96"/>
      <c r="ER278" s="96"/>
      <c r="ES278" s="96"/>
      <c r="ET278" s="96"/>
    </row>
    <row r="279" spans="4:150"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/>
      <c r="EL279" s="96"/>
      <c r="EM279" s="96"/>
      <c r="EN279" s="96"/>
      <c r="EO279" s="96"/>
      <c r="EP279" s="96"/>
      <c r="EQ279" s="96"/>
      <c r="ER279" s="96"/>
      <c r="ES279" s="96"/>
      <c r="ET279" s="96"/>
    </row>
    <row r="280" spans="4:150"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96"/>
      <c r="DJ280" s="96"/>
      <c r="DK280" s="96"/>
      <c r="DL280" s="96"/>
      <c r="DM280" s="96"/>
      <c r="DN280" s="96"/>
      <c r="DO280" s="96"/>
      <c r="DP280" s="96"/>
      <c r="DQ280" s="96"/>
      <c r="DR280" s="96"/>
      <c r="DS280" s="96"/>
      <c r="DT280" s="96"/>
      <c r="DU280" s="96"/>
      <c r="DV280" s="96"/>
      <c r="DW280" s="96"/>
      <c r="DX280" s="96"/>
      <c r="DY280" s="96"/>
      <c r="DZ280" s="96"/>
      <c r="EA280" s="96"/>
      <c r="EB280" s="96"/>
      <c r="EC280" s="96"/>
      <c r="ED280" s="96"/>
      <c r="EE280" s="96"/>
      <c r="EF280" s="96"/>
      <c r="EG280" s="96"/>
      <c r="EH280" s="96"/>
      <c r="EI280" s="96"/>
      <c r="EJ280" s="96"/>
      <c r="EK280" s="96"/>
      <c r="EL280" s="96"/>
      <c r="EM280" s="96"/>
      <c r="EN280" s="96"/>
      <c r="EO280" s="96"/>
      <c r="EP280" s="96"/>
      <c r="EQ280" s="96"/>
      <c r="ER280" s="96"/>
      <c r="ES280" s="96"/>
      <c r="ET280" s="96"/>
    </row>
    <row r="281" spans="4:150"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6"/>
      <c r="BS281" s="96"/>
      <c r="BT281" s="96"/>
      <c r="BU281" s="96"/>
      <c r="BV281" s="96"/>
      <c r="BW281" s="96"/>
      <c r="BX281" s="96"/>
      <c r="BY281" s="96"/>
      <c r="BZ281" s="96"/>
      <c r="CA281" s="96"/>
      <c r="CB281" s="96"/>
      <c r="CC281" s="96"/>
      <c r="CD281" s="96"/>
      <c r="CE281" s="96"/>
      <c r="CF281" s="96"/>
      <c r="CG281" s="96"/>
      <c r="CH281" s="96"/>
      <c r="CI281" s="96"/>
      <c r="CJ281" s="96"/>
      <c r="CK281" s="96"/>
      <c r="CL281" s="96"/>
      <c r="CM281" s="96"/>
      <c r="CN281" s="96"/>
      <c r="CO281" s="96"/>
      <c r="CP281" s="96"/>
      <c r="CQ281" s="96"/>
      <c r="CR281" s="96"/>
      <c r="CS281" s="96"/>
      <c r="CT281" s="96"/>
      <c r="CU281" s="96"/>
      <c r="CV281" s="96"/>
      <c r="CW281" s="96"/>
      <c r="CX281" s="96"/>
      <c r="CY281" s="96"/>
      <c r="CZ281" s="96"/>
      <c r="DA281" s="96"/>
      <c r="DB281" s="96"/>
      <c r="DC281" s="96"/>
      <c r="DD281" s="96"/>
      <c r="DE281" s="96"/>
      <c r="DF281" s="96"/>
      <c r="DG281" s="96"/>
      <c r="DH281" s="96"/>
      <c r="DI281" s="96"/>
      <c r="DJ281" s="96"/>
      <c r="DK281" s="96"/>
      <c r="DL281" s="96"/>
      <c r="DM281" s="96"/>
      <c r="DN281" s="96"/>
      <c r="DO281" s="96"/>
      <c r="DP281" s="96"/>
      <c r="DQ281" s="96"/>
      <c r="DR281" s="96"/>
      <c r="DS281" s="96"/>
      <c r="DT281" s="96"/>
      <c r="DU281" s="96"/>
      <c r="DV281" s="96"/>
      <c r="DW281" s="96"/>
      <c r="DX281" s="96"/>
      <c r="DY281" s="96"/>
      <c r="DZ281" s="96"/>
      <c r="EA281" s="96"/>
      <c r="EB281" s="96"/>
      <c r="EC281" s="96"/>
      <c r="ED281" s="96"/>
      <c r="EE281" s="96"/>
      <c r="EF281" s="96"/>
      <c r="EG281" s="96"/>
      <c r="EH281" s="96"/>
      <c r="EI281" s="96"/>
      <c r="EJ281" s="96"/>
      <c r="EK281" s="96"/>
      <c r="EL281" s="96"/>
      <c r="EM281" s="96"/>
      <c r="EN281" s="96"/>
      <c r="EO281" s="96"/>
      <c r="EP281" s="96"/>
      <c r="EQ281" s="96"/>
      <c r="ER281" s="96"/>
      <c r="ES281" s="96"/>
      <c r="ET281" s="96"/>
    </row>
    <row r="282" spans="4:150"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6"/>
      <c r="CA282" s="96"/>
      <c r="CB282" s="96"/>
      <c r="CC282" s="96"/>
      <c r="CD282" s="96"/>
      <c r="CE282" s="96"/>
      <c r="CF282" s="96"/>
      <c r="CG282" s="96"/>
      <c r="CH282" s="96"/>
      <c r="CI282" s="96"/>
      <c r="CJ282" s="96"/>
      <c r="CK282" s="96"/>
      <c r="CL282" s="96"/>
      <c r="CM282" s="96"/>
      <c r="CN282" s="96"/>
      <c r="CO282" s="96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  <c r="DA282" s="96"/>
      <c r="DB282" s="96"/>
      <c r="DC282" s="96"/>
      <c r="DD282" s="96"/>
      <c r="DE282" s="96"/>
      <c r="DF282" s="96"/>
      <c r="DG282" s="96"/>
      <c r="DH282" s="96"/>
      <c r="DI282" s="96"/>
      <c r="DJ282" s="96"/>
      <c r="DK282" s="96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6"/>
      <c r="DX282" s="96"/>
      <c r="DY282" s="96"/>
      <c r="DZ282" s="96"/>
      <c r="EA282" s="96"/>
      <c r="EB282" s="96"/>
      <c r="EC282" s="96"/>
      <c r="ED282" s="96"/>
      <c r="EE282" s="96"/>
      <c r="EF282" s="96"/>
      <c r="EG282" s="96"/>
      <c r="EH282" s="96"/>
      <c r="EI282" s="96"/>
      <c r="EJ282" s="96"/>
      <c r="EK282" s="96"/>
      <c r="EL282" s="96"/>
      <c r="EM282" s="96"/>
      <c r="EN282" s="96"/>
      <c r="EO282" s="96"/>
      <c r="EP282" s="96"/>
      <c r="EQ282" s="96"/>
      <c r="ER282" s="96"/>
      <c r="ES282" s="96"/>
      <c r="ET282" s="96"/>
    </row>
    <row r="283" spans="4:150"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6"/>
      <c r="BS283" s="96"/>
      <c r="BT283" s="96"/>
      <c r="BU283" s="96"/>
      <c r="BV283" s="96"/>
      <c r="BW283" s="96"/>
      <c r="BX283" s="96"/>
      <c r="BY283" s="96"/>
      <c r="BZ283" s="96"/>
      <c r="CA283" s="96"/>
      <c r="CB283" s="96"/>
      <c r="CC283" s="96"/>
      <c r="CD283" s="96"/>
      <c r="CE283" s="96"/>
      <c r="CF283" s="96"/>
      <c r="CG283" s="96"/>
      <c r="CH283" s="96"/>
      <c r="CI283" s="96"/>
      <c r="CJ283" s="96"/>
      <c r="CK283" s="96"/>
      <c r="CL283" s="96"/>
      <c r="CM283" s="96"/>
      <c r="CN283" s="96"/>
      <c r="CO283" s="96"/>
      <c r="CP283" s="96"/>
      <c r="CQ283" s="96"/>
      <c r="CR283" s="96"/>
      <c r="CS283" s="96"/>
      <c r="CT283" s="96"/>
      <c r="CU283" s="96"/>
      <c r="CV283" s="96"/>
      <c r="CW283" s="96"/>
      <c r="CX283" s="96"/>
      <c r="CY283" s="96"/>
      <c r="CZ283" s="96"/>
      <c r="DA283" s="96"/>
      <c r="DB283" s="96"/>
      <c r="DC283" s="96"/>
      <c r="DD283" s="96"/>
      <c r="DE283" s="96"/>
      <c r="DF283" s="96"/>
      <c r="DG283" s="96"/>
      <c r="DH283" s="96"/>
      <c r="DI283" s="96"/>
      <c r="DJ283" s="96"/>
      <c r="DK283" s="96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/>
      <c r="DY283" s="96"/>
      <c r="DZ283" s="96"/>
      <c r="EA283" s="96"/>
      <c r="EB283" s="96"/>
      <c r="EC283" s="96"/>
      <c r="ED283" s="96"/>
      <c r="EE283" s="96"/>
      <c r="EF283" s="96"/>
      <c r="EG283" s="96"/>
      <c r="EH283" s="96"/>
      <c r="EI283" s="96"/>
      <c r="EJ283" s="96"/>
      <c r="EK283" s="96"/>
      <c r="EL283" s="96"/>
      <c r="EM283" s="96"/>
      <c r="EN283" s="96"/>
      <c r="EO283" s="96"/>
      <c r="EP283" s="96"/>
      <c r="EQ283" s="96"/>
      <c r="ER283" s="96"/>
      <c r="ES283" s="96"/>
      <c r="ET283" s="96"/>
    </row>
    <row r="284" spans="4:150"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6"/>
      <c r="BS284" s="96"/>
      <c r="BT284" s="96"/>
      <c r="BU284" s="96"/>
      <c r="BV284" s="96"/>
      <c r="BW284" s="96"/>
      <c r="BX284" s="96"/>
      <c r="BY284" s="96"/>
      <c r="BZ284" s="96"/>
      <c r="CA284" s="96"/>
      <c r="CB284" s="96"/>
      <c r="CC284" s="96"/>
      <c r="CD284" s="96"/>
      <c r="CE284" s="96"/>
      <c r="CF284" s="96"/>
      <c r="CG284" s="96"/>
      <c r="CH284" s="96"/>
      <c r="CI284" s="96"/>
      <c r="CJ284" s="96"/>
      <c r="CK284" s="96"/>
      <c r="CL284" s="96"/>
      <c r="CM284" s="96"/>
      <c r="CN284" s="96"/>
      <c r="CO284" s="96"/>
      <c r="CP284" s="96"/>
      <c r="CQ284" s="96"/>
      <c r="CR284" s="96"/>
      <c r="CS284" s="96"/>
      <c r="CT284" s="96"/>
      <c r="CU284" s="96"/>
      <c r="CV284" s="96"/>
      <c r="CW284" s="96"/>
      <c r="CX284" s="96"/>
      <c r="CY284" s="96"/>
      <c r="CZ284" s="96"/>
      <c r="DA284" s="96"/>
      <c r="DB284" s="96"/>
      <c r="DC284" s="96"/>
      <c r="DD284" s="96"/>
      <c r="DE284" s="96"/>
      <c r="DF284" s="96"/>
      <c r="DG284" s="96"/>
      <c r="DH284" s="96"/>
      <c r="DI284" s="96"/>
      <c r="DJ284" s="96"/>
      <c r="DK284" s="96"/>
      <c r="DL284" s="96"/>
      <c r="DM284" s="96"/>
      <c r="DN284" s="96"/>
      <c r="DO284" s="96"/>
      <c r="DP284" s="96"/>
      <c r="DQ284" s="96"/>
      <c r="DR284" s="96"/>
      <c r="DS284" s="96"/>
      <c r="DT284" s="96"/>
      <c r="DU284" s="96"/>
      <c r="DV284" s="96"/>
      <c r="DW284" s="96"/>
      <c r="DX284" s="96"/>
      <c r="DY284" s="96"/>
      <c r="DZ284" s="96"/>
      <c r="EA284" s="96"/>
      <c r="EB284" s="96"/>
      <c r="EC284" s="96"/>
      <c r="ED284" s="96"/>
      <c r="EE284" s="96"/>
      <c r="EF284" s="96"/>
      <c r="EG284" s="96"/>
      <c r="EH284" s="96"/>
      <c r="EI284" s="96"/>
      <c r="EJ284" s="96"/>
      <c r="EK284" s="96"/>
      <c r="EL284" s="96"/>
      <c r="EM284" s="96"/>
      <c r="EN284" s="96"/>
      <c r="EO284" s="96"/>
      <c r="EP284" s="96"/>
      <c r="EQ284" s="96"/>
      <c r="ER284" s="96"/>
      <c r="ES284" s="96"/>
      <c r="ET284" s="96"/>
    </row>
    <row r="285" spans="4:150"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96"/>
      <c r="CI285" s="96"/>
      <c r="CJ285" s="96"/>
      <c r="CK285" s="96"/>
      <c r="CL285" s="96"/>
      <c r="CM285" s="96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6"/>
      <c r="DF285" s="96"/>
      <c r="DG285" s="96"/>
      <c r="DH285" s="96"/>
      <c r="DI285" s="96"/>
      <c r="DJ285" s="96"/>
      <c r="DK285" s="96"/>
      <c r="DL285" s="96"/>
      <c r="DM285" s="96"/>
      <c r="DN285" s="96"/>
      <c r="DO285" s="96"/>
      <c r="DP285" s="96"/>
      <c r="DQ285" s="96"/>
      <c r="DR285" s="96"/>
      <c r="DS285" s="96"/>
      <c r="DT285" s="96"/>
      <c r="DU285" s="96"/>
      <c r="DV285" s="96"/>
      <c r="DW285" s="96"/>
      <c r="DX285" s="96"/>
      <c r="DY285" s="96"/>
      <c r="DZ285" s="96"/>
      <c r="EA285" s="96"/>
      <c r="EB285" s="96"/>
      <c r="EC285" s="96"/>
      <c r="ED285" s="96"/>
      <c r="EE285" s="96"/>
      <c r="EF285" s="96"/>
      <c r="EG285" s="96"/>
      <c r="EH285" s="96"/>
      <c r="EI285" s="96"/>
      <c r="EJ285" s="96"/>
      <c r="EK285" s="96"/>
      <c r="EL285" s="96"/>
      <c r="EM285" s="96"/>
      <c r="EN285" s="96"/>
      <c r="EO285" s="96"/>
      <c r="EP285" s="96"/>
      <c r="EQ285" s="96"/>
      <c r="ER285" s="96"/>
      <c r="ES285" s="96"/>
      <c r="ET285" s="96"/>
    </row>
    <row r="286" spans="4:150"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  <c r="BT286" s="96"/>
      <c r="BU286" s="96"/>
      <c r="BV286" s="96"/>
      <c r="BW286" s="96"/>
      <c r="BX286" s="96"/>
      <c r="BY286" s="96"/>
      <c r="BZ286" s="96"/>
      <c r="CA286" s="96"/>
      <c r="CB286" s="96"/>
      <c r="CC286" s="96"/>
      <c r="CD286" s="96"/>
      <c r="CE286" s="96"/>
      <c r="CF286" s="96"/>
      <c r="CG286" s="96"/>
      <c r="CH286" s="96"/>
      <c r="CI286" s="96"/>
      <c r="CJ286" s="96"/>
      <c r="CK286" s="96"/>
      <c r="CL286" s="96"/>
      <c r="CM286" s="96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  <c r="EP286" s="96"/>
      <c r="EQ286" s="96"/>
      <c r="ER286" s="96"/>
      <c r="ES286" s="96"/>
      <c r="ET286" s="96"/>
    </row>
    <row r="287" spans="4:150"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  <c r="DA287" s="96"/>
      <c r="DB287" s="96"/>
      <c r="DC287" s="96"/>
      <c r="DD287" s="96"/>
      <c r="DE287" s="96"/>
      <c r="DF287" s="96"/>
      <c r="DG287" s="96"/>
      <c r="DH287" s="96"/>
      <c r="DI287" s="96"/>
      <c r="DJ287" s="96"/>
      <c r="DK287" s="96"/>
      <c r="DL287" s="96"/>
      <c r="DM287" s="96"/>
      <c r="DN287" s="96"/>
      <c r="DO287" s="96"/>
      <c r="DP287" s="96"/>
      <c r="DQ287" s="96"/>
      <c r="DR287" s="96"/>
      <c r="DS287" s="96"/>
      <c r="DT287" s="96"/>
      <c r="DU287" s="96"/>
      <c r="DV287" s="96"/>
      <c r="DW287" s="96"/>
      <c r="DX287" s="96"/>
      <c r="DY287" s="96"/>
      <c r="DZ287" s="96"/>
      <c r="EA287" s="96"/>
      <c r="EB287" s="96"/>
      <c r="EC287" s="96"/>
      <c r="ED287" s="96"/>
      <c r="EE287" s="96"/>
      <c r="EF287" s="96"/>
      <c r="EG287" s="96"/>
      <c r="EH287" s="96"/>
      <c r="EI287" s="96"/>
      <c r="EJ287" s="96"/>
      <c r="EK287" s="96"/>
      <c r="EL287" s="96"/>
      <c r="EM287" s="96"/>
      <c r="EN287" s="96"/>
      <c r="EO287" s="96"/>
      <c r="EP287" s="96"/>
      <c r="EQ287" s="96"/>
      <c r="ER287" s="96"/>
      <c r="ES287" s="96"/>
      <c r="ET287" s="96"/>
    </row>
    <row r="288" spans="4:150"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  <c r="BT288" s="96"/>
      <c r="BU288" s="96"/>
      <c r="BV288" s="96"/>
      <c r="BW288" s="96"/>
      <c r="BX288" s="96"/>
      <c r="BY288" s="96"/>
      <c r="BZ288" s="96"/>
      <c r="CA288" s="96"/>
      <c r="CB288" s="96"/>
      <c r="CC288" s="96"/>
      <c r="CD288" s="96"/>
      <c r="CE288" s="96"/>
      <c r="CF288" s="96"/>
      <c r="CG288" s="96"/>
      <c r="CH288" s="96"/>
      <c r="CI288" s="96"/>
      <c r="CJ288" s="96"/>
      <c r="CK288" s="96"/>
      <c r="CL288" s="96"/>
      <c r="CM288" s="96"/>
      <c r="CN288" s="96"/>
      <c r="CO288" s="96"/>
      <c r="CP288" s="96"/>
      <c r="CQ288" s="96"/>
      <c r="CR288" s="96"/>
      <c r="CS288" s="96"/>
      <c r="CT288" s="96"/>
      <c r="CU288" s="96"/>
      <c r="CV288" s="96"/>
      <c r="CW288" s="96"/>
      <c r="CX288" s="96"/>
      <c r="CY288" s="96"/>
      <c r="CZ288" s="96"/>
      <c r="DA288" s="96"/>
      <c r="DB288" s="96"/>
      <c r="DC288" s="96"/>
      <c r="DD288" s="96"/>
      <c r="DE288" s="96"/>
      <c r="DF288" s="96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/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/>
      <c r="EL288" s="96"/>
      <c r="EM288" s="96"/>
      <c r="EN288" s="96"/>
      <c r="EO288" s="96"/>
      <c r="EP288" s="96"/>
      <c r="EQ288" s="96"/>
      <c r="ER288" s="96"/>
      <c r="ES288" s="96"/>
      <c r="ET288" s="96"/>
    </row>
    <row r="289" spans="4:150"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  <c r="CD289" s="96"/>
      <c r="CE289" s="96"/>
      <c r="CF289" s="96"/>
      <c r="CG289" s="96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  <c r="DA289" s="96"/>
      <c r="DB289" s="96"/>
      <c r="DC289" s="96"/>
      <c r="DD289" s="96"/>
      <c r="DE289" s="96"/>
      <c r="DF289" s="96"/>
      <c r="DG289" s="96"/>
      <c r="DH289" s="96"/>
      <c r="DI289" s="96"/>
      <c r="DJ289" s="96"/>
      <c r="DK289" s="96"/>
      <c r="DL289" s="96"/>
      <c r="DM289" s="96"/>
      <c r="DN289" s="96"/>
      <c r="DO289" s="96"/>
      <c r="DP289" s="96"/>
      <c r="DQ289" s="96"/>
      <c r="DR289" s="96"/>
      <c r="DS289" s="96"/>
      <c r="DT289" s="96"/>
      <c r="DU289" s="96"/>
      <c r="DV289" s="96"/>
      <c r="DW289" s="96"/>
      <c r="DX289" s="96"/>
      <c r="DY289" s="96"/>
      <c r="DZ289" s="96"/>
      <c r="EA289" s="96"/>
      <c r="EB289" s="96"/>
      <c r="EC289" s="96"/>
      <c r="ED289" s="96"/>
      <c r="EE289" s="96"/>
      <c r="EF289" s="96"/>
      <c r="EG289" s="96"/>
      <c r="EH289" s="96"/>
      <c r="EI289" s="96"/>
      <c r="EJ289" s="96"/>
      <c r="EK289" s="96"/>
      <c r="EL289" s="96"/>
      <c r="EM289" s="96"/>
      <c r="EN289" s="96"/>
      <c r="EO289" s="96"/>
      <c r="EP289" s="96"/>
      <c r="EQ289" s="96"/>
      <c r="ER289" s="96"/>
      <c r="ES289" s="96"/>
      <c r="ET289" s="96"/>
    </row>
    <row r="290" spans="4:150"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</row>
    <row r="291" spans="4:150"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  <c r="BT291" s="96"/>
      <c r="BU291" s="96"/>
      <c r="BV291" s="96"/>
      <c r="BW291" s="96"/>
      <c r="BX291" s="96"/>
      <c r="BY291" s="96"/>
      <c r="BZ291" s="96"/>
      <c r="CA291" s="96"/>
      <c r="CB291" s="96"/>
      <c r="CC291" s="96"/>
      <c r="CD291" s="96"/>
      <c r="CE291" s="96"/>
      <c r="CF291" s="96"/>
      <c r="CG291" s="96"/>
      <c r="CH291" s="96"/>
      <c r="CI291" s="96"/>
      <c r="CJ291" s="96"/>
      <c r="CK291" s="96"/>
      <c r="CL291" s="96"/>
      <c r="CM291" s="96"/>
      <c r="CN291" s="96"/>
      <c r="CO291" s="96"/>
      <c r="CP291" s="96"/>
      <c r="CQ291" s="96"/>
      <c r="CR291" s="96"/>
      <c r="CS291" s="96"/>
      <c r="CT291" s="96"/>
      <c r="CU291" s="96"/>
      <c r="CV291" s="96"/>
      <c r="CW291" s="96"/>
      <c r="CX291" s="96"/>
      <c r="CY291" s="96"/>
      <c r="CZ291" s="96"/>
      <c r="DA291" s="96"/>
      <c r="DB291" s="96"/>
      <c r="DC291" s="96"/>
      <c r="DD291" s="96"/>
      <c r="DE291" s="96"/>
      <c r="DF291" s="96"/>
      <c r="DG291" s="96"/>
      <c r="DH291" s="96"/>
      <c r="DI291" s="96"/>
      <c r="DJ291" s="96"/>
      <c r="DK291" s="96"/>
      <c r="DL291" s="96"/>
      <c r="DM291" s="96"/>
      <c r="DN291" s="96"/>
      <c r="DO291" s="96"/>
      <c r="DP291" s="96"/>
      <c r="DQ291" s="96"/>
      <c r="DR291" s="96"/>
      <c r="DS291" s="96"/>
      <c r="DT291" s="96"/>
      <c r="DU291" s="96"/>
      <c r="DV291" s="96"/>
      <c r="DW291" s="96"/>
      <c r="DX291" s="96"/>
      <c r="DY291" s="96"/>
      <c r="DZ291" s="96"/>
      <c r="EA291" s="96"/>
      <c r="EB291" s="96"/>
      <c r="EC291" s="96"/>
      <c r="ED291" s="96"/>
      <c r="EE291" s="96"/>
      <c r="EF291" s="96"/>
      <c r="EG291" s="96"/>
      <c r="EH291" s="96"/>
      <c r="EI291" s="96"/>
      <c r="EJ291" s="96"/>
      <c r="EK291" s="96"/>
      <c r="EL291" s="96"/>
      <c r="EM291" s="96"/>
      <c r="EN291" s="96"/>
      <c r="EO291" s="96"/>
      <c r="EP291" s="96"/>
      <c r="EQ291" s="96"/>
      <c r="ER291" s="96"/>
      <c r="ES291" s="96"/>
      <c r="ET291" s="96"/>
    </row>
    <row r="292" spans="4:150"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  <c r="BT292" s="96"/>
      <c r="BU292" s="96"/>
      <c r="BV292" s="96"/>
      <c r="BW292" s="96"/>
      <c r="BX292" s="96"/>
      <c r="BY292" s="96"/>
      <c r="BZ292" s="96"/>
      <c r="CA292" s="96"/>
      <c r="CB292" s="96"/>
      <c r="CC292" s="96"/>
      <c r="CD292" s="96"/>
      <c r="CE292" s="96"/>
      <c r="CF292" s="96"/>
      <c r="CG292" s="96"/>
      <c r="CH292" s="96"/>
      <c r="CI292" s="96"/>
      <c r="CJ292" s="96"/>
      <c r="CK292" s="96"/>
      <c r="CL292" s="96"/>
      <c r="CM292" s="96"/>
      <c r="CN292" s="96"/>
      <c r="CO292" s="96"/>
      <c r="CP292" s="96"/>
      <c r="CQ292" s="96"/>
      <c r="CR292" s="96"/>
      <c r="CS292" s="96"/>
      <c r="CT292" s="96"/>
      <c r="CU292" s="96"/>
      <c r="CV292" s="96"/>
      <c r="CW292" s="96"/>
      <c r="CX292" s="96"/>
      <c r="CY292" s="96"/>
      <c r="CZ292" s="96"/>
      <c r="DA292" s="96"/>
      <c r="DB292" s="96"/>
      <c r="DC292" s="96"/>
      <c r="DD292" s="96"/>
      <c r="DE292" s="96"/>
      <c r="DF292" s="96"/>
      <c r="DG292" s="96"/>
      <c r="DH292" s="96"/>
      <c r="DI292" s="96"/>
      <c r="DJ292" s="96"/>
      <c r="DK292" s="96"/>
      <c r="DL292" s="96"/>
      <c r="DM292" s="96"/>
      <c r="DN292" s="96"/>
      <c r="DO292" s="96"/>
      <c r="DP292" s="96"/>
      <c r="DQ292" s="96"/>
      <c r="DR292" s="96"/>
      <c r="DS292" s="96"/>
      <c r="DT292" s="96"/>
      <c r="DU292" s="96"/>
      <c r="DV292" s="96"/>
      <c r="DW292" s="96"/>
      <c r="DX292" s="96"/>
      <c r="DY292" s="96"/>
      <c r="DZ292" s="96"/>
      <c r="EA292" s="96"/>
      <c r="EB292" s="96"/>
      <c r="EC292" s="96"/>
      <c r="ED292" s="96"/>
      <c r="EE292" s="96"/>
      <c r="EF292" s="96"/>
      <c r="EG292" s="96"/>
      <c r="EH292" s="96"/>
      <c r="EI292" s="96"/>
      <c r="EJ292" s="96"/>
      <c r="EK292" s="96"/>
      <c r="EL292" s="96"/>
      <c r="EM292" s="96"/>
      <c r="EN292" s="96"/>
      <c r="EO292" s="96"/>
      <c r="EP292" s="96"/>
      <c r="EQ292" s="96"/>
      <c r="ER292" s="96"/>
      <c r="ES292" s="96"/>
      <c r="ET292" s="96"/>
    </row>
    <row r="293" spans="4:150"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  <c r="EP293" s="96"/>
      <c r="EQ293" s="96"/>
      <c r="ER293" s="96"/>
      <c r="ES293" s="96"/>
      <c r="ET293" s="96"/>
    </row>
    <row r="294" spans="4:150"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  <c r="BT294" s="96"/>
      <c r="BU294" s="96"/>
      <c r="BV294" s="96"/>
      <c r="BW294" s="96"/>
      <c r="BX294" s="96"/>
      <c r="BY294" s="96"/>
      <c r="BZ294" s="96"/>
      <c r="CA294" s="96"/>
      <c r="CB294" s="96"/>
      <c r="CC294" s="96"/>
      <c r="CD294" s="96"/>
      <c r="CE294" s="96"/>
      <c r="CF294" s="96"/>
      <c r="CG294" s="96"/>
      <c r="CH294" s="96"/>
      <c r="CI294" s="96"/>
      <c r="CJ294" s="96"/>
      <c r="CK294" s="96"/>
      <c r="CL294" s="96"/>
      <c r="CM294" s="96"/>
      <c r="CN294" s="96"/>
      <c r="CO294" s="96"/>
      <c r="CP294" s="96"/>
      <c r="CQ294" s="96"/>
      <c r="CR294" s="96"/>
      <c r="CS294" s="96"/>
      <c r="CT294" s="96"/>
      <c r="CU294" s="96"/>
      <c r="CV294" s="96"/>
      <c r="CW294" s="96"/>
      <c r="CX294" s="96"/>
      <c r="CY294" s="96"/>
      <c r="CZ294" s="96"/>
      <c r="DA294" s="96"/>
      <c r="DB294" s="96"/>
      <c r="DC294" s="96"/>
      <c r="DD294" s="96"/>
      <c r="DE294" s="96"/>
      <c r="DF294" s="96"/>
      <c r="DG294" s="96"/>
      <c r="DH294" s="96"/>
      <c r="DI294" s="96"/>
      <c r="DJ294" s="96"/>
      <c r="DK294" s="96"/>
      <c r="DL294" s="96"/>
      <c r="DM294" s="96"/>
      <c r="DN294" s="96"/>
      <c r="DO294" s="96"/>
      <c r="DP294" s="96"/>
      <c r="DQ294" s="96"/>
      <c r="DR294" s="96"/>
      <c r="DS294" s="96"/>
      <c r="DT294" s="96"/>
      <c r="DU294" s="96"/>
      <c r="DV294" s="96"/>
      <c r="DW294" s="96"/>
      <c r="DX294" s="96"/>
      <c r="DY294" s="96"/>
      <c r="DZ294" s="96"/>
      <c r="EA294" s="96"/>
      <c r="EB294" s="96"/>
      <c r="EC294" s="96"/>
      <c r="ED294" s="96"/>
      <c r="EE294" s="96"/>
      <c r="EF294" s="96"/>
      <c r="EG294" s="96"/>
      <c r="EH294" s="96"/>
      <c r="EI294" s="96"/>
      <c r="EJ294" s="96"/>
      <c r="EK294" s="96"/>
      <c r="EL294" s="96"/>
      <c r="EM294" s="96"/>
      <c r="EN294" s="96"/>
      <c r="EO294" s="96"/>
      <c r="EP294" s="96"/>
      <c r="EQ294" s="96"/>
      <c r="ER294" s="96"/>
      <c r="ES294" s="96"/>
      <c r="ET294" s="96"/>
    </row>
    <row r="295" spans="4:150"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  <c r="BT295" s="96"/>
      <c r="BU295" s="96"/>
      <c r="BV295" s="96"/>
      <c r="BW295" s="96"/>
      <c r="BX295" s="96"/>
      <c r="BY295" s="96"/>
      <c r="BZ295" s="96"/>
      <c r="CA295" s="96"/>
      <c r="CB295" s="96"/>
      <c r="CC295" s="96"/>
      <c r="CD295" s="96"/>
      <c r="CE295" s="96"/>
      <c r="CF295" s="96"/>
      <c r="CG295" s="96"/>
      <c r="CH295" s="96"/>
      <c r="CI295" s="96"/>
      <c r="CJ295" s="96"/>
      <c r="CK295" s="96"/>
      <c r="CL295" s="96"/>
      <c r="CM295" s="96"/>
      <c r="CN295" s="96"/>
      <c r="CO295" s="96"/>
      <c r="CP295" s="96"/>
      <c r="CQ295" s="96"/>
      <c r="CR295" s="96"/>
      <c r="CS295" s="96"/>
      <c r="CT295" s="96"/>
      <c r="CU295" s="96"/>
      <c r="CV295" s="96"/>
      <c r="CW295" s="96"/>
      <c r="CX295" s="96"/>
      <c r="CY295" s="96"/>
      <c r="CZ295" s="96"/>
      <c r="DA295" s="96"/>
      <c r="DB295" s="96"/>
      <c r="DC295" s="96"/>
      <c r="DD295" s="96"/>
      <c r="DE295" s="96"/>
      <c r="DF295" s="96"/>
      <c r="DG295" s="96"/>
      <c r="DH295" s="96"/>
      <c r="DI295" s="96"/>
      <c r="DJ295" s="96"/>
      <c r="DK295" s="96"/>
      <c r="DL295" s="96"/>
      <c r="DM295" s="96"/>
      <c r="DN295" s="96"/>
      <c r="DO295" s="96"/>
      <c r="DP295" s="96"/>
      <c r="DQ295" s="96"/>
      <c r="DR295" s="96"/>
      <c r="DS295" s="96"/>
      <c r="DT295" s="96"/>
      <c r="DU295" s="96"/>
      <c r="DV295" s="96"/>
      <c r="DW295" s="96"/>
      <c r="DX295" s="96"/>
      <c r="DY295" s="96"/>
      <c r="DZ295" s="96"/>
      <c r="EA295" s="96"/>
      <c r="EB295" s="96"/>
      <c r="EC295" s="96"/>
      <c r="ED295" s="96"/>
      <c r="EE295" s="96"/>
      <c r="EF295" s="96"/>
      <c r="EG295" s="96"/>
      <c r="EH295" s="96"/>
      <c r="EI295" s="96"/>
      <c r="EJ295" s="96"/>
      <c r="EK295" s="96"/>
      <c r="EL295" s="96"/>
      <c r="EM295" s="96"/>
      <c r="EN295" s="96"/>
      <c r="EO295" s="96"/>
      <c r="EP295" s="96"/>
      <c r="EQ295" s="96"/>
      <c r="ER295" s="96"/>
      <c r="ES295" s="96"/>
      <c r="ET295" s="96"/>
    </row>
    <row r="296" spans="4:150"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  <c r="CC296" s="96"/>
      <c r="CD296" s="96"/>
      <c r="CE296" s="96"/>
      <c r="CF296" s="96"/>
      <c r="CG296" s="96"/>
      <c r="CH296" s="96"/>
      <c r="CI296" s="96"/>
      <c r="CJ296" s="96"/>
      <c r="CK296" s="96"/>
      <c r="CL296" s="96"/>
      <c r="CM296" s="96"/>
      <c r="CN296" s="96"/>
      <c r="CO296" s="96"/>
      <c r="CP296" s="96"/>
      <c r="CQ296" s="96"/>
      <c r="CR296" s="96"/>
      <c r="CS296" s="96"/>
      <c r="CT296" s="96"/>
      <c r="CU296" s="96"/>
      <c r="CV296" s="96"/>
      <c r="CW296" s="96"/>
      <c r="CX296" s="96"/>
      <c r="CY296" s="96"/>
      <c r="CZ296" s="96"/>
      <c r="DA296" s="96"/>
      <c r="DB296" s="96"/>
      <c r="DC296" s="96"/>
      <c r="DD296" s="96"/>
      <c r="DE296" s="96"/>
      <c r="DF296" s="96"/>
      <c r="DG296" s="96"/>
      <c r="DH296" s="96"/>
      <c r="DI296" s="96"/>
      <c r="DJ296" s="96"/>
      <c r="DK296" s="96"/>
      <c r="DL296" s="96"/>
      <c r="DM296" s="96"/>
      <c r="DN296" s="96"/>
      <c r="DO296" s="96"/>
      <c r="DP296" s="96"/>
      <c r="DQ296" s="96"/>
      <c r="DR296" s="96"/>
      <c r="DS296" s="96"/>
      <c r="DT296" s="96"/>
      <c r="DU296" s="96"/>
      <c r="DV296" s="96"/>
      <c r="DW296" s="96"/>
      <c r="DX296" s="96"/>
      <c r="DY296" s="96"/>
      <c r="DZ296" s="96"/>
      <c r="EA296" s="96"/>
      <c r="EB296" s="96"/>
      <c r="EC296" s="96"/>
      <c r="ED296" s="96"/>
      <c r="EE296" s="96"/>
      <c r="EF296" s="96"/>
      <c r="EG296" s="96"/>
      <c r="EH296" s="96"/>
      <c r="EI296" s="96"/>
      <c r="EJ296" s="96"/>
      <c r="EK296" s="96"/>
      <c r="EL296" s="96"/>
      <c r="EM296" s="96"/>
      <c r="EN296" s="96"/>
      <c r="EO296" s="96"/>
      <c r="EP296" s="96"/>
      <c r="EQ296" s="96"/>
      <c r="ER296" s="96"/>
      <c r="ES296" s="96"/>
      <c r="ET296" s="96"/>
    </row>
    <row r="297" spans="4:150"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  <c r="CC297" s="96"/>
      <c r="CD297" s="96"/>
      <c r="CE297" s="96"/>
      <c r="CF297" s="96"/>
      <c r="CG297" s="96"/>
      <c r="CH297" s="96"/>
      <c r="CI297" s="96"/>
      <c r="CJ297" s="96"/>
      <c r="CK297" s="96"/>
      <c r="CL297" s="96"/>
      <c r="CM297" s="96"/>
      <c r="CN297" s="96"/>
      <c r="CO297" s="96"/>
      <c r="CP297" s="96"/>
      <c r="CQ297" s="96"/>
      <c r="CR297" s="96"/>
      <c r="CS297" s="96"/>
      <c r="CT297" s="96"/>
      <c r="CU297" s="96"/>
      <c r="CV297" s="96"/>
      <c r="CW297" s="96"/>
      <c r="CX297" s="96"/>
      <c r="CY297" s="96"/>
      <c r="CZ297" s="96"/>
      <c r="DA297" s="96"/>
      <c r="DB297" s="96"/>
      <c r="DC297" s="96"/>
      <c r="DD297" s="96"/>
      <c r="DE297" s="96"/>
      <c r="DF297" s="96"/>
      <c r="DG297" s="96"/>
      <c r="DH297" s="96"/>
      <c r="DI297" s="96"/>
      <c r="DJ297" s="96"/>
      <c r="DK297" s="96"/>
      <c r="DL297" s="96"/>
      <c r="DM297" s="96"/>
      <c r="DN297" s="96"/>
      <c r="DO297" s="96"/>
      <c r="DP297" s="96"/>
      <c r="DQ297" s="96"/>
      <c r="DR297" s="96"/>
      <c r="DS297" s="96"/>
      <c r="DT297" s="96"/>
      <c r="DU297" s="96"/>
      <c r="DV297" s="96"/>
      <c r="DW297" s="96"/>
      <c r="DX297" s="96"/>
      <c r="DY297" s="96"/>
      <c r="DZ297" s="96"/>
      <c r="EA297" s="96"/>
      <c r="EB297" s="96"/>
      <c r="EC297" s="96"/>
      <c r="ED297" s="96"/>
      <c r="EE297" s="96"/>
      <c r="EF297" s="96"/>
      <c r="EG297" s="96"/>
      <c r="EH297" s="96"/>
      <c r="EI297" s="96"/>
      <c r="EJ297" s="96"/>
      <c r="EK297" s="96"/>
      <c r="EL297" s="96"/>
      <c r="EM297" s="96"/>
      <c r="EN297" s="96"/>
      <c r="EO297" s="96"/>
      <c r="EP297" s="96"/>
      <c r="EQ297" s="96"/>
      <c r="ER297" s="96"/>
      <c r="ES297" s="96"/>
      <c r="ET297" s="96"/>
    </row>
    <row r="298" spans="4:150"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  <c r="CC298" s="96"/>
      <c r="CD298" s="96"/>
      <c r="CE298" s="96"/>
      <c r="CF298" s="96"/>
      <c r="CG298" s="96"/>
      <c r="CH298" s="96"/>
      <c r="CI298" s="96"/>
      <c r="CJ298" s="96"/>
      <c r="CK298" s="96"/>
      <c r="CL298" s="96"/>
      <c r="CM298" s="96"/>
      <c r="CN298" s="96"/>
      <c r="CO298" s="96"/>
      <c r="CP298" s="96"/>
      <c r="CQ298" s="96"/>
      <c r="CR298" s="96"/>
      <c r="CS298" s="96"/>
      <c r="CT298" s="96"/>
      <c r="CU298" s="96"/>
      <c r="CV298" s="96"/>
      <c r="CW298" s="96"/>
      <c r="CX298" s="96"/>
      <c r="CY298" s="96"/>
      <c r="CZ298" s="96"/>
      <c r="DA298" s="96"/>
      <c r="DB298" s="96"/>
      <c r="DC298" s="96"/>
      <c r="DD298" s="96"/>
      <c r="DE298" s="96"/>
      <c r="DF298" s="96"/>
      <c r="DG298" s="96"/>
      <c r="DH298" s="96"/>
      <c r="DI298" s="96"/>
      <c r="DJ298" s="96"/>
      <c r="DK298" s="96"/>
      <c r="DL298" s="96"/>
      <c r="DM298" s="96"/>
      <c r="DN298" s="96"/>
      <c r="DO298" s="96"/>
      <c r="DP298" s="96"/>
      <c r="DQ298" s="96"/>
      <c r="DR298" s="96"/>
      <c r="DS298" s="96"/>
      <c r="DT298" s="96"/>
      <c r="DU298" s="96"/>
      <c r="DV298" s="96"/>
      <c r="DW298" s="96"/>
      <c r="DX298" s="96"/>
      <c r="DY298" s="96"/>
      <c r="DZ298" s="96"/>
      <c r="EA298" s="96"/>
      <c r="EB298" s="96"/>
      <c r="EC298" s="96"/>
      <c r="ED298" s="96"/>
      <c r="EE298" s="96"/>
      <c r="EF298" s="96"/>
      <c r="EG298" s="96"/>
      <c r="EH298" s="96"/>
      <c r="EI298" s="96"/>
      <c r="EJ298" s="96"/>
      <c r="EK298" s="96"/>
      <c r="EL298" s="96"/>
      <c r="EM298" s="96"/>
      <c r="EN298" s="96"/>
      <c r="EO298" s="96"/>
      <c r="EP298" s="96"/>
      <c r="EQ298" s="96"/>
      <c r="ER298" s="96"/>
      <c r="ES298" s="96"/>
      <c r="ET298" s="96"/>
    </row>
    <row r="299" spans="4:150"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  <c r="CC299" s="96"/>
      <c r="CD299" s="96"/>
      <c r="CE299" s="96"/>
      <c r="CF299" s="96"/>
      <c r="CG299" s="96"/>
      <c r="CH299" s="96"/>
      <c r="CI299" s="96"/>
      <c r="CJ299" s="96"/>
      <c r="CK299" s="96"/>
      <c r="CL299" s="96"/>
      <c r="CM299" s="96"/>
      <c r="CN299" s="96"/>
      <c r="CO299" s="96"/>
      <c r="CP299" s="96"/>
      <c r="CQ299" s="96"/>
      <c r="CR299" s="96"/>
      <c r="CS299" s="96"/>
      <c r="CT299" s="96"/>
      <c r="CU299" s="96"/>
      <c r="CV299" s="96"/>
      <c r="CW299" s="96"/>
      <c r="CX299" s="96"/>
      <c r="CY299" s="96"/>
      <c r="CZ299" s="96"/>
      <c r="DA299" s="96"/>
      <c r="DB299" s="96"/>
      <c r="DC299" s="96"/>
      <c r="DD299" s="96"/>
      <c r="DE299" s="96"/>
      <c r="DF299" s="96"/>
      <c r="DG299" s="96"/>
      <c r="DH299" s="96"/>
      <c r="DI299" s="96"/>
      <c r="DJ299" s="96"/>
      <c r="DK299" s="96"/>
      <c r="DL299" s="96"/>
      <c r="DM299" s="96"/>
      <c r="DN299" s="96"/>
      <c r="DO299" s="96"/>
      <c r="DP299" s="96"/>
      <c r="DQ299" s="96"/>
      <c r="DR299" s="96"/>
      <c r="DS299" s="96"/>
      <c r="DT299" s="96"/>
      <c r="DU299" s="96"/>
      <c r="DV299" s="96"/>
      <c r="DW299" s="96"/>
      <c r="DX299" s="96"/>
      <c r="DY299" s="96"/>
      <c r="DZ299" s="96"/>
      <c r="EA299" s="96"/>
      <c r="EB299" s="96"/>
      <c r="EC299" s="96"/>
      <c r="ED299" s="96"/>
      <c r="EE299" s="96"/>
      <c r="EF299" s="96"/>
      <c r="EG299" s="96"/>
      <c r="EH299" s="96"/>
      <c r="EI299" s="96"/>
      <c r="EJ299" s="96"/>
      <c r="EK299" s="96"/>
      <c r="EL299" s="96"/>
      <c r="EM299" s="96"/>
      <c r="EN299" s="96"/>
      <c r="EO299" s="96"/>
      <c r="EP299" s="96"/>
      <c r="EQ299" s="96"/>
      <c r="ER299" s="96"/>
      <c r="ES299" s="96"/>
      <c r="ET299" s="96"/>
    </row>
    <row r="300" spans="4:150"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  <c r="CC300" s="96"/>
      <c r="CD300" s="96"/>
      <c r="CE300" s="96"/>
      <c r="CF300" s="96"/>
      <c r="CG300" s="96"/>
      <c r="CH300" s="96"/>
      <c r="CI300" s="96"/>
      <c r="CJ300" s="96"/>
      <c r="CK300" s="96"/>
      <c r="CL300" s="96"/>
      <c r="CM300" s="96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  <c r="DK300" s="96"/>
      <c r="DL300" s="96"/>
      <c r="DM300" s="96"/>
      <c r="DN300" s="96"/>
      <c r="DO300" s="96"/>
      <c r="DP300" s="96"/>
      <c r="DQ300" s="96"/>
      <c r="DR300" s="96"/>
      <c r="DS300" s="96"/>
      <c r="DT300" s="96"/>
      <c r="DU300" s="96"/>
      <c r="DV300" s="96"/>
      <c r="DW300" s="96"/>
      <c r="DX300" s="96"/>
      <c r="DY300" s="96"/>
      <c r="DZ300" s="96"/>
      <c r="EA300" s="96"/>
      <c r="EB300" s="96"/>
      <c r="EC300" s="96"/>
      <c r="ED300" s="96"/>
      <c r="EE300" s="96"/>
      <c r="EF300" s="96"/>
      <c r="EG300" s="96"/>
      <c r="EH300" s="96"/>
      <c r="EI300" s="96"/>
      <c r="EJ300" s="96"/>
      <c r="EK300" s="96"/>
      <c r="EL300" s="96"/>
      <c r="EM300" s="96"/>
      <c r="EN300" s="96"/>
      <c r="EO300" s="96"/>
      <c r="EP300" s="96"/>
      <c r="EQ300" s="96"/>
      <c r="ER300" s="96"/>
      <c r="ES300" s="96"/>
      <c r="ET300" s="96"/>
    </row>
    <row r="301" spans="4:150"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  <c r="CC301" s="96"/>
      <c r="CD301" s="96"/>
      <c r="CE301" s="96"/>
      <c r="CF301" s="96"/>
      <c r="CG301" s="96"/>
      <c r="CH301" s="96"/>
      <c r="CI301" s="96"/>
      <c r="CJ301" s="96"/>
      <c r="CK301" s="96"/>
      <c r="CL301" s="96"/>
      <c r="CM301" s="96"/>
      <c r="CN301" s="96"/>
      <c r="CO301" s="96"/>
      <c r="CP301" s="96"/>
      <c r="CQ301" s="96"/>
      <c r="CR301" s="96"/>
      <c r="CS301" s="96"/>
      <c r="CT301" s="96"/>
      <c r="CU301" s="96"/>
      <c r="CV301" s="96"/>
      <c r="CW301" s="96"/>
      <c r="CX301" s="96"/>
      <c r="CY301" s="96"/>
      <c r="CZ301" s="96"/>
      <c r="DA301" s="96"/>
      <c r="DB301" s="96"/>
      <c r="DC301" s="96"/>
      <c r="DD301" s="96"/>
      <c r="DE301" s="96"/>
      <c r="DF301" s="96"/>
      <c r="DG301" s="96"/>
      <c r="DH301" s="96"/>
      <c r="DI301" s="96"/>
      <c r="DJ301" s="96"/>
      <c r="DK301" s="96"/>
      <c r="DL301" s="96"/>
      <c r="DM301" s="96"/>
      <c r="DN301" s="96"/>
      <c r="DO301" s="96"/>
      <c r="DP301" s="96"/>
      <c r="DQ301" s="96"/>
      <c r="DR301" s="96"/>
      <c r="DS301" s="96"/>
      <c r="DT301" s="96"/>
      <c r="DU301" s="96"/>
      <c r="DV301" s="96"/>
      <c r="DW301" s="96"/>
      <c r="DX301" s="96"/>
      <c r="DY301" s="96"/>
      <c r="DZ301" s="96"/>
      <c r="EA301" s="96"/>
      <c r="EB301" s="96"/>
      <c r="EC301" s="96"/>
      <c r="ED301" s="96"/>
      <c r="EE301" s="96"/>
      <c r="EF301" s="96"/>
      <c r="EG301" s="96"/>
      <c r="EH301" s="96"/>
      <c r="EI301" s="96"/>
      <c r="EJ301" s="96"/>
      <c r="EK301" s="96"/>
      <c r="EL301" s="96"/>
      <c r="EM301" s="96"/>
      <c r="EN301" s="96"/>
      <c r="EO301" s="96"/>
      <c r="EP301" s="96"/>
      <c r="EQ301" s="96"/>
      <c r="ER301" s="96"/>
      <c r="ES301" s="96"/>
      <c r="ET301" s="96"/>
    </row>
    <row r="302" spans="4:150"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  <c r="CC302" s="96"/>
      <c r="CD302" s="96"/>
      <c r="CE302" s="96"/>
      <c r="CF302" s="96"/>
      <c r="CG302" s="96"/>
      <c r="CH302" s="96"/>
      <c r="CI302" s="96"/>
      <c r="CJ302" s="96"/>
      <c r="CK302" s="96"/>
      <c r="CL302" s="96"/>
      <c r="CM302" s="96"/>
      <c r="CN302" s="96"/>
      <c r="CO302" s="96"/>
      <c r="CP302" s="96"/>
      <c r="CQ302" s="96"/>
      <c r="CR302" s="96"/>
      <c r="CS302" s="96"/>
      <c r="CT302" s="96"/>
      <c r="CU302" s="96"/>
      <c r="CV302" s="96"/>
      <c r="CW302" s="96"/>
      <c r="CX302" s="96"/>
      <c r="CY302" s="96"/>
      <c r="CZ302" s="96"/>
      <c r="DA302" s="96"/>
      <c r="DB302" s="96"/>
      <c r="DC302" s="96"/>
      <c r="DD302" s="96"/>
      <c r="DE302" s="96"/>
      <c r="DF302" s="96"/>
      <c r="DG302" s="96"/>
      <c r="DH302" s="96"/>
      <c r="DI302" s="96"/>
      <c r="DJ302" s="96"/>
      <c r="DK302" s="96"/>
      <c r="DL302" s="96"/>
      <c r="DM302" s="96"/>
      <c r="DN302" s="96"/>
      <c r="DO302" s="96"/>
      <c r="DP302" s="96"/>
      <c r="DQ302" s="96"/>
      <c r="DR302" s="96"/>
      <c r="DS302" s="96"/>
      <c r="DT302" s="96"/>
      <c r="DU302" s="96"/>
      <c r="DV302" s="96"/>
      <c r="DW302" s="96"/>
      <c r="DX302" s="96"/>
      <c r="DY302" s="96"/>
      <c r="DZ302" s="96"/>
      <c r="EA302" s="96"/>
      <c r="EB302" s="96"/>
      <c r="EC302" s="96"/>
      <c r="ED302" s="96"/>
      <c r="EE302" s="96"/>
      <c r="EF302" s="96"/>
      <c r="EG302" s="96"/>
      <c r="EH302" s="96"/>
      <c r="EI302" s="96"/>
      <c r="EJ302" s="96"/>
      <c r="EK302" s="96"/>
      <c r="EL302" s="96"/>
      <c r="EM302" s="96"/>
      <c r="EN302" s="96"/>
      <c r="EO302" s="96"/>
      <c r="EP302" s="96"/>
      <c r="EQ302" s="96"/>
      <c r="ER302" s="96"/>
      <c r="ES302" s="96"/>
      <c r="ET302" s="96"/>
    </row>
    <row r="303" spans="4:150"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  <c r="CC303" s="96"/>
      <c r="CD303" s="96"/>
      <c r="CE303" s="96"/>
      <c r="CF303" s="96"/>
      <c r="CG303" s="96"/>
      <c r="CH303" s="96"/>
      <c r="CI303" s="96"/>
      <c r="CJ303" s="96"/>
      <c r="CK303" s="96"/>
      <c r="CL303" s="96"/>
      <c r="CM303" s="96"/>
      <c r="CN303" s="96"/>
      <c r="CO303" s="96"/>
      <c r="CP303" s="96"/>
      <c r="CQ303" s="96"/>
      <c r="CR303" s="96"/>
      <c r="CS303" s="96"/>
      <c r="CT303" s="96"/>
      <c r="CU303" s="96"/>
      <c r="CV303" s="96"/>
      <c r="CW303" s="96"/>
      <c r="CX303" s="96"/>
      <c r="CY303" s="96"/>
      <c r="CZ303" s="96"/>
      <c r="DA303" s="96"/>
      <c r="DB303" s="96"/>
      <c r="DC303" s="96"/>
      <c r="DD303" s="96"/>
      <c r="DE303" s="96"/>
      <c r="DF303" s="96"/>
      <c r="DG303" s="96"/>
      <c r="DH303" s="96"/>
      <c r="DI303" s="96"/>
      <c r="DJ303" s="96"/>
      <c r="DK303" s="96"/>
      <c r="DL303" s="96"/>
      <c r="DM303" s="96"/>
      <c r="DN303" s="96"/>
      <c r="DO303" s="96"/>
      <c r="DP303" s="96"/>
      <c r="DQ303" s="96"/>
      <c r="DR303" s="96"/>
      <c r="DS303" s="96"/>
      <c r="DT303" s="96"/>
      <c r="DU303" s="96"/>
      <c r="DV303" s="96"/>
      <c r="DW303" s="96"/>
      <c r="DX303" s="96"/>
      <c r="DY303" s="96"/>
      <c r="DZ303" s="96"/>
      <c r="EA303" s="96"/>
      <c r="EB303" s="96"/>
      <c r="EC303" s="96"/>
      <c r="ED303" s="96"/>
      <c r="EE303" s="96"/>
      <c r="EF303" s="96"/>
      <c r="EG303" s="96"/>
      <c r="EH303" s="96"/>
      <c r="EI303" s="96"/>
      <c r="EJ303" s="96"/>
      <c r="EK303" s="96"/>
      <c r="EL303" s="96"/>
      <c r="EM303" s="96"/>
      <c r="EN303" s="96"/>
      <c r="EO303" s="96"/>
      <c r="EP303" s="96"/>
      <c r="EQ303" s="96"/>
      <c r="ER303" s="96"/>
      <c r="ES303" s="96"/>
      <c r="ET303" s="96"/>
    </row>
    <row r="304" spans="4:150"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  <c r="CC304" s="96"/>
      <c r="CD304" s="96"/>
      <c r="CE304" s="96"/>
      <c r="CF304" s="96"/>
      <c r="CG304" s="96"/>
      <c r="CH304" s="96"/>
      <c r="CI304" s="96"/>
      <c r="CJ304" s="96"/>
      <c r="CK304" s="96"/>
      <c r="CL304" s="96"/>
      <c r="CM304" s="96"/>
      <c r="CN304" s="96"/>
      <c r="CO304" s="96"/>
      <c r="CP304" s="96"/>
      <c r="CQ304" s="96"/>
      <c r="CR304" s="96"/>
      <c r="CS304" s="96"/>
      <c r="CT304" s="96"/>
      <c r="CU304" s="96"/>
      <c r="CV304" s="96"/>
      <c r="CW304" s="96"/>
      <c r="CX304" s="96"/>
      <c r="CY304" s="96"/>
      <c r="CZ304" s="96"/>
      <c r="DA304" s="96"/>
      <c r="DB304" s="96"/>
      <c r="DC304" s="96"/>
      <c r="DD304" s="96"/>
      <c r="DE304" s="96"/>
      <c r="DF304" s="96"/>
      <c r="DG304" s="96"/>
      <c r="DH304" s="96"/>
      <c r="DI304" s="96"/>
      <c r="DJ304" s="96"/>
      <c r="DK304" s="96"/>
      <c r="DL304" s="96"/>
      <c r="DM304" s="96"/>
      <c r="DN304" s="96"/>
      <c r="DO304" s="96"/>
      <c r="DP304" s="96"/>
      <c r="DQ304" s="96"/>
      <c r="DR304" s="96"/>
      <c r="DS304" s="96"/>
      <c r="DT304" s="96"/>
      <c r="DU304" s="96"/>
      <c r="DV304" s="96"/>
      <c r="DW304" s="96"/>
      <c r="DX304" s="96"/>
      <c r="DY304" s="96"/>
      <c r="DZ304" s="96"/>
      <c r="EA304" s="96"/>
      <c r="EB304" s="96"/>
      <c r="EC304" s="96"/>
      <c r="ED304" s="96"/>
      <c r="EE304" s="96"/>
      <c r="EF304" s="96"/>
      <c r="EG304" s="96"/>
      <c r="EH304" s="96"/>
      <c r="EI304" s="96"/>
      <c r="EJ304" s="96"/>
      <c r="EK304" s="96"/>
      <c r="EL304" s="96"/>
      <c r="EM304" s="96"/>
      <c r="EN304" s="96"/>
      <c r="EO304" s="96"/>
      <c r="EP304" s="96"/>
      <c r="EQ304" s="96"/>
      <c r="ER304" s="96"/>
      <c r="ES304" s="96"/>
      <c r="ET304" s="96"/>
    </row>
    <row r="305" spans="4:150"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  <c r="CC305" s="96"/>
      <c r="CD305" s="96"/>
      <c r="CE305" s="96"/>
      <c r="CF305" s="96"/>
      <c r="CG305" s="96"/>
      <c r="CH305" s="96"/>
      <c r="CI305" s="96"/>
      <c r="CJ305" s="96"/>
      <c r="CK305" s="96"/>
      <c r="CL305" s="96"/>
      <c r="CM305" s="96"/>
      <c r="CN305" s="96"/>
      <c r="CO305" s="96"/>
      <c r="CP305" s="96"/>
      <c r="CQ305" s="96"/>
      <c r="CR305" s="96"/>
      <c r="CS305" s="96"/>
      <c r="CT305" s="96"/>
      <c r="CU305" s="96"/>
      <c r="CV305" s="96"/>
      <c r="CW305" s="96"/>
      <c r="CX305" s="96"/>
      <c r="CY305" s="96"/>
      <c r="CZ305" s="96"/>
      <c r="DA305" s="96"/>
      <c r="DB305" s="96"/>
      <c r="DC305" s="96"/>
      <c r="DD305" s="96"/>
      <c r="DE305" s="96"/>
      <c r="DF305" s="96"/>
      <c r="DG305" s="96"/>
      <c r="DH305" s="96"/>
      <c r="DI305" s="96"/>
      <c r="DJ305" s="96"/>
      <c r="DK305" s="96"/>
      <c r="DL305" s="96"/>
      <c r="DM305" s="96"/>
      <c r="DN305" s="96"/>
      <c r="DO305" s="96"/>
      <c r="DP305" s="96"/>
      <c r="DQ305" s="96"/>
      <c r="DR305" s="96"/>
      <c r="DS305" s="96"/>
      <c r="DT305" s="96"/>
      <c r="DU305" s="96"/>
      <c r="DV305" s="96"/>
      <c r="DW305" s="96"/>
      <c r="DX305" s="96"/>
      <c r="DY305" s="96"/>
      <c r="DZ305" s="96"/>
      <c r="EA305" s="96"/>
      <c r="EB305" s="96"/>
      <c r="EC305" s="96"/>
      <c r="ED305" s="96"/>
      <c r="EE305" s="96"/>
      <c r="EF305" s="96"/>
      <c r="EG305" s="96"/>
      <c r="EH305" s="96"/>
      <c r="EI305" s="96"/>
      <c r="EJ305" s="96"/>
      <c r="EK305" s="96"/>
      <c r="EL305" s="96"/>
      <c r="EM305" s="96"/>
      <c r="EN305" s="96"/>
      <c r="EO305" s="96"/>
      <c r="EP305" s="96"/>
      <c r="EQ305" s="96"/>
      <c r="ER305" s="96"/>
      <c r="ES305" s="96"/>
      <c r="ET305" s="96"/>
    </row>
    <row r="306" spans="4:150"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  <c r="CC306" s="96"/>
      <c r="CD306" s="96"/>
      <c r="CE306" s="96"/>
      <c r="CF306" s="96"/>
      <c r="CG306" s="96"/>
      <c r="CH306" s="96"/>
      <c r="CI306" s="96"/>
      <c r="CJ306" s="96"/>
      <c r="CK306" s="96"/>
      <c r="CL306" s="96"/>
      <c r="CM306" s="96"/>
      <c r="CN306" s="96"/>
      <c r="CO306" s="96"/>
      <c r="CP306" s="96"/>
      <c r="CQ306" s="96"/>
      <c r="CR306" s="96"/>
      <c r="CS306" s="96"/>
      <c r="CT306" s="96"/>
      <c r="CU306" s="96"/>
      <c r="CV306" s="96"/>
      <c r="CW306" s="96"/>
      <c r="CX306" s="96"/>
      <c r="CY306" s="96"/>
      <c r="CZ306" s="96"/>
      <c r="DA306" s="96"/>
      <c r="DB306" s="96"/>
      <c r="DC306" s="96"/>
      <c r="DD306" s="96"/>
      <c r="DE306" s="96"/>
      <c r="DF306" s="96"/>
      <c r="DG306" s="96"/>
      <c r="DH306" s="96"/>
      <c r="DI306" s="96"/>
      <c r="DJ306" s="96"/>
      <c r="DK306" s="96"/>
      <c r="DL306" s="96"/>
      <c r="DM306" s="96"/>
      <c r="DN306" s="96"/>
      <c r="DO306" s="96"/>
      <c r="DP306" s="96"/>
      <c r="DQ306" s="96"/>
      <c r="DR306" s="96"/>
      <c r="DS306" s="96"/>
      <c r="DT306" s="96"/>
      <c r="DU306" s="96"/>
      <c r="DV306" s="96"/>
      <c r="DW306" s="96"/>
      <c r="DX306" s="96"/>
      <c r="DY306" s="96"/>
      <c r="DZ306" s="96"/>
      <c r="EA306" s="96"/>
      <c r="EB306" s="96"/>
      <c r="EC306" s="96"/>
      <c r="ED306" s="96"/>
      <c r="EE306" s="96"/>
      <c r="EF306" s="96"/>
      <c r="EG306" s="96"/>
      <c r="EH306" s="96"/>
      <c r="EI306" s="96"/>
      <c r="EJ306" s="96"/>
      <c r="EK306" s="96"/>
      <c r="EL306" s="96"/>
      <c r="EM306" s="96"/>
      <c r="EN306" s="96"/>
      <c r="EO306" s="96"/>
      <c r="EP306" s="96"/>
      <c r="EQ306" s="96"/>
      <c r="ER306" s="96"/>
      <c r="ES306" s="96"/>
      <c r="ET306" s="96"/>
    </row>
    <row r="307" spans="4:150"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  <c r="CC307" s="96"/>
      <c r="CD307" s="96"/>
      <c r="CE307" s="96"/>
      <c r="CF307" s="96"/>
      <c r="CG307" s="96"/>
      <c r="CH307" s="96"/>
      <c r="CI307" s="96"/>
      <c r="CJ307" s="96"/>
      <c r="CK307" s="96"/>
      <c r="CL307" s="96"/>
      <c r="CM307" s="96"/>
      <c r="CN307" s="96"/>
      <c r="CO307" s="96"/>
      <c r="CP307" s="96"/>
      <c r="CQ307" s="96"/>
      <c r="CR307" s="96"/>
      <c r="CS307" s="96"/>
      <c r="CT307" s="96"/>
      <c r="CU307" s="96"/>
      <c r="CV307" s="96"/>
      <c r="CW307" s="96"/>
      <c r="CX307" s="96"/>
      <c r="CY307" s="96"/>
      <c r="CZ307" s="96"/>
      <c r="DA307" s="96"/>
      <c r="DB307" s="96"/>
      <c r="DC307" s="96"/>
      <c r="DD307" s="96"/>
      <c r="DE307" s="96"/>
      <c r="DF307" s="96"/>
      <c r="DG307" s="96"/>
      <c r="DH307" s="96"/>
      <c r="DI307" s="96"/>
      <c r="DJ307" s="96"/>
      <c r="DK307" s="96"/>
      <c r="DL307" s="96"/>
      <c r="DM307" s="96"/>
      <c r="DN307" s="96"/>
      <c r="DO307" s="96"/>
      <c r="DP307" s="96"/>
      <c r="DQ307" s="96"/>
      <c r="DR307" s="96"/>
      <c r="DS307" s="96"/>
      <c r="DT307" s="96"/>
      <c r="DU307" s="96"/>
      <c r="DV307" s="96"/>
      <c r="DW307" s="96"/>
      <c r="DX307" s="96"/>
      <c r="DY307" s="96"/>
      <c r="DZ307" s="96"/>
      <c r="EA307" s="96"/>
      <c r="EB307" s="96"/>
      <c r="EC307" s="96"/>
      <c r="ED307" s="96"/>
      <c r="EE307" s="96"/>
      <c r="EF307" s="96"/>
      <c r="EG307" s="96"/>
      <c r="EH307" s="96"/>
      <c r="EI307" s="96"/>
      <c r="EJ307" s="96"/>
      <c r="EK307" s="96"/>
      <c r="EL307" s="96"/>
      <c r="EM307" s="96"/>
      <c r="EN307" s="96"/>
      <c r="EO307" s="96"/>
      <c r="EP307" s="96"/>
      <c r="EQ307" s="96"/>
      <c r="ER307" s="96"/>
      <c r="ES307" s="96"/>
      <c r="ET307" s="96"/>
    </row>
    <row r="308" spans="4:150"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6"/>
      <c r="BB308" s="96"/>
      <c r="BC308" s="96"/>
      <c r="BD308" s="96"/>
      <c r="BE308" s="96"/>
      <c r="BF308" s="96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  <c r="CC308" s="96"/>
      <c r="CD308" s="96"/>
      <c r="CE308" s="96"/>
      <c r="CF308" s="96"/>
      <c r="CG308" s="96"/>
      <c r="CH308" s="96"/>
      <c r="CI308" s="96"/>
      <c r="CJ308" s="96"/>
      <c r="CK308" s="96"/>
      <c r="CL308" s="96"/>
      <c r="CM308" s="96"/>
      <c r="CN308" s="96"/>
      <c r="CO308" s="96"/>
      <c r="CP308" s="96"/>
      <c r="CQ308" s="96"/>
      <c r="CR308" s="96"/>
      <c r="CS308" s="96"/>
      <c r="CT308" s="96"/>
      <c r="CU308" s="96"/>
      <c r="CV308" s="96"/>
      <c r="CW308" s="96"/>
      <c r="CX308" s="96"/>
      <c r="CY308" s="96"/>
      <c r="CZ308" s="96"/>
      <c r="DA308" s="96"/>
      <c r="DB308" s="96"/>
      <c r="DC308" s="96"/>
      <c r="DD308" s="96"/>
      <c r="DE308" s="96"/>
      <c r="DF308" s="96"/>
      <c r="DG308" s="96"/>
      <c r="DH308" s="96"/>
      <c r="DI308" s="96"/>
      <c r="DJ308" s="96"/>
      <c r="DK308" s="96"/>
      <c r="DL308" s="96"/>
      <c r="DM308" s="96"/>
      <c r="DN308" s="96"/>
      <c r="DO308" s="96"/>
      <c r="DP308" s="96"/>
      <c r="DQ308" s="96"/>
      <c r="DR308" s="96"/>
      <c r="DS308" s="96"/>
      <c r="DT308" s="96"/>
      <c r="DU308" s="96"/>
      <c r="DV308" s="96"/>
      <c r="DW308" s="96"/>
      <c r="DX308" s="96"/>
      <c r="DY308" s="96"/>
      <c r="DZ308" s="96"/>
      <c r="EA308" s="96"/>
      <c r="EB308" s="96"/>
      <c r="EC308" s="96"/>
      <c r="ED308" s="96"/>
      <c r="EE308" s="96"/>
      <c r="EF308" s="96"/>
      <c r="EG308" s="96"/>
      <c r="EH308" s="96"/>
      <c r="EI308" s="96"/>
      <c r="EJ308" s="96"/>
      <c r="EK308" s="96"/>
      <c r="EL308" s="96"/>
      <c r="EM308" s="96"/>
      <c r="EN308" s="96"/>
      <c r="EO308" s="96"/>
      <c r="EP308" s="96"/>
      <c r="EQ308" s="96"/>
      <c r="ER308" s="96"/>
      <c r="ES308" s="96"/>
      <c r="ET308" s="96"/>
    </row>
    <row r="309" spans="4:150"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6"/>
      <c r="BB309" s="96"/>
      <c r="BC309" s="96"/>
      <c r="BD309" s="96"/>
      <c r="BE309" s="96"/>
      <c r="BF309" s="96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  <c r="CC309" s="96"/>
      <c r="CD309" s="96"/>
      <c r="CE309" s="96"/>
      <c r="CF309" s="96"/>
      <c r="CG309" s="96"/>
      <c r="CH309" s="96"/>
      <c r="CI309" s="96"/>
      <c r="CJ309" s="96"/>
      <c r="CK309" s="96"/>
      <c r="CL309" s="96"/>
      <c r="CM309" s="96"/>
      <c r="CN309" s="96"/>
      <c r="CO309" s="96"/>
      <c r="CP309" s="96"/>
      <c r="CQ309" s="96"/>
      <c r="CR309" s="96"/>
      <c r="CS309" s="96"/>
      <c r="CT309" s="96"/>
      <c r="CU309" s="96"/>
      <c r="CV309" s="96"/>
      <c r="CW309" s="96"/>
      <c r="CX309" s="96"/>
      <c r="CY309" s="96"/>
      <c r="CZ309" s="96"/>
      <c r="DA309" s="96"/>
      <c r="DB309" s="96"/>
      <c r="DC309" s="96"/>
      <c r="DD309" s="96"/>
      <c r="DE309" s="96"/>
      <c r="DF309" s="96"/>
      <c r="DG309" s="96"/>
      <c r="DH309" s="96"/>
      <c r="DI309" s="96"/>
      <c r="DJ309" s="96"/>
      <c r="DK309" s="96"/>
      <c r="DL309" s="96"/>
      <c r="DM309" s="96"/>
      <c r="DN309" s="96"/>
      <c r="DO309" s="96"/>
      <c r="DP309" s="96"/>
      <c r="DQ309" s="96"/>
      <c r="DR309" s="96"/>
      <c r="DS309" s="96"/>
      <c r="DT309" s="96"/>
      <c r="DU309" s="96"/>
      <c r="DV309" s="96"/>
      <c r="DW309" s="96"/>
      <c r="DX309" s="96"/>
      <c r="DY309" s="96"/>
      <c r="DZ309" s="96"/>
      <c r="EA309" s="96"/>
      <c r="EB309" s="96"/>
      <c r="EC309" s="96"/>
      <c r="ED309" s="96"/>
      <c r="EE309" s="96"/>
      <c r="EF309" s="96"/>
      <c r="EG309" s="96"/>
      <c r="EH309" s="96"/>
      <c r="EI309" s="96"/>
      <c r="EJ309" s="96"/>
      <c r="EK309" s="96"/>
      <c r="EL309" s="96"/>
      <c r="EM309" s="96"/>
      <c r="EN309" s="96"/>
      <c r="EO309" s="96"/>
      <c r="EP309" s="96"/>
      <c r="EQ309" s="96"/>
      <c r="ER309" s="96"/>
      <c r="ES309" s="96"/>
      <c r="ET309" s="96"/>
    </row>
    <row r="310" spans="4:150"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6"/>
      <c r="BB310" s="96"/>
      <c r="BC310" s="96"/>
      <c r="BD310" s="96"/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  <c r="CC310" s="96"/>
      <c r="CD310" s="96"/>
      <c r="CE310" s="96"/>
      <c r="CF310" s="96"/>
      <c r="CG310" s="96"/>
      <c r="CH310" s="96"/>
      <c r="CI310" s="96"/>
      <c r="CJ310" s="96"/>
      <c r="CK310" s="96"/>
      <c r="CL310" s="96"/>
      <c r="CM310" s="96"/>
      <c r="CN310" s="96"/>
      <c r="CO310" s="96"/>
      <c r="CP310" s="96"/>
      <c r="CQ310" s="96"/>
      <c r="CR310" s="96"/>
      <c r="CS310" s="96"/>
      <c r="CT310" s="96"/>
      <c r="CU310" s="96"/>
      <c r="CV310" s="96"/>
      <c r="CW310" s="96"/>
      <c r="CX310" s="96"/>
      <c r="CY310" s="96"/>
      <c r="CZ310" s="96"/>
      <c r="DA310" s="96"/>
      <c r="DB310" s="96"/>
      <c r="DC310" s="96"/>
      <c r="DD310" s="96"/>
      <c r="DE310" s="96"/>
      <c r="DF310" s="96"/>
      <c r="DG310" s="96"/>
      <c r="DH310" s="96"/>
      <c r="DI310" s="96"/>
      <c r="DJ310" s="96"/>
      <c r="DK310" s="96"/>
      <c r="DL310" s="96"/>
      <c r="DM310" s="96"/>
      <c r="DN310" s="96"/>
      <c r="DO310" s="96"/>
      <c r="DP310" s="96"/>
      <c r="DQ310" s="96"/>
      <c r="DR310" s="96"/>
      <c r="DS310" s="96"/>
      <c r="DT310" s="96"/>
      <c r="DU310" s="96"/>
      <c r="DV310" s="96"/>
      <c r="DW310" s="96"/>
      <c r="DX310" s="96"/>
      <c r="DY310" s="96"/>
      <c r="DZ310" s="96"/>
      <c r="EA310" s="96"/>
      <c r="EB310" s="96"/>
      <c r="EC310" s="96"/>
      <c r="ED310" s="96"/>
      <c r="EE310" s="96"/>
      <c r="EF310" s="96"/>
      <c r="EG310" s="96"/>
      <c r="EH310" s="96"/>
      <c r="EI310" s="96"/>
      <c r="EJ310" s="96"/>
      <c r="EK310" s="96"/>
      <c r="EL310" s="96"/>
      <c r="EM310" s="96"/>
      <c r="EN310" s="96"/>
      <c r="EO310" s="96"/>
      <c r="EP310" s="96"/>
      <c r="EQ310" s="96"/>
      <c r="ER310" s="96"/>
      <c r="ES310" s="96"/>
      <c r="ET310" s="96"/>
    </row>
    <row r="311" spans="4:150"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  <c r="CC311" s="96"/>
      <c r="CD311" s="96"/>
      <c r="CE311" s="96"/>
      <c r="CF311" s="96"/>
      <c r="CG311" s="96"/>
      <c r="CH311" s="96"/>
      <c r="CI311" s="96"/>
      <c r="CJ311" s="96"/>
      <c r="CK311" s="96"/>
      <c r="CL311" s="96"/>
      <c r="CM311" s="96"/>
      <c r="CN311" s="96"/>
      <c r="CO311" s="96"/>
      <c r="CP311" s="96"/>
      <c r="CQ311" s="96"/>
      <c r="CR311" s="96"/>
      <c r="CS311" s="96"/>
      <c r="CT311" s="96"/>
      <c r="CU311" s="96"/>
      <c r="CV311" s="96"/>
      <c r="CW311" s="96"/>
      <c r="CX311" s="96"/>
      <c r="CY311" s="96"/>
      <c r="CZ311" s="96"/>
      <c r="DA311" s="96"/>
      <c r="DB311" s="96"/>
      <c r="DC311" s="96"/>
      <c r="DD311" s="96"/>
      <c r="DE311" s="96"/>
      <c r="DF311" s="96"/>
      <c r="DG311" s="96"/>
      <c r="DH311" s="96"/>
      <c r="DI311" s="96"/>
      <c r="DJ311" s="96"/>
      <c r="DK311" s="96"/>
      <c r="DL311" s="96"/>
      <c r="DM311" s="96"/>
      <c r="DN311" s="96"/>
      <c r="DO311" s="96"/>
      <c r="DP311" s="96"/>
      <c r="DQ311" s="96"/>
      <c r="DR311" s="96"/>
      <c r="DS311" s="96"/>
      <c r="DT311" s="96"/>
      <c r="DU311" s="96"/>
      <c r="DV311" s="96"/>
      <c r="DW311" s="96"/>
      <c r="DX311" s="96"/>
      <c r="DY311" s="96"/>
      <c r="DZ311" s="96"/>
      <c r="EA311" s="96"/>
      <c r="EB311" s="96"/>
      <c r="EC311" s="96"/>
      <c r="ED311" s="96"/>
      <c r="EE311" s="96"/>
      <c r="EF311" s="96"/>
      <c r="EG311" s="96"/>
      <c r="EH311" s="96"/>
      <c r="EI311" s="96"/>
      <c r="EJ311" s="96"/>
      <c r="EK311" s="96"/>
      <c r="EL311" s="96"/>
      <c r="EM311" s="96"/>
      <c r="EN311" s="96"/>
      <c r="EO311" s="96"/>
      <c r="EP311" s="96"/>
      <c r="EQ311" s="96"/>
      <c r="ER311" s="96"/>
      <c r="ES311" s="96"/>
      <c r="ET311" s="96"/>
    </row>
    <row r="312" spans="4:150"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  <c r="BE312" s="96"/>
      <c r="BF312" s="96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  <c r="CC312" s="96"/>
      <c r="CD312" s="96"/>
      <c r="CE312" s="96"/>
      <c r="CF312" s="96"/>
      <c r="CG312" s="96"/>
      <c r="CH312" s="96"/>
      <c r="CI312" s="96"/>
      <c r="CJ312" s="96"/>
      <c r="CK312" s="96"/>
      <c r="CL312" s="96"/>
      <c r="CM312" s="96"/>
      <c r="CN312" s="96"/>
      <c r="CO312" s="96"/>
      <c r="CP312" s="96"/>
      <c r="CQ312" s="96"/>
      <c r="CR312" s="96"/>
      <c r="CS312" s="96"/>
      <c r="CT312" s="96"/>
      <c r="CU312" s="96"/>
      <c r="CV312" s="96"/>
      <c r="CW312" s="96"/>
      <c r="CX312" s="96"/>
      <c r="CY312" s="96"/>
      <c r="CZ312" s="96"/>
      <c r="DA312" s="96"/>
      <c r="DB312" s="96"/>
      <c r="DC312" s="96"/>
      <c r="DD312" s="96"/>
      <c r="DE312" s="96"/>
      <c r="DF312" s="96"/>
      <c r="DG312" s="96"/>
      <c r="DH312" s="96"/>
      <c r="DI312" s="96"/>
      <c r="DJ312" s="96"/>
      <c r="DK312" s="96"/>
      <c r="DL312" s="96"/>
      <c r="DM312" s="96"/>
      <c r="DN312" s="96"/>
      <c r="DO312" s="96"/>
      <c r="DP312" s="96"/>
      <c r="DQ312" s="96"/>
      <c r="DR312" s="96"/>
      <c r="DS312" s="96"/>
      <c r="DT312" s="96"/>
      <c r="DU312" s="96"/>
      <c r="DV312" s="96"/>
      <c r="DW312" s="96"/>
      <c r="DX312" s="96"/>
      <c r="DY312" s="96"/>
      <c r="DZ312" s="96"/>
      <c r="EA312" s="96"/>
      <c r="EB312" s="96"/>
      <c r="EC312" s="96"/>
      <c r="ED312" s="96"/>
      <c r="EE312" s="96"/>
      <c r="EF312" s="96"/>
      <c r="EG312" s="96"/>
      <c r="EH312" s="96"/>
      <c r="EI312" s="96"/>
      <c r="EJ312" s="96"/>
      <c r="EK312" s="96"/>
      <c r="EL312" s="96"/>
      <c r="EM312" s="96"/>
      <c r="EN312" s="96"/>
      <c r="EO312" s="96"/>
      <c r="EP312" s="96"/>
      <c r="EQ312" s="96"/>
      <c r="ER312" s="96"/>
      <c r="ES312" s="96"/>
      <c r="ET312" s="96"/>
    </row>
    <row r="313" spans="4:150"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  <c r="BE313" s="96"/>
      <c r="BF313" s="96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  <c r="CC313" s="96"/>
      <c r="CD313" s="96"/>
      <c r="CE313" s="96"/>
      <c r="CF313" s="96"/>
      <c r="CG313" s="96"/>
      <c r="CH313" s="96"/>
      <c r="CI313" s="96"/>
      <c r="CJ313" s="96"/>
      <c r="CK313" s="96"/>
      <c r="CL313" s="96"/>
      <c r="CM313" s="96"/>
      <c r="CN313" s="96"/>
      <c r="CO313" s="96"/>
      <c r="CP313" s="96"/>
      <c r="CQ313" s="96"/>
      <c r="CR313" s="96"/>
      <c r="CS313" s="96"/>
      <c r="CT313" s="96"/>
      <c r="CU313" s="96"/>
      <c r="CV313" s="96"/>
      <c r="CW313" s="96"/>
      <c r="CX313" s="96"/>
      <c r="CY313" s="96"/>
      <c r="CZ313" s="96"/>
      <c r="DA313" s="96"/>
      <c r="DB313" s="96"/>
      <c r="DC313" s="96"/>
      <c r="DD313" s="96"/>
      <c r="DE313" s="96"/>
      <c r="DF313" s="96"/>
      <c r="DG313" s="96"/>
      <c r="DH313" s="96"/>
      <c r="DI313" s="96"/>
      <c r="DJ313" s="96"/>
      <c r="DK313" s="96"/>
      <c r="DL313" s="96"/>
      <c r="DM313" s="96"/>
      <c r="DN313" s="96"/>
      <c r="DO313" s="96"/>
      <c r="DP313" s="96"/>
      <c r="DQ313" s="96"/>
      <c r="DR313" s="96"/>
      <c r="DS313" s="96"/>
      <c r="DT313" s="96"/>
      <c r="DU313" s="96"/>
      <c r="DV313" s="96"/>
      <c r="DW313" s="96"/>
      <c r="DX313" s="96"/>
      <c r="DY313" s="96"/>
      <c r="DZ313" s="96"/>
      <c r="EA313" s="96"/>
      <c r="EB313" s="96"/>
      <c r="EC313" s="96"/>
      <c r="ED313" s="96"/>
      <c r="EE313" s="96"/>
      <c r="EF313" s="96"/>
      <c r="EG313" s="96"/>
      <c r="EH313" s="96"/>
      <c r="EI313" s="96"/>
      <c r="EJ313" s="96"/>
      <c r="EK313" s="96"/>
      <c r="EL313" s="96"/>
      <c r="EM313" s="96"/>
      <c r="EN313" s="96"/>
      <c r="EO313" s="96"/>
      <c r="EP313" s="96"/>
      <c r="EQ313" s="96"/>
      <c r="ER313" s="96"/>
      <c r="ES313" s="96"/>
      <c r="ET313" s="96"/>
    </row>
    <row r="314" spans="4:150"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  <c r="CC314" s="96"/>
      <c r="CD314" s="96"/>
      <c r="CE314" s="96"/>
      <c r="CF314" s="96"/>
      <c r="CG314" s="96"/>
      <c r="CH314" s="96"/>
      <c r="CI314" s="96"/>
      <c r="CJ314" s="96"/>
      <c r="CK314" s="96"/>
      <c r="CL314" s="96"/>
      <c r="CM314" s="96"/>
      <c r="CN314" s="96"/>
      <c r="CO314" s="96"/>
      <c r="CP314" s="96"/>
      <c r="CQ314" s="96"/>
      <c r="CR314" s="96"/>
      <c r="CS314" s="96"/>
      <c r="CT314" s="96"/>
      <c r="CU314" s="96"/>
      <c r="CV314" s="96"/>
      <c r="CW314" s="96"/>
      <c r="CX314" s="96"/>
      <c r="CY314" s="96"/>
      <c r="CZ314" s="96"/>
      <c r="DA314" s="96"/>
      <c r="DB314" s="96"/>
      <c r="DC314" s="96"/>
      <c r="DD314" s="96"/>
      <c r="DE314" s="96"/>
      <c r="DF314" s="96"/>
      <c r="DG314" s="96"/>
      <c r="DH314" s="96"/>
      <c r="DI314" s="96"/>
      <c r="DJ314" s="96"/>
      <c r="DK314" s="96"/>
      <c r="DL314" s="96"/>
      <c r="DM314" s="96"/>
      <c r="DN314" s="96"/>
      <c r="DO314" s="96"/>
      <c r="DP314" s="96"/>
      <c r="DQ314" s="96"/>
      <c r="DR314" s="96"/>
      <c r="DS314" s="96"/>
      <c r="DT314" s="96"/>
      <c r="DU314" s="96"/>
      <c r="DV314" s="96"/>
      <c r="DW314" s="96"/>
      <c r="DX314" s="96"/>
      <c r="DY314" s="96"/>
      <c r="DZ314" s="96"/>
      <c r="EA314" s="96"/>
      <c r="EB314" s="96"/>
      <c r="EC314" s="96"/>
      <c r="ED314" s="96"/>
      <c r="EE314" s="96"/>
      <c r="EF314" s="96"/>
      <c r="EG314" s="96"/>
      <c r="EH314" s="96"/>
      <c r="EI314" s="96"/>
      <c r="EJ314" s="96"/>
      <c r="EK314" s="96"/>
      <c r="EL314" s="96"/>
      <c r="EM314" s="96"/>
      <c r="EN314" s="96"/>
      <c r="EO314" s="96"/>
      <c r="EP314" s="96"/>
      <c r="EQ314" s="96"/>
      <c r="ER314" s="96"/>
      <c r="ES314" s="96"/>
      <c r="ET314" s="96"/>
    </row>
    <row r="315" spans="4:150"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  <c r="BL315" s="96"/>
      <c r="BM315" s="96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  <c r="CC315" s="96"/>
      <c r="CD315" s="96"/>
      <c r="CE315" s="96"/>
      <c r="CF315" s="96"/>
      <c r="CG315" s="96"/>
      <c r="CH315" s="96"/>
      <c r="CI315" s="96"/>
      <c r="CJ315" s="96"/>
      <c r="CK315" s="96"/>
      <c r="CL315" s="96"/>
      <c r="CM315" s="96"/>
      <c r="CN315" s="96"/>
      <c r="CO315" s="96"/>
      <c r="CP315" s="96"/>
      <c r="CQ315" s="96"/>
      <c r="CR315" s="96"/>
      <c r="CS315" s="96"/>
      <c r="CT315" s="96"/>
      <c r="CU315" s="96"/>
      <c r="CV315" s="96"/>
      <c r="CW315" s="96"/>
      <c r="CX315" s="96"/>
      <c r="CY315" s="96"/>
      <c r="CZ315" s="96"/>
      <c r="DA315" s="96"/>
      <c r="DB315" s="96"/>
      <c r="DC315" s="96"/>
      <c r="DD315" s="96"/>
      <c r="DE315" s="96"/>
      <c r="DF315" s="96"/>
      <c r="DG315" s="96"/>
      <c r="DH315" s="96"/>
      <c r="DI315" s="96"/>
      <c r="DJ315" s="96"/>
      <c r="DK315" s="96"/>
      <c r="DL315" s="96"/>
      <c r="DM315" s="96"/>
      <c r="DN315" s="96"/>
      <c r="DO315" s="96"/>
      <c r="DP315" s="96"/>
      <c r="DQ315" s="96"/>
      <c r="DR315" s="96"/>
      <c r="DS315" s="96"/>
      <c r="DT315" s="96"/>
      <c r="DU315" s="96"/>
      <c r="DV315" s="96"/>
      <c r="DW315" s="96"/>
      <c r="DX315" s="96"/>
      <c r="DY315" s="96"/>
      <c r="DZ315" s="96"/>
      <c r="EA315" s="96"/>
      <c r="EB315" s="96"/>
      <c r="EC315" s="96"/>
      <c r="ED315" s="96"/>
      <c r="EE315" s="96"/>
      <c r="EF315" s="96"/>
      <c r="EG315" s="96"/>
      <c r="EH315" s="96"/>
      <c r="EI315" s="96"/>
      <c r="EJ315" s="96"/>
      <c r="EK315" s="96"/>
      <c r="EL315" s="96"/>
      <c r="EM315" s="96"/>
      <c r="EN315" s="96"/>
      <c r="EO315" s="96"/>
      <c r="EP315" s="96"/>
      <c r="EQ315" s="96"/>
      <c r="ER315" s="96"/>
      <c r="ES315" s="96"/>
      <c r="ET315" s="96"/>
    </row>
    <row r="316" spans="4:150"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  <c r="BL316" s="96"/>
      <c r="BM316" s="96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  <c r="CC316" s="96"/>
      <c r="CD316" s="96"/>
      <c r="CE316" s="96"/>
      <c r="CF316" s="96"/>
      <c r="CG316" s="96"/>
      <c r="CH316" s="96"/>
      <c r="CI316" s="96"/>
      <c r="CJ316" s="96"/>
      <c r="CK316" s="96"/>
      <c r="CL316" s="96"/>
      <c r="CM316" s="96"/>
      <c r="CN316" s="96"/>
      <c r="CO316" s="96"/>
      <c r="CP316" s="96"/>
      <c r="CQ316" s="96"/>
      <c r="CR316" s="96"/>
      <c r="CS316" s="96"/>
      <c r="CT316" s="96"/>
      <c r="CU316" s="96"/>
      <c r="CV316" s="96"/>
      <c r="CW316" s="96"/>
      <c r="CX316" s="96"/>
      <c r="CY316" s="96"/>
      <c r="CZ316" s="96"/>
      <c r="DA316" s="96"/>
      <c r="DB316" s="96"/>
      <c r="DC316" s="96"/>
      <c r="DD316" s="96"/>
      <c r="DE316" s="96"/>
      <c r="DF316" s="96"/>
      <c r="DG316" s="96"/>
      <c r="DH316" s="96"/>
      <c r="DI316" s="96"/>
      <c r="DJ316" s="96"/>
      <c r="DK316" s="96"/>
      <c r="DL316" s="96"/>
      <c r="DM316" s="96"/>
      <c r="DN316" s="96"/>
      <c r="DO316" s="96"/>
      <c r="DP316" s="96"/>
      <c r="DQ316" s="96"/>
      <c r="DR316" s="96"/>
      <c r="DS316" s="96"/>
      <c r="DT316" s="96"/>
      <c r="DU316" s="96"/>
      <c r="DV316" s="96"/>
      <c r="DW316" s="96"/>
      <c r="DX316" s="96"/>
      <c r="DY316" s="96"/>
      <c r="DZ316" s="96"/>
      <c r="EA316" s="96"/>
      <c r="EB316" s="96"/>
      <c r="EC316" s="96"/>
      <c r="ED316" s="96"/>
      <c r="EE316" s="96"/>
      <c r="EF316" s="96"/>
      <c r="EG316" s="96"/>
      <c r="EH316" s="96"/>
      <c r="EI316" s="96"/>
      <c r="EJ316" s="96"/>
      <c r="EK316" s="96"/>
      <c r="EL316" s="96"/>
      <c r="EM316" s="96"/>
      <c r="EN316" s="96"/>
      <c r="EO316" s="96"/>
      <c r="EP316" s="96"/>
      <c r="EQ316" s="96"/>
      <c r="ER316" s="96"/>
      <c r="ES316" s="96"/>
      <c r="ET316" s="96"/>
    </row>
    <row r="317" spans="4:150"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6"/>
      <c r="BR317" s="96"/>
      <c r="BS317" s="96"/>
      <c r="BT317" s="96"/>
      <c r="BU317" s="96"/>
      <c r="BV317" s="96"/>
      <c r="BW317" s="96"/>
      <c r="BX317" s="96"/>
      <c r="BY317" s="96"/>
      <c r="BZ317" s="96"/>
      <c r="CA317" s="96"/>
      <c r="CB317" s="96"/>
      <c r="CC317" s="96"/>
      <c r="CD317" s="96"/>
      <c r="CE317" s="96"/>
      <c r="CF317" s="96"/>
      <c r="CG317" s="96"/>
      <c r="CH317" s="96"/>
      <c r="CI317" s="96"/>
      <c r="CJ317" s="96"/>
      <c r="CK317" s="96"/>
      <c r="CL317" s="96"/>
      <c r="CM317" s="96"/>
      <c r="CN317" s="96"/>
      <c r="CO317" s="96"/>
      <c r="CP317" s="96"/>
      <c r="CQ317" s="96"/>
      <c r="CR317" s="96"/>
      <c r="CS317" s="96"/>
      <c r="CT317" s="96"/>
      <c r="CU317" s="96"/>
      <c r="CV317" s="96"/>
      <c r="CW317" s="96"/>
      <c r="CX317" s="96"/>
      <c r="CY317" s="96"/>
      <c r="CZ317" s="96"/>
      <c r="DA317" s="96"/>
      <c r="DB317" s="96"/>
      <c r="DC317" s="96"/>
      <c r="DD317" s="96"/>
      <c r="DE317" s="96"/>
      <c r="DF317" s="96"/>
      <c r="DG317" s="96"/>
      <c r="DH317" s="96"/>
      <c r="DI317" s="96"/>
      <c r="DJ317" s="96"/>
      <c r="DK317" s="96"/>
      <c r="DL317" s="96"/>
      <c r="DM317" s="96"/>
      <c r="DN317" s="96"/>
      <c r="DO317" s="96"/>
      <c r="DP317" s="96"/>
      <c r="DQ317" s="96"/>
      <c r="DR317" s="96"/>
      <c r="DS317" s="96"/>
      <c r="DT317" s="96"/>
      <c r="DU317" s="96"/>
      <c r="DV317" s="96"/>
      <c r="DW317" s="96"/>
      <c r="DX317" s="96"/>
      <c r="DY317" s="96"/>
      <c r="DZ317" s="96"/>
      <c r="EA317" s="96"/>
      <c r="EB317" s="96"/>
      <c r="EC317" s="96"/>
      <c r="ED317" s="96"/>
      <c r="EE317" s="96"/>
      <c r="EF317" s="96"/>
      <c r="EG317" s="96"/>
      <c r="EH317" s="96"/>
      <c r="EI317" s="96"/>
      <c r="EJ317" s="96"/>
      <c r="EK317" s="96"/>
      <c r="EL317" s="96"/>
      <c r="EM317" s="96"/>
      <c r="EN317" s="96"/>
      <c r="EO317" s="96"/>
      <c r="EP317" s="96"/>
      <c r="EQ317" s="96"/>
      <c r="ER317" s="96"/>
      <c r="ES317" s="96"/>
      <c r="ET317" s="96"/>
    </row>
    <row r="318" spans="4:150"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  <c r="BE318" s="96"/>
      <c r="BF318" s="96"/>
      <c r="BG318" s="96"/>
      <c r="BH318" s="96"/>
      <c r="BI318" s="96"/>
      <c r="BJ318" s="96"/>
      <c r="BK318" s="96"/>
      <c r="BL318" s="96"/>
      <c r="BM318" s="96"/>
      <c r="BN318" s="96"/>
      <c r="BO318" s="96"/>
      <c r="BP318" s="96"/>
      <c r="BQ318" s="96"/>
      <c r="BR318" s="96"/>
      <c r="BS318" s="96"/>
      <c r="BT318" s="96"/>
      <c r="BU318" s="96"/>
      <c r="BV318" s="96"/>
      <c r="BW318" s="96"/>
      <c r="BX318" s="96"/>
      <c r="BY318" s="96"/>
      <c r="BZ318" s="96"/>
      <c r="CA318" s="96"/>
      <c r="CB318" s="96"/>
      <c r="CC318" s="96"/>
      <c r="CD318" s="96"/>
      <c r="CE318" s="96"/>
      <c r="CF318" s="96"/>
      <c r="CG318" s="96"/>
      <c r="CH318" s="96"/>
      <c r="CI318" s="96"/>
      <c r="CJ318" s="96"/>
      <c r="CK318" s="96"/>
      <c r="CL318" s="96"/>
      <c r="CM318" s="96"/>
      <c r="CN318" s="96"/>
      <c r="CO318" s="96"/>
      <c r="CP318" s="96"/>
      <c r="CQ318" s="96"/>
      <c r="CR318" s="96"/>
      <c r="CS318" s="96"/>
      <c r="CT318" s="96"/>
      <c r="CU318" s="96"/>
      <c r="CV318" s="96"/>
      <c r="CW318" s="96"/>
      <c r="CX318" s="96"/>
      <c r="CY318" s="96"/>
      <c r="CZ318" s="96"/>
      <c r="DA318" s="96"/>
      <c r="DB318" s="96"/>
      <c r="DC318" s="96"/>
      <c r="DD318" s="96"/>
      <c r="DE318" s="96"/>
      <c r="DF318" s="96"/>
      <c r="DG318" s="96"/>
      <c r="DH318" s="96"/>
      <c r="DI318" s="96"/>
      <c r="DJ318" s="96"/>
      <c r="DK318" s="96"/>
      <c r="DL318" s="96"/>
      <c r="DM318" s="96"/>
      <c r="DN318" s="96"/>
      <c r="DO318" s="96"/>
      <c r="DP318" s="96"/>
      <c r="DQ318" s="96"/>
      <c r="DR318" s="96"/>
      <c r="DS318" s="96"/>
      <c r="DT318" s="96"/>
      <c r="DU318" s="96"/>
      <c r="DV318" s="96"/>
      <c r="DW318" s="96"/>
      <c r="DX318" s="96"/>
      <c r="DY318" s="96"/>
      <c r="DZ318" s="96"/>
      <c r="EA318" s="96"/>
      <c r="EB318" s="96"/>
      <c r="EC318" s="96"/>
      <c r="ED318" s="96"/>
      <c r="EE318" s="96"/>
      <c r="EF318" s="96"/>
      <c r="EG318" s="96"/>
      <c r="EH318" s="96"/>
      <c r="EI318" s="96"/>
      <c r="EJ318" s="96"/>
      <c r="EK318" s="96"/>
      <c r="EL318" s="96"/>
      <c r="EM318" s="96"/>
      <c r="EN318" s="96"/>
      <c r="EO318" s="96"/>
      <c r="EP318" s="96"/>
      <c r="EQ318" s="96"/>
      <c r="ER318" s="96"/>
      <c r="ES318" s="96"/>
      <c r="ET318" s="96"/>
    </row>
    <row r="319" spans="4:150"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  <c r="BE319" s="96"/>
      <c r="BF319" s="96"/>
      <c r="BG319" s="96"/>
      <c r="BH319" s="96"/>
      <c r="BI319" s="96"/>
      <c r="BJ319" s="96"/>
      <c r="BK319" s="96"/>
      <c r="BL319" s="96"/>
      <c r="BM319" s="96"/>
      <c r="BN319" s="96"/>
      <c r="BO319" s="96"/>
      <c r="BP319" s="96"/>
      <c r="BQ319" s="96"/>
      <c r="BR319" s="96"/>
      <c r="BS319" s="96"/>
      <c r="BT319" s="96"/>
      <c r="BU319" s="96"/>
      <c r="BV319" s="96"/>
      <c r="BW319" s="96"/>
      <c r="BX319" s="96"/>
      <c r="BY319" s="96"/>
      <c r="BZ319" s="96"/>
      <c r="CA319" s="96"/>
      <c r="CB319" s="96"/>
      <c r="CC319" s="96"/>
      <c r="CD319" s="96"/>
      <c r="CE319" s="96"/>
      <c r="CF319" s="96"/>
      <c r="CG319" s="96"/>
      <c r="CH319" s="96"/>
      <c r="CI319" s="96"/>
      <c r="CJ319" s="96"/>
      <c r="CK319" s="96"/>
      <c r="CL319" s="96"/>
      <c r="CM319" s="96"/>
      <c r="CN319" s="96"/>
      <c r="CO319" s="96"/>
      <c r="CP319" s="96"/>
      <c r="CQ319" s="96"/>
      <c r="CR319" s="96"/>
      <c r="CS319" s="96"/>
      <c r="CT319" s="96"/>
      <c r="CU319" s="96"/>
      <c r="CV319" s="96"/>
      <c r="CW319" s="96"/>
      <c r="CX319" s="96"/>
      <c r="CY319" s="96"/>
      <c r="CZ319" s="96"/>
      <c r="DA319" s="96"/>
      <c r="DB319" s="96"/>
      <c r="DC319" s="96"/>
      <c r="DD319" s="96"/>
      <c r="DE319" s="96"/>
      <c r="DF319" s="96"/>
      <c r="DG319" s="96"/>
      <c r="DH319" s="96"/>
      <c r="DI319" s="96"/>
      <c r="DJ319" s="96"/>
      <c r="DK319" s="96"/>
      <c r="DL319" s="96"/>
      <c r="DM319" s="96"/>
      <c r="DN319" s="96"/>
      <c r="DO319" s="96"/>
      <c r="DP319" s="96"/>
      <c r="DQ319" s="96"/>
      <c r="DR319" s="96"/>
      <c r="DS319" s="96"/>
      <c r="DT319" s="96"/>
      <c r="DU319" s="96"/>
      <c r="DV319" s="96"/>
      <c r="DW319" s="96"/>
      <c r="DX319" s="96"/>
      <c r="DY319" s="96"/>
      <c r="DZ319" s="96"/>
      <c r="EA319" s="96"/>
      <c r="EB319" s="96"/>
      <c r="EC319" s="96"/>
      <c r="ED319" s="96"/>
      <c r="EE319" s="96"/>
      <c r="EF319" s="96"/>
      <c r="EG319" s="96"/>
      <c r="EH319" s="96"/>
      <c r="EI319" s="96"/>
      <c r="EJ319" s="96"/>
      <c r="EK319" s="96"/>
      <c r="EL319" s="96"/>
      <c r="EM319" s="96"/>
      <c r="EN319" s="96"/>
      <c r="EO319" s="96"/>
      <c r="EP319" s="96"/>
      <c r="EQ319" s="96"/>
      <c r="ER319" s="96"/>
      <c r="ES319" s="96"/>
      <c r="ET319" s="96"/>
    </row>
    <row r="320" spans="4:150"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  <c r="BE320" s="96"/>
      <c r="BF320" s="96"/>
      <c r="BG320" s="96"/>
      <c r="BH320" s="96"/>
      <c r="BI320" s="96"/>
      <c r="BJ320" s="96"/>
      <c r="BK320" s="96"/>
      <c r="BL320" s="96"/>
      <c r="BM320" s="96"/>
      <c r="BN320" s="96"/>
      <c r="BO320" s="96"/>
      <c r="BP320" s="96"/>
      <c r="BQ320" s="96"/>
      <c r="BR320" s="96"/>
      <c r="BS320" s="96"/>
      <c r="BT320" s="96"/>
      <c r="BU320" s="96"/>
      <c r="BV320" s="96"/>
      <c r="BW320" s="96"/>
      <c r="BX320" s="96"/>
      <c r="BY320" s="96"/>
      <c r="BZ320" s="96"/>
      <c r="CA320" s="96"/>
      <c r="CB320" s="96"/>
      <c r="CC320" s="96"/>
      <c r="CD320" s="96"/>
      <c r="CE320" s="96"/>
      <c r="CF320" s="96"/>
      <c r="CG320" s="96"/>
      <c r="CH320" s="96"/>
      <c r="CI320" s="96"/>
      <c r="CJ320" s="96"/>
      <c r="CK320" s="96"/>
      <c r="CL320" s="96"/>
      <c r="CM320" s="96"/>
      <c r="CN320" s="96"/>
      <c r="CO320" s="96"/>
      <c r="CP320" s="96"/>
      <c r="CQ320" s="96"/>
      <c r="CR320" s="96"/>
      <c r="CS320" s="96"/>
      <c r="CT320" s="96"/>
      <c r="CU320" s="96"/>
      <c r="CV320" s="96"/>
      <c r="CW320" s="96"/>
      <c r="CX320" s="96"/>
      <c r="CY320" s="96"/>
      <c r="CZ320" s="96"/>
      <c r="DA320" s="96"/>
      <c r="DB320" s="96"/>
      <c r="DC320" s="96"/>
      <c r="DD320" s="96"/>
      <c r="DE320" s="96"/>
      <c r="DF320" s="96"/>
      <c r="DG320" s="96"/>
      <c r="DH320" s="96"/>
      <c r="DI320" s="96"/>
      <c r="DJ320" s="96"/>
      <c r="DK320" s="96"/>
      <c r="DL320" s="96"/>
      <c r="DM320" s="96"/>
      <c r="DN320" s="96"/>
      <c r="DO320" s="96"/>
      <c r="DP320" s="96"/>
      <c r="DQ320" s="96"/>
      <c r="DR320" s="96"/>
      <c r="DS320" s="96"/>
      <c r="DT320" s="96"/>
      <c r="DU320" s="96"/>
      <c r="DV320" s="96"/>
      <c r="DW320" s="96"/>
      <c r="DX320" s="96"/>
      <c r="DY320" s="96"/>
      <c r="DZ320" s="96"/>
      <c r="EA320" s="96"/>
      <c r="EB320" s="96"/>
      <c r="EC320" s="96"/>
      <c r="ED320" s="96"/>
      <c r="EE320" s="96"/>
      <c r="EF320" s="96"/>
      <c r="EG320" s="96"/>
      <c r="EH320" s="96"/>
      <c r="EI320" s="96"/>
      <c r="EJ320" s="96"/>
      <c r="EK320" s="96"/>
      <c r="EL320" s="96"/>
      <c r="EM320" s="96"/>
      <c r="EN320" s="96"/>
      <c r="EO320" s="96"/>
      <c r="EP320" s="96"/>
      <c r="EQ320" s="96"/>
      <c r="ER320" s="96"/>
      <c r="ES320" s="96"/>
      <c r="ET320" s="96"/>
    </row>
    <row r="321" spans="4:150"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  <c r="BL321" s="96"/>
      <c r="BM321" s="96"/>
      <c r="BN321" s="96"/>
      <c r="BO321" s="96"/>
      <c r="BP321" s="96"/>
      <c r="BQ321" s="96"/>
      <c r="BR321" s="96"/>
      <c r="BS321" s="96"/>
      <c r="BT321" s="96"/>
      <c r="BU321" s="96"/>
      <c r="BV321" s="96"/>
      <c r="BW321" s="96"/>
      <c r="BX321" s="96"/>
      <c r="BY321" s="96"/>
      <c r="BZ321" s="96"/>
      <c r="CA321" s="96"/>
      <c r="CB321" s="96"/>
      <c r="CC321" s="96"/>
      <c r="CD321" s="96"/>
      <c r="CE321" s="96"/>
      <c r="CF321" s="96"/>
      <c r="CG321" s="96"/>
      <c r="CH321" s="96"/>
      <c r="CI321" s="96"/>
      <c r="CJ321" s="96"/>
      <c r="CK321" s="96"/>
      <c r="CL321" s="96"/>
      <c r="CM321" s="96"/>
      <c r="CN321" s="96"/>
      <c r="CO321" s="96"/>
      <c r="CP321" s="96"/>
      <c r="CQ321" s="96"/>
      <c r="CR321" s="96"/>
      <c r="CS321" s="96"/>
      <c r="CT321" s="96"/>
      <c r="CU321" s="96"/>
      <c r="CV321" s="96"/>
      <c r="CW321" s="96"/>
      <c r="CX321" s="96"/>
      <c r="CY321" s="96"/>
      <c r="CZ321" s="96"/>
      <c r="DA321" s="96"/>
      <c r="DB321" s="96"/>
      <c r="DC321" s="96"/>
      <c r="DD321" s="96"/>
      <c r="DE321" s="96"/>
      <c r="DF321" s="96"/>
      <c r="DG321" s="96"/>
      <c r="DH321" s="96"/>
      <c r="DI321" s="96"/>
      <c r="DJ321" s="96"/>
      <c r="DK321" s="96"/>
      <c r="DL321" s="96"/>
      <c r="DM321" s="96"/>
      <c r="DN321" s="96"/>
      <c r="DO321" s="96"/>
      <c r="DP321" s="96"/>
      <c r="DQ321" s="96"/>
      <c r="DR321" s="96"/>
      <c r="DS321" s="96"/>
      <c r="DT321" s="96"/>
      <c r="DU321" s="96"/>
      <c r="DV321" s="96"/>
      <c r="DW321" s="96"/>
      <c r="DX321" s="96"/>
      <c r="DY321" s="96"/>
      <c r="DZ321" s="96"/>
      <c r="EA321" s="96"/>
      <c r="EB321" s="96"/>
      <c r="EC321" s="96"/>
      <c r="ED321" s="96"/>
      <c r="EE321" s="96"/>
      <c r="EF321" s="96"/>
      <c r="EG321" s="96"/>
      <c r="EH321" s="96"/>
      <c r="EI321" s="96"/>
      <c r="EJ321" s="96"/>
      <c r="EK321" s="96"/>
      <c r="EL321" s="96"/>
      <c r="EM321" s="96"/>
      <c r="EN321" s="96"/>
      <c r="EO321" s="96"/>
      <c r="EP321" s="96"/>
      <c r="EQ321" s="96"/>
      <c r="ER321" s="96"/>
      <c r="ES321" s="96"/>
      <c r="ET321" s="96"/>
    </row>
    <row r="322" spans="4:150"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6"/>
      <c r="BR322" s="96"/>
      <c r="BS322" s="96"/>
      <c r="BT322" s="96"/>
      <c r="BU322" s="96"/>
      <c r="BV322" s="96"/>
      <c r="BW322" s="96"/>
      <c r="BX322" s="96"/>
      <c r="BY322" s="96"/>
      <c r="BZ322" s="96"/>
      <c r="CA322" s="96"/>
      <c r="CB322" s="96"/>
      <c r="CC322" s="96"/>
      <c r="CD322" s="96"/>
      <c r="CE322" s="96"/>
      <c r="CF322" s="96"/>
      <c r="CG322" s="96"/>
      <c r="CH322" s="96"/>
      <c r="CI322" s="96"/>
      <c r="CJ322" s="96"/>
      <c r="CK322" s="96"/>
      <c r="CL322" s="96"/>
      <c r="CM322" s="96"/>
      <c r="CN322" s="96"/>
      <c r="CO322" s="96"/>
      <c r="CP322" s="96"/>
      <c r="CQ322" s="96"/>
      <c r="CR322" s="96"/>
      <c r="CS322" s="96"/>
      <c r="CT322" s="96"/>
      <c r="CU322" s="96"/>
      <c r="CV322" s="96"/>
      <c r="CW322" s="96"/>
      <c r="CX322" s="96"/>
      <c r="CY322" s="96"/>
      <c r="CZ322" s="96"/>
      <c r="DA322" s="96"/>
      <c r="DB322" s="96"/>
      <c r="DC322" s="96"/>
      <c r="DD322" s="96"/>
      <c r="DE322" s="96"/>
      <c r="DF322" s="96"/>
      <c r="DG322" s="96"/>
      <c r="DH322" s="96"/>
      <c r="DI322" s="96"/>
      <c r="DJ322" s="96"/>
      <c r="DK322" s="96"/>
      <c r="DL322" s="96"/>
      <c r="DM322" s="96"/>
      <c r="DN322" s="96"/>
      <c r="DO322" s="96"/>
      <c r="DP322" s="96"/>
      <c r="DQ322" s="96"/>
      <c r="DR322" s="96"/>
      <c r="DS322" s="96"/>
      <c r="DT322" s="96"/>
      <c r="DU322" s="96"/>
      <c r="DV322" s="96"/>
      <c r="DW322" s="96"/>
      <c r="DX322" s="96"/>
      <c r="DY322" s="96"/>
      <c r="DZ322" s="96"/>
      <c r="EA322" s="96"/>
      <c r="EB322" s="96"/>
      <c r="EC322" s="96"/>
      <c r="ED322" s="96"/>
      <c r="EE322" s="96"/>
      <c r="EF322" s="96"/>
      <c r="EG322" s="96"/>
      <c r="EH322" s="96"/>
      <c r="EI322" s="96"/>
      <c r="EJ322" s="96"/>
      <c r="EK322" s="96"/>
      <c r="EL322" s="96"/>
      <c r="EM322" s="96"/>
      <c r="EN322" s="96"/>
      <c r="EO322" s="96"/>
      <c r="EP322" s="96"/>
      <c r="EQ322" s="96"/>
      <c r="ER322" s="96"/>
      <c r="ES322" s="96"/>
      <c r="ET322" s="96"/>
    </row>
    <row r="323" spans="4:150"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6"/>
      <c r="BR323" s="96"/>
      <c r="BS323" s="96"/>
      <c r="BT323" s="96"/>
      <c r="BU323" s="96"/>
      <c r="BV323" s="96"/>
      <c r="BW323" s="96"/>
      <c r="BX323" s="96"/>
      <c r="BY323" s="96"/>
      <c r="BZ323" s="96"/>
      <c r="CA323" s="96"/>
      <c r="CB323" s="96"/>
      <c r="CC323" s="96"/>
      <c r="CD323" s="96"/>
      <c r="CE323" s="96"/>
      <c r="CF323" s="96"/>
      <c r="CG323" s="96"/>
      <c r="CH323" s="96"/>
      <c r="CI323" s="96"/>
      <c r="CJ323" s="96"/>
      <c r="CK323" s="96"/>
      <c r="CL323" s="96"/>
      <c r="CM323" s="96"/>
      <c r="CN323" s="96"/>
      <c r="CO323" s="96"/>
      <c r="CP323" s="96"/>
      <c r="CQ323" s="96"/>
      <c r="CR323" s="96"/>
      <c r="CS323" s="96"/>
      <c r="CT323" s="96"/>
      <c r="CU323" s="96"/>
      <c r="CV323" s="96"/>
      <c r="CW323" s="96"/>
      <c r="CX323" s="96"/>
      <c r="CY323" s="96"/>
      <c r="CZ323" s="96"/>
      <c r="DA323" s="96"/>
      <c r="DB323" s="96"/>
      <c r="DC323" s="96"/>
      <c r="DD323" s="96"/>
      <c r="DE323" s="96"/>
      <c r="DF323" s="96"/>
      <c r="DG323" s="96"/>
      <c r="DH323" s="96"/>
      <c r="DI323" s="96"/>
      <c r="DJ323" s="96"/>
      <c r="DK323" s="96"/>
      <c r="DL323" s="96"/>
      <c r="DM323" s="96"/>
      <c r="DN323" s="96"/>
      <c r="DO323" s="96"/>
      <c r="DP323" s="96"/>
      <c r="DQ323" s="96"/>
      <c r="DR323" s="96"/>
      <c r="DS323" s="96"/>
      <c r="DT323" s="96"/>
      <c r="DU323" s="96"/>
      <c r="DV323" s="96"/>
      <c r="DW323" s="96"/>
      <c r="DX323" s="96"/>
      <c r="DY323" s="96"/>
      <c r="DZ323" s="96"/>
      <c r="EA323" s="96"/>
      <c r="EB323" s="96"/>
      <c r="EC323" s="96"/>
      <c r="ED323" s="96"/>
      <c r="EE323" s="96"/>
      <c r="EF323" s="96"/>
      <c r="EG323" s="96"/>
      <c r="EH323" s="96"/>
      <c r="EI323" s="96"/>
      <c r="EJ323" s="96"/>
      <c r="EK323" s="96"/>
      <c r="EL323" s="96"/>
      <c r="EM323" s="96"/>
      <c r="EN323" s="96"/>
      <c r="EO323" s="96"/>
      <c r="EP323" s="96"/>
      <c r="EQ323" s="96"/>
      <c r="ER323" s="96"/>
      <c r="ES323" s="96"/>
      <c r="ET323" s="96"/>
    </row>
    <row r="324" spans="4:150"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  <c r="BI324" s="96"/>
      <c r="BJ324" s="96"/>
      <c r="BK324" s="96"/>
      <c r="BL324" s="96"/>
      <c r="BM324" s="96"/>
      <c r="BN324" s="96"/>
      <c r="BO324" s="96"/>
      <c r="BP324" s="96"/>
      <c r="BQ324" s="96"/>
      <c r="BR324" s="96"/>
      <c r="BS324" s="96"/>
      <c r="BT324" s="96"/>
      <c r="BU324" s="96"/>
      <c r="BV324" s="96"/>
      <c r="BW324" s="96"/>
      <c r="BX324" s="96"/>
      <c r="BY324" s="96"/>
      <c r="BZ324" s="96"/>
      <c r="CA324" s="96"/>
      <c r="CB324" s="96"/>
      <c r="CC324" s="96"/>
      <c r="CD324" s="96"/>
      <c r="CE324" s="96"/>
      <c r="CF324" s="96"/>
      <c r="CG324" s="96"/>
      <c r="CH324" s="96"/>
      <c r="CI324" s="96"/>
      <c r="CJ324" s="96"/>
      <c r="CK324" s="96"/>
      <c r="CL324" s="96"/>
      <c r="CM324" s="96"/>
      <c r="CN324" s="96"/>
      <c r="CO324" s="96"/>
      <c r="CP324" s="96"/>
      <c r="CQ324" s="96"/>
      <c r="CR324" s="96"/>
      <c r="CS324" s="96"/>
      <c r="CT324" s="96"/>
      <c r="CU324" s="96"/>
      <c r="CV324" s="96"/>
      <c r="CW324" s="96"/>
      <c r="CX324" s="96"/>
      <c r="CY324" s="96"/>
      <c r="CZ324" s="96"/>
      <c r="DA324" s="96"/>
      <c r="DB324" s="96"/>
      <c r="DC324" s="96"/>
      <c r="DD324" s="96"/>
      <c r="DE324" s="96"/>
      <c r="DF324" s="96"/>
      <c r="DG324" s="96"/>
      <c r="DH324" s="96"/>
      <c r="DI324" s="96"/>
      <c r="DJ324" s="96"/>
      <c r="DK324" s="96"/>
      <c r="DL324" s="96"/>
      <c r="DM324" s="96"/>
      <c r="DN324" s="96"/>
      <c r="DO324" s="96"/>
      <c r="DP324" s="96"/>
      <c r="DQ324" s="96"/>
      <c r="DR324" s="96"/>
      <c r="DS324" s="96"/>
      <c r="DT324" s="96"/>
      <c r="DU324" s="96"/>
      <c r="DV324" s="96"/>
      <c r="DW324" s="96"/>
      <c r="DX324" s="96"/>
      <c r="DY324" s="96"/>
      <c r="DZ324" s="96"/>
      <c r="EA324" s="96"/>
      <c r="EB324" s="96"/>
      <c r="EC324" s="96"/>
      <c r="ED324" s="96"/>
      <c r="EE324" s="96"/>
      <c r="EF324" s="96"/>
      <c r="EG324" s="96"/>
      <c r="EH324" s="96"/>
      <c r="EI324" s="96"/>
      <c r="EJ324" s="96"/>
      <c r="EK324" s="96"/>
      <c r="EL324" s="96"/>
      <c r="EM324" s="96"/>
      <c r="EN324" s="96"/>
      <c r="EO324" s="96"/>
      <c r="EP324" s="96"/>
      <c r="EQ324" s="96"/>
      <c r="ER324" s="96"/>
      <c r="ES324" s="96"/>
      <c r="ET324" s="96"/>
    </row>
    <row r="325" spans="4:150"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  <c r="BE325" s="96"/>
      <c r="BF325" s="96"/>
      <c r="BG325" s="96"/>
      <c r="BH325" s="96"/>
      <c r="BI325" s="96"/>
      <c r="BJ325" s="96"/>
      <c r="BK325" s="96"/>
      <c r="BL325" s="96"/>
      <c r="BM325" s="96"/>
      <c r="BN325" s="96"/>
      <c r="BO325" s="96"/>
      <c r="BP325" s="96"/>
      <c r="BQ325" s="96"/>
      <c r="BR325" s="96"/>
      <c r="BS325" s="96"/>
      <c r="BT325" s="96"/>
      <c r="BU325" s="96"/>
      <c r="BV325" s="96"/>
      <c r="BW325" s="96"/>
      <c r="BX325" s="96"/>
      <c r="BY325" s="96"/>
      <c r="BZ325" s="96"/>
      <c r="CA325" s="96"/>
      <c r="CB325" s="96"/>
      <c r="CC325" s="96"/>
      <c r="CD325" s="96"/>
      <c r="CE325" s="96"/>
      <c r="CF325" s="96"/>
      <c r="CG325" s="96"/>
      <c r="CH325" s="96"/>
      <c r="CI325" s="96"/>
      <c r="CJ325" s="96"/>
      <c r="CK325" s="96"/>
      <c r="CL325" s="96"/>
      <c r="CM325" s="96"/>
      <c r="CN325" s="96"/>
      <c r="CO325" s="96"/>
      <c r="CP325" s="96"/>
      <c r="CQ325" s="96"/>
      <c r="CR325" s="96"/>
      <c r="CS325" s="96"/>
      <c r="CT325" s="96"/>
      <c r="CU325" s="96"/>
      <c r="CV325" s="96"/>
      <c r="CW325" s="96"/>
      <c r="CX325" s="96"/>
      <c r="CY325" s="96"/>
      <c r="CZ325" s="96"/>
      <c r="DA325" s="96"/>
      <c r="DB325" s="96"/>
      <c r="DC325" s="96"/>
      <c r="DD325" s="96"/>
      <c r="DE325" s="96"/>
      <c r="DF325" s="96"/>
      <c r="DG325" s="96"/>
      <c r="DH325" s="96"/>
      <c r="DI325" s="96"/>
      <c r="DJ325" s="96"/>
      <c r="DK325" s="96"/>
      <c r="DL325" s="96"/>
      <c r="DM325" s="96"/>
      <c r="DN325" s="96"/>
      <c r="DO325" s="96"/>
      <c r="DP325" s="96"/>
      <c r="DQ325" s="96"/>
      <c r="DR325" s="96"/>
      <c r="DS325" s="96"/>
      <c r="DT325" s="96"/>
      <c r="DU325" s="96"/>
      <c r="DV325" s="96"/>
      <c r="DW325" s="96"/>
      <c r="DX325" s="96"/>
      <c r="DY325" s="96"/>
      <c r="DZ325" s="96"/>
      <c r="EA325" s="96"/>
      <c r="EB325" s="96"/>
      <c r="EC325" s="96"/>
      <c r="ED325" s="96"/>
      <c r="EE325" s="96"/>
      <c r="EF325" s="96"/>
      <c r="EG325" s="96"/>
      <c r="EH325" s="96"/>
      <c r="EI325" s="96"/>
      <c r="EJ325" s="96"/>
      <c r="EK325" s="96"/>
      <c r="EL325" s="96"/>
      <c r="EM325" s="96"/>
      <c r="EN325" s="96"/>
      <c r="EO325" s="96"/>
      <c r="EP325" s="96"/>
      <c r="EQ325" s="96"/>
      <c r="ER325" s="96"/>
      <c r="ES325" s="96"/>
      <c r="ET325" s="96"/>
    </row>
    <row r="326" spans="4:150"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  <c r="BE326" s="96"/>
      <c r="BF326" s="96"/>
      <c r="BG326" s="96"/>
      <c r="BH326" s="96"/>
      <c r="BI326" s="96"/>
      <c r="BJ326" s="96"/>
      <c r="BK326" s="96"/>
      <c r="BL326" s="96"/>
      <c r="BM326" s="96"/>
      <c r="BN326" s="96"/>
      <c r="BO326" s="96"/>
      <c r="BP326" s="96"/>
      <c r="BQ326" s="96"/>
      <c r="BR326" s="96"/>
      <c r="BS326" s="96"/>
      <c r="BT326" s="96"/>
      <c r="BU326" s="96"/>
      <c r="BV326" s="96"/>
      <c r="BW326" s="96"/>
      <c r="BX326" s="96"/>
      <c r="BY326" s="96"/>
      <c r="BZ326" s="96"/>
      <c r="CA326" s="96"/>
      <c r="CB326" s="96"/>
      <c r="CC326" s="96"/>
      <c r="CD326" s="96"/>
      <c r="CE326" s="96"/>
      <c r="CF326" s="96"/>
      <c r="CG326" s="96"/>
      <c r="CH326" s="96"/>
      <c r="CI326" s="96"/>
      <c r="CJ326" s="96"/>
      <c r="CK326" s="96"/>
      <c r="CL326" s="96"/>
      <c r="CM326" s="96"/>
      <c r="CN326" s="96"/>
      <c r="CO326" s="96"/>
      <c r="CP326" s="96"/>
      <c r="CQ326" s="96"/>
      <c r="CR326" s="96"/>
      <c r="CS326" s="96"/>
      <c r="CT326" s="96"/>
      <c r="CU326" s="96"/>
      <c r="CV326" s="96"/>
      <c r="CW326" s="96"/>
      <c r="CX326" s="96"/>
      <c r="CY326" s="96"/>
      <c r="CZ326" s="96"/>
      <c r="DA326" s="96"/>
      <c r="DB326" s="96"/>
      <c r="DC326" s="96"/>
      <c r="DD326" s="96"/>
      <c r="DE326" s="96"/>
      <c r="DF326" s="96"/>
      <c r="DG326" s="96"/>
      <c r="DH326" s="96"/>
      <c r="DI326" s="96"/>
      <c r="DJ326" s="96"/>
      <c r="DK326" s="96"/>
      <c r="DL326" s="96"/>
      <c r="DM326" s="96"/>
      <c r="DN326" s="96"/>
      <c r="DO326" s="96"/>
      <c r="DP326" s="96"/>
      <c r="DQ326" s="96"/>
      <c r="DR326" s="96"/>
      <c r="DS326" s="96"/>
      <c r="DT326" s="96"/>
      <c r="DU326" s="96"/>
      <c r="DV326" s="96"/>
      <c r="DW326" s="96"/>
      <c r="DX326" s="96"/>
      <c r="DY326" s="96"/>
      <c r="DZ326" s="96"/>
      <c r="EA326" s="96"/>
      <c r="EB326" s="96"/>
      <c r="EC326" s="96"/>
      <c r="ED326" s="96"/>
      <c r="EE326" s="96"/>
      <c r="EF326" s="96"/>
      <c r="EG326" s="96"/>
      <c r="EH326" s="96"/>
      <c r="EI326" s="96"/>
      <c r="EJ326" s="96"/>
      <c r="EK326" s="96"/>
      <c r="EL326" s="96"/>
      <c r="EM326" s="96"/>
      <c r="EN326" s="96"/>
      <c r="EO326" s="96"/>
      <c r="EP326" s="96"/>
      <c r="EQ326" s="96"/>
      <c r="ER326" s="96"/>
      <c r="ES326" s="96"/>
      <c r="ET326" s="96"/>
    </row>
    <row r="327" spans="4:150"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6"/>
      <c r="BS327" s="96"/>
      <c r="BT327" s="96"/>
      <c r="BU327" s="96"/>
      <c r="BV327" s="96"/>
      <c r="BW327" s="96"/>
      <c r="BX327" s="96"/>
      <c r="BY327" s="96"/>
      <c r="BZ327" s="96"/>
      <c r="CA327" s="96"/>
      <c r="CB327" s="96"/>
      <c r="CC327" s="96"/>
      <c r="CD327" s="96"/>
      <c r="CE327" s="96"/>
      <c r="CF327" s="96"/>
      <c r="CG327" s="96"/>
      <c r="CH327" s="96"/>
      <c r="CI327" s="96"/>
      <c r="CJ327" s="96"/>
      <c r="CK327" s="96"/>
      <c r="CL327" s="96"/>
      <c r="CM327" s="96"/>
      <c r="CN327" s="96"/>
      <c r="CO327" s="96"/>
      <c r="CP327" s="96"/>
      <c r="CQ327" s="96"/>
      <c r="CR327" s="96"/>
      <c r="CS327" s="96"/>
      <c r="CT327" s="96"/>
      <c r="CU327" s="96"/>
      <c r="CV327" s="96"/>
      <c r="CW327" s="96"/>
      <c r="CX327" s="96"/>
      <c r="CY327" s="96"/>
      <c r="CZ327" s="96"/>
      <c r="DA327" s="96"/>
      <c r="DB327" s="96"/>
      <c r="DC327" s="96"/>
      <c r="DD327" s="96"/>
      <c r="DE327" s="96"/>
      <c r="DF327" s="96"/>
      <c r="DG327" s="96"/>
      <c r="DH327" s="96"/>
      <c r="DI327" s="96"/>
      <c r="DJ327" s="96"/>
      <c r="DK327" s="96"/>
      <c r="DL327" s="96"/>
      <c r="DM327" s="96"/>
      <c r="DN327" s="96"/>
      <c r="DO327" s="96"/>
      <c r="DP327" s="96"/>
      <c r="DQ327" s="96"/>
      <c r="DR327" s="96"/>
      <c r="DS327" s="96"/>
      <c r="DT327" s="96"/>
      <c r="DU327" s="96"/>
      <c r="DV327" s="96"/>
      <c r="DW327" s="96"/>
      <c r="DX327" s="96"/>
      <c r="DY327" s="96"/>
      <c r="DZ327" s="96"/>
      <c r="EA327" s="96"/>
      <c r="EB327" s="96"/>
      <c r="EC327" s="96"/>
      <c r="ED327" s="96"/>
      <c r="EE327" s="96"/>
      <c r="EF327" s="96"/>
      <c r="EG327" s="96"/>
      <c r="EH327" s="96"/>
      <c r="EI327" s="96"/>
      <c r="EJ327" s="96"/>
      <c r="EK327" s="96"/>
      <c r="EL327" s="96"/>
      <c r="EM327" s="96"/>
      <c r="EN327" s="96"/>
      <c r="EO327" s="96"/>
      <c r="EP327" s="96"/>
      <c r="EQ327" s="96"/>
      <c r="ER327" s="96"/>
      <c r="ES327" s="96"/>
      <c r="ET327" s="96"/>
    </row>
    <row r="328" spans="4:150"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  <c r="BH328" s="96"/>
      <c r="BI328" s="96"/>
      <c r="BJ328" s="96"/>
      <c r="BK328" s="96"/>
      <c r="BL328" s="96"/>
      <c r="BM328" s="96"/>
      <c r="BN328" s="96"/>
      <c r="BO328" s="96"/>
      <c r="BP328" s="96"/>
      <c r="BQ328" s="96"/>
      <c r="BR328" s="96"/>
      <c r="BS328" s="96"/>
      <c r="BT328" s="96"/>
      <c r="BU328" s="96"/>
      <c r="BV328" s="96"/>
      <c r="BW328" s="96"/>
      <c r="BX328" s="96"/>
      <c r="BY328" s="96"/>
      <c r="BZ328" s="96"/>
      <c r="CA328" s="96"/>
      <c r="CB328" s="96"/>
      <c r="CC328" s="96"/>
      <c r="CD328" s="96"/>
      <c r="CE328" s="96"/>
      <c r="CF328" s="96"/>
      <c r="CG328" s="96"/>
      <c r="CH328" s="96"/>
      <c r="CI328" s="96"/>
      <c r="CJ328" s="96"/>
      <c r="CK328" s="96"/>
      <c r="CL328" s="96"/>
      <c r="CM328" s="96"/>
      <c r="CN328" s="96"/>
      <c r="CO328" s="96"/>
      <c r="CP328" s="96"/>
      <c r="CQ328" s="96"/>
      <c r="CR328" s="96"/>
      <c r="CS328" s="96"/>
      <c r="CT328" s="96"/>
      <c r="CU328" s="96"/>
      <c r="CV328" s="96"/>
      <c r="CW328" s="96"/>
      <c r="CX328" s="96"/>
      <c r="CY328" s="96"/>
      <c r="CZ328" s="96"/>
      <c r="DA328" s="96"/>
      <c r="DB328" s="96"/>
      <c r="DC328" s="96"/>
      <c r="DD328" s="96"/>
      <c r="DE328" s="96"/>
      <c r="DF328" s="96"/>
      <c r="DG328" s="96"/>
      <c r="DH328" s="96"/>
      <c r="DI328" s="96"/>
      <c r="DJ328" s="96"/>
      <c r="DK328" s="96"/>
      <c r="DL328" s="96"/>
      <c r="DM328" s="96"/>
      <c r="DN328" s="96"/>
      <c r="DO328" s="96"/>
      <c r="DP328" s="96"/>
      <c r="DQ328" s="96"/>
      <c r="DR328" s="96"/>
      <c r="DS328" s="96"/>
      <c r="DT328" s="96"/>
      <c r="DU328" s="96"/>
      <c r="DV328" s="96"/>
      <c r="DW328" s="96"/>
      <c r="DX328" s="96"/>
      <c r="DY328" s="96"/>
      <c r="DZ328" s="96"/>
      <c r="EA328" s="96"/>
      <c r="EB328" s="96"/>
      <c r="EC328" s="96"/>
      <c r="ED328" s="96"/>
      <c r="EE328" s="96"/>
      <c r="EF328" s="96"/>
      <c r="EG328" s="96"/>
      <c r="EH328" s="96"/>
      <c r="EI328" s="96"/>
      <c r="EJ328" s="96"/>
      <c r="EK328" s="96"/>
      <c r="EL328" s="96"/>
      <c r="EM328" s="96"/>
      <c r="EN328" s="96"/>
      <c r="EO328" s="96"/>
      <c r="EP328" s="96"/>
      <c r="EQ328" s="96"/>
      <c r="ER328" s="96"/>
      <c r="ES328" s="96"/>
      <c r="ET328" s="96"/>
    </row>
    <row r="329" spans="4:150"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  <c r="BE329" s="96"/>
      <c r="BF329" s="96"/>
      <c r="BG329" s="96"/>
      <c r="BH329" s="96"/>
      <c r="BI329" s="96"/>
      <c r="BJ329" s="96"/>
      <c r="BK329" s="96"/>
      <c r="BL329" s="96"/>
      <c r="BM329" s="96"/>
      <c r="BN329" s="96"/>
      <c r="BO329" s="96"/>
      <c r="BP329" s="96"/>
      <c r="BQ329" s="96"/>
      <c r="BR329" s="96"/>
      <c r="BS329" s="96"/>
      <c r="BT329" s="96"/>
      <c r="BU329" s="96"/>
      <c r="BV329" s="96"/>
      <c r="BW329" s="96"/>
      <c r="BX329" s="96"/>
      <c r="BY329" s="96"/>
      <c r="BZ329" s="96"/>
      <c r="CA329" s="96"/>
      <c r="CB329" s="96"/>
      <c r="CC329" s="96"/>
      <c r="CD329" s="96"/>
      <c r="CE329" s="96"/>
      <c r="CF329" s="96"/>
      <c r="CG329" s="96"/>
      <c r="CH329" s="96"/>
      <c r="CI329" s="96"/>
      <c r="CJ329" s="96"/>
      <c r="CK329" s="96"/>
      <c r="CL329" s="96"/>
      <c r="CM329" s="96"/>
      <c r="CN329" s="96"/>
      <c r="CO329" s="96"/>
      <c r="CP329" s="96"/>
      <c r="CQ329" s="96"/>
      <c r="CR329" s="96"/>
      <c r="CS329" s="96"/>
      <c r="CT329" s="96"/>
      <c r="CU329" s="96"/>
      <c r="CV329" s="96"/>
      <c r="CW329" s="96"/>
      <c r="CX329" s="96"/>
      <c r="CY329" s="96"/>
      <c r="CZ329" s="96"/>
      <c r="DA329" s="96"/>
      <c r="DB329" s="96"/>
      <c r="DC329" s="96"/>
      <c r="DD329" s="96"/>
      <c r="DE329" s="96"/>
      <c r="DF329" s="96"/>
      <c r="DG329" s="96"/>
      <c r="DH329" s="96"/>
      <c r="DI329" s="96"/>
      <c r="DJ329" s="96"/>
      <c r="DK329" s="96"/>
      <c r="DL329" s="96"/>
      <c r="DM329" s="96"/>
      <c r="DN329" s="96"/>
      <c r="DO329" s="96"/>
      <c r="DP329" s="96"/>
      <c r="DQ329" s="96"/>
      <c r="DR329" s="96"/>
      <c r="DS329" s="96"/>
      <c r="DT329" s="96"/>
      <c r="DU329" s="96"/>
      <c r="DV329" s="96"/>
      <c r="DW329" s="96"/>
      <c r="DX329" s="96"/>
      <c r="DY329" s="96"/>
      <c r="DZ329" s="96"/>
      <c r="EA329" s="96"/>
      <c r="EB329" s="96"/>
      <c r="EC329" s="96"/>
      <c r="ED329" s="96"/>
      <c r="EE329" s="96"/>
      <c r="EF329" s="96"/>
      <c r="EG329" s="96"/>
      <c r="EH329" s="96"/>
      <c r="EI329" s="96"/>
      <c r="EJ329" s="96"/>
      <c r="EK329" s="96"/>
      <c r="EL329" s="96"/>
      <c r="EM329" s="96"/>
      <c r="EN329" s="96"/>
      <c r="EO329" s="96"/>
      <c r="EP329" s="96"/>
      <c r="EQ329" s="96"/>
      <c r="ER329" s="96"/>
      <c r="ES329" s="96"/>
      <c r="ET329" s="96"/>
    </row>
    <row r="330" spans="4:150"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  <c r="BE330" s="96"/>
      <c r="BF330" s="96"/>
      <c r="BG330" s="96"/>
      <c r="BH330" s="96"/>
      <c r="BI330" s="96"/>
      <c r="BJ330" s="96"/>
      <c r="BK330" s="96"/>
      <c r="BL330" s="96"/>
      <c r="BM330" s="96"/>
      <c r="BN330" s="96"/>
      <c r="BO330" s="96"/>
      <c r="BP330" s="96"/>
      <c r="BQ330" s="96"/>
      <c r="BR330" s="96"/>
      <c r="BS330" s="96"/>
      <c r="BT330" s="96"/>
      <c r="BU330" s="96"/>
      <c r="BV330" s="96"/>
      <c r="BW330" s="96"/>
      <c r="BX330" s="96"/>
      <c r="BY330" s="96"/>
      <c r="BZ330" s="96"/>
      <c r="CA330" s="96"/>
      <c r="CB330" s="96"/>
      <c r="CC330" s="96"/>
      <c r="CD330" s="96"/>
      <c r="CE330" s="96"/>
      <c r="CF330" s="96"/>
      <c r="CG330" s="96"/>
      <c r="CH330" s="96"/>
      <c r="CI330" s="96"/>
      <c r="CJ330" s="96"/>
      <c r="CK330" s="96"/>
      <c r="CL330" s="96"/>
      <c r="CM330" s="96"/>
      <c r="CN330" s="96"/>
      <c r="CO330" s="96"/>
      <c r="CP330" s="96"/>
      <c r="CQ330" s="96"/>
      <c r="CR330" s="96"/>
      <c r="CS330" s="96"/>
      <c r="CT330" s="96"/>
      <c r="CU330" s="96"/>
      <c r="CV330" s="96"/>
      <c r="CW330" s="96"/>
      <c r="CX330" s="96"/>
      <c r="CY330" s="96"/>
      <c r="CZ330" s="96"/>
      <c r="DA330" s="96"/>
      <c r="DB330" s="96"/>
      <c r="DC330" s="96"/>
      <c r="DD330" s="96"/>
      <c r="DE330" s="96"/>
      <c r="DF330" s="96"/>
      <c r="DG330" s="96"/>
      <c r="DH330" s="96"/>
      <c r="DI330" s="96"/>
      <c r="DJ330" s="96"/>
      <c r="DK330" s="96"/>
      <c r="DL330" s="96"/>
      <c r="DM330" s="96"/>
      <c r="DN330" s="96"/>
      <c r="DO330" s="96"/>
      <c r="DP330" s="96"/>
      <c r="DQ330" s="96"/>
      <c r="DR330" s="96"/>
      <c r="DS330" s="96"/>
      <c r="DT330" s="96"/>
      <c r="DU330" s="96"/>
      <c r="DV330" s="96"/>
      <c r="DW330" s="96"/>
      <c r="DX330" s="96"/>
      <c r="DY330" s="96"/>
      <c r="DZ330" s="96"/>
      <c r="EA330" s="96"/>
      <c r="EB330" s="96"/>
      <c r="EC330" s="96"/>
      <c r="ED330" s="96"/>
      <c r="EE330" s="96"/>
      <c r="EF330" s="96"/>
      <c r="EG330" s="96"/>
      <c r="EH330" s="96"/>
      <c r="EI330" s="96"/>
      <c r="EJ330" s="96"/>
      <c r="EK330" s="96"/>
      <c r="EL330" s="96"/>
      <c r="EM330" s="96"/>
      <c r="EN330" s="96"/>
      <c r="EO330" s="96"/>
      <c r="EP330" s="96"/>
      <c r="EQ330" s="96"/>
      <c r="ER330" s="96"/>
      <c r="ES330" s="96"/>
      <c r="ET330" s="96"/>
    </row>
    <row r="331" spans="4:150"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  <c r="BE331" s="96"/>
      <c r="BF331" s="96"/>
      <c r="BG331" s="96"/>
      <c r="BH331" s="96"/>
      <c r="BI331" s="96"/>
      <c r="BJ331" s="96"/>
      <c r="BK331" s="96"/>
      <c r="BL331" s="96"/>
      <c r="BM331" s="96"/>
      <c r="BN331" s="96"/>
      <c r="BO331" s="96"/>
      <c r="BP331" s="96"/>
      <c r="BQ331" s="96"/>
      <c r="BR331" s="96"/>
      <c r="BS331" s="96"/>
      <c r="BT331" s="96"/>
      <c r="BU331" s="96"/>
      <c r="BV331" s="96"/>
      <c r="BW331" s="96"/>
      <c r="BX331" s="96"/>
      <c r="BY331" s="96"/>
      <c r="BZ331" s="96"/>
      <c r="CA331" s="96"/>
      <c r="CB331" s="96"/>
      <c r="CC331" s="96"/>
      <c r="CD331" s="96"/>
      <c r="CE331" s="96"/>
      <c r="CF331" s="96"/>
      <c r="CG331" s="96"/>
      <c r="CH331" s="96"/>
      <c r="CI331" s="96"/>
      <c r="CJ331" s="96"/>
      <c r="CK331" s="96"/>
      <c r="CL331" s="96"/>
      <c r="CM331" s="96"/>
      <c r="CN331" s="96"/>
      <c r="CO331" s="96"/>
      <c r="CP331" s="96"/>
      <c r="CQ331" s="96"/>
      <c r="CR331" s="96"/>
      <c r="CS331" s="96"/>
      <c r="CT331" s="96"/>
      <c r="CU331" s="96"/>
      <c r="CV331" s="96"/>
      <c r="CW331" s="96"/>
      <c r="CX331" s="96"/>
      <c r="CY331" s="96"/>
      <c r="CZ331" s="96"/>
      <c r="DA331" s="96"/>
      <c r="DB331" s="96"/>
      <c r="DC331" s="96"/>
      <c r="DD331" s="96"/>
      <c r="DE331" s="96"/>
      <c r="DF331" s="96"/>
      <c r="DG331" s="96"/>
      <c r="DH331" s="96"/>
      <c r="DI331" s="96"/>
      <c r="DJ331" s="96"/>
      <c r="DK331" s="96"/>
      <c r="DL331" s="96"/>
      <c r="DM331" s="96"/>
      <c r="DN331" s="96"/>
      <c r="DO331" s="96"/>
      <c r="DP331" s="96"/>
      <c r="DQ331" s="96"/>
      <c r="DR331" s="96"/>
      <c r="DS331" s="96"/>
      <c r="DT331" s="96"/>
      <c r="DU331" s="96"/>
      <c r="DV331" s="96"/>
      <c r="DW331" s="96"/>
      <c r="DX331" s="96"/>
      <c r="DY331" s="96"/>
      <c r="DZ331" s="96"/>
      <c r="EA331" s="96"/>
      <c r="EB331" s="96"/>
      <c r="EC331" s="96"/>
      <c r="ED331" s="96"/>
      <c r="EE331" s="96"/>
      <c r="EF331" s="96"/>
      <c r="EG331" s="96"/>
      <c r="EH331" s="96"/>
      <c r="EI331" s="96"/>
      <c r="EJ331" s="96"/>
      <c r="EK331" s="96"/>
      <c r="EL331" s="96"/>
      <c r="EM331" s="96"/>
      <c r="EN331" s="96"/>
      <c r="EO331" s="96"/>
      <c r="EP331" s="96"/>
      <c r="EQ331" s="96"/>
      <c r="ER331" s="96"/>
      <c r="ES331" s="96"/>
      <c r="ET331" s="96"/>
    </row>
    <row r="332" spans="4:150"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  <c r="BE332" s="96"/>
      <c r="BF332" s="96"/>
      <c r="BG332" s="96"/>
      <c r="BH332" s="96"/>
      <c r="BI332" s="96"/>
      <c r="BJ332" s="96"/>
      <c r="BK332" s="96"/>
      <c r="BL332" s="96"/>
      <c r="BM332" s="96"/>
      <c r="BN332" s="96"/>
      <c r="BO332" s="96"/>
      <c r="BP332" s="96"/>
      <c r="BQ332" s="96"/>
      <c r="BR332" s="96"/>
      <c r="BS332" s="96"/>
      <c r="BT332" s="96"/>
      <c r="BU332" s="96"/>
      <c r="BV332" s="96"/>
      <c r="BW332" s="96"/>
      <c r="BX332" s="96"/>
      <c r="BY332" s="96"/>
      <c r="BZ332" s="96"/>
      <c r="CA332" s="96"/>
      <c r="CB332" s="96"/>
      <c r="CC332" s="96"/>
      <c r="CD332" s="96"/>
      <c r="CE332" s="96"/>
      <c r="CF332" s="96"/>
      <c r="CG332" s="96"/>
      <c r="CH332" s="96"/>
      <c r="CI332" s="96"/>
      <c r="CJ332" s="96"/>
      <c r="CK332" s="96"/>
      <c r="CL332" s="96"/>
      <c r="CM332" s="96"/>
      <c r="CN332" s="96"/>
      <c r="CO332" s="96"/>
      <c r="CP332" s="96"/>
      <c r="CQ332" s="96"/>
      <c r="CR332" s="96"/>
      <c r="CS332" s="96"/>
      <c r="CT332" s="96"/>
      <c r="CU332" s="96"/>
      <c r="CV332" s="96"/>
      <c r="CW332" s="96"/>
      <c r="CX332" s="96"/>
      <c r="CY332" s="96"/>
      <c r="CZ332" s="96"/>
      <c r="DA332" s="96"/>
      <c r="DB332" s="96"/>
      <c r="DC332" s="96"/>
      <c r="DD332" s="96"/>
      <c r="DE332" s="96"/>
      <c r="DF332" s="96"/>
      <c r="DG332" s="96"/>
      <c r="DH332" s="96"/>
      <c r="DI332" s="96"/>
      <c r="DJ332" s="96"/>
      <c r="DK332" s="96"/>
      <c r="DL332" s="96"/>
      <c r="DM332" s="96"/>
      <c r="DN332" s="96"/>
      <c r="DO332" s="96"/>
      <c r="DP332" s="96"/>
      <c r="DQ332" s="96"/>
      <c r="DR332" s="96"/>
      <c r="DS332" s="96"/>
      <c r="DT332" s="96"/>
      <c r="DU332" s="96"/>
      <c r="DV332" s="96"/>
      <c r="DW332" s="96"/>
      <c r="DX332" s="96"/>
      <c r="DY332" s="96"/>
      <c r="DZ332" s="96"/>
      <c r="EA332" s="96"/>
      <c r="EB332" s="96"/>
      <c r="EC332" s="96"/>
      <c r="ED332" s="96"/>
      <c r="EE332" s="96"/>
      <c r="EF332" s="96"/>
      <c r="EG332" s="96"/>
      <c r="EH332" s="96"/>
      <c r="EI332" s="96"/>
      <c r="EJ332" s="96"/>
      <c r="EK332" s="96"/>
      <c r="EL332" s="96"/>
      <c r="EM332" s="96"/>
      <c r="EN332" s="96"/>
      <c r="EO332" s="96"/>
      <c r="EP332" s="96"/>
      <c r="EQ332" s="96"/>
      <c r="ER332" s="96"/>
      <c r="ES332" s="96"/>
      <c r="ET332" s="96"/>
    </row>
    <row r="333" spans="4:150"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  <c r="BE333" s="96"/>
      <c r="BF333" s="96"/>
      <c r="BG333" s="96"/>
      <c r="BH333" s="96"/>
      <c r="BI333" s="96"/>
      <c r="BJ333" s="96"/>
      <c r="BK333" s="96"/>
      <c r="BL333" s="96"/>
      <c r="BM333" s="96"/>
      <c r="BN333" s="96"/>
      <c r="BO333" s="96"/>
      <c r="BP333" s="96"/>
      <c r="BQ333" s="96"/>
      <c r="BR333" s="96"/>
      <c r="BS333" s="96"/>
      <c r="BT333" s="96"/>
      <c r="BU333" s="96"/>
      <c r="BV333" s="96"/>
      <c r="BW333" s="96"/>
      <c r="BX333" s="96"/>
      <c r="BY333" s="96"/>
      <c r="BZ333" s="96"/>
      <c r="CA333" s="96"/>
      <c r="CB333" s="96"/>
      <c r="CC333" s="96"/>
      <c r="CD333" s="96"/>
      <c r="CE333" s="96"/>
      <c r="CF333" s="96"/>
      <c r="CG333" s="96"/>
      <c r="CH333" s="96"/>
      <c r="CI333" s="96"/>
      <c r="CJ333" s="96"/>
      <c r="CK333" s="96"/>
      <c r="CL333" s="96"/>
      <c r="CM333" s="96"/>
      <c r="CN333" s="96"/>
      <c r="CO333" s="96"/>
      <c r="CP333" s="96"/>
      <c r="CQ333" s="96"/>
      <c r="CR333" s="96"/>
      <c r="CS333" s="96"/>
      <c r="CT333" s="96"/>
      <c r="CU333" s="96"/>
      <c r="CV333" s="96"/>
      <c r="CW333" s="96"/>
      <c r="CX333" s="96"/>
      <c r="CY333" s="96"/>
      <c r="CZ333" s="96"/>
      <c r="DA333" s="96"/>
      <c r="DB333" s="96"/>
      <c r="DC333" s="96"/>
      <c r="DD333" s="96"/>
      <c r="DE333" s="96"/>
      <c r="DF333" s="96"/>
      <c r="DG333" s="96"/>
      <c r="DH333" s="96"/>
      <c r="DI333" s="96"/>
      <c r="DJ333" s="96"/>
      <c r="DK333" s="96"/>
      <c r="DL333" s="96"/>
      <c r="DM333" s="96"/>
      <c r="DN333" s="96"/>
      <c r="DO333" s="96"/>
      <c r="DP333" s="96"/>
      <c r="DQ333" s="96"/>
      <c r="DR333" s="96"/>
      <c r="DS333" s="96"/>
      <c r="DT333" s="96"/>
      <c r="DU333" s="96"/>
      <c r="DV333" s="96"/>
      <c r="DW333" s="96"/>
      <c r="DX333" s="96"/>
      <c r="DY333" s="96"/>
      <c r="DZ333" s="96"/>
      <c r="EA333" s="96"/>
      <c r="EB333" s="96"/>
      <c r="EC333" s="96"/>
      <c r="ED333" s="96"/>
      <c r="EE333" s="96"/>
      <c r="EF333" s="96"/>
      <c r="EG333" s="96"/>
      <c r="EH333" s="96"/>
      <c r="EI333" s="96"/>
      <c r="EJ333" s="96"/>
      <c r="EK333" s="96"/>
      <c r="EL333" s="96"/>
      <c r="EM333" s="96"/>
      <c r="EN333" s="96"/>
      <c r="EO333" s="96"/>
      <c r="EP333" s="96"/>
      <c r="EQ333" s="96"/>
      <c r="ER333" s="96"/>
      <c r="ES333" s="96"/>
      <c r="ET333" s="96"/>
    </row>
    <row r="334" spans="4:150"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  <c r="BE334" s="96"/>
      <c r="BF334" s="96"/>
      <c r="BG334" s="96"/>
      <c r="BH334" s="96"/>
      <c r="BI334" s="96"/>
      <c r="BJ334" s="96"/>
      <c r="BK334" s="96"/>
      <c r="BL334" s="96"/>
      <c r="BM334" s="96"/>
      <c r="BN334" s="96"/>
      <c r="BO334" s="96"/>
      <c r="BP334" s="96"/>
      <c r="BQ334" s="96"/>
      <c r="BR334" s="96"/>
      <c r="BS334" s="96"/>
      <c r="BT334" s="96"/>
      <c r="BU334" s="96"/>
      <c r="BV334" s="96"/>
      <c r="BW334" s="96"/>
      <c r="BX334" s="96"/>
      <c r="BY334" s="96"/>
      <c r="BZ334" s="96"/>
      <c r="CA334" s="96"/>
      <c r="CB334" s="96"/>
      <c r="CC334" s="96"/>
      <c r="CD334" s="96"/>
      <c r="CE334" s="96"/>
      <c r="CF334" s="96"/>
      <c r="CG334" s="96"/>
      <c r="CH334" s="96"/>
      <c r="CI334" s="96"/>
      <c r="CJ334" s="96"/>
      <c r="CK334" s="96"/>
      <c r="CL334" s="96"/>
      <c r="CM334" s="96"/>
      <c r="CN334" s="96"/>
      <c r="CO334" s="96"/>
      <c r="CP334" s="96"/>
      <c r="CQ334" s="96"/>
      <c r="CR334" s="96"/>
      <c r="CS334" s="96"/>
      <c r="CT334" s="96"/>
      <c r="CU334" s="96"/>
      <c r="CV334" s="96"/>
      <c r="CW334" s="96"/>
      <c r="CX334" s="96"/>
      <c r="CY334" s="96"/>
      <c r="CZ334" s="96"/>
      <c r="DA334" s="96"/>
      <c r="DB334" s="96"/>
      <c r="DC334" s="96"/>
      <c r="DD334" s="96"/>
      <c r="DE334" s="96"/>
      <c r="DF334" s="96"/>
      <c r="DG334" s="96"/>
      <c r="DH334" s="96"/>
      <c r="DI334" s="96"/>
      <c r="DJ334" s="96"/>
      <c r="DK334" s="96"/>
      <c r="DL334" s="96"/>
      <c r="DM334" s="96"/>
      <c r="DN334" s="96"/>
      <c r="DO334" s="96"/>
      <c r="DP334" s="96"/>
      <c r="DQ334" s="96"/>
      <c r="DR334" s="96"/>
      <c r="DS334" s="96"/>
      <c r="DT334" s="96"/>
      <c r="DU334" s="96"/>
      <c r="DV334" s="96"/>
      <c r="DW334" s="96"/>
      <c r="DX334" s="96"/>
      <c r="DY334" s="96"/>
      <c r="DZ334" s="96"/>
      <c r="EA334" s="96"/>
      <c r="EB334" s="96"/>
      <c r="EC334" s="96"/>
      <c r="ED334" s="96"/>
      <c r="EE334" s="96"/>
      <c r="EF334" s="96"/>
      <c r="EG334" s="96"/>
      <c r="EH334" s="96"/>
      <c r="EI334" s="96"/>
      <c r="EJ334" s="96"/>
      <c r="EK334" s="96"/>
      <c r="EL334" s="96"/>
      <c r="EM334" s="96"/>
      <c r="EN334" s="96"/>
      <c r="EO334" s="96"/>
      <c r="EP334" s="96"/>
      <c r="EQ334" s="96"/>
      <c r="ER334" s="96"/>
      <c r="ES334" s="96"/>
      <c r="ET334" s="96"/>
    </row>
    <row r="335" spans="4:150"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  <c r="BE335" s="96"/>
      <c r="BF335" s="96"/>
      <c r="BG335" s="96"/>
      <c r="BH335" s="96"/>
      <c r="BI335" s="96"/>
      <c r="BJ335" s="96"/>
      <c r="BK335" s="96"/>
      <c r="BL335" s="96"/>
      <c r="BM335" s="96"/>
      <c r="BN335" s="96"/>
      <c r="BO335" s="96"/>
      <c r="BP335" s="96"/>
      <c r="BQ335" s="96"/>
      <c r="BR335" s="96"/>
      <c r="BS335" s="96"/>
      <c r="BT335" s="96"/>
      <c r="BU335" s="96"/>
      <c r="BV335" s="96"/>
      <c r="BW335" s="96"/>
      <c r="BX335" s="96"/>
      <c r="BY335" s="96"/>
      <c r="BZ335" s="96"/>
      <c r="CA335" s="96"/>
      <c r="CB335" s="96"/>
      <c r="CC335" s="96"/>
      <c r="CD335" s="96"/>
      <c r="CE335" s="96"/>
      <c r="CF335" s="96"/>
      <c r="CG335" s="96"/>
      <c r="CH335" s="96"/>
      <c r="CI335" s="96"/>
      <c r="CJ335" s="96"/>
      <c r="CK335" s="96"/>
      <c r="CL335" s="96"/>
      <c r="CM335" s="96"/>
      <c r="CN335" s="96"/>
      <c r="CO335" s="96"/>
      <c r="CP335" s="96"/>
      <c r="CQ335" s="96"/>
      <c r="CR335" s="96"/>
      <c r="CS335" s="96"/>
      <c r="CT335" s="96"/>
      <c r="CU335" s="96"/>
      <c r="CV335" s="96"/>
      <c r="CW335" s="96"/>
      <c r="CX335" s="96"/>
      <c r="CY335" s="96"/>
      <c r="CZ335" s="96"/>
      <c r="DA335" s="96"/>
      <c r="DB335" s="96"/>
      <c r="DC335" s="96"/>
      <c r="DD335" s="96"/>
      <c r="DE335" s="96"/>
      <c r="DF335" s="96"/>
      <c r="DG335" s="96"/>
      <c r="DH335" s="96"/>
      <c r="DI335" s="96"/>
      <c r="DJ335" s="96"/>
      <c r="DK335" s="96"/>
      <c r="DL335" s="96"/>
      <c r="DM335" s="96"/>
      <c r="DN335" s="96"/>
      <c r="DO335" s="96"/>
      <c r="DP335" s="96"/>
      <c r="DQ335" s="96"/>
      <c r="DR335" s="96"/>
      <c r="DS335" s="96"/>
      <c r="DT335" s="96"/>
      <c r="DU335" s="96"/>
      <c r="DV335" s="96"/>
      <c r="DW335" s="96"/>
      <c r="DX335" s="96"/>
      <c r="DY335" s="96"/>
      <c r="DZ335" s="96"/>
      <c r="EA335" s="96"/>
      <c r="EB335" s="96"/>
      <c r="EC335" s="96"/>
      <c r="ED335" s="96"/>
      <c r="EE335" s="96"/>
      <c r="EF335" s="96"/>
      <c r="EG335" s="96"/>
      <c r="EH335" s="96"/>
      <c r="EI335" s="96"/>
      <c r="EJ335" s="96"/>
      <c r="EK335" s="96"/>
      <c r="EL335" s="96"/>
      <c r="EM335" s="96"/>
      <c r="EN335" s="96"/>
      <c r="EO335" s="96"/>
      <c r="EP335" s="96"/>
      <c r="EQ335" s="96"/>
      <c r="ER335" s="96"/>
      <c r="ES335" s="96"/>
      <c r="ET335" s="96"/>
    </row>
    <row r="336" spans="4:150"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  <c r="BE336" s="96"/>
      <c r="BF336" s="96"/>
      <c r="BG336" s="96"/>
      <c r="BH336" s="96"/>
      <c r="BI336" s="96"/>
      <c r="BJ336" s="96"/>
      <c r="BK336" s="96"/>
      <c r="BL336" s="96"/>
      <c r="BM336" s="96"/>
      <c r="BN336" s="96"/>
      <c r="BO336" s="96"/>
      <c r="BP336" s="96"/>
      <c r="BQ336" s="96"/>
      <c r="BR336" s="96"/>
      <c r="BS336" s="96"/>
      <c r="BT336" s="96"/>
      <c r="BU336" s="96"/>
      <c r="BV336" s="96"/>
      <c r="BW336" s="96"/>
      <c r="BX336" s="96"/>
      <c r="BY336" s="96"/>
      <c r="BZ336" s="96"/>
      <c r="CA336" s="96"/>
      <c r="CB336" s="96"/>
      <c r="CC336" s="96"/>
      <c r="CD336" s="96"/>
      <c r="CE336" s="96"/>
      <c r="CF336" s="96"/>
      <c r="CG336" s="96"/>
      <c r="CH336" s="96"/>
      <c r="CI336" s="96"/>
      <c r="CJ336" s="96"/>
      <c r="CK336" s="96"/>
      <c r="CL336" s="96"/>
      <c r="CM336" s="96"/>
      <c r="CN336" s="96"/>
      <c r="CO336" s="96"/>
      <c r="CP336" s="96"/>
      <c r="CQ336" s="96"/>
      <c r="CR336" s="96"/>
      <c r="CS336" s="96"/>
      <c r="CT336" s="96"/>
      <c r="CU336" s="96"/>
      <c r="CV336" s="96"/>
      <c r="CW336" s="96"/>
      <c r="CX336" s="96"/>
      <c r="CY336" s="96"/>
      <c r="CZ336" s="96"/>
      <c r="DA336" s="96"/>
      <c r="DB336" s="96"/>
      <c r="DC336" s="96"/>
      <c r="DD336" s="96"/>
      <c r="DE336" s="96"/>
      <c r="DF336" s="96"/>
      <c r="DG336" s="96"/>
      <c r="DH336" s="96"/>
      <c r="DI336" s="96"/>
      <c r="DJ336" s="96"/>
      <c r="DK336" s="96"/>
      <c r="DL336" s="96"/>
      <c r="DM336" s="96"/>
      <c r="DN336" s="96"/>
      <c r="DO336" s="96"/>
      <c r="DP336" s="96"/>
      <c r="DQ336" s="96"/>
      <c r="DR336" s="96"/>
      <c r="DS336" s="96"/>
      <c r="DT336" s="96"/>
      <c r="DU336" s="96"/>
      <c r="DV336" s="96"/>
      <c r="DW336" s="96"/>
      <c r="DX336" s="96"/>
      <c r="DY336" s="96"/>
      <c r="DZ336" s="96"/>
      <c r="EA336" s="96"/>
      <c r="EB336" s="96"/>
      <c r="EC336" s="96"/>
      <c r="ED336" s="96"/>
      <c r="EE336" s="96"/>
      <c r="EF336" s="96"/>
      <c r="EG336" s="96"/>
      <c r="EH336" s="96"/>
      <c r="EI336" s="96"/>
      <c r="EJ336" s="96"/>
      <c r="EK336" s="96"/>
      <c r="EL336" s="96"/>
      <c r="EM336" s="96"/>
      <c r="EN336" s="96"/>
      <c r="EO336" s="96"/>
      <c r="EP336" s="96"/>
      <c r="EQ336" s="96"/>
      <c r="ER336" s="96"/>
      <c r="ES336" s="96"/>
      <c r="ET336" s="96"/>
    </row>
    <row r="337" spans="4:150"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  <c r="BE337" s="96"/>
      <c r="BF337" s="96"/>
      <c r="BG337" s="96"/>
      <c r="BH337" s="96"/>
      <c r="BI337" s="96"/>
      <c r="BJ337" s="96"/>
      <c r="BK337" s="96"/>
      <c r="BL337" s="96"/>
      <c r="BM337" s="96"/>
      <c r="BN337" s="96"/>
      <c r="BO337" s="96"/>
      <c r="BP337" s="96"/>
      <c r="BQ337" s="96"/>
      <c r="BR337" s="96"/>
      <c r="BS337" s="96"/>
      <c r="BT337" s="96"/>
      <c r="BU337" s="96"/>
      <c r="BV337" s="96"/>
      <c r="BW337" s="96"/>
      <c r="BX337" s="96"/>
      <c r="BY337" s="96"/>
      <c r="BZ337" s="96"/>
      <c r="CA337" s="96"/>
      <c r="CB337" s="96"/>
      <c r="CC337" s="96"/>
      <c r="CD337" s="96"/>
      <c r="CE337" s="96"/>
      <c r="CF337" s="96"/>
      <c r="CG337" s="96"/>
      <c r="CH337" s="96"/>
      <c r="CI337" s="96"/>
      <c r="CJ337" s="96"/>
      <c r="CK337" s="96"/>
      <c r="CL337" s="96"/>
      <c r="CM337" s="96"/>
      <c r="CN337" s="96"/>
      <c r="CO337" s="96"/>
      <c r="CP337" s="96"/>
      <c r="CQ337" s="96"/>
      <c r="CR337" s="96"/>
      <c r="CS337" s="96"/>
      <c r="CT337" s="96"/>
      <c r="CU337" s="96"/>
      <c r="CV337" s="96"/>
      <c r="CW337" s="96"/>
      <c r="CX337" s="96"/>
      <c r="CY337" s="96"/>
      <c r="CZ337" s="96"/>
      <c r="DA337" s="96"/>
      <c r="DB337" s="96"/>
      <c r="DC337" s="96"/>
      <c r="DD337" s="96"/>
      <c r="DE337" s="96"/>
      <c r="DF337" s="96"/>
      <c r="DG337" s="96"/>
      <c r="DH337" s="96"/>
      <c r="DI337" s="96"/>
      <c r="DJ337" s="96"/>
      <c r="DK337" s="96"/>
      <c r="DL337" s="96"/>
      <c r="DM337" s="96"/>
      <c r="DN337" s="96"/>
      <c r="DO337" s="96"/>
      <c r="DP337" s="96"/>
      <c r="DQ337" s="96"/>
      <c r="DR337" s="96"/>
      <c r="DS337" s="96"/>
      <c r="DT337" s="96"/>
      <c r="DU337" s="96"/>
      <c r="DV337" s="96"/>
      <c r="DW337" s="96"/>
      <c r="DX337" s="96"/>
      <c r="DY337" s="96"/>
      <c r="DZ337" s="96"/>
      <c r="EA337" s="96"/>
      <c r="EB337" s="96"/>
      <c r="EC337" s="96"/>
      <c r="ED337" s="96"/>
      <c r="EE337" s="96"/>
      <c r="EF337" s="96"/>
      <c r="EG337" s="96"/>
      <c r="EH337" s="96"/>
      <c r="EI337" s="96"/>
      <c r="EJ337" s="96"/>
      <c r="EK337" s="96"/>
      <c r="EL337" s="96"/>
      <c r="EM337" s="96"/>
      <c r="EN337" s="96"/>
      <c r="EO337" s="96"/>
      <c r="EP337" s="96"/>
      <c r="EQ337" s="96"/>
      <c r="ER337" s="96"/>
      <c r="ES337" s="96"/>
      <c r="ET337" s="96"/>
    </row>
    <row r="338" spans="4:150"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  <c r="BE338" s="96"/>
      <c r="BF338" s="96"/>
      <c r="BG338" s="96"/>
      <c r="BH338" s="96"/>
      <c r="BI338" s="96"/>
      <c r="BJ338" s="96"/>
      <c r="BK338" s="96"/>
      <c r="BL338" s="96"/>
      <c r="BM338" s="96"/>
      <c r="BN338" s="96"/>
      <c r="BO338" s="96"/>
      <c r="BP338" s="96"/>
      <c r="BQ338" s="96"/>
      <c r="BR338" s="96"/>
      <c r="BS338" s="96"/>
      <c r="BT338" s="96"/>
      <c r="BU338" s="96"/>
      <c r="BV338" s="96"/>
      <c r="BW338" s="96"/>
      <c r="BX338" s="96"/>
      <c r="BY338" s="96"/>
      <c r="BZ338" s="96"/>
      <c r="CA338" s="96"/>
      <c r="CB338" s="96"/>
      <c r="CC338" s="96"/>
      <c r="CD338" s="96"/>
      <c r="CE338" s="96"/>
      <c r="CF338" s="96"/>
      <c r="CG338" s="96"/>
      <c r="CH338" s="96"/>
      <c r="CI338" s="96"/>
      <c r="CJ338" s="96"/>
      <c r="CK338" s="96"/>
      <c r="CL338" s="96"/>
      <c r="CM338" s="96"/>
      <c r="CN338" s="96"/>
      <c r="CO338" s="96"/>
      <c r="CP338" s="96"/>
      <c r="CQ338" s="96"/>
      <c r="CR338" s="96"/>
      <c r="CS338" s="96"/>
      <c r="CT338" s="96"/>
      <c r="CU338" s="96"/>
      <c r="CV338" s="96"/>
      <c r="CW338" s="96"/>
      <c r="CX338" s="96"/>
      <c r="CY338" s="96"/>
      <c r="CZ338" s="96"/>
      <c r="DA338" s="96"/>
      <c r="DB338" s="96"/>
      <c r="DC338" s="96"/>
      <c r="DD338" s="96"/>
      <c r="DE338" s="96"/>
      <c r="DF338" s="96"/>
      <c r="DG338" s="96"/>
      <c r="DH338" s="96"/>
      <c r="DI338" s="96"/>
      <c r="DJ338" s="96"/>
      <c r="DK338" s="96"/>
      <c r="DL338" s="96"/>
      <c r="DM338" s="96"/>
      <c r="DN338" s="96"/>
      <c r="DO338" s="96"/>
      <c r="DP338" s="96"/>
      <c r="DQ338" s="96"/>
      <c r="DR338" s="96"/>
      <c r="DS338" s="96"/>
      <c r="DT338" s="96"/>
      <c r="DU338" s="96"/>
      <c r="DV338" s="96"/>
      <c r="DW338" s="96"/>
      <c r="DX338" s="96"/>
      <c r="DY338" s="96"/>
      <c r="DZ338" s="96"/>
      <c r="EA338" s="96"/>
      <c r="EB338" s="96"/>
      <c r="EC338" s="96"/>
      <c r="ED338" s="96"/>
      <c r="EE338" s="96"/>
      <c r="EF338" s="96"/>
      <c r="EG338" s="96"/>
      <c r="EH338" s="96"/>
      <c r="EI338" s="96"/>
      <c r="EJ338" s="96"/>
      <c r="EK338" s="96"/>
      <c r="EL338" s="96"/>
      <c r="EM338" s="96"/>
      <c r="EN338" s="96"/>
      <c r="EO338" s="96"/>
      <c r="EP338" s="96"/>
      <c r="EQ338" s="96"/>
      <c r="ER338" s="96"/>
      <c r="ES338" s="96"/>
      <c r="ET338" s="96"/>
    </row>
    <row r="339" spans="4:150"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96"/>
      <c r="AZ339" s="96"/>
      <c r="BA339" s="96"/>
      <c r="BB339" s="96"/>
      <c r="BC339" s="96"/>
      <c r="BD339" s="96"/>
      <c r="BE339" s="96"/>
      <c r="BF339" s="96"/>
      <c r="BG339" s="96"/>
      <c r="BH339" s="96"/>
      <c r="BI339" s="96"/>
      <c r="BJ339" s="96"/>
      <c r="BK339" s="96"/>
      <c r="BL339" s="96"/>
      <c r="BM339" s="96"/>
      <c r="BN339" s="96"/>
      <c r="BO339" s="96"/>
      <c r="BP339" s="96"/>
      <c r="BQ339" s="96"/>
      <c r="BR339" s="96"/>
      <c r="BS339" s="96"/>
      <c r="BT339" s="96"/>
      <c r="BU339" s="96"/>
      <c r="BV339" s="96"/>
      <c r="BW339" s="96"/>
      <c r="BX339" s="96"/>
      <c r="BY339" s="96"/>
      <c r="BZ339" s="96"/>
      <c r="CA339" s="96"/>
      <c r="CB339" s="96"/>
      <c r="CC339" s="96"/>
      <c r="CD339" s="96"/>
      <c r="CE339" s="96"/>
      <c r="CF339" s="96"/>
      <c r="CG339" s="96"/>
      <c r="CH339" s="96"/>
      <c r="CI339" s="96"/>
      <c r="CJ339" s="96"/>
      <c r="CK339" s="96"/>
      <c r="CL339" s="96"/>
      <c r="CM339" s="96"/>
      <c r="CN339" s="96"/>
      <c r="CO339" s="96"/>
      <c r="CP339" s="96"/>
      <c r="CQ339" s="96"/>
      <c r="CR339" s="96"/>
      <c r="CS339" s="96"/>
      <c r="CT339" s="96"/>
      <c r="CU339" s="96"/>
      <c r="CV339" s="96"/>
      <c r="CW339" s="96"/>
      <c r="CX339" s="96"/>
      <c r="CY339" s="96"/>
      <c r="CZ339" s="96"/>
      <c r="DA339" s="96"/>
      <c r="DB339" s="96"/>
      <c r="DC339" s="96"/>
      <c r="DD339" s="96"/>
      <c r="DE339" s="96"/>
      <c r="DF339" s="96"/>
      <c r="DG339" s="96"/>
      <c r="DH339" s="96"/>
      <c r="DI339" s="96"/>
      <c r="DJ339" s="96"/>
      <c r="DK339" s="96"/>
      <c r="DL339" s="96"/>
      <c r="DM339" s="96"/>
      <c r="DN339" s="96"/>
      <c r="DO339" s="96"/>
      <c r="DP339" s="96"/>
      <c r="DQ339" s="96"/>
      <c r="DR339" s="96"/>
      <c r="DS339" s="96"/>
      <c r="DT339" s="96"/>
      <c r="DU339" s="96"/>
      <c r="DV339" s="96"/>
      <c r="DW339" s="96"/>
      <c r="DX339" s="96"/>
      <c r="DY339" s="96"/>
      <c r="DZ339" s="96"/>
      <c r="EA339" s="96"/>
      <c r="EB339" s="96"/>
      <c r="EC339" s="96"/>
      <c r="ED339" s="96"/>
      <c r="EE339" s="96"/>
      <c r="EF339" s="96"/>
      <c r="EG339" s="96"/>
      <c r="EH339" s="96"/>
      <c r="EI339" s="96"/>
      <c r="EJ339" s="96"/>
      <c r="EK339" s="96"/>
      <c r="EL339" s="96"/>
      <c r="EM339" s="96"/>
      <c r="EN339" s="96"/>
      <c r="EO339" s="96"/>
      <c r="EP339" s="96"/>
      <c r="EQ339" s="96"/>
      <c r="ER339" s="96"/>
      <c r="ES339" s="96"/>
      <c r="ET339" s="96"/>
    </row>
    <row r="340" spans="4:150"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  <c r="BH340" s="96"/>
      <c r="BI340" s="96"/>
      <c r="BJ340" s="96"/>
      <c r="BK340" s="96"/>
      <c r="BL340" s="96"/>
      <c r="BM340" s="96"/>
      <c r="BN340" s="96"/>
      <c r="BO340" s="96"/>
      <c r="BP340" s="96"/>
      <c r="BQ340" s="96"/>
      <c r="BR340" s="96"/>
      <c r="BS340" s="96"/>
      <c r="BT340" s="96"/>
      <c r="BU340" s="96"/>
      <c r="BV340" s="96"/>
      <c r="BW340" s="96"/>
      <c r="BX340" s="96"/>
      <c r="BY340" s="96"/>
      <c r="BZ340" s="96"/>
      <c r="CA340" s="96"/>
      <c r="CB340" s="96"/>
      <c r="CC340" s="96"/>
      <c r="CD340" s="96"/>
      <c r="CE340" s="96"/>
      <c r="CF340" s="96"/>
      <c r="CG340" s="96"/>
      <c r="CH340" s="96"/>
      <c r="CI340" s="96"/>
      <c r="CJ340" s="96"/>
      <c r="CK340" s="96"/>
      <c r="CL340" s="96"/>
      <c r="CM340" s="96"/>
      <c r="CN340" s="96"/>
      <c r="CO340" s="96"/>
      <c r="CP340" s="96"/>
      <c r="CQ340" s="96"/>
      <c r="CR340" s="96"/>
      <c r="CS340" s="96"/>
      <c r="CT340" s="96"/>
      <c r="CU340" s="96"/>
      <c r="CV340" s="96"/>
      <c r="CW340" s="96"/>
      <c r="CX340" s="96"/>
      <c r="CY340" s="96"/>
      <c r="CZ340" s="96"/>
      <c r="DA340" s="96"/>
      <c r="DB340" s="96"/>
      <c r="DC340" s="96"/>
      <c r="DD340" s="96"/>
      <c r="DE340" s="96"/>
      <c r="DF340" s="96"/>
      <c r="DG340" s="96"/>
      <c r="DH340" s="96"/>
      <c r="DI340" s="96"/>
      <c r="DJ340" s="96"/>
      <c r="DK340" s="96"/>
      <c r="DL340" s="96"/>
      <c r="DM340" s="96"/>
      <c r="DN340" s="96"/>
      <c r="DO340" s="96"/>
      <c r="DP340" s="96"/>
      <c r="DQ340" s="96"/>
      <c r="DR340" s="96"/>
      <c r="DS340" s="96"/>
      <c r="DT340" s="96"/>
      <c r="DU340" s="96"/>
      <c r="DV340" s="96"/>
      <c r="DW340" s="96"/>
      <c r="DX340" s="96"/>
      <c r="DY340" s="96"/>
      <c r="DZ340" s="96"/>
      <c r="EA340" s="96"/>
      <c r="EB340" s="96"/>
      <c r="EC340" s="96"/>
      <c r="ED340" s="96"/>
      <c r="EE340" s="96"/>
      <c r="EF340" s="96"/>
      <c r="EG340" s="96"/>
      <c r="EH340" s="96"/>
      <c r="EI340" s="96"/>
      <c r="EJ340" s="96"/>
      <c r="EK340" s="96"/>
      <c r="EL340" s="96"/>
      <c r="EM340" s="96"/>
      <c r="EN340" s="96"/>
      <c r="EO340" s="96"/>
      <c r="EP340" s="96"/>
      <c r="EQ340" s="96"/>
      <c r="ER340" s="96"/>
      <c r="ES340" s="96"/>
      <c r="ET340" s="96"/>
    </row>
    <row r="341" spans="4:150"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  <c r="BH341" s="96"/>
      <c r="BI341" s="96"/>
      <c r="BJ341" s="96"/>
      <c r="BK341" s="96"/>
      <c r="BL341" s="96"/>
      <c r="BM341" s="96"/>
      <c r="BN341" s="96"/>
      <c r="BO341" s="96"/>
      <c r="BP341" s="96"/>
      <c r="BQ341" s="96"/>
      <c r="BR341" s="96"/>
      <c r="BS341" s="96"/>
      <c r="BT341" s="96"/>
      <c r="BU341" s="96"/>
      <c r="BV341" s="96"/>
      <c r="BW341" s="96"/>
      <c r="BX341" s="96"/>
      <c r="BY341" s="96"/>
      <c r="BZ341" s="96"/>
      <c r="CA341" s="96"/>
      <c r="CB341" s="96"/>
      <c r="CC341" s="96"/>
      <c r="CD341" s="96"/>
      <c r="CE341" s="96"/>
      <c r="CF341" s="96"/>
      <c r="CG341" s="96"/>
      <c r="CH341" s="96"/>
      <c r="CI341" s="96"/>
      <c r="CJ341" s="96"/>
      <c r="CK341" s="96"/>
      <c r="CL341" s="96"/>
      <c r="CM341" s="96"/>
      <c r="CN341" s="96"/>
      <c r="CO341" s="96"/>
      <c r="CP341" s="96"/>
      <c r="CQ341" s="96"/>
      <c r="CR341" s="96"/>
      <c r="CS341" s="96"/>
      <c r="CT341" s="96"/>
      <c r="CU341" s="96"/>
      <c r="CV341" s="96"/>
      <c r="CW341" s="96"/>
      <c r="CX341" s="96"/>
      <c r="CY341" s="96"/>
      <c r="CZ341" s="96"/>
      <c r="DA341" s="96"/>
      <c r="DB341" s="96"/>
      <c r="DC341" s="96"/>
      <c r="DD341" s="96"/>
      <c r="DE341" s="96"/>
      <c r="DF341" s="96"/>
      <c r="DG341" s="96"/>
      <c r="DH341" s="96"/>
      <c r="DI341" s="96"/>
      <c r="DJ341" s="96"/>
      <c r="DK341" s="96"/>
      <c r="DL341" s="96"/>
      <c r="DM341" s="96"/>
      <c r="DN341" s="96"/>
      <c r="DO341" s="96"/>
      <c r="DP341" s="96"/>
      <c r="DQ341" s="96"/>
      <c r="DR341" s="96"/>
      <c r="DS341" s="96"/>
      <c r="DT341" s="96"/>
      <c r="DU341" s="96"/>
      <c r="DV341" s="96"/>
      <c r="DW341" s="96"/>
      <c r="DX341" s="96"/>
      <c r="DY341" s="96"/>
      <c r="DZ341" s="96"/>
      <c r="EA341" s="96"/>
      <c r="EB341" s="96"/>
      <c r="EC341" s="96"/>
      <c r="ED341" s="96"/>
      <c r="EE341" s="96"/>
      <c r="EF341" s="96"/>
      <c r="EG341" s="96"/>
      <c r="EH341" s="96"/>
      <c r="EI341" s="96"/>
      <c r="EJ341" s="96"/>
      <c r="EK341" s="96"/>
      <c r="EL341" s="96"/>
      <c r="EM341" s="96"/>
      <c r="EN341" s="96"/>
      <c r="EO341" s="96"/>
      <c r="EP341" s="96"/>
      <c r="EQ341" s="96"/>
      <c r="ER341" s="96"/>
      <c r="ES341" s="96"/>
      <c r="ET341" s="96"/>
    </row>
    <row r="342" spans="4:150"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  <c r="BH342" s="96"/>
      <c r="BI342" s="96"/>
      <c r="BJ342" s="96"/>
      <c r="BK342" s="96"/>
      <c r="BL342" s="96"/>
      <c r="BM342" s="96"/>
      <c r="BN342" s="96"/>
      <c r="BO342" s="96"/>
      <c r="BP342" s="96"/>
      <c r="BQ342" s="96"/>
      <c r="BR342" s="96"/>
      <c r="BS342" s="96"/>
      <c r="BT342" s="96"/>
      <c r="BU342" s="96"/>
      <c r="BV342" s="96"/>
      <c r="BW342" s="96"/>
      <c r="BX342" s="96"/>
      <c r="BY342" s="96"/>
      <c r="BZ342" s="96"/>
      <c r="CA342" s="96"/>
      <c r="CB342" s="96"/>
      <c r="CC342" s="96"/>
      <c r="CD342" s="96"/>
      <c r="CE342" s="96"/>
      <c r="CF342" s="96"/>
      <c r="CG342" s="96"/>
      <c r="CH342" s="96"/>
      <c r="CI342" s="96"/>
      <c r="CJ342" s="96"/>
      <c r="CK342" s="96"/>
      <c r="CL342" s="96"/>
      <c r="CM342" s="96"/>
      <c r="CN342" s="96"/>
      <c r="CO342" s="96"/>
      <c r="CP342" s="96"/>
      <c r="CQ342" s="96"/>
      <c r="CR342" s="96"/>
      <c r="CS342" s="96"/>
      <c r="CT342" s="96"/>
      <c r="CU342" s="96"/>
      <c r="CV342" s="96"/>
      <c r="CW342" s="96"/>
      <c r="CX342" s="96"/>
      <c r="CY342" s="96"/>
      <c r="CZ342" s="96"/>
      <c r="DA342" s="96"/>
      <c r="DB342" s="96"/>
      <c r="DC342" s="96"/>
      <c r="DD342" s="96"/>
      <c r="DE342" s="96"/>
      <c r="DF342" s="96"/>
      <c r="DG342" s="96"/>
      <c r="DH342" s="96"/>
      <c r="DI342" s="96"/>
      <c r="DJ342" s="96"/>
      <c r="DK342" s="96"/>
      <c r="DL342" s="96"/>
      <c r="DM342" s="96"/>
      <c r="DN342" s="96"/>
      <c r="DO342" s="96"/>
      <c r="DP342" s="96"/>
      <c r="DQ342" s="96"/>
      <c r="DR342" s="96"/>
      <c r="DS342" s="96"/>
      <c r="DT342" s="96"/>
      <c r="DU342" s="96"/>
      <c r="DV342" s="96"/>
      <c r="DW342" s="96"/>
      <c r="DX342" s="96"/>
      <c r="DY342" s="96"/>
      <c r="DZ342" s="96"/>
      <c r="EA342" s="96"/>
      <c r="EB342" s="96"/>
      <c r="EC342" s="96"/>
      <c r="ED342" s="96"/>
      <c r="EE342" s="96"/>
      <c r="EF342" s="96"/>
      <c r="EG342" s="96"/>
      <c r="EH342" s="96"/>
      <c r="EI342" s="96"/>
      <c r="EJ342" s="96"/>
      <c r="EK342" s="96"/>
      <c r="EL342" s="96"/>
      <c r="EM342" s="96"/>
      <c r="EN342" s="96"/>
      <c r="EO342" s="96"/>
      <c r="EP342" s="96"/>
      <c r="EQ342" s="96"/>
      <c r="ER342" s="96"/>
      <c r="ES342" s="96"/>
      <c r="ET342" s="96"/>
    </row>
    <row r="343" spans="4:150"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6"/>
      <c r="BS343" s="96"/>
      <c r="BT343" s="96"/>
      <c r="BU343" s="96"/>
      <c r="BV343" s="96"/>
      <c r="BW343" s="96"/>
      <c r="BX343" s="96"/>
      <c r="BY343" s="96"/>
      <c r="BZ343" s="96"/>
      <c r="CA343" s="96"/>
      <c r="CB343" s="96"/>
      <c r="CC343" s="96"/>
      <c r="CD343" s="96"/>
      <c r="CE343" s="96"/>
      <c r="CF343" s="96"/>
      <c r="CG343" s="96"/>
      <c r="CH343" s="96"/>
      <c r="CI343" s="96"/>
      <c r="CJ343" s="96"/>
      <c r="CK343" s="96"/>
      <c r="CL343" s="96"/>
      <c r="CM343" s="96"/>
      <c r="CN343" s="96"/>
      <c r="CO343" s="96"/>
      <c r="CP343" s="96"/>
      <c r="CQ343" s="96"/>
      <c r="CR343" s="96"/>
      <c r="CS343" s="96"/>
      <c r="CT343" s="96"/>
      <c r="CU343" s="96"/>
      <c r="CV343" s="96"/>
      <c r="CW343" s="96"/>
      <c r="CX343" s="96"/>
      <c r="CY343" s="96"/>
      <c r="CZ343" s="96"/>
      <c r="DA343" s="96"/>
      <c r="DB343" s="96"/>
      <c r="DC343" s="96"/>
      <c r="DD343" s="96"/>
      <c r="DE343" s="96"/>
      <c r="DF343" s="96"/>
      <c r="DG343" s="96"/>
      <c r="DH343" s="96"/>
      <c r="DI343" s="96"/>
      <c r="DJ343" s="96"/>
      <c r="DK343" s="96"/>
      <c r="DL343" s="96"/>
      <c r="DM343" s="96"/>
      <c r="DN343" s="96"/>
      <c r="DO343" s="96"/>
      <c r="DP343" s="96"/>
      <c r="DQ343" s="96"/>
      <c r="DR343" s="96"/>
      <c r="DS343" s="96"/>
      <c r="DT343" s="96"/>
      <c r="DU343" s="96"/>
      <c r="DV343" s="96"/>
      <c r="DW343" s="96"/>
      <c r="DX343" s="96"/>
      <c r="DY343" s="96"/>
      <c r="DZ343" s="96"/>
      <c r="EA343" s="96"/>
      <c r="EB343" s="96"/>
      <c r="EC343" s="96"/>
      <c r="ED343" s="96"/>
      <c r="EE343" s="96"/>
      <c r="EF343" s="96"/>
      <c r="EG343" s="96"/>
      <c r="EH343" s="96"/>
      <c r="EI343" s="96"/>
      <c r="EJ343" s="96"/>
      <c r="EK343" s="96"/>
      <c r="EL343" s="96"/>
      <c r="EM343" s="96"/>
      <c r="EN343" s="96"/>
      <c r="EO343" s="96"/>
      <c r="EP343" s="96"/>
      <c r="EQ343" s="96"/>
      <c r="ER343" s="96"/>
      <c r="ES343" s="96"/>
      <c r="ET343" s="96"/>
    </row>
    <row r="344" spans="4:150"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  <c r="BH344" s="96"/>
      <c r="BI344" s="96"/>
      <c r="BJ344" s="96"/>
      <c r="BK344" s="96"/>
      <c r="BL344" s="96"/>
      <c r="BM344" s="96"/>
      <c r="BN344" s="96"/>
      <c r="BO344" s="96"/>
      <c r="BP344" s="96"/>
      <c r="BQ344" s="96"/>
      <c r="BR344" s="96"/>
      <c r="BS344" s="96"/>
      <c r="BT344" s="96"/>
      <c r="BU344" s="96"/>
      <c r="BV344" s="96"/>
      <c r="BW344" s="96"/>
      <c r="BX344" s="96"/>
      <c r="BY344" s="96"/>
      <c r="BZ344" s="96"/>
      <c r="CA344" s="96"/>
      <c r="CB344" s="96"/>
      <c r="CC344" s="96"/>
      <c r="CD344" s="96"/>
      <c r="CE344" s="96"/>
      <c r="CF344" s="96"/>
      <c r="CG344" s="96"/>
      <c r="CH344" s="96"/>
      <c r="CI344" s="96"/>
      <c r="CJ344" s="96"/>
      <c r="CK344" s="96"/>
      <c r="CL344" s="96"/>
      <c r="CM344" s="96"/>
      <c r="CN344" s="96"/>
      <c r="CO344" s="96"/>
      <c r="CP344" s="96"/>
      <c r="CQ344" s="96"/>
      <c r="CR344" s="96"/>
      <c r="CS344" s="96"/>
      <c r="CT344" s="96"/>
      <c r="CU344" s="96"/>
      <c r="CV344" s="96"/>
      <c r="CW344" s="96"/>
      <c r="CX344" s="96"/>
      <c r="CY344" s="96"/>
      <c r="CZ344" s="96"/>
      <c r="DA344" s="96"/>
      <c r="DB344" s="96"/>
      <c r="DC344" s="96"/>
      <c r="DD344" s="96"/>
      <c r="DE344" s="96"/>
      <c r="DF344" s="96"/>
      <c r="DG344" s="96"/>
      <c r="DH344" s="96"/>
      <c r="DI344" s="96"/>
      <c r="DJ344" s="96"/>
      <c r="DK344" s="96"/>
      <c r="DL344" s="96"/>
      <c r="DM344" s="96"/>
      <c r="DN344" s="96"/>
      <c r="DO344" s="96"/>
      <c r="DP344" s="96"/>
      <c r="DQ344" s="96"/>
      <c r="DR344" s="96"/>
      <c r="DS344" s="96"/>
      <c r="DT344" s="96"/>
      <c r="DU344" s="96"/>
      <c r="DV344" s="96"/>
      <c r="DW344" s="96"/>
      <c r="DX344" s="96"/>
      <c r="DY344" s="96"/>
      <c r="DZ344" s="96"/>
      <c r="EA344" s="96"/>
      <c r="EB344" s="96"/>
      <c r="EC344" s="96"/>
      <c r="ED344" s="96"/>
      <c r="EE344" s="96"/>
      <c r="EF344" s="96"/>
      <c r="EG344" s="96"/>
      <c r="EH344" s="96"/>
      <c r="EI344" s="96"/>
      <c r="EJ344" s="96"/>
      <c r="EK344" s="96"/>
      <c r="EL344" s="96"/>
      <c r="EM344" s="96"/>
      <c r="EN344" s="96"/>
      <c r="EO344" s="96"/>
      <c r="EP344" s="96"/>
      <c r="EQ344" s="96"/>
      <c r="ER344" s="96"/>
      <c r="ES344" s="96"/>
      <c r="ET344" s="96"/>
    </row>
    <row r="345" spans="4:150"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  <c r="BH345" s="96"/>
      <c r="BI345" s="96"/>
      <c r="BJ345" s="96"/>
      <c r="BK345" s="96"/>
      <c r="BL345" s="96"/>
      <c r="BM345" s="96"/>
      <c r="BN345" s="96"/>
      <c r="BO345" s="96"/>
      <c r="BP345" s="96"/>
      <c r="BQ345" s="96"/>
      <c r="BR345" s="96"/>
      <c r="BS345" s="96"/>
      <c r="BT345" s="96"/>
      <c r="BU345" s="96"/>
      <c r="BV345" s="96"/>
      <c r="BW345" s="96"/>
      <c r="BX345" s="96"/>
      <c r="BY345" s="96"/>
      <c r="BZ345" s="96"/>
      <c r="CA345" s="96"/>
      <c r="CB345" s="96"/>
      <c r="CC345" s="96"/>
      <c r="CD345" s="96"/>
      <c r="CE345" s="96"/>
      <c r="CF345" s="96"/>
      <c r="CG345" s="96"/>
      <c r="CH345" s="96"/>
      <c r="CI345" s="96"/>
      <c r="CJ345" s="96"/>
      <c r="CK345" s="96"/>
      <c r="CL345" s="96"/>
      <c r="CM345" s="96"/>
      <c r="CN345" s="96"/>
      <c r="CO345" s="96"/>
      <c r="CP345" s="96"/>
      <c r="CQ345" s="96"/>
      <c r="CR345" s="96"/>
      <c r="CS345" s="96"/>
      <c r="CT345" s="96"/>
      <c r="CU345" s="96"/>
      <c r="CV345" s="96"/>
      <c r="CW345" s="96"/>
      <c r="CX345" s="96"/>
      <c r="CY345" s="96"/>
      <c r="CZ345" s="96"/>
      <c r="DA345" s="96"/>
      <c r="DB345" s="96"/>
      <c r="DC345" s="96"/>
      <c r="DD345" s="96"/>
      <c r="DE345" s="96"/>
      <c r="DF345" s="96"/>
      <c r="DG345" s="96"/>
      <c r="DH345" s="96"/>
      <c r="DI345" s="96"/>
      <c r="DJ345" s="96"/>
      <c r="DK345" s="96"/>
      <c r="DL345" s="96"/>
      <c r="DM345" s="96"/>
      <c r="DN345" s="96"/>
      <c r="DO345" s="96"/>
      <c r="DP345" s="96"/>
      <c r="DQ345" s="96"/>
      <c r="DR345" s="96"/>
      <c r="DS345" s="96"/>
      <c r="DT345" s="96"/>
      <c r="DU345" s="96"/>
      <c r="DV345" s="96"/>
      <c r="DW345" s="96"/>
      <c r="DX345" s="96"/>
      <c r="DY345" s="96"/>
      <c r="DZ345" s="96"/>
      <c r="EA345" s="96"/>
      <c r="EB345" s="96"/>
      <c r="EC345" s="96"/>
      <c r="ED345" s="96"/>
      <c r="EE345" s="96"/>
      <c r="EF345" s="96"/>
      <c r="EG345" s="96"/>
      <c r="EH345" s="96"/>
      <c r="EI345" s="96"/>
      <c r="EJ345" s="96"/>
      <c r="EK345" s="96"/>
      <c r="EL345" s="96"/>
      <c r="EM345" s="96"/>
      <c r="EN345" s="96"/>
      <c r="EO345" s="96"/>
      <c r="EP345" s="96"/>
      <c r="EQ345" s="96"/>
      <c r="ER345" s="96"/>
      <c r="ES345" s="96"/>
      <c r="ET345" s="96"/>
    </row>
    <row r="346" spans="4:150"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6"/>
      <c r="BR346" s="96"/>
      <c r="BS346" s="96"/>
      <c r="BT346" s="96"/>
      <c r="BU346" s="96"/>
      <c r="BV346" s="96"/>
      <c r="BW346" s="96"/>
      <c r="BX346" s="96"/>
      <c r="BY346" s="96"/>
      <c r="BZ346" s="96"/>
      <c r="CA346" s="96"/>
      <c r="CB346" s="96"/>
      <c r="CC346" s="96"/>
      <c r="CD346" s="96"/>
      <c r="CE346" s="96"/>
      <c r="CF346" s="96"/>
      <c r="CG346" s="96"/>
      <c r="CH346" s="96"/>
      <c r="CI346" s="96"/>
      <c r="CJ346" s="96"/>
      <c r="CK346" s="96"/>
      <c r="CL346" s="96"/>
      <c r="CM346" s="96"/>
      <c r="CN346" s="96"/>
      <c r="CO346" s="96"/>
      <c r="CP346" s="96"/>
      <c r="CQ346" s="96"/>
      <c r="CR346" s="96"/>
      <c r="CS346" s="96"/>
      <c r="CT346" s="96"/>
      <c r="CU346" s="96"/>
      <c r="CV346" s="96"/>
      <c r="CW346" s="96"/>
      <c r="CX346" s="96"/>
      <c r="CY346" s="96"/>
      <c r="CZ346" s="96"/>
      <c r="DA346" s="96"/>
      <c r="DB346" s="96"/>
      <c r="DC346" s="96"/>
      <c r="DD346" s="96"/>
      <c r="DE346" s="96"/>
      <c r="DF346" s="96"/>
      <c r="DG346" s="96"/>
      <c r="DH346" s="96"/>
      <c r="DI346" s="96"/>
      <c r="DJ346" s="96"/>
      <c r="DK346" s="96"/>
      <c r="DL346" s="96"/>
      <c r="DM346" s="96"/>
      <c r="DN346" s="96"/>
      <c r="DO346" s="96"/>
      <c r="DP346" s="96"/>
      <c r="DQ346" s="96"/>
      <c r="DR346" s="96"/>
      <c r="DS346" s="96"/>
      <c r="DT346" s="96"/>
      <c r="DU346" s="96"/>
      <c r="DV346" s="96"/>
      <c r="DW346" s="96"/>
      <c r="DX346" s="96"/>
      <c r="DY346" s="96"/>
      <c r="DZ346" s="96"/>
      <c r="EA346" s="96"/>
      <c r="EB346" s="96"/>
      <c r="EC346" s="96"/>
      <c r="ED346" s="96"/>
      <c r="EE346" s="96"/>
      <c r="EF346" s="96"/>
      <c r="EG346" s="96"/>
      <c r="EH346" s="96"/>
      <c r="EI346" s="96"/>
      <c r="EJ346" s="96"/>
      <c r="EK346" s="96"/>
      <c r="EL346" s="96"/>
      <c r="EM346" s="96"/>
      <c r="EN346" s="96"/>
      <c r="EO346" s="96"/>
      <c r="EP346" s="96"/>
      <c r="EQ346" s="96"/>
      <c r="ER346" s="96"/>
      <c r="ES346" s="96"/>
      <c r="ET346" s="96"/>
    </row>
    <row r="347" spans="4:150"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6"/>
      <c r="BR347" s="96"/>
      <c r="BS347" s="96"/>
      <c r="BT347" s="96"/>
      <c r="BU347" s="96"/>
      <c r="BV347" s="96"/>
      <c r="BW347" s="96"/>
      <c r="BX347" s="96"/>
      <c r="BY347" s="96"/>
      <c r="BZ347" s="96"/>
      <c r="CA347" s="96"/>
      <c r="CB347" s="96"/>
      <c r="CC347" s="96"/>
      <c r="CD347" s="96"/>
      <c r="CE347" s="96"/>
      <c r="CF347" s="96"/>
      <c r="CG347" s="96"/>
      <c r="CH347" s="96"/>
      <c r="CI347" s="96"/>
      <c r="CJ347" s="96"/>
      <c r="CK347" s="96"/>
      <c r="CL347" s="96"/>
      <c r="CM347" s="96"/>
      <c r="CN347" s="96"/>
      <c r="CO347" s="96"/>
      <c r="CP347" s="96"/>
      <c r="CQ347" s="96"/>
      <c r="CR347" s="96"/>
      <c r="CS347" s="96"/>
      <c r="CT347" s="96"/>
      <c r="CU347" s="96"/>
      <c r="CV347" s="96"/>
      <c r="CW347" s="96"/>
      <c r="CX347" s="96"/>
      <c r="CY347" s="96"/>
      <c r="CZ347" s="96"/>
      <c r="DA347" s="96"/>
      <c r="DB347" s="96"/>
      <c r="DC347" s="96"/>
      <c r="DD347" s="96"/>
      <c r="DE347" s="96"/>
      <c r="DF347" s="96"/>
      <c r="DG347" s="96"/>
      <c r="DH347" s="96"/>
      <c r="DI347" s="96"/>
      <c r="DJ347" s="96"/>
      <c r="DK347" s="96"/>
      <c r="DL347" s="96"/>
      <c r="DM347" s="96"/>
      <c r="DN347" s="96"/>
      <c r="DO347" s="96"/>
      <c r="DP347" s="96"/>
      <c r="DQ347" s="96"/>
      <c r="DR347" s="96"/>
      <c r="DS347" s="96"/>
      <c r="DT347" s="96"/>
      <c r="DU347" s="96"/>
      <c r="DV347" s="96"/>
      <c r="DW347" s="96"/>
      <c r="DX347" s="96"/>
      <c r="DY347" s="96"/>
      <c r="DZ347" s="96"/>
      <c r="EA347" s="96"/>
      <c r="EB347" s="96"/>
      <c r="EC347" s="96"/>
      <c r="ED347" s="96"/>
      <c r="EE347" s="96"/>
      <c r="EF347" s="96"/>
      <c r="EG347" s="96"/>
      <c r="EH347" s="96"/>
      <c r="EI347" s="96"/>
      <c r="EJ347" s="96"/>
      <c r="EK347" s="96"/>
      <c r="EL347" s="96"/>
      <c r="EM347" s="96"/>
      <c r="EN347" s="96"/>
      <c r="EO347" s="96"/>
      <c r="EP347" s="96"/>
      <c r="EQ347" s="96"/>
      <c r="ER347" s="96"/>
      <c r="ES347" s="96"/>
      <c r="ET347" s="96"/>
    </row>
    <row r="348" spans="4:150"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6"/>
      <c r="BS348" s="96"/>
      <c r="BT348" s="96"/>
      <c r="BU348" s="96"/>
      <c r="BV348" s="96"/>
      <c r="BW348" s="96"/>
      <c r="BX348" s="96"/>
      <c r="BY348" s="96"/>
      <c r="BZ348" s="96"/>
      <c r="CA348" s="96"/>
      <c r="CB348" s="96"/>
      <c r="CC348" s="96"/>
      <c r="CD348" s="96"/>
      <c r="CE348" s="96"/>
      <c r="CF348" s="96"/>
      <c r="CG348" s="96"/>
      <c r="CH348" s="96"/>
      <c r="CI348" s="96"/>
      <c r="CJ348" s="96"/>
      <c r="CK348" s="96"/>
      <c r="CL348" s="96"/>
      <c r="CM348" s="96"/>
      <c r="CN348" s="96"/>
      <c r="CO348" s="96"/>
      <c r="CP348" s="96"/>
      <c r="CQ348" s="96"/>
      <c r="CR348" s="96"/>
      <c r="CS348" s="96"/>
      <c r="CT348" s="96"/>
      <c r="CU348" s="96"/>
      <c r="CV348" s="96"/>
      <c r="CW348" s="96"/>
      <c r="CX348" s="96"/>
      <c r="CY348" s="96"/>
      <c r="CZ348" s="96"/>
      <c r="DA348" s="96"/>
      <c r="DB348" s="96"/>
      <c r="DC348" s="96"/>
      <c r="DD348" s="96"/>
      <c r="DE348" s="96"/>
      <c r="DF348" s="96"/>
      <c r="DG348" s="96"/>
      <c r="DH348" s="96"/>
      <c r="DI348" s="96"/>
      <c r="DJ348" s="96"/>
      <c r="DK348" s="96"/>
      <c r="DL348" s="96"/>
      <c r="DM348" s="96"/>
      <c r="DN348" s="96"/>
      <c r="DO348" s="96"/>
      <c r="DP348" s="96"/>
      <c r="DQ348" s="96"/>
      <c r="DR348" s="96"/>
      <c r="DS348" s="96"/>
      <c r="DT348" s="96"/>
      <c r="DU348" s="96"/>
      <c r="DV348" s="96"/>
      <c r="DW348" s="96"/>
      <c r="DX348" s="96"/>
      <c r="DY348" s="96"/>
      <c r="DZ348" s="96"/>
      <c r="EA348" s="96"/>
      <c r="EB348" s="96"/>
      <c r="EC348" s="96"/>
      <c r="ED348" s="96"/>
      <c r="EE348" s="96"/>
      <c r="EF348" s="96"/>
      <c r="EG348" s="96"/>
      <c r="EH348" s="96"/>
      <c r="EI348" s="96"/>
      <c r="EJ348" s="96"/>
      <c r="EK348" s="96"/>
      <c r="EL348" s="96"/>
      <c r="EM348" s="96"/>
      <c r="EN348" s="96"/>
      <c r="EO348" s="96"/>
      <c r="EP348" s="96"/>
      <c r="EQ348" s="96"/>
      <c r="ER348" s="96"/>
      <c r="ES348" s="96"/>
      <c r="ET348" s="96"/>
    </row>
    <row r="349" spans="4:150"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  <c r="BH349" s="96"/>
      <c r="BI349" s="96"/>
      <c r="BJ349" s="96"/>
      <c r="BK349" s="96"/>
      <c r="BL349" s="96"/>
      <c r="BM349" s="96"/>
      <c r="BN349" s="96"/>
      <c r="BO349" s="96"/>
      <c r="BP349" s="96"/>
      <c r="BQ349" s="96"/>
      <c r="BR349" s="96"/>
      <c r="BS349" s="96"/>
      <c r="BT349" s="96"/>
      <c r="BU349" s="96"/>
      <c r="BV349" s="96"/>
      <c r="BW349" s="96"/>
      <c r="BX349" s="96"/>
      <c r="BY349" s="96"/>
      <c r="BZ349" s="96"/>
      <c r="CA349" s="96"/>
      <c r="CB349" s="96"/>
      <c r="CC349" s="96"/>
      <c r="CD349" s="96"/>
      <c r="CE349" s="96"/>
      <c r="CF349" s="96"/>
      <c r="CG349" s="96"/>
      <c r="CH349" s="96"/>
      <c r="CI349" s="96"/>
      <c r="CJ349" s="96"/>
      <c r="CK349" s="96"/>
      <c r="CL349" s="96"/>
      <c r="CM349" s="96"/>
      <c r="CN349" s="96"/>
      <c r="CO349" s="96"/>
      <c r="CP349" s="96"/>
      <c r="CQ349" s="96"/>
      <c r="CR349" s="96"/>
      <c r="CS349" s="96"/>
      <c r="CT349" s="96"/>
      <c r="CU349" s="96"/>
      <c r="CV349" s="96"/>
      <c r="CW349" s="96"/>
      <c r="CX349" s="96"/>
      <c r="CY349" s="96"/>
      <c r="CZ349" s="96"/>
      <c r="DA349" s="96"/>
      <c r="DB349" s="96"/>
      <c r="DC349" s="96"/>
      <c r="DD349" s="96"/>
      <c r="DE349" s="96"/>
      <c r="DF349" s="96"/>
      <c r="DG349" s="96"/>
      <c r="DH349" s="96"/>
      <c r="DI349" s="96"/>
      <c r="DJ349" s="96"/>
      <c r="DK349" s="96"/>
      <c r="DL349" s="96"/>
      <c r="DM349" s="96"/>
      <c r="DN349" s="96"/>
      <c r="DO349" s="96"/>
      <c r="DP349" s="96"/>
      <c r="DQ349" s="96"/>
      <c r="DR349" s="96"/>
      <c r="DS349" s="96"/>
      <c r="DT349" s="96"/>
      <c r="DU349" s="96"/>
      <c r="DV349" s="96"/>
      <c r="DW349" s="96"/>
      <c r="DX349" s="96"/>
      <c r="DY349" s="96"/>
      <c r="DZ349" s="96"/>
      <c r="EA349" s="96"/>
      <c r="EB349" s="96"/>
      <c r="EC349" s="96"/>
      <c r="ED349" s="96"/>
      <c r="EE349" s="96"/>
      <c r="EF349" s="96"/>
      <c r="EG349" s="96"/>
      <c r="EH349" s="96"/>
      <c r="EI349" s="96"/>
      <c r="EJ349" s="96"/>
      <c r="EK349" s="96"/>
      <c r="EL349" s="96"/>
      <c r="EM349" s="96"/>
      <c r="EN349" s="96"/>
      <c r="EO349" s="96"/>
      <c r="EP349" s="96"/>
      <c r="EQ349" s="96"/>
      <c r="ER349" s="96"/>
      <c r="ES349" s="96"/>
      <c r="ET349" s="96"/>
    </row>
    <row r="350" spans="4:150"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  <c r="BH350" s="96"/>
      <c r="BI350" s="96"/>
      <c r="BJ350" s="96"/>
      <c r="BK350" s="96"/>
      <c r="BL350" s="96"/>
      <c r="BM350" s="96"/>
      <c r="BN350" s="96"/>
      <c r="BO350" s="96"/>
      <c r="BP350" s="96"/>
      <c r="BQ350" s="96"/>
      <c r="BR350" s="96"/>
      <c r="BS350" s="96"/>
      <c r="BT350" s="96"/>
      <c r="BU350" s="96"/>
      <c r="BV350" s="96"/>
      <c r="BW350" s="96"/>
      <c r="BX350" s="96"/>
      <c r="BY350" s="96"/>
      <c r="BZ350" s="96"/>
      <c r="CA350" s="96"/>
      <c r="CB350" s="96"/>
      <c r="CC350" s="96"/>
      <c r="CD350" s="96"/>
      <c r="CE350" s="96"/>
      <c r="CF350" s="96"/>
      <c r="CG350" s="96"/>
      <c r="CH350" s="96"/>
      <c r="CI350" s="96"/>
      <c r="CJ350" s="96"/>
      <c r="CK350" s="96"/>
      <c r="CL350" s="96"/>
      <c r="CM350" s="96"/>
      <c r="CN350" s="96"/>
      <c r="CO350" s="96"/>
      <c r="CP350" s="96"/>
      <c r="CQ350" s="96"/>
      <c r="CR350" s="96"/>
      <c r="CS350" s="96"/>
      <c r="CT350" s="96"/>
      <c r="CU350" s="96"/>
      <c r="CV350" s="96"/>
      <c r="CW350" s="96"/>
      <c r="CX350" s="96"/>
      <c r="CY350" s="96"/>
      <c r="CZ350" s="96"/>
      <c r="DA350" s="96"/>
      <c r="DB350" s="96"/>
      <c r="DC350" s="96"/>
      <c r="DD350" s="96"/>
      <c r="DE350" s="96"/>
      <c r="DF350" s="96"/>
      <c r="DG350" s="96"/>
      <c r="DH350" s="96"/>
      <c r="DI350" s="96"/>
      <c r="DJ350" s="96"/>
      <c r="DK350" s="96"/>
      <c r="DL350" s="96"/>
      <c r="DM350" s="96"/>
      <c r="DN350" s="96"/>
      <c r="DO350" s="96"/>
      <c r="DP350" s="96"/>
      <c r="DQ350" s="96"/>
      <c r="DR350" s="96"/>
      <c r="DS350" s="96"/>
      <c r="DT350" s="96"/>
      <c r="DU350" s="96"/>
      <c r="DV350" s="96"/>
      <c r="DW350" s="96"/>
      <c r="DX350" s="96"/>
      <c r="DY350" s="96"/>
      <c r="DZ350" s="96"/>
      <c r="EA350" s="96"/>
      <c r="EB350" s="96"/>
      <c r="EC350" s="96"/>
      <c r="ED350" s="96"/>
      <c r="EE350" s="96"/>
      <c r="EF350" s="96"/>
      <c r="EG350" s="96"/>
      <c r="EH350" s="96"/>
      <c r="EI350" s="96"/>
      <c r="EJ350" s="96"/>
      <c r="EK350" s="96"/>
      <c r="EL350" s="96"/>
      <c r="EM350" s="96"/>
      <c r="EN350" s="96"/>
      <c r="EO350" s="96"/>
      <c r="EP350" s="96"/>
      <c r="EQ350" s="96"/>
      <c r="ER350" s="96"/>
      <c r="ES350" s="96"/>
      <c r="ET350" s="96"/>
    </row>
    <row r="351" spans="4:150"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6"/>
      <c r="BS351" s="96"/>
      <c r="BT351" s="96"/>
      <c r="BU351" s="96"/>
      <c r="BV351" s="96"/>
      <c r="BW351" s="96"/>
      <c r="BX351" s="96"/>
      <c r="BY351" s="96"/>
      <c r="BZ351" s="96"/>
      <c r="CA351" s="96"/>
      <c r="CB351" s="96"/>
      <c r="CC351" s="96"/>
      <c r="CD351" s="96"/>
      <c r="CE351" s="96"/>
      <c r="CF351" s="96"/>
      <c r="CG351" s="96"/>
      <c r="CH351" s="96"/>
      <c r="CI351" s="96"/>
      <c r="CJ351" s="96"/>
      <c r="CK351" s="96"/>
      <c r="CL351" s="96"/>
      <c r="CM351" s="96"/>
      <c r="CN351" s="96"/>
      <c r="CO351" s="96"/>
      <c r="CP351" s="96"/>
      <c r="CQ351" s="96"/>
      <c r="CR351" s="96"/>
      <c r="CS351" s="96"/>
      <c r="CT351" s="96"/>
      <c r="CU351" s="96"/>
      <c r="CV351" s="96"/>
      <c r="CW351" s="96"/>
      <c r="CX351" s="96"/>
      <c r="CY351" s="96"/>
      <c r="CZ351" s="96"/>
      <c r="DA351" s="96"/>
      <c r="DB351" s="96"/>
      <c r="DC351" s="96"/>
      <c r="DD351" s="96"/>
      <c r="DE351" s="96"/>
      <c r="DF351" s="96"/>
      <c r="DG351" s="96"/>
      <c r="DH351" s="96"/>
      <c r="DI351" s="96"/>
      <c r="DJ351" s="96"/>
      <c r="DK351" s="96"/>
      <c r="DL351" s="96"/>
      <c r="DM351" s="96"/>
      <c r="DN351" s="96"/>
      <c r="DO351" s="96"/>
      <c r="DP351" s="96"/>
      <c r="DQ351" s="96"/>
      <c r="DR351" s="96"/>
      <c r="DS351" s="96"/>
      <c r="DT351" s="96"/>
      <c r="DU351" s="96"/>
      <c r="DV351" s="96"/>
      <c r="DW351" s="96"/>
      <c r="DX351" s="96"/>
      <c r="DY351" s="96"/>
      <c r="DZ351" s="96"/>
      <c r="EA351" s="96"/>
      <c r="EB351" s="96"/>
      <c r="EC351" s="96"/>
      <c r="ED351" s="96"/>
      <c r="EE351" s="96"/>
      <c r="EF351" s="96"/>
      <c r="EG351" s="96"/>
      <c r="EH351" s="96"/>
      <c r="EI351" s="96"/>
      <c r="EJ351" s="96"/>
      <c r="EK351" s="96"/>
      <c r="EL351" s="96"/>
      <c r="EM351" s="96"/>
      <c r="EN351" s="96"/>
      <c r="EO351" s="96"/>
      <c r="EP351" s="96"/>
      <c r="EQ351" s="96"/>
      <c r="ER351" s="96"/>
      <c r="ES351" s="96"/>
      <c r="ET351" s="96"/>
    </row>
    <row r="352" spans="4:150"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6"/>
      <c r="BS352" s="96"/>
      <c r="BT352" s="96"/>
      <c r="BU352" s="96"/>
      <c r="BV352" s="96"/>
      <c r="BW352" s="96"/>
      <c r="BX352" s="96"/>
      <c r="BY352" s="96"/>
      <c r="BZ352" s="96"/>
      <c r="CA352" s="96"/>
      <c r="CB352" s="96"/>
      <c r="CC352" s="96"/>
      <c r="CD352" s="96"/>
      <c r="CE352" s="96"/>
      <c r="CF352" s="96"/>
      <c r="CG352" s="96"/>
      <c r="CH352" s="96"/>
      <c r="CI352" s="96"/>
      <c r="CJ352" s="96"/>
      <c r="CK352" s="96"/>
      <c r="CL352" s="96"/>
      <c r="CM352" s="96"/>
      <c r="CN352" s="96"/>
      <c r="CO352" s="96"/>
      <c r="CP352" s="96"/>
      <c r="CQ352" s="96"/>
      <c r="CR352" s="96"/>
      <c r="CS352" s="96"/>
      <c r="CT352" s="96"/>
      <c r="CU352" s="96"/>
      <c r="CV352" s="96"/>
      <c r="CW352" s="96"/>
      <c r="CX352" s="96"/>
      <c r="CY352" s="96"/>
      <c r="CZ352" s="96"/>
      <c r="DA352" s="96"/>
      <c r="DB352" s="96"/>
      <c r="DC352" s="96"/>
      <c r="DD352" s="96"/>
      <c r="DE352" s="96"/>
      <c r="DF352" s="96"/>
      <c r="DG352" s="96"/>
      <c r="DH352" s="96"/>
      <c r="DI352" s="96"/>
      <c r="DJ352" s="96"/>
      <c r="DK352" s="96"/>
      <c r="DL352" s="96"/>
      <c r="DM352" s="96"/>
      <c r="DN352" s="96"/>
      <c r="DO352" s="96"/>
      <c r="DP352" s="96"/>
      <c r="DQ352" s="96"/>
      <c r="DR352" s="96"/>
      <c r="DS352" s="96"/>
      <c r="DT352" s="96"/>
      <c r="DU352" s="96"/>
      <c r="DV352" s="96"/>
      <c r="DW352" s="96"/>
      <c r="DX352" s="96"/>
      <c r="DY352" s="96"/>
      <c r="DZ352" s="96"/>
      <c r="EA352" s="96"/>
      <c r="EB352" s="96"/>
      <c r="EC352" s="96"/>
      <c r="ED352" s="96"/>
      <c r="EE352" s="96"/>
      <c r="EF352" s="96"/>
      <c r="EG352" s="96"/>
      <c r="EH352" s="96"/>
      <c r="EI352" s="96"/>
      <c r="EJ352" s="96"/>
      <c r="EK352" s="96"/>
      <c r="EL352" s="96"/>
      <c r="EM352" s="96"/>
      <c r="EN352" s="96"/>
      <c r="EO352" s="96"/>
      <c r="EP352" s="96"/>
      <c r="EQ352" s="96"/>
      <c r="ER352" s="96"/>
      <c r="ES352" s="96"/>
      <c r="ET352" s="96"/>
    </row>
    <row r="353" spans="4:150"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6"/>
      <c r="BR353" s="96"/>
      <c r="BS353" s="96"/>
      <c r="BT353" s="96"/>
      <c r="BU353" s="96"/>
      <c r="BV353" s="96"/>
      <c r="BW353" s="96"/>
      <c r="BX353" s="96"/>
      <c r="BY353" s="96"/>
      <c r="BZ353" s="96"/>
      <c r="CA353" s="96"/>
      <c r="CB353" s="96"/>
      <c r="CC353" s="96"/>
      <c r="CD353" s="96"/>
      <c r="CE353" s="96"/>
      <c r="CF353" s="96"/>
      <c r="CG353" s="96"/>
      <c r="CH353" s="96"/>
      <c r="CI353" s="96"/>
      <c r="CJ353" s="96"/>
      <c r="CK353" s="96"/>
      <c r="CL353" s="96"/>
      <c r="CM353" s="96"/>
      <c r="CN353" s="96"/>
      <c r="CO353" s="96"/>
      <c r="CP353" s="96"/>
      <c r="CQ353" s="96"/>
      <c r="CR353" s="96"/>
      <c r="CS353" s="96"/>
      <c r="CT353" s="96"/>
      <c r="CU353" s="96"/>
      <c r="CV353" s="96"/>
      <c r="CW353" s="96"/>
      <c r="CX353" s="96"/>
      <c r="CY353" s="96"/>
      <c r="CZ353" s="96"/>
      <c r="DA353" s="96"/>
      <c r="DB353" s="96"/>
      <c r="DC353" s="96"/>
      <c r="DD353" s="96"/>
      <c r="DE353" s="96"/>
      <c r="DF353" s="96"/>
      <c r="DG353" s="96"/>
      <c r="DH353" s="96"/>
      <c r="DI353" s="96"/>
      <c r="DJ353" s="96"/>
      <c r="DK353" s="96"/>
      <c r="DL353" s="96"/>
      <c r="DM353" s="96"/>
      <c r="DN353" s="96"/>
      <c r="DO353" s="96"/>
      <c r="DP353" s="96"/>
      <c r="DQ353" s="96"/>
      <c r="DR353" s="96"/>
      <c r="DS353" s="96"/>
      <c r="DT353" s="96"/>
      <c r="DU353" s="96"/>
      <c r="DV353" s="96"/>
      <c r="DW353" s="96"/>
      <c r="DX353" s="96"/>
      <c r="DY353" s="96"/>
      <c r="DZ353" s="96"/>
      <c r="EA353" s="96"/>
      <c r="EB353" s="96"/>
      <c r="EC353" s="96"/>
      <c r="ED353" s="96"/>
      <c r="EE353" s="96"/>
      <c r="EF353" s="96"/>
      <c r="EG353" s="96"/>
      <c r="EH353" s="96"/>
      <c r="EI353" s="96"/>
      <c r="EJ353" s="96"/>
      <c r="EK353" s="96"/>
      <c r="EL353" s="96"/>
      <c r="EM353" s="96"/>
      <c r="EN353" s="96"/>
      <c r="EO353" s="96"/>
      <c r="EP353" s="96"/>
      <c r="EQ353" s="96"/>
      <c r="ER353" s="96"/>
      <c r="ES353" s="96"/>
      <c r="ET353" s="96"/>
    </row>
    <row r="354" spans="4:150"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6"/>
      <c r="BR354" s="96"/>
      <c r="BS354" s="96"/>
      <c r="BT354" s="96"/>
      <c r="BU354" s="96"/>
      <c r="BV354" s="96"/>
      <c r="BW354" s="96"/>
      <c r="BX354" s="96"/>
      <c r="BY354" s="96"/>
      <c r="BZ354" s="96"/>
      <c r="CA354" s="96"/>
      <c r="CB354" s="96"/>
      <c r="CC354" s="96"/>
      <c r="CD354" s="96"/>
      <c r="CE354" s="96"/>
      <c r="CF354" s="96"/>
      <c r="CG354" s="96"/>
      <c r="CH354" s="96"/>
      <c r="CI354" s="96"/>
      <c r="CJ354" s="96"/>
      <c r="CK354" s="96"/>
      <c r="CL354" s="96"/>
      <c r="CM354" s="96"/>
      <c r="CN354" s="96"/>
      <c r="CO354" s="96"/>
      <c r="CP354" s="96"/>
      <c r="CQ354" s="96"/>
      <c r="CR354" s="96"/>
      <c r="CS354" s="96"/>
      <c r="CT354" s="96"/>
      <c r="CU354" s="96"/>
      <c r="CV354" s="96"/>
      <c r="CW354" s="96"/>
      <c r="CX354" s="96"/>
      <c r="CY354" s="96"/>
      <c r="CZ354" s="96"/>
      <c r="DA354" s="96"/>
      <c r="DB354" s="96"/>
      <c r="DC354" s="96"/>
      <c r="DD354" s="96"/>
      <c r="DE354" s="96"/>
      <c r="DF354" s="96"/>
      <c r="DG354" s="96"/>
      <c r="DH354" s="96"/>
      <c r="DI354" s="96"/>
      <c r="DJ354" s="96"/>
      <c r="DK354" s="96"/>
      <c r="DL354" s="96"/>
      <c r="DM354" s="96"/>
      <c r="DN354" s="96"/>
      <c r="DO354" s="96"/>
      <c r="DP354" s="96"/>
      <c r="DQ354" s="96"/>
      <c r="DR354" s="96"/>
      <c r="DS354" s="96"/>
      <c r="DT354" s="96"/>
      <c r="DU354" s="96"/>
      <c r="DV354" s="96"/>
      <c r="DW354" s="96"/>
      <c r="DX354" s="96"/>
      <c r="DY354" s="96"/>
      <c r="DZ354" s="96"/>
      <c r="EA354" s="96"/>
      <c r="EB354" s="96"/>
      <c r="EC354" s="96"/>
      <c r="ED354" s="96"/>
      <c r="EE354" s="96"/>
      <c r="EF354" s="96"/>
      <c r="EG354" s="96"/>
      <c r="EH354" s="96"/>
      <c r="EI354" s="96"/>
      <c r="EJ354" s="96"/>
      <c r="EK354" s="96"/>
      <c r="EL354" s="96"/>
      <c r="EM354" s="96"/>
      <c r="EN354" s="96"/>
      <c r="EO354" s="96"/>
      <c r="EP354" s="96"/>
      <c r="EQ354" s="96"/>
      <c r="ER354" s="96"/>
      <c r="ES354" s="96"/>
      <c r="ET354" s="96"/>
    </row>
    <row r="355" spans="4:150"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6"/>
      <c r="BB355" s="96"/>
      <c r="BC355" s="96"/>
      <c r="BD355" s="96"/>
      <c r="BE355" s="96"/>
      <c r="BF355" s="96"/>
      <c r="BG355" s="96"/>
      <c r="BH355" s="96"/>
      <c r="BI355" s="96"/>
      <c r="BJ355" s="96"/>
      <c r="BK355" s="96"/>
      <c r="BL355" s="96"/>
      <c r="BM355" s="96"/>
      <c r="BN355" s="96"/>
      <c r="BO355" s="96"/>
      <c r="BP355" s="96"/>
      <c r="BQ355" s="96"/>
      <c r="BR355" s="96"/>
      <c r="BS355" s="96"/>
      <c r="BT355" s="96"/>
      <c r="BU355" s="96"/>
      <c r="BV355" s="96"/>
      <c r="BW355" s="96"/>
      <c r="BX355" s="96"/>
      <c r="BY355" s="96"/>
      <c r="BZ355" s="96"/>
      <c r="CA355" s="96"/>
      <c r="CB355" s="96"/>
      <c r="CC355" s="96"/>
      <c r="CD355" s="96"/>
      <c r="CE355" s="96"/>
      <c r="CF355" s="96"/>
      <c r="CG355" s="96"/>
      <c r="CH355" s="96"/>
      <c r="CI355" s="96"/>
      <c r="CJ355" s="96"/>
      <c r="CK355" s="96"/>
      <c r="CL355" s="96"/>
      <c r="CM355" s="96"/>
      <c r="CN355" s="96"/>
      <c r="CO355" s="96"/>
      <c r="CP355" s="96"/>
      <c r="CQ355" s="96"/>
      <c r="CR355" s="96"/>
      <c r="CS355" s="96"/>
      <c r="CT355" s="96"/>
      <c r="CU355" s="96"/>
      <c r="CV355" s="96"/>
      <c r="CW355" s="96"/>
      <c r="CX355" s="96"/>
      <c r="CY355" s="96"/>
      <c r="CZ355" s="96"/>
      <c r="DA355" s="96"/>
      <c r="DB355" s="96"/>
      <c r="DC355" s="96"/>
      <c r="DD355" s="96"/>
      <c r="DE355" s="96"/>
      <c r="DF355" s="96"/>
      <c r="DG355" s="96"/>
      <c r="DH355" s="96"/>
      <c r="DI355" s="96"/>
      <c r="DJ355" s="96"/>
      <c r="DK355" s="96"/>
      <c r="DL355" s="96"/>
      <c r="DM355" s="96"/>
      <c r="DN355" s="96"/>
      <c r="DO355" s="96"/>
      <c r="DP355" s="96"/>
      <c r="DQ355" s="96"/>
      <c r="DR355" s="96"/>
      <c r="DS355" s="96"/>
      <c r="DT355" s="96"/>
      <c r="DU355" s="96"/>
      <c r="DV355" s="96"/>
      <c r="DW355" s="96"/>
      <c r="DX355" s="96"/>
      <c r="DY355" s="96"/>
      <c r="DZ355" s="96"/>
      <c r="EA355" s="96"/>
      <c r="EB355" s="96"/>
      <c r="EC355" s="96"/>
      <c r="ED355" s="96"/>
      <c r="EE355" s="96"/>
      <c r="EF355" s="96"/>
      <c r="EG355" s="96"/>
      <c r="EH355" s="96"/>
      <c r="EI355" s="96"/>
      <c r="EJ355" s="96"/>
      <c r="EK355" s="96"/>
      <c r="EL355" s="96"/>
      <c r="EM355" s="96"/>
      <c r="EN355" s="96"/>
      <c r="EO355" s="96"/>
      <c r="EP355" s="96"/>
      <c r="EQ355" s="96"/>
      <c r="ER355" s="96"/>
      <c r="ES355" s="96"/>
      <c r="ET355" s="96"/>
    </row>
    <row r="356" spans="4:150"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6"/>
      <c r="BB356" s="96"/>
      <c r="BC356" s="96"/>
      <c r="BD356" s="96"/>
      <c r="BE356" s="96"/>
      <c r="BF356" s="96"/>
      <c r="BG356" s="96"/>
      <c r="BH356" s="96"/>
      <c r="BI356" s="96"/>
      <c r="BJ356" s="96"/>
      <c r="BK356" s="96"/>
      <c r="BL356" s="96"/>
      <c r="BM356" s="96"/>
      <c r="BN356" s="96"/>
      <c r="BO356" s="96"/>
      <c r="BP356" s="96"/>
      <c r="BQ356" s="96"/>
      <c r="BR356" s="96"/>
      <c r="BS356" s="96"/>
      <c r="BT356" s="96"/>
      <c r="BU356" s="96"/>
      <c r="BV356" s="96"/>
      <c r="BW356" s="96"/>
      <c r="BX356" s="96"/>
      <c r="BY356" s="96"/>
      <c r="BZ356" s="96"/>
      <c r="CA356" s="96"/>
      <c r="CB356" s="96"/>
      <c r="CC356" s="96"/>
      <c r="CD356" s="96"/>
      <c r="CE356" s="96"/>
      <c r="CF356" s="96"/>
      <c r="CG356" s="96"/>
      <c r="CH356" s="96"/>
      <c r="CI356" s="96"/>
      <c r="CJ356" s="96"/>
      <c r="CK356" s="96"/>
      <c r="CL356" s="96"/>
      <c r="CM356" s="96"/>
      <c r="CN356" s="96"/>
      <c r="CO356" s="96"/>
      <c r="CP356" s="96"/>
      <c r="CQ356" s="96"/>
      <c r="CR356" s="96"/>
      <c r="CS356" s="96"/>
      <c r="CT356" s="96"/>
      <c r="CU356" s="96"/>
      <c r="CV356" s="96"/>
      <c r="CW356" s="96"/>
      <c r="CX356" s="96"/>
      <c r="CY356" s="96"/>
      <c r="CZ356" s="96"/>
      <c r="DA356" s="96"/>
      <c r="DB356" s="96"/>
      <c r="DC356" s="96"/>
      <c r="DD356" s="96"/>
      <c r="DE356" s="96"/>
      <c r="DF356" s="96"/>
      <c r="DG356" s="96"/>
      <c r="DH356" s="96"/>
      <c r="DI356" s="96"/>
      <c r="DJ356" s="96"/>
      <c r="DK356" s="96"/>
      <c r="DL356" s="96"/>
      <c r="DM356" s="96"/>
      <c r="DN356" s="96"/>
      <c r="DO356" s="96"/>
      <c r="DP356" s="96"/>
      <c r="DQ356" s="96"/>
      <c r="DR356" s="96"/>
      <c r="DS356" s="96"/>
      <c r="DT356" s="96"/>
      <c r="DU356" s="96"/>
      <c r="DV356" s="96"/>
      <c r="DW356" s="96"/>
      <c r="DX356" s="96"/>
      <c r="DY356" s="96"/>
      <c r="DZ356" s="96"/>
      <c r="EA356" s="96"/>
      <c r="EB356" s="96"/>
      <c r="EC356" s="96"/>
      <c r="ED356" s="96"/>
      <c r="EE356" s="96"/>
      <c r="EF356" s="96"/>
      <c r="EG356" s="96"/>
      <c r="EH356" s="96"/>
      <c r="EI356" s="96"/>
      <c r="EJ356" s="96"/>
      <c r="EK356" s="96"/>
      <c r="EL356" s="96"/>
      <c r="EM356" s="96"/>
      <c r="EN356" s="96"/>
      <c r="EO356" s="96"/>
      <c r="EP356" s="96"/>
      <c r="EQ356" s="96"/>
      <c r="ER356" s="96"/>
      <c r="ES356" s="96"/>
      <c r="ET356" s="96"/>
    </row>
    <row r="357" spans="4:150"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  <c r="BH357" s="96"/>
      <c r="BI357" s="96"/>
      <c r="BJ357" s="96"/>
      <c r="BK357" s="96"/>
      <c r="BL357" s="96"/>
      <c r="BM357" s="96"/>
      <c r="BN357" s="96"/>
      <c r="BO357" s="96"/>
      <c r="BP357" s="96"/>
      <c r="BQ357" s="96"/>
      <c r="BR357" s="96"/>
      <c r="BS357" s="96"/>
      <c r="BT357" s="96"/>
      <c r="BU357" s="96"/>
      <c r="BV357" s="96"/>
      <c r="BW357" s="96"/>
      <c r="BX357" s="96"/>
      <c r="BY357" s="96"/>
      <c r="BZ357" s="96"/>
      <c r="CA357" s="96"/>
      <c r="CB357" s="96"/>
      <c r="CC357" s="96"/>
      <c r="CD357" s="96"/>
      <c r="CE357" s="96"/>
      <c r="CF357" s="96"/>
      <c r="CG357" s="96"/>
      <c r="CH357" s="96"/>
      <c r="CI357" s="96"/>
      <c r="CJ357" s="96"/>
      <c r="CK357" s="96"/>
      <c r="CL357" s="96"/>
      <c r="CM357" s="96"/>
      <c r="CN357" s="96"/>
      <c r="CO357" s="96"/>
      <c r="CP357" s="96"/>
      <c r="CQ357" s="96"/>
      <c r="CR357" s="96"/>
      <c r="CS357" s="96"/>
      <c r="CT357" s="96"/>
      <c r="CU357" s="96"/>
      <c r="CV357" s="96"/>
      <c r="CW357" s="96"/>
      <c r="CX357" s="96"/>
      <c r="CY357" s="96"/>
      <c r="CZ357" s="96"/>
      <c r="DA357" s="96"/>
      <c r="DB357" s="96"/>
      <c r="DC357" s="96"/>
      <c r="DD357" s="96"/>
      <c r="DE357" s="96"/>
      <c r="DF357" s="96"/>
      <c r="DG357" s="96"/>
      <c r="DH357" s="96"/>
      <c r="DI357" s="96"/>
      <c r="DJ357" s="96"/>
      <c r="DK357" s="96"/>
      <c r="DL357" s="96"/>
      <c r="DM357" s="96"/>
      <c r="DN357" s="96"/>
      <c r="DO357" s="96"/>
      <c r="DP357" s="96"/>
      <c r="DQ357" s="96"/>
      <c r="DR357" s="96"/>
      <c r="DS357" s="96"/>
      <c r="DT357" s="96"/>
      <c r="DU357" s="96"/>
      <c r="DV357" s="96"/>
      <c r="DW357" s="96"/>
      <c r="DX357" s="96"/>
      <c r="DY357" s="96"/>
      <c r="DZ357" s="96"/>
      <c r="EA357" s="96"/>
      <c r="EB357" s="96"/>
      <c r="EC357" s="96"/>
      <c r="ED357" s="96"/>
      <c r="EE357" s="96"/>
      <c r="EF357" s="96"/>
      <c r="EG357" s="96"/>
      <c r="EH357" s="96"/>
      <c r="EI357" s="96"/>
      <c r="EJ357" s="96"/>
      <c r="EK357" s="96"/>
      <c r="EL357" s="96"/>
      <c r="EM357" s="96"/>
      <c r="EN357" s="96"/>
      <c r="EO357" s="96"/>
      <c r="EP357" s="96"/>
      <c r="EQ357" s="96"/>
      <c r="ER357" s="96"/>
      <c r="ES357" s="96"/>
      <c r="ET357" s="96"/>
    </row>
    <row r="358" spans="4:150"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6"/>
      <c r="BB358" s="96"/>
      <c r="BC358" s="96"/>
      <c r="BD358" s="96"/>
      <c r="BE358" s="96"/>
      <c r="BF358" s="96"/>
      <c r="BG358" s="96"/>
      <c r="BH358" s="96"/>
      <c r="BI358" s="96"/>
      <c r="BJ358" s="96"/>
      <c r="BK358" s="96"/>
      <c r="BL358" s="96"/>
      <c r="BM358" s="96"/>
      <c r="BN358" s="96"/>
      <c r="BO358" s="96"/>
      <c r="BP358" s="96"/>
      <c r="BQ358" s="96"/>
      <c r="BR358" s="96"/>
      <c r="BS358" s="96"/>
      <c r="BT358" s="96"/>
      <c r="BU358" s="96"/>
      <c r="BV358" s="96"/>
      <c r="BW358" s="96"/>
      <c r="BX358" s="96"/>
      <c r="BY358" s="96"/>
      <c r="BZ358" s="96"/>
      <c r="CA358" s="96"/>
      <c r="CB358" s="96"/>
      <c r="CC358" s="96"/>
      <c r="CD358" s="96"/>
      <c r="CE358" s="96"/>
      <c r="CF358" s="96"/>
      <c r="CG358" s="96"/>
      <c r="CH358" s="96"/>
      <c r="CI358" s="96"/>
      <c r="CJ358" s="96"/>
      <c r="CK358" s="96"/>
      <c r="CL358" s="96"/>
      <c r="CM358" s="96"/>
      <c r="CN358" s="96"/>
      <c r="CO358" s="96"/>
      <c r="CP358" s="96"/>
      <c r="CQ358" s="96"/>
      <c r="CR358" s="96"/>
      <c r="CS358" s="96"/>
      <c r="CT358" s="96"/>
      <c r="CU358" s="96"/>
      <c r="CV358" s="96"/>
      <c r="CW358" s="96"/>
      <c r="CX358" s="96"/>
      <c r="CY358" s="96"/>
      <c r="CZ358" s="96"/>
      <c r="DA358" s="96"/>
      <c r="DB358" s="96"/>
      <c r="DC358" s="96"/>
      <c r="DD358" s="96"/>
      <c r="DE358" s="96"/>
      <c r="DF358" s="96"/>
      <c r="DG358" s="96"/>
      <c r="DH358" s="96"/>
      <c r="DI358" s="96"/>
      <c r="DJ358" s="96"/>
      <c r="DK358" s="96"/>
      <c r="DL358" s="96"/>
      <c r="DM358" s="96"/>
      <c r="DN358" s="96"/>
      <c r="DO358" s="96"/>
      <c r="DP358" s="96"/>
      <c r="DQ358" s="96"/>
      <c r="DR358" s="96"/>
      <c r="DS358" s="96"/>
      <c r="DT358" s="96"/>
      <c r="DU358" s="96"/>
      <c r="DV358" s="96"/>
      <c r="DW358" s="96"/>
      <c r="DX358" s="96"/>
      <c r="DY358" s="96"/>
      <c r="DZ358" s="96"/>
      <c r="EA358" s="96"/>
      <c r="EB358" s="96"/>
      <c r="EC358" s="96"/>
      <c r="ED358" s="96"/>
      <c r="EE358" s="96"/>
      <c r="EF358" s="96"/>
      <c r="EG358" s="96"/>
      <c r="EH358" s="96"/>
      <c r="EI358" s="96"/>
      <c r="EJ358" s="96"/>
      <c r="EK358" s="96"/>
      <c r="EL358" s="96"/>
      <c r="EM358" s="96"/>
      <c r="EN358" s="96"/>
      <c r="EO358" s="96"/>
      <c r="EP358" s="96"/>
      <c r="EQ358" s="96"/>
      <c r="ER358" s="96"/>
      <c r="ES358" s="96"/>
      <c r="ET358" s="96"/>
    </row>
    <row r="359" spans="4:150"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6"/>
      <c r="BS359" s="96"/>
      <c r="BT359" s="96"/>
      <c r="BU359" s="96"/>
      <c r="BV359" s="96"/>
      <c r="BW359" s="96"/>
      <c r="BX359" s="96"/>
      <c r="BY359" s="96"/>
      <c r="BZ359" s="96"/>
      <c r="CA359" s="96"/>
      <c r="CB359" s="96"/>
      <c r="CC359" s="96"/>
      <c r="CD359" s="96"/>
      <c r="CE359" s="96"/>
      <c r="CF359" s="96"/>
      <c r="CG359" s="96"/>
      <c r="CH359" s="96"/>
      <c r="CI359" s="96"/>
      <c r="CJ359" s="96"/>
      <c r="CK359" s="96"/>
      <c r="CL359" s="96"/>
      <c r="CM359" s="96"/>
      <c r="CN359" s="96"/>
      <c r="CO359" s="96"/>
      <c r="CP359" s="96"/>
      <c r="CQ359" s="96"/>
      <c r="CR359" s="96"/>
      <c r="CS359" s="96"/>
      <c r="CT359" s="96"/>
      <c r="CU359" s="96"/>
      <c r="CV359" s="96"/>
      <c r="CW359" s="96"/>
      <c r="CX359" s="96"/>
      <c r="CY359" s="96"/>
      <c r="CZ359" s="96"/>
      <c r="DA359" s="96"/>
      <c r="DB359" s="96"/>
      <c r="DC359" s="96"/>
      <c r="DD359" s="96"/>
      <c r="DE359" s="96"/>
      <c r="DF359" s="96"/>
      <c r="DG359" s="96"/>
      <c r="DH359" s="96"/>
      <c r="DI359" s="96"/>
      <c r="DJ359" s="96"/>
      <c r="DK359" s="96"/>
      <c r="DL359" s="96"/>
      <c r="DM359" s="96"/>
      <c r="DN359" s="96"/>
      <c r="DO359" s="96"/>
      <c r="DP359" s="96"/>
      <c r="DQ359" s="96"/>
      <c r="DR359" s="96"/>
      <c r="DS359" s="96"/>
      <c r="DT359" s="96"/>
      <c r="DU359" s="96"/>
      <c r="DV359" s="96"/>
      <c r="DW359" s="96"/>
      <c r="DX359" s="96"/>
      <c r="DY359" s="96"/>
      <c r="DZ359" s="96"/>
      <c r="EA359" s="96"/>
      <c r="EB359" s="96"/>
      <c r="EC359" s="96"/>
      <c r="ED359" s="96"/>
      <c r="EE359" s="96"/>
      <c r="EF359" s="96"/>
      <c r="EG359" s="96"/>
      <c r="EH359" s="96"/>
      <c r="EI359" s="96"/>
      <c r="EJ359" s="96"/>
      <c r="EK359" s="96"/>
      <c r="EL359" s="96"/>
      <c r="EM359" s="96"/>
      <c r="EN359" s="96"/>
      <c r="EO359" s="96"/>
      <c r="EP359" s="96"/>
      <c r="EQ359" s="96"/>
      <c r="ER359" s="96"/>
      <c r="ES359" s="96"/>
      <c r="ET359" s="96"/>
    </row>
    <row r="360" spans="4:150"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  <c r="BH360" s="96"/>
      <c r="BI360" s="96"/>
      <c r="BJ360" s="96"/>
      <c r="BK360" s="96"/>
      <c r="BL360" s="96"/>
      <c r="BM360" s="96"/>
      <c r="BN360" s="96"/>
      <c r="BO360" s="96"/>
      <c r="BP360" s="96"/>
      <c r="BQ360" s="96"/>
      <c r="BR360" s="96"/>
      <c r="BS360" s="96"/>
      <c r="BT360" s="96"/>
      <c r="BU360" s="96"/>
      <c r="BV360" s="96"/>
      <c r="BW360" s="96"/>
      <c r="BX360" s="96"/>
      <c r="BY360" s="96"/>
      <c r="BZ360" s="96"/>
      <c r="CA360" s="96"/>
      <c r="CB360" s="96"/>
      <c r="CC360" s="96"/>
      <c r="CD360" s="96"/>
      <c r="CE360" s="96"/>
      <c r="CF360" s="96"/>
      <c r="CG360" s="96"/>
      <c r="CH360" s="96"/>
      <c r="CI360" s="96"/>
      <c r="CJ360" s="96"/>
      <c r="CK360" s="96"/>
      <c r="CL360" s="96"/>
      <c r="CM360" s="96"/>
      <c r="CN360" s="96"/>
      <c r="CO360" s="96"/>
      <c r="CP360" s="96"/>
      <c r="CQ360" s="96"/>
      <c r="CR360" s="96"/>
      <c r="CS360" s="96"/>
      <c r="CT360" s="96"/>
      <c r="CU360" s="96"/>
      <c r="CV360" s="96"/>
      <c r="CW360" s="96"/>
      <c r="CX360" s="96"/>
      <c r="CY360" s="96"/>
      <c r="CZ360" s="96"/>
      <c r="DA360" s="96"/>
      <c r="DB360" s="96"/>
      <c r="DC360" s="96"/>
      <c r="DD360" s="96"/>
      <c r="DE360" s="96"/>
      <c r="DF360" s="96"/>
      <c r="DG360" s="96"/>
      <c r="DH360" s="96"/>
      <c r="DI360" s="96"/>
      <c r="DJ360" s="96"/>
      <c r="DK360" s="96"/>
      <c r="DL360" s="96"/>
      <c r="DM360" s="96"/>
      <c r="DN360" s="96"/>
      <c r="DO360" s="96"/>
      <c r="DP360" s="96"/>
      <c r="DQ360" s="96"/>
      <c r="DR360" s="96"/>
      <c r="DS360" s="96"/>
      <c r="DT360" s="96"/>
      <c r="DU360" s="96"/>
      <c r="DV360" s="96"/>
      <c r="DW360" s="96"/>
      <c r="DX360" s="96"/>
      <c r="DY360" s="96"/>
      <c r="DZ360" s="96"/>
      <c r="EA360" s="96"/>
      <c r="EB360" s="96"/>
      <c r="EC360" s="96"/>
      <c r="ED360" s="96"/>
      <c r="EE360" s="96"/>
      <c r="EF360" s="96"/>
      <c r="EG360" s="96"/>
      <c r="EH360" s="96"/>
      <c r="EI360" s="96"/>
      <c r="EJ360" s="96"/>
      <c r="EK360" s="96"/>
      <c r="EL360" s="96"/>
      <c r="EM360" s="96"/>
      <c r="EN360" s="96"/>
      <c r="EO360" s="96"/>
      <c r="EP360" s="96"/>
      <c r="EQ360" s="96"/>
      <c r="ER360" s="96"/>
      <c r="ES360" s="96"/>
      <c r="ET360" s="96"/>
    </row>
    <row r="361" spans="4:150"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  <c r="BH361" s="96"/>
      <c r="BI361" s="96"/>
      <c r="BJ361" s="96"/>
      <c r="BK361" s="96"/>
      <c r="BL361" s="96"/>
      <c r="BM361" s="96"/>
      <c r="BN361" s="96"/>
      <c r="BO361" s="96"/>
      <c r="BP361" s="96"/>
      <c r="BQ361" s="96"/>
      <c r="BR361" s="96"/>
      <c r="BS361" s="96"/>
      <c r="BT361" s="96"/>
      <c r="BU361" s="96"/>
      <c r="BV361" s="96"/>
      <c r="BW361" s="96"/>
      <c r="BX361" s="96"/>
      <c r="BY361" s="96"/>
      <c r="BZ361" s="96"/>
      <c r="CA361" s="96"/>
      <c r="CB361" s="96"/>
      <c r="CC361" s="96"/>
      <c r="CD361" s="96"/>
      <c r="CE361" s="96"/>
      <c r="CF361" s="96"/>
      <c r="CG361" s="96"/>
      <c r="CH361" s="96"/>
      <c r="CI361" s="96"/>
      <c r="CJ361" s="96"/>
      <c r="CK361" s="96"/>
      <c r="CL361" s="96"/>
      <c r="CM361" s="96"/>
      <c r="CN361" s="96"/>
      <c r="CO361" s="96"/>
      <c r="CP361" s="96"/>
      <c r="CQ361" s="96"/>
      <c r="CR361" s="96"/>
      <c r="CS361" s="96"/>
      <c r="CT361" s="96"/>
      <c r="CU361" s="96"/>
      <c r="CV361" s="96"/>
      <c r="CW361" s="96"/>
      <c r="CX361" s="96"/>
      <c r="CY361" s="96"/>
      <c r="CZ361" s="96"/>
      <c r="DA361" s="96"/>
      <c r="DB361" s="96"/>
      <c r="DC361" s="96"/>
      <c r="DD361" s="96"/>
      <c r="DE361" s="96"/>
      <c r="DF361" s="96"/>
      <c r="DG361" s="96"/>
      <c r="DH361" s="96"/>
      <c r="DI361" s="96"/>
      <c r="DJ361" s="96"/>
      <c r="DK361" s="96"/>
      <c r="DL361" s="96"/>
      <c r="DM361" s="96"/>
      <c r="DN361" s="96"/>
      <c r="DO361" s="96"/>
      <c r="DP361" s="96"/>
      <c r="DQ361" s="96"/>
      <c r="DR361" s="96"/>
      <c r="DS361" s="96"/>
      <c r="DT361" s="96"/>
      <c r="DU361" s="96"/>
      <c r="DV361" s="96"/>
      <c r="DW361" s="96"/>
      <c r="DX361" s="96"/>
      <c r="DY361" s="96"/>
      <c r="DZ361" s="96"/>
      <c r="EA361" s="96"/>
      <c r="EB361" s="96"/>
      <c r="EC361" s="96"/>
      <c r="ED361" s="96"/>
      <c r="EE361" s="96"/>
      <c r="EF361" s="96"/>
      <c r="EG361" s="96"/>
      <c r="EH361" s="96"/>
      <c r="EI361" s="96"/>
      <c r="EJ361" s="96"/>
      <c r="EK361" s="96"/>
      <c r="EL361" s="96"/>
      <c r="EM361" s="96"/>
      <c r="EN361" s="96"/>
      <c r="EO361" s="96"/>
      <c r="EP361" s="96"/>
      <c r="EQ361" s="96"/>
      <c r="ER361" s="96"/>
      <c r="ES361" s="96"/>
      <c r="ET361" s="96"/>
    </row>
    <row r="362" spans="4:150"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  <c r="CD362" s="96"/>
      <c r="CE362" s="96"/>
      <c r="CF362" s="96"/>
      <c r="CG362" s="96"/>
      <c r="CH362" s="96"/>
      <c r="CI362" s="96"/>
      <c r="CJ362" s="96"/>
      <c r="CK362" s="96"/>
      <c r="CL362" s="96"/>
      <c r="CM362" s="96"/>
      <c r="CN362" s="96"/>
      <c r="CO362" s="96"/>
      <c r="CP362" s="96"/>
      <c r="CQ362" s="96"/>
      <c r="CR362" s="96"/>
      <c r="CS362" s="96"/>
      <c r="CT362" s="96"/>
      <c r="CU362" s="96"/>
      <c r="CV362" s="96"/>
      <c r="CW362" s="96"/>
      <c r="CX362" s="96"/>
      <c r="CY362" s="96"/>
      <c r="CZ362" s="96"/>
      <c r="DA362" s="96"/>
      <c r="DB362" s="96"/>
      <c r="DC362" s="96"/>
      <c r="DD362" s="96"/>
      <c r="DE362" s="96"/>
      <c r="DF362" s="96"/>
      <c r="DG362" s="96"/>
      <c r="DH362" s="96"/>
      <c r="DI362" s="96"/>
      <c r="DJ362" s="96"/>
      <c r="DK362" s="96"/>
      <c r="DL362" s="96"/>
      <c r="DM362" s="96"/>
      <c r="DN362" s="96"/>
      <c r="DO362" s="96"/>
      <c r="DP362" s="96"/>
      <c r="DQ362" s="96"/>
      <c r="DR362" s="96"/>
      <c r="DS362" s="96"/>
      <c r="DT362" s="96"/>
      <c r="DU362" s="96"/>
      <c r="DV362" s="96"/>
      <c r="DW362" s="96"/>
      <c r="DX362" s="96"/>
      <c r="DY362" s="96"/>
      <c r="DZ362" s="96"/>
      <c r="EA362" s="96"/>
      <c r="EB362" s="96"/>
      <c r="EC362" s="96"/>
      <c r="ED362" s="96"/>
      <c r="EE362" s="96"/>
      <c r="EF362" s="96"/>
      <c r="EG362" s="96"/>
      <c r="EH362" s="96"/>
      <c r="EI362" s="96"/>
      <c r="EJ362" s="96"/>
      <c r="EK362" s="96"/>
      <c r="EL362" s="96"/>
      <c r="EM362" s="96"/>
      <c r="EN362" s="96"/>
      <c r="EO362" s="96"/>
      <c r="EP362" s="96"/>
      <c r="EQ362" s="96"/>
      <c r="ER362" s="96"/>
      <c r="ES362" s="96"/>
      <c r="ET362" s="96"/>
    </row>
    <row r="363" spans="4:150"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6"/>
      <c r="BS363" s="96"/>
      <c r="BT363" s="96"/>
      <c r="BU363" s="96"/>
      <c r="BV363" s="96"/>
      <c r="BW363" s="96"/>
      <c r="BX363" s="96"/>
      <c r="BY363" s="96"/>
      <c r="BZ363" s="96"/>
      <c r="CA363" s="96"/>
      <c r="CB363" s="96"/>
      <c r="CC363" s="96"/>
      <c r="CD363" s="96"/>
      <c r="CE363" s="96"/>
      <c r="CF363" s="96"/>
      <c r="CG363" s="96"/>
      <c r="CH363" s="96"/>
      <c r="CI363" s="96"/>
      <c r="CJ363" s="96"/>
      <c r="CK363" s="96"/>
      <c r="CL363" s="96"/>
      <c r="CM363" s="96"/>
      <c r="CN363" s="96"/>
      <c r="CO363" s="96"/>
      <c r="CP363" s="96"/>
      <c r="CQ363" s="96"/>
      <c r="CR363" s="96"/>
      <c r="CS363" s="96"/>
      <c r="CT363" s="96"/>
      <c r="CU363" s="96"/>
      <c r="CV363" s="96"/>
      <c r="CW363" s="96"/>
      <c r="CX363" s="96"/>
      <c r="CY363" s="96"/>
      <c r="CZ363" s="96"/>
      <c r="DA363" s="96"/>
      <c r="DB363" s="96"/>
      <c r="DC363" s="96"/>
      <c r="DD363" s="96"/>
      <c r="DE363" s="96"/>
      <c r="DF363" s="96"/>
      <c r="DG363" s="96"/>
      <c r="DH363" s="96"/>
      <c r="DI363" s="96"/>
      <c r="DJ363" s="96"/>
      <c r="DK363" s="96"/>
      <c r="DL363" s="96"/>
      <c r="DM363" s="96"/>
      <c r="DN363" s="96"/>
      <c r="DO363" s="96"/>
      <c r="DP363" s="96"/>
      <c r="DQ363" s="96"/>
      <c r="DR363" s="96"/>
      <c r="DS363" s="96"/>
      <c r="DT363" s="96"/>
      <c r="DU363" s="96"/>
      <c r="DV363" s="96"/>
      <c r="DW363" s="96"/>
      <c r="DX363" s="96"/>
      <c r="DY363" s="96"/>
      <c r="DZ363" s="96"/>
      <c r="EA363" s="96"/>
      <c r="EB363" s="96"/>
      <c r="EC363" s="96"/>
      <c r="ED363" s="96"/>
      <c r="EE363" s="96"/>
      <c r="EF363" s="96"/>
      <c r="EG363" s="96"/>
      <c r="EH363" s="96"/>
      <c r="EI363" s="96"/>
      <c r="EJ363" s="96"/>
      <c r="EK363" s="96"/>
      <c r="EL363" s="96"/>
      <c r="EM363" s="96"/>
      <c r="EN363" s="96"/>
      <c r="EO363" s="96"/>
      <c r="EP363" s="96"/>
      <c r="EQ363" s="96"/>
      <c r="ER363" s="96"/>
      <c r="ES363" s="96"/>
      <c r="ET363" s="96"/>
    </row>
    <row r="364" spans="4:150"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  <c r="BH364" s="96"/>
      <c r="BI364" s="96"/>
      <c r="BJ364" s="96"/>
      <c r="BK364" s="96"/>
      <c r="BL364" s="96"/>
      <c r="BM364" s="96"/>
      <c r="BN364" s="96"/>
      <c r="BO364" s="96"/>
      <c r="BP364" s="96"/>
      <c r="BQ364" s="96"/>
      <c r="BR364" s="96"/>
      <c r="BS364" s="96"/>
      <c r="BT364" s="96"/>
      <c r="BU364" s="96"/>
      <c r="BV364" s="96"/>
      <c r="BW364" s="96"/>
      <c r="BX364" s="96"/>
      <c r="BY364" s="96"/>
      <c r="BZ364" s="96"/>
      <c r="CA364" s="96"/>
      <c r="CB364" s="96"/>
      <c r="CC364" s="96"/>
      <c r="CD364" s="96"/>
      <c r="CE364" s="96"/>
      <c r="CF364" s="96"/>
      <c r="CG364" s="96"/>
      <c r="CH364" s="96"/>
      <c r="CI364" s="96"/>
      <c r="CJ364" s="96"/>
      <c r="CK364" s="96"/>
      <c r="CL364" s="96"/>
      <c r="CM364" s="96"/>
      <c r="CN364" s="96"/>
      <c r="CO364" s="96"/>
      <c r="CP364" s="96"/>
      <c r="CQ364" s="96"/>
      <c r="CR364" s="96"/>
      <c r="CS364" s="96"/>
      <c r="CT364" s="96"/>
      <c r="CU364" s="96"/>
      <c r="CV364" s="96"/>
      <c r="CW364" s="96"/>
      <c r="CX364" s="96"/>
      <c r="CY364" s="96"/>
      <c r="CZ364" s="96"/>
      <c r="DA364" s="96"/>
      <c r="DB364" s="96"/>
      <c r="DC364" s="96"/>
      <c r="DD364" s="96"/>
      <c r="DE364" s="96"/>
      <c r="DF364" s="96"/>
      <c r="DG364" s="96"/>
      <c r="DH364" s="96"/>
      <c r="DI364" s="96"/>
      <c r="DJ364" s="96"/>
      <c r="DK364" s="96"/>
      <c r="DL364" s="96"/>
      <c r="DM364" s="96"/>
      <c r="DN364" s="96"/>
      <c r="DO364" s="96"/>
      <c r="DP364" s="96"/>
      <c r="DQ364" s="96"/>
      <c r="DR364" s="96"/>
      <c r="DS364" s="96"/>
      <c r="DT364" s="96"/>
      <c r="DU364" s="96"/>
      <c r="DV364" s="96"/>
      <c r="DW364" s="96"/>
      <c r="DX364" s="96"/>
      <c r="DY364" s="96"/>
      <c r="DZ364" s="96"/>
      <c r="EA364" s="96"/>
      <c r="EB364" s="96"/>
      <c r="EC364" s="96"/>
      <c r="ED364" s="96"/>
      <c r="EE364" s="96"/>
      <c r="EF364" s="96"/>
      <c r="EG364" s="96"/>
      <c r="EH364" s="96"/>
      <c r="EI364" s="96"/>
      <c r="EJ364" s="96"/>
      <c r="EK364" s="96"/>
      <c r="EL364" s="96"/>
      <c r="EM364" s="96"/>
      <c r="EN364" s="96"/>
      <c r="EO364" s="96"/>
      <c r="EP364" s="96"/>
      <c r="EQ364" s="96"/>
      <c r="ER364" s="96"/>
      <c r="ES364" s="96"/>
      <c r="ET364" s="96"/>
    </row>
    <row r="365" spans="4:150"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  <c r="AX365" s="96"/>
      <c r="AY365" s="96"/>
      <c r="AZ365" s="96"/>
      <c r="BA365" s="96"/>
      <c r="BB365" s="96"/>
      <c r="BC365" s="96"/>
      <c r="BD365" s="96"/>
      <c r="BE365" s="96"/>
      <c r="BF365" s="96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6"/>
      <c r="BS365" s="96"/>
      <c r="BT365" s="96"/>
      <c r="BU365" s="96"/>
      <c r="BV365" s="96"/>
      <c r="BW365" s="96"/>
      <c r="BX365" s="96"/>
      <c r="BY365" s="96"/>
      <c r="BZ365" s="96"/>
      <c r="CA365" s="96"/>
      <c r="CB365" s="96"/>
      <c r="CC365" s="96"/>
      <c r="CD365" s="96"/>
      <c r="CE365" s="96"/>
      <c r="CF365" s="96"/>
      <c r="CG365" s="96"/>
      <c r="CH365" s="96"/>
      <c r="CI365" s="96"/>
      <c r="CJ365" s="96"/>
      <c r="CK365" s="96"/>
      <c r="CL365" s="96"/>
      <c r="CM365" s="96"/>
      <c r="CN365" s="96"/>
      <c r="CO365" s="96"/>
      <c r="CP365" s="96"/>
      <c r="CQ365" s="96"/>
      <c r="CR365" s="96"/>
      <c r="CS365" s="96"/>
      <c r="CT365" s="96"/>
      <c r="CU365" s="96"/>
      <c r="CV365" s="96"/>
      <c r="CW365" s="96"/>
      <c r="CX365" s="96"/>
      <c r="CY365" s="96"/>
      <c r="CZ365" s="96"/>
      <c r="DA365" s="96"/>
      <c r="DB365" s="96"/>
      <c r="DC365" s="96"/>
      <c r="DD365" s="96"/>
      <c r="DE365" s="96"/>
      <c r="DF365" s="96"/>
      <c r="DG365" s="96"/>
      <c r="DH365" s="96"/>
      <c r="DI365" s="96"/>
      <c r="DJ365" s="96"/>
      <c r="DK365" s="96"/>
      <c r="DL365" s="96"/>
      <c r="DM365" s="96"/>
      <c r="DN365" s="96"/>
      <c r="DO365" s="96"/>
      <c r="DP365" s="96"/>
      <c r="DQ365" s="96"/>
      <c r="DR365" s="96"/>
      <c r="DS365" s="96"/>
      <c r="DT365" s="96"/>
      <c r="DU365" s="96"/>
      <c r="DV365" s="96"/>
      <c r="DW365" s="96"/>
      <c r="DX365" s="96"/>
      <c r="DY365" s="96"/>
      <c r="DZ365" s="96"/>
      <c r="EA365" s="96"/>
      <c r="EB365" s="96"/>
      <c r="EC365" s="96"/>
      <c r="ED365" s="96"/>
      <c r="EE365" s="96"/>
      <c r="EF365" s="96"/>
      <c r="EG365" s="96"/>
      <c r="EH365" s="96"/>
      <c r="EI365" s="96"/>
      <c r="EJ365" s="96"/>
      <c r="EK365" s="96"/>
      <c r="EL365" s="96"/>
      <c r="EM365" s="96"/>
      <c r="EN365" s="96"/>
      <c r="EO365" s="96"/>
      <c r="EP365" s="96"/>
      <c r="EQ365" s="96"/>
      <c r="ER365" s="96"/>
      <c r="ES365" s="96"/>
      <c r="ET365" s="96"/>
    </row>
    <row r="366" spans="4:150"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6"/>
      <c r="AV366" s="96"/>
      <c r="AW366" s="96"/>
      <c r="AX366" s="96"/>
      <c r="AY366" s="96"/>
      <c r="AZ366" s="96"/>
      <c r="BA366" s="96"/>
      <c r="BB366" s="96"/>
      <c r="BC366" s="96"/>
      <c r="BD366" s="96"/>
      <c r="BE366" s="96"/>
      <c r="BF366" s="96"/>
      <c r="BG366" s="96"/>
      <c r="BH366" s="96"/>
      <c r="BI366" s="96"/>
      <c r="BJ366" s="96"/>
      <c r="BK366" s="96"/>
      <c r="BL366" s="96"/>
      <c r="BM366" s="96"/>
      <c r="BN366" s="96"/>
      <c r="BO366" s="96"/>
      <c r="BP366" s="96"/>
      <c r="BQ366" s="96"/>
      <c r="BR366" s="96"/>
      <c r="BS366" s="96"/>
      <c r="BT366" s="96"/>
      <c r="BU366" s="96"/>
      <c r="BV366" s="96"/>
      <c r="BW366" s="96"/>
      <c r="BX366" s="96"/>
      <c r="BY366" s="96"/>
      <c r="BZ366" s="96"/>
      <c r="CA366" s="96"/>
      <c r="CB366" s="96"/>
      <c r="CC366" s="96"/>
      <c r="CD366" s="96"/>
      <c r="CE366" s="96"/>
      <c r="CF366" s="96"/>
      <c r="CG366" s="96"/>
      <c r="CH366" s="96"/>
      <c r="CI366" s="96"/>
      <c r="CJ366" s="96"/>
      <c r="CK366" s="96"/>
      <c r="CL366" s="96"/>
      <c r="CM366" s="96"/>
      <c r="CN366" s="96"/>
      <c r="CO366" s="96"/>
      <c r="CP366" s="96"/>
      <c r="CQ366" s="96"/>
      <c r="CR366" s="96"/>
      <c r="CS366" s="96"/>
      <c r="CT366" s="96"/>
      <c r="CU366" s="96"/>
      <c r="CV366" s="96"/>
      <c r="CW366" s="96"/>
      <c r="CX366" s="96"/>
      <c r="CY366" s="96"/>
      <c r="CZ366" s="96"/>
      <c r="DA366" s="96"/>
      <c r="DB366" s="96"/>
      <c r="DC366" s="96"/>
      <c r="DD366" s="96"/>
      <c r="DE366" s="96"/>
      <c r="DF366" s="96"/>
      <c r="DG366" s="96"/>
      <c r="DH366" s="96"/>
      <c r="DI366" s="96"/>
      <c r="DJ366" s="96"/>
      <c r="DK366" s="96"/>
      <c r="DL366" s="96"/>
      <c r="DM366" s="96"/>
      <c r="DN366" s="96"/>
      <c r="DO366" s="96"/>
      <c r="DP366" s="96"/>
      <c r="DQ366" s="96"/>
      <c r="DR366" s="96"/>
      <c r="DS366" s="96"/>
      <c r="DT366" s="96"/>
      <c r="DU366" s="96"/>
      <c r="DV366" s="96"/>
      <c r="DW366" s="96"/>
      <c r="DX366" s="96"/>
      <c r="DY366" s="96"/>
      <c r="DZ366" s="96"/>
      <c r="EA366" s="96"/>
      <c r="EB366" s="96"/>
      <c r="EC366" s="96"/>
      <c r="ED366" s="96"/>
      <c r="EE366" s="96"/>
      <c r="EF366" s="96"/>
      <c r="EG366" s="96"/>
      <c r="EH366" s="96"/>
      <c r="EI366" s="96"/>
      <c r="EJ366" s="96"/>
      <c r="EK366" s="96"/>
      <c r="EL366" s="96"/>
      <c r="EM366" s="96"/>
      <c r="EN366" s="96"/>
      <c r="EO366" s="96"/>
      <c r="EP366" s="96"/>
      <c r="EQ366" s="96"/>
      <c r="ER366" s="96"/>
      <c r="ES366" s="96"/>
      <c r="ET366" s="96"/>
    </row>
    <row r="367" spans="4:150"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/>
      <c r="CO367" s="96"/>
      <c r="CP367" s="96"/>
      <c r="CQ367" s="96"/>
      <c r="CR367" s="96"/>
      <c r="CS367" s="96"/>
      <c r="CT367" s="96"/>
      <c r="CU367" s="96"/>
      <c r="CV367" s="96"/>
      <c r="CW367" s="96"/>
      <c r="CX367" s="96"/>
      <c r="CY367" s="96"/>
      <c r="CZ367" s="96"/>
      <c r="DA367" s="96"/>
      <c r="DB367" s="96"/>
      <c r="DC367" s="96"/>
      <c r="DD367" s="96"/>
      <c r="DE367" s="96"/>
      <c r="DF367" s="96"/>
      <c r="DG367" s="96"/>
      <c r="DH367" s="96"/>
      <c r="DI367" s="96"/>
      <c r="DJ367" s="96"/>
      <c r="DK367" s="96"/>
      <c r="DL367" s="96"/>
      <c r="DM367" s="96"/>
      <c r="DN367" s="96"/>
      <c r="DO367" s="96"/>
      <c r="DP367" s="96"/>
      <c r="DQ367" s="96"/>
      <c r="DR367" s="96"/>
      <c r="DS367" s="96"/>
      <c r="DT367" s="96"/>
      <c r="DU367" s="96"/>
      <c r="DV367" s="96"/>
      <c r="DW367" s="96"/>
      <c r="DX367" s="96"/>
      <c r="DY367" s="96"/>
      <c r="DZ367" s="96"/>
      <c r="EA367" s="96"/>
      <c r="EB367" s="96"/>
      <c r="EC367" s="96"/>
      <c r="ED367" s="96"/>
      <c r="EE367" s="96"/>
      <c r="EF367" s="96"/>
      <c r="EG367" s="96"/>
      <c r="EH367" s="96"/>
      <c r="EI367" s="96"/>
      <c r="EJ367" s="96"/>
      <c r="EK367" s="96"/>
      <c r="EL367" s="96"/>
      <c r="EM367" s="96"/>
      <c r="EN367" s="96"/>
      <c r="EO367" s="96"/>
      <c r="EP367" s="96"/>
      <c r="EQ367" s="96"/>
      <c r="ER367" s="96"/>
      <c r="ES367" s="96"/>
      <c r="ET367" s="96"/>
    </row>
    <row r="368" spans="4:150"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/>
      <c r="CO368" s="96"/>
      <c r="CP368" s="96"/>
      <c r="CQ368" s="96"/>
      <c r="CR368" s="96"/>
      <c r="CS368" s="96"/>
      <c r="CT368" s="96"/>
      <c r="CU368" s="96"/>
      <c r="CV368" s="96"/>
      <c r="CW368" s="96"/>
      <c r="CX368" s="96"/>
      <c r="CY368" s="96"/>
      <c r="CZ368" s="96"/>
      <c r="DA368" s="96"/>
      <c r="DB368" s="96"/>
      <c r="DC368" s="96"/>
      <c r="DD368" s="96"/>
      <c r="DE368" s="96"/>
      <c r="DF368" s="96"/>
      <c r="DG368" s="96"/>
      <c r="DH368" s="96"/>
      <c r="DI368" s="96"/>
      <c r="DJ368" s="96"/>
      <c r="DK368" s="96"/>
      <c r="DL368" s="96"/>
      <c r="DM368" s="96"/>
      <c r="DN368" s="96"/>
      <c r="DO368" s="96"/>
      <c r="DP368" s="96"/>
      <c r="DQ368" s="96"/>
      <c r="DR368" s="96"/>
      <c r="DS368" s="96"/>
      <c r="DT368" s="96"/>
      <c r="DU368" s="96"/>
      <c r="DV368" s="96"/>
      <c r="DW368" s="96"/>
      <c r="DX368" s="96"/>
      <c r="DY368" s="96"/>
      <c r="DZ368" s="96"/>
      <c r="EA368" s="96"/>
      <c r="EB368" s="96"/>
      <c r="EC368" s="96"/>
      <c r="ED368" s="96"/>
      <c r="EE368" s="96"/>
      <c r="EF368" s="96"/>
      <c r="EG368" s="96"/>
      <c r="EH368" s="96"/>
      <c r="EI368" s="96"/>
      <c r="EJ368" s="96"/>
      <c r="EK368" s="96"/>
      <c r="EL368" s="96"/>
      <c r="EM368" s="96"/>
      <c r="EN368" s="96"/>
      <c r="EO368" s="96"/>
      <c r="EP368" s="96"/>
      <c r="EQ368" s="96"/>
      <c r="ER368" s="96"/>
      <c r="ES368" s="96"/>
      <c r="ET368" s="96"/>
    </row>
    <row r="369" spans="4:150"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/>
      <c r="CO369" s="96"/>
      <c r="CP369" s="96"/>
      <c r="CQ369" s="96"/>
      <c r="CR369" s="96"/>
      <c r="CS369" s="96"/>
      <c r="CT369" s="96"/>
      <c r="CU369" s="96"/>
      <c r="CV369" s="96"/>
      <c r="CW369" s="96"/>
      <c r="CX369" s="96"/>
      <c r="CY369" s="96"/>
      <c r="CZ369" s="96"/>
      <c r="DA369" s="96"/>
      <c r="DB369" s="96"/>
      <c r="DC369" s="96"/>
      <c r="DD369" s="96"/>
      <c r="DE369" s="96"/>
      <c r="DF369" s="96"/>
      <c r="DG369" s="96"/>
      <c r="DH369" s="96"/>
      <c r="DI369" s="96"/>
      <c r="DJ369" s="96"/>
      <c r="DK369" s="96"/>
      <c r="DL369" s="96"/>
      <c r="DM369" s="96"/>
      <c r="DN369" s="96"/>
      <c r="DO369" s="96"/>
      <c r="DP369" s="96"/>
      <c r="DQ369" s="96"/>
      <c r="DR369" s="96"/>
      <c r="DS369" s="96"/>
      <c r="DT369" s="96"/>
      <c r="DU369" s="96"/>
      <c r="DV369" s="96"/>
      <c r="DW369" s="96"/>
      <c r="DX369" s="96"/>
      <c r="DY369" s="96"/>
      <c r="DZ369" s="96"/>
      <c r="EA369" s="96"/>
      <c r="EB369" s="96"/>
      <c r="EC369" s="96"/>
      <c r="ED369" s="96"/>
      <c r="EE369" s="96"/>
      <c r="EF369" s="96"/>
      <c r="EG369" s="96"/>
      <c r="EH369" s="96"/>
      <c r="EI369" s="96"/>
      <c r="EJ369" s="96"/>
      <c r="EK369" s="96"/>
      <c r="EL369" s="96"/>
      <c r="EM369" s="96"/>
      <c r="EN369" s="96"/>
      <c r="EO369" s="96"/>
      <c r="EP369" s="96"/>
      <c r="EQ369" s="96"/>
      <c r="ER369" s="96"/>
      <c r="ES369" s="96"/>
      <c r="ET369" s="96"/>
    </row>
    <row r="370" spans="4:150"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/>
      <c r="CO370" s="96"/>
      <c r="CP370" s="96"/>
      <c r="CQ370" s="96"/>
      <c r="CR370" s="96"/>
      <c r="CS370" s="96"/>
      <c r="CT370" s="96"/>
      <c r="CU370" s="96"/>
      <c r="CV370" s="96"/>
      <c r="CW370" s="96"/>
      <c r="CX370" s="96"/>
      <c r="CY370" s="96"/>
      <c r="CZ370" s="96"/>
      <c r="DA370" s="96"/>
      <c r="DB370" s="96"/>
      <c r="DC370" s="96"/>
      <c r="DD370" s="96"/>
      <c r="DE370" s="96"/>
      <c r="DF370" s="96"/>
      <c r="DG370" s="96"/>
      <c r="DH370" s="96"/>
      <c r="DI370" s="96"/>
      <c r="DJ370" s="96"/>
      <c r="DK370" s="96"/>
      <c r="DL370" s="96"/>
      <c r="DM370" s="96"/>
      <c r="DN370" s="96"/>
      <c r="DO370" s="96"/>
      <c r="DP370" s="96"/>
      <c r="DQ370" s="96"/>
      <c r="DR370" s="96"/>
      <c r="DS370" s="96"/>
      <c r="DT370" s="96"/>
      <c r="DU370" s="96"/>
      <c r="DV370" s="96"/>
      <c r="DW370" s="96"/>
      <c r="DX370" s="96"/>
      <c r="DY370" s="96"/>
      <c r="DZ370" s="96"/>
      <c r="EA370" s="96"/>
      <c r="EB370" s="96"/>
      <c r="EC370" s="96"/>
      <c r="ED370" s="96"/>
      <c r="EE370" s="96"/>
      <c r="EF370" s="96"/>
      <c r="EG370" s="96"/>
      <c r="EH370" s="96"/>
      <c r="EI370" s="96"/>
      <c r="EJ370" s="96"/>
      <c r="EK370" s="96"/>
      <c r="EL370" s="96"/>
      <c r="EM370" s="96"/>
      <c r="EN370" s="96"/>
      <c r="EO370" s="96"/>
      <c r="EP370" s="96"/>
      <c r="EQ370" s="96"/>
      <c r="ER370" s="96"/>
      <c r="ES370" s="96"/>
      <c r="ET370" s="96"/>
    </row>
    <row r="371" spans="4:150"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/>
      <c r="CO371" s="96"/>
      <c r="CP371" s="96"/>
      <c r="CQ371" s="96"/>
      <c r="CR371" s="96"/>
      <c r="CS371" s="96"/>
      <c r="CT371" s="96"/>
      <c r="CU371" s="96"/>
      <c r="CV371" s="96"/>
      <c r="CW371" s="96"/>
      <c r="CX371" s="96"/>
      <c r="CY371" s="96"/>
      <c r="CZ371" s="96"/>
      <c r="DA371" s="96"/>
      <c r="DB371" s="96"/>
      <c r="DC371" s="96"/>
      <c r="DD371" s="96"/>
      <c r="DE371" s="96"/>
      <c r="DF371" s="96"/>
      <c r="DG371" s="96"/>
      <c r="DH371" s="96"/>
      <c r="DI371" s="96"/>
      <c r="DJ371" s="96"/>
      <c r="DK371" s="96"/>
      <c r="DL371" s="96"/>
      <c r="DM371" s="96"/>
      <c r="DN371" s="96"/>
      <c r="DO371" s="96"/>
      <c r="DP371" s="96"/>
      <c r="DQ371" s="96"/>
      <c r="DR371" s="96"/>
      <c r="DS371" s="96"/>
      <c r="DT371" s="96"/>
      <c r="DU371" s="96"/>
      <c r="DV371" s="96"/>
      <c r="DW371" s="96"/>
      <c r="DX371" s="96"/>
      <c r="DY371" s="96"/>
      <c r="DZ371" s="96"/>
      <c r="EA371" s="96"/>
      <c r="EB371" s="96"/>
      <c r="EC371" s="96"/>
      <c r="ED371" s="96"/>
      <c r="EE371" s="96"/>
      <c r="EF371" s="96"/>
      <c r="EG371" s="96"/>
      <c r="EH371" s="96"/>
      <c r="EI371" s="96"/>
      <c r="EJ371" s="96"/>
      <c r="EK371" s="96"/>
      <c r="EL371" s="96"/>
      <c r="EM371" s="96"/>
      <c r="EN371" s="96"/>
      <c r="EO371" s="96"/>
      <c r="EP371" s="96"/>
      <c r="EQ371" s="96"/>
      <c r="ER371" s="96"/>
      <c r="ES371" s="96"/>
      <c r="ET371" s="96"/>
    </row>
    <row r="372" spans="4:150"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/>
      <c r="CO372" s="96"/>
      <c r="CP372" s="96"/>
      <c r="CQ372" s="96"/>
      <c r="CR372" s="96"/>
      <c r="CS372" s="96"/>
      <c r="CT372" s="96"/>
      <c r="CU372" s="96"/>
      <c r="CV372" s="96"/>
      <c r="CW372" s="96"/>
      <c r="CX372" s="96"/>
      <c r="CY372" s="96"/>
      <c r="CZ372" s="96"/>
      <c r="DA372" s="96"/>
      <c r="DB372" s="96"/>
      <c r="DC372" s="96"/>
      <c r="DD372" s="96"/>
      <c r="DE372" s="96"/>
      <c r="DF372" s="96"/>
      <c r="DG372" s="96"/>
      <c r="DH372" s="96"/>
      <c r="DI372" s="96"/>
      <c r="DJ372" s="96"/>
      <c r="DK372" s="96"/>
      <c r="DL372" s="96"/>
      <c r="DM372" s="96"/>
      <c r="DN372" s="96"/>
      <c r="DO372" s="96"/>
      <c r="DP372" s="96"/>
      <c r="DQ372" s="96"/>
      <c r="DR372" s="96"/>
      <c r="DS372" s="96"/>
      <c r="DT372" s="96"/>
      <c r="DU372" s="96"/>
      <c r="DV372" s="96"/>
      <c r="DW372" s="96"/>
      <c r="DX372" s="96"/>
      <c r="DY372" s="96"/>
      <c r="DZ372" s="96"/>
      <c r="EA372" s="96"/>
      <c r="EB372" s="96"/>
      <c r="EC372" s="96"/>
      <c r="ED372" s="96"/>
      <c r="EE372" s="96"/>
      <c r="EF372" s="96"/>
      <c r="EG372" s="96"/>
      <c r="EH372" s="96"/>
      <c r="EI372" s="96"/>
      <c r="EJ372" s="96"/>
      <c r="EK372" s="96"/>
      <c r="EL372" s="96"/>
      <c r="EM372" s="96"/>
      <c r="EN372" s="96"/>
      <c r="EO372" s="96"/>
      <c r="EP372" s="96"/>
      <c r="EQ372" s="96"/>
      <c r="ER372" s="96"/>
      <c r="ES372" s="96"/>
      <c r="ET372" s="96"/>
    </row>
    <row r="373" spans="4:150"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96"/>
      <c r="AX373" s="96"/>
      <c r="AY373" s="96"/>
      <c r="AZ373" s="96"/>
      <c r="BA373" s="96"/>
      <c r="BB373" s="96"/>
      <c r="BC373" s="96"/>
      <c r="BD373" s="96"/>
      <c r="BE373" s="96"/>
      <c r="BF373" s="96"/>
      <c r="BG373" s="96"/>
      <c r="BH373" s="96"/>
      <c r="BI373" s="96"/>
      <c r="BJ373" s="96"/>
      <c r="BK373" s="96"/>
      <c r="BL373" s="96"/>
      <c r="BM373" s="96"/>
      <c r="BN373" s="96"/>
      <c r="BO373" s="96"/>
      <c r="BP373" s="96"/>
      <c r="BQ373" s="96"/>
      <c r="BR373" s="96"/>
      <c r="BS373" s="96"/>
      <c r="BT373" s="96"/>
      <c r="BU373" s="96"/>
      <c r="BV373" s="96"/>
      <c r="BW373" s="96"/>
      <c r="BX373" s="96"/>
      <c r="BY373" s="96"/>
      <c r="BZ373" s="96"/>
      <c r="CA373" s="96"/>
      <c r="CB373" s="96"/>
      <c r="CC373" s="96"/>
      <c r="CD373" s="96"/>
      <c r="CE373" s="96"/>
      <c r="CF373" s="96"/>
      <c r="CG373" s="96"/>
      <c r="CH373" s="96"/>
      <c r="CI373" s="96"/>
      <c r="CJ373" s="96"/>
      <c r="CK373" s="96"/>
      <c r="CL373" s="96"/>
      <c r="CM373" s="96"/>
      <c r="CN373" s="96"/>
      <c r="CO373" s="96"/>
      <c r="CP373" s="96"/>
      <c r="CQ373" s="96"/>
      <c r="CR373" s="96"/>
      <c r="CS373" s="96"/>
      <c r="CT373" s="96"/>
      <c r="CU373" s="96"/>
      <c r="CV373" s="96"/>
      <c r="CW373" s="96"/>
      <c r="CX373" s="96"/>
      <c r="CY373" s="96"/>
      <c r="CZ373" s="96"/>
      <c r="DA373" s="96"/>
      <c r="DB373" s="96"/>
      <c r="DC373" s="96"/>
      <c r="DD373" s="96"/>
      <c r="DE373" s="96"/>
      <c r="DF373" s="96"/>
      <c r="DG373" s="96"/>
      <c r="DH373" s="96"/>
      <c r="DI373" s="96"/>
      <c r="DJ373" s="96"/>
      <c r="DK373" s="96"/>
      <c r="DL373" s="96"/>
      <c r="DM373" s="96"/>
      <c r="DN373" s="96"/>
      <c r="DO373" s="96"/>
      <c r="DP373" s="96"/>
      <c r="DQ373" s="96"/>
      <c r="DR373" s="96"/>
      <c r="DS373" s="96"/>
      <c r="DT373" s="96"/>
      <c r="DU373" s="96"/>
      <c r="DV373" s="96"/>
      <c r="DW373" s="96"/>
      <c r="DX373" s="96"/>
      <c r="DY373" s="96"/>
      <c r="DZ373" s="96"/>
      <c r="EA373" s="96"/>
      <c r="EB373" s="96"/>
      <c r="EC373" s="96"/>
      <c r="ED373" s="96"/>
      <c r="EE373" s="96"/>
      <c r="EF373" s="96"/>
      <c r="EG373" s="96"/>
      <c r="EH373" s="96"/>
      <c r="EI373" s="96"/>
      <c r="EJ373" s="96"/>
      <c r="EK373" s="96"/>
      <c r="EL373" s="96"/>
      <c r="EM373" s="96"/>
      <c r="EN373" s="96"/>
      <c r="EO373" s="96"/>
      <c r="EP373" s="96"/>
      <c r="EQ373" s="96"/>
      <c r="ER373" s="96"/>
      <c r="ES373" s="96"/>
      <c r="ET373" s="96"/>
    </row>
    <row r="374" spans="4:150"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6"/>
      <c r="BB374" s="96"/>
      <c r="BC374" s="96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6"/>
      <c r="CA374" s="96"/>
      <c r="CB374" s="96"/>
      <c r="CC374" s="96"/>
      <c r="CD374" s="96"/>
      <c r="CE374" s="96"/>
      <c r="CF374" s="96"/>
      <c r="CG374" s="96"/>
      <c r="CH374" s="96"/>
      <c r="CI374" s="96"/>
      <c r="CJ374" s="96"/>
      <c r="CK374" s="96"/>
      <c r="CL374" s="96"/>
      <c r="CM374" s="96"/>
      <c r="CN374" s="96"/>
      <c r="CO374" s="96"/>
      <c r="CP374" s="96"/>
      <c r="CQ374" s="96"/>
      <c r="CR374" s="96"/>
      <c r="CS374" s="96"/>
      <c r="CT374" s="96"/>
      <c r="CU374" s="96"/>
      <c r="CV374" s="96"/>
      <c r="CW374" s="96"/>
      <c r="CX374" s="96"/>
      <c r="CY374" s="96"/>
      <c r="CZ374" s="96"/>
      <c r="DA374" s="96"/>
      <c r="DB374" s="96"/>
      <c r="DC374" s="96"/>
      <c r="DD374" s="96"/>
      <c r="DE374" s="96"/>
      <c r="DF374" s="96"/>
      <c r="DG374" s="96"/>
      <c r="DH374" s="96"/>
      <c r="DI374" s="96"/>
      <c r="DJ374" s="96"/>
      <c r="DK374" s="96"/>
      <c r="DL374" s="96"/>
      <c r="DM374" s="96"/>
      <c r="DN374" s="96"/>
      <c r="DO374" s="96"/>
      <c r="DP374" s="96"/>
      <c r="DQ374" s="96"/>
      <c r="DR374" s="96"/>
      <c r="DS374" s="96"/>
      <c r="DT374" s="96"/>
      <c r="DU374" s="96"/>
      <c r="DV374" s="96"/>
      <c r="DW374" s="96"/>
      <c r="DX374" s="96"/>
      <c r="DY374" s="96"/>
      <c r="DZ374" s="96"/>
      <c r="EA374" s="96"/>
      <c r="EB374" s="96"/>
      <c r="EC374" s="96"/>
      <c r="ED374" s="96"/>
      <c r="EE374" s="96"/>
      <c r="EF374" s="96"/>
      <c r="EG374" s="96"/>
      <c r="EH374" s="96"/>
      <c r="EI374" s="96"/>
      <c r="EJ374" s="96"/>
      <c r="EK374" s="96"/>
      <c r="EL374" s="96"/>
      <c r="EM374" s="96"/>
      <c r="EN374" s="96"/>
      <c r="EO374" s="96"/>
      <c r="EP374" s="96"/>
      <c r="EQ374" s="96"/>
      <c r="ER374" s="96"/>
      <c r="ES374" s="96"/>
      <c r="ET374" s="96"/>
    </row>
    <row r="375" spans="4:150"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6"/>
      <c r="AV375" s="96"/>
      <c r="AW375" s="96"/>
      <c r="AX375" s="96"/>
      <c r="AY375" s="96"/>
      <c r="AZ375" s="96"/>
      <c r="BA375" s="96"/>
      <c r="BB375" s="96"/>
      <c r="BC375" s="96"/>
      <c r="BD375" s="96"/>
      <c r="BE375" s="96"/>
      <c r="BF375" s="96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6"/>
      <c r="BS375" s="96"/>
      <c r="BT375" s="96"/>
      <c r="BU375" s="96"/>
      <c r="BV375" s="96"/>
      <c r="BW375" s="96"/>
      <c r="BX375" s="96"/>
      <c r="BY375" s="96"/>
      <c r="BZ375" s="96"/>
      <c r="CA375" s="96"/>
      <c r="CB375" s="96"/>
      <c r="CC375" s="96"/>
      <c r="CD375" s="96"/>
      <c r="CE375" s="96"/>
      <c r="CF375" s="96"/>
      <c r="CG375" s="96"/>
      <c r="CH375" s="96"/>
      <c r="CI375" s="96"/>
      <c r="CJ375" s="96"/>
      <c r="CK375" s="96"/>
      <c r="CL375" s="96"/>
      <c r="CM375" s="96"/>
      <c r="CN375" s="96"/>
      <c r="CO375" s="96"/>
      <c r="CP375" s="96"/>
      <c r="CQ375" s="96"/>
      <c r="CR375" s="96"/>
      <c r="CS375" s="96"/>
      <c r="CT375" s="96"/>
      <c r="CU375" s="96"/>
      <c r="CV375" s="96"/>
      <c r="CW375" s="96"/>
      <c r="CX375" s="96"/>
      <c r="CY375" s="96"/>
      <c r="CZ375" s="96"/>
      <c r="DA375" s="96"/>
      <c r="DB375" s="96"/>
      <c r="DC375" s="96"/>
      <c r="DD375" s="96"/>
      <c r="DE375" s="96"/>
      <c r="DF375" s="96"/>
      <c r="DG375" s="96"/>
      <c r="DH375" s="96"/>
      <c r="DI375" s="96"/>
      <c r="DJ375" s="96"/>
      <c r="DK375" s="96"/>
      <c r="DL375" s="96"/>
      <c r="DM375" s="96"/>
      <c r="DN375" s="96"/>
      <c r="DO375" s="96"/>
      <c r="DP375" s="96"/>
      <c r="DQ375" s="96"/>
      <c r="DR375" s="96"/>
      <c r="DS375" s="96"/>
      <c r="DT375" s="96"/>
      <c r="DU375" s="96"/>
      <c r="DV375" s="96"/>
      <c r="DW375" s="96"/>
      <c r="DX375" s="96"/>
      <c r="DY375" s="96"/>
      <c r="DZ375" s="96"/>
      <c r="EA375" s="96"/>
      <c r="EB375" s="96"/>
      <c r="EC375" s="96"/>
      <c r="ED375" s="96"/>
      <c r="EE375" s="96"/>
      <c r="EF375" s="96"/>
      <c r="EG375" s="96"/>
      <c r="EH375" s="96"/>
      <c r="EI375" s="96"/>
      <c r="EJ375" s="96"/>
      <c r="EK375" s="96"/>
      <c r="EL375" s="96"/>
      <c r="EM375" s="96"/>
      <c r="EN375" s="96"/>
      <c r="EO375" s="96"/>
      <c r="EP375" s="96"/>
      <c r="EQ375" s="96"/>
      <c r="ER375" s="96"/>
      <c r="ES375" s="96"/>
      <c r="ET375" s="96"/>
    </row>
    <row r="376" spans="4:150"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6"/>
      <c r="AV376" s="96"/>
      <c r="AW376" s="96"/>
      <c r="AX376" s="96"/>
      <c r="AY376" s="96"/>
      <c r="AZ376" s="96"/>
      <c r="BA376" s="96"/>
      <c r="BB376" s="96"/>
      <c r="BC376" s="96"/>
      <c r="BD376" s="96"/>
      <c r="BE376" s="96"/>
      <c r="BF376" s="96"/>
      <c r="BG376" s="96"/>
      <c r="BH376" s="96"/>
      <c r="BI376" s="96"/>
      <c r="BJ376" s="96"/>
      <c r="BK376" s="96"/>
      <c r="BL376" s="96"/>
      <c r="BM376" s="96"/>
      <c r="BN376" s="96"/>
      <c r="BO376" s="96"/>
      <c r="BP376" s="96"/>
      <c r="BQ376" s="96"/>
      <c r="BR376" s="96"/>
      <c r="BS376" s="96"/>
      <c r="BT376" s="96"/>
      <c r="BU376" s="96"/>
      <c r="BV376" s="96"/>
      <c r="BW376" s="96"/>
      <c r="BX376" s="96"/>
      <c r="BY376" s="96"/>
      <c r="BZ376" s="96"/>
      <c r="CA376" s="96"/>
      <c r="CB376" s="96"/>
      <c r="CC376" s="96"/>
      <c r="CD376" s="96"/>
      <c r="CE376" s="96"/>
      <c r="CF376" s="96"/>
      <c r="CG376" s="96"/>
      <c r="CH376" s="96"/>
      <c r="CI376" s="96"/>
      <c r="CJ376" s="96"/>
      <c r="CK376" s="96"/>
      <c r="CL376" s="96"/>
      <c r="CM376" s="96"/>
      <c r="CN376" s="96"/>
      <c r="CO376" s="96"/>
      <c r="CP376" s="96"/>
      <c r="CQ376" s="96"/>
      <c r="CR376" s="96"/>
      <c r="CS376" s="96"/>
      <c r="CT376" s="96"/>
      <c r="CU376" s="96"/>
      <c r="CV376" s="96"/>
      <c r="CW376" s="96"/>
      <c r="CX376" s="96"/>
      <c r="CY376" s="96"/>
      <c r="CZ376" s="96"/>
      <c r="DA376" s="96"/>
      <c r="DB376" s="96"/>
      <c r="DC376" s="96"/>
      <c r="DD376" s="96"/>
      <c r="DE376" s="96"/>
      <c r="DF376" s="96"/>
      <c r="DG376" s="96"/>
      <c r="DH376" s="96"/>
      <c r="DI376" s="96"/>
      <c r="DJ376" s="96"/>
      <c r="DK376" s="96"/>
      <c r="DL376" s="96"/>
      <c r="DM376" s="96"/>
      <c r="DN376" s="96"/>
      <c r="DO376" s="96"/>
      <c r="DP376" s="96"/>
      <c r="DQ376" s="96"/>
      <c r="DR376" s="96"/>
      <c r="DS376" s="96"/>
      <c r="DT376" s="96"/>
      <c r="DU376" s="96"/>
      <c r="DV376" s="96"/>
      <c r="DW376" s="96"/>
      <c r="DX376" s="96"/>
      <c r="DY376" s="96"/>
      <c r="DZ376" s="96"/>
      <c r="EA376" s="96"/>
      <c r="EB376" s="96"/>
      <c r="EC376" s="96"/>
      <c r="ED376" s="96"/>
      <c r="EE376" s="96"/>
      <c r="EF376" s="96"/>
      <c r="EG376" s="96"/>
      <c r="EH376" s="96"/>
      <c r="EI376" s="96"/>
      <c r="EJ376" s="96"/>
      <c r="EK376" s="96"/>
      <c r="EL376" s="96"/>
      <c r="EM376" s="96"/>
      <c r="EN376" s="96"/>
      <c r="EO376" s="96"/>
      <c r="EP376" s="96"/>
      <c r="EQ376" s="96"/>
      <c r="ER376" s="96"/>
      <c r="ES376" s="96"/>
      <c r="ET376" s="96"/>
    </row>
    <row r="377" spans="4:150"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6"/>
      <c r="AW377" s="96"/>
      <c r="AX377" s="96"/>
      <c r="AY377" s="96"/>
      <c r="AZ377" s="96"/>
      <c r="BA377" s="96"/>
      <c r="BB377" s="96"/>
      <c r="BC377" s="96"/>
      <c r="BD377" s="96"/>
      <c r="BE377" s="96"/>
      <c r="BF377" s="96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6"/>
      <c r="BS377" s="96"/>
      <c r="BT377" s="96"/>
      <c r="BU377" s="96"/>
      <c r="BV377" s="96"/>
      <c r="BW377" s="96"/>
      <c r="BX377" s="96"/>
      <c r="BY377" s="96"/>
      <c r="BZ377" s="96"/>
      <c r="CA377" s="96"/>
      <c r="CB377" s="96"/>
      <c r="CC377" s="96"/>
      <c r="CD377" s="96"/>
      <c r="CE377" s="96"/>
      <c r="CF377" s="96"/>
      <c r="CG377" s="96"/>
      <c r="CH377" s="96"/>
      <c r="CI377" s="96"/>
      <c r="CJ377" s="96"/>
      <c r="CK377" s="96"/>
      <c r="CL377" s="96"/>
      <c r="CM377" s="96"/>
      <c r="CN377" s="96"/>
      <c r="CO377" s="96"/>
      <c r="CP377" s="96"/>
      <c r="CQ377" s="96"/>
      <c r="CR377" s="96"/>
      <c r="CS377" s="96"/>
      <c r="CT377" s="96"/>
      <c r="CU377" s="96"/>
      <c r="CV377" s="96"/>
      <c r="CW377" s="96"/>
      <c r="CX377" s="96"/>
      <c r="CY377" s="96"/>
      <c r="CZ377" s="96"/>
      <c r="DA377" s="96"/>
      <c r="DB377" s="96"/>
      <c r="DC377" s="96"/>
      <c r="DD377" s="96"/>
      <c r="DE377" s="96"/>
      <c r="DF377" s="96"/>
      <c r="DG377" s="96"/>
      <c r="DH377" s="96"/>
      <c r="DI377" s="96"/>
      <c r="DJ377" s="96"/>
      <c r="DK377" s="96"/>
      <c r="DL377" s="96"/>
      <c r="DM377" s="96"/>
      <c r="DN377" s="96"/>
      <c r="DO377" s="96"/>
      <c r="DP377" s="96"/>
      <c r="DQ377" s="96"/>
      <c r="DR377" s="96"/>
      <c r="DS377" s="96"/>
      <c r="DT377" s="96"/>
      <c r="DU377" s="96"/>
      <c r="DV377" s="96"/>
      <c r="DW377" s="96"/>
      <c r="DX377" s="96"/>
      <c r="DY377" s="96"/>
      <c r="DZ377" s="96"/>
      <c r="EA377" s="96"/>
      <c r="EB377" s="96"/>
      <c r="EC377" s="96"/>
      <c r="ED377" s="96"/>
      <c r="EE377" s="96"/>
      <c r="EF377" s="96"/>
      <c r="EG377" s="96"/>
      <c r="EH377" s="96"/>
      <c r="EI377" s="96"/>
      <c r="EJ377" s="96"/>
      <c r="EK377" s="96"/>
      <c r="EL377" s="96"/>
      <c r="EM377" s="96"/>
      <c r="EN377" s="96"/>
      <c r="EO377" s="96"/>
      <c r="EP377" s="96"/>
      <c r="EQ377" s="96"/>
      <c r="ER377" s="96"/>
      <c r="ES377" s="96"/>
      <c r="ET377" s="96"/>
    </row>
    <row r="378" spans="4:150"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6"/>
      <c r="AW378" s="96"/>
      <c r="AX378" s="96"/>
      <c r="AY378" s="96"/>
      <c r="AZ378" s="96"/>
      <c r="BA378" s="96"/>
      <c r="BB378" s="96"/>
      <c r="BC378" s="96"/>
      <c r="BD378" s="96"/>
      <c r="BE378" s="96"/>
      <c r="BF378" s="96"/>
      <c r="BG378" s="96"/>
      <c r="BH378" s="96"/>
      <c r="BI378" s="96"/>
      <c r="BJ378" s="96"/>
      <c r="BK378" s="96"/>
      <c r="BL378" s="96"/>
      <c r="BM378" s="96"/>
      <c r="BN378" s="96"/>
      <c r="BO378" s="96"/>
      <c r="BP378" s="96"/>
      <c r="BQ378" s="96"/>
      <c r="BR378" s="96"/>
      <c r="BS378" s="96"/>
      <c r="BT378" s="96"/>
      <c r="BU378" s="96"/>
      <c r="BV378" s="96"/>
      <c r="BW378" s="96"/>
      <c r="BX378" s="96"/>
      <c r="BY378" s="96"/>
      <c r="BZ378" s="96"/>
      <c r="CA378" s="96"/>
      <c r="CB378" s="96"/>
      <c r="CC378" s="96"/>
      <c r="CD378" s="96"/>
      <c r="CE378" s="96"/>
      <c r="CF378" s="96"/>
      <c r="CG378" s="96"/>
      <c r="CH378" s="96"/>
      <c r="CI378" s="96"/>
      <c r="CJ378" s="96"/>
      <c r="CK378" s="96"/>
      <c r="CL378" s="96"/>
      <c r="CM378" s="96"/>
      <c r="CN378" s="96"/>
      <c r="CO378" s="96"/>
      <c r="CP378" s="96"/>
      <c r="CQ378" s="96"/>
      <c r="CR378" s="96"/>
      <c r="CS378" s="96"/>
      <c r="CT378" s="96"/>
      <c r="CU378" s="96"/>
      <c r="CV378" s="96"/>
      <c r="CW378" s="96"/>
      <c r="CX378" s="96"/>
      <c r="CY378" s="96"/>
      <c r="CZ378" s="96"/>
      <c r="DA378" s="96"/>
      <c r="DB378" s="96"/>
      <c r="DC378" s="96"/>
      <c r="DD378" s="96"/>
      <c r="DE378" s="96"/>
      <c r="DF378" s="96"/>
      <c r="DG378" s="96"/>
      <c r="DH378" s="96"/>
      <c r="DI378" s="96"/>
      <c r="DJ378" s="96"/>
      <c r="DK378" s="96"/>
      <c r="DL378" s="96"/>
      <c r="DM378" s="96"/>
      <c r="DN378" s="96"/>
      <c r="DO378" s="96"/>
      <c r="DP378" s="96"/>
      <c r="DQ378" s="96"/>
      <c r="DR378" s="96"/>
      <c r="DS378" s="96"/>
      <c r="DT378" s="96"/>
      <c r="DU378" s="96"/>
      <c r="DV378" s="96"/>
      <c r="DW378" s="96"/>
      <c r="DX378" s="96"/>
      <c r="DY378" s="96"/>
      <c r="DZ378" s="96"/>
      <c r="EA378" s="96"/>
      <c r="EB378" s="96"/>
      <c r="EC378" s="96"/>
      <c r="ED378" s="96"/>
      <c r="EE378" s="96"/>
      <c r="EF378" s="96"/>
      <c r="EG378" s="96"/>
      <c r="EH378" s="96"/>
      <c r="EI378" s="96"/>
      <c r="EJ378" s="96"/>
      <c r="EK378" s="96"/>
      <c r="EL378" s="96"/>
      <c r="EM378" s="96"/>
      <c r="EN378" s="96"/>
      <c r="EO378" s="96"/>
      <c r="EP378" s="96"/>
      <c r="EQ378" s="96"/>
      <c r="ER378" s="96"/>
      <c r="ES378" s="96"/>
      <c r="ET378" s="96"/>
    </row>
    <row r="379" spans="4:150"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6"/>
      <c r="AW379" s="96"/>
      <c r="AX379" s="96"/>
      <c r="AY379" s="96"/>
      <c r="AZ379" s="96"/>
      <c r="BA379" s="96"/>
      <c r="BB379" s="96"/>
      <c r="BC379" s="96"/>
      <c r="BD379" s="96"/>
      <c r="BE379" s="96"/>
      <c r="BF379" s="96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6"/>
      <c r="BS379" s="96"/>
      <c r="BT379" s="96"/>
      <c r="BU379" s="96"/>
      <c r="BV379" s="96"/>
      <c r="BW379" s="96"/>
      <c r="BX379" s="96"/>
      <c r="BY379" s="96"/>
      <c r="BZ379" s="96"/>
      <c r="CA379" s="96"/>
      <c r="CB379" s="96"/>
      <c r="CC379" s="96"/>
      <c r="CD379" s="96"/>
      <c r="CE379" s="96"/>
      <c r="CF379" s="96"/>
      <c r="CG379" s="96"/>
      <c r="CH379" s="96"/>
      <c r="CI379" s="96"/>
      <c r="CJ379" s="96"/>
      <c r="CK379" s="96"/>
      <c r="CL379" s="96"/>
      <c r="CM379" s="96"/>
      <c r="CN379" s="96"/>
      <c r="CO379" s="96"/>
      <c r="CP379" s="96"/>
      <c r="CQ379" s="96"/>
      <c r="CR379" s="96"/>
      <c r="CS379" s="96"/>
      <c r="CT379" s="96"/>
      <c r="CU379" s="96"/>
      <c r="CV379" s="96"/>
      <c r="CW379" s="96"/>
      <c r="CX379" s="96"/>
      <c r="CY379" s="96"/>
      <c r="CZ379" s="96"/>
      <c r="DA379" s="96"/>
      <c r="DB379" s="96"/>
      <c r="DC379" s="96"/>
      <c r="DD379" s="96"/>
      <c r="DE379" s="96"/>
      <c r="DF379" s="96"/>
      <c r="DG379" s="96"/>
      <c r="DH379" s="96"/>
      <c r="DI379" s="96"/>
      <c r="DJ379" s="96"/>
      <c r="DK379" s="96"/>
      <c r="DL379" s="96"/>
      <c r="DM379" s="96"/>
      <c r="DN379" s="96"/>
      <c r="DO379" s="96"/>
      <c r="DP379" s="96"/>
      <c r="DQ379" s="96"/>
      <c r="DR379" s="96"/>
      <c r="DS379" s="96"/>
      <c r="DT379" s="96"/>
      <c r="DU379" s="96"/>
      <c r="DV379" s="96"/>
      <c r="DW379" s="96"/>
      <c r="DX379" s="96"/>
      <c r="DY379" s="96"/>
      <c r="DZ379" s="96"/>
      <c r="EA379" s="96"/>
      <c r="EB379" s="96"/>
      <c r="EC379" s="96"/>
      <c r="ED379" s="96"/>
      <c r="EE379" s="96"/>
      <c r="EF379" s="96"/>
      <c r="EG379" s="96"/>
      <c r="EH379" s="96"/>
      <c r="EI379" s="96"/>
      <c r="EJ379" s="96"/>
      <c r="EK379" s="96"/>
      <c r="EL379" s="96"/>
      <c r="EM379" s="96"/>
      <c r="EN379" s="96"/>
      <c r="EO379" s="96"/>
      <c r="EP379" s="96"/>
      <c r="EQ379" s="96"/>
      <c r="ER379" s="96"/>
      <c r="ES379" s="96"/>
      <c r="ET379" s="96"/>
    </row>
    <row r="380" spans="4:150"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96"/>
      <c r="BA380" s="96"/>
      <c r="BB380" s="96"/>
      <c r="BC380" s="96"/>
      <c r="BD380" s="96"/>
      <c r="BE380" s="96"/>
      <c r="BF380" s="96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6"/>
      <c r="BS380" s="96"/>
      <c r="BT380" s="96"/>
      <c r="BU380" s="96"/>
      <c r="BV380" s="96"/>
      <c r="BW380" s="96"/>
      <c r="BX380" s="96"/>
      <c r="BY380" s="96"/>
      <c r="BZ380" s="96"/>
      <c r="CA380" s="96"/>
      <c r="CB380" s="96"/>
      <c r="CC380" s="96"/>
      <c r="CD380" s="96"/>
      <c r="CE380" s="96"/>
      <c r="CF380" s="96"/>
      <c r="CG380" s="96"/>
      <c r="CH380" s="96"/>
      <c r="CI380" s="96"/>
      <c r="CJ380" s="96"/>
      <c r="CK380" s="96"/>
      <c r="CL380" s="96"/>
      <c r="CM380" s="96"/>
      <c r="CN380" s="96"/>
      <c r="CO380" s="96"/>
      <c r="CP380" s="96"/>
      <c r="CQ380" s="96"/>
      <c r="CR380" s="96"/>
      <c r="CS380" s="96"/>
      <c r="CT380" s="96"/>
      <c r="CU380" s="96"/>
      <c r="CV380" s="96"/>
      <c r="CW380" s="96"/>
      <c r="CX380" s="96"/>
      <c r="CY380" s="96"/>
      <c r="CZ380" s="96"/>
      <c r="DA380" s="96"/>
      <c r="DB380" s="96"/>
      <c r="DC380" s="96"/>
      <c r="DD380" s="96"/>
      <c r="DE380" s="96"/>
      <c r="DF380" s="96"/>
      <c r="DG380" s="96"/>
      <c r="DH380" s="96"/>
      <c r="DI380" s="96"/>
      <c r="DJ380" s="96"/>
      <c r="DK380" s="96"/>
      <c r="DL380" s="96"/>
      <c r="DM380" s="96"/>
      <c r="DN380" s="96"/>
      <c r="DO380" s="96"/>
      <c r="DP380" s="96"/>
      <c r="DQ380" s="96"/>
      <c r="DR380" s="96"/>
      <c r="DS380" s="96"/>
      <c r="DT380" s="96"/>
      <c r="DU380" s="96"/>
      <c r="DV380" s="96"/>
      <c r="DW380" s="96"/>
      <c r="DX380" s="96"/>
      <c r="DY380" s="96"/>
      <c r="DZ380" s="96"/>
      <c r="EA380" s="96"/>
      <c r="EB380" s="96"/>
      <c r="EC380" s="96"/>
      <c r="ED380" s="96"/>
      <c r="EE380" s="96"/>
      <c r="EF380" s="96"/>
      <c r="EG380" s="96"/>
      <c r="EH380" s="96"/>
      <c r="EI380" s="96"/>
      <c r="EJ380" s="96"/>
      <c r="EK380" s="96"/>
      <c r="EL380" s="96"/>
      <c r="EM380" s="96"/>
      <c r="EN380" s="96"/>
      <c r="EO380" s="96"/>
      <c r="EP380" s="96"/>
      <c r="EQ380" s="96"/>
      <c r="ER380" s="96"/>
      <c r="ES380" s="96"/>
      <c r="ET380" s="96"/>
    </row>
    <row r="381" spans="4:150"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6"/>
      <c r="AW381" s="96"/>
      <c r="AX381" s="96"/>
      <c r="AY381" s="96"/>
      <c r="AZ381" s="96"/>
      <c r="BA381" s="96"/>
      <c r="BB381" s="96"/>
      <c r="BC381" s="96"/>
      <c r="BD381" s="96"/>
      <c r="BE381" s="96"/>
      <c r="BF381" s="96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6"/>
      <c r="BS381" s="96"/>
      <c r="BT381" s="96"/>
      <c r="BU381" s="96"/>
      <c r="BV381" s="96"/>
      <c r="BW381" s="96"/>
      <c r="BX381" s="96"/>
      <c r="BY381" s="96"/>
      <c r="BZ381" s="96"/>
      <c r="CA381" s="96"/>
      <c r="CB381" s="96"/>
      <c r="CC381" s="96"/>
      <c r="CD381" s="96"/>
      <c r="CE381" s="96"/>
      <c r="CF381" s="96"/>
      <c r="CG381" s="96"/>
      <c r="CH381" s="96"/>
      <c r="CI381" s="96"/>
      <c r="CJ381" s="96"/>
      <c r="CK381" s="96"/>
      <c r="CL381" s="96"/>
      <c r="CM381" s="96"/>
      <c r="CN381" s="96"/>
      <c r="CO381" s="96"/>
      <c r="CP381" s="96"/>
      <c r="CQ381" s="96"/>
      <c r="CR381" s="96"/>
      <c r="CS381" s="96"/>
      <c r="CT381" s="96"/>
      <c r="CU381" s="96"/>
      <c r="CV381" s="96"/>
      <c r="CW381" s="96"/>
      <c r="CX381" s="96"/>
      <c r="CY381" s="96"/>
      <c r="CZ381" s="96"/>
      <c r="DA381" s="96"/>
      <c r="DB381" s="96"/>
      <c r="DC381" s="96"/>
      <c r="DD381" s="96"/>
      <c r="DE381" s="96"/>
      <c r="DF381" s="96"/>
      <c r="DG381" s="96"/>
      <c r="DH381" s="96"/>
      <c r="DI381" s="96"/>
      <c r="DJ381" s="96"/>
      <c r="DK381" s="96"/>
      <c r="DL381" s="96"/>
      <c r="DM381" s="96"/>
      <c r="DN381" s="96"/>
      <c r="DO381" s="96"/>
      <c r="DP381" s="96"/>
      <c r="DQ381" s="96"/>
      <c r="DR381" s="96"/>
      <c r="DS381" s="96"/>
      <c r="DT381" s="96"/>
      <c r="DU381" s="96"/>
      <c r="DV381" s="96"/>
      <c r="DW381" s="96"/>
      <c r="DX381" s="96"/>
      <c r="DY381" s="96"/>
      <c r="DZ381" s="96"/>
      <c r="EA381" s="96"/>
      <c r="EB381" s="96"/>
      <c r="EC381" s="96"/>
      <c r="ED381" s="96"/>
      <c r="EE381" s="96"/>
      <c r="EF381" s="96"/>
      <c r="EG381" s="96"/>
      <c r="EH381" s="96"/>
      <c r="EI381" s="96"/>
      <c r="EJ381" s="96"/>
      <c r="EK381" s="96"/>
      <c r="EL381" s="96"/>
      <c r="EM381" s="96"/>
      <c r="EN381" s="96"/>
      <c r="EO381" s="96"/>
      <c r="EP381" s="96"/>
      <c r="EQ381" s="96"/>
      <c r="ER381" s="96"/>
      <c r="ES381" s="96"/>
      <c r="ET381" s="96"/>
    </row>
    <row r="382" spans="4:150"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96"/>
      <c r="CF382" s="96"/>
      <c r="CG382" s="96"/>
      <c r="CH382" s="96"/>
      <c r="CI382" s="96"/>
      <c r="CJ382" s="96"/>
      <c r="CK382" s="96"/>
      <c r="CL382" s="96"/>
      <c r="CM382" s="96"/>
      <c r="CN382" s="96"/>
      <c r="CO382" s="96"/>
      <c r="CP382" s="96"/>
      <c r="CQ382" s="96"/>
      <c r="CR382" s="96"/>
      <c r="CS382" s="96"/>
      <c r="CT382" s="96"/>
      <c r="CU382" s="96"/>
      <c r="CV382" s="96"/>
      <c r="CW382" s="96"/>
      <c r="CX382" s="96"/>
      <c r="CY382" s="96"/>
      <c r="CZ382" s="96"/>
      <c r="DA382" s="96"/>
      <c r="DB382" s="96"/>
      <c r="DC382" s="96"/>
      <c r="DD382" s="96"/>
      <c r="DE382" s="96"/>
      <c r="DF382" s="96"/>
      <c r="DG382" s="96"/>
      <c r="DH382" s="96"/>
      <c r="DI382" s="96"/>
      <c r="DJ382" s="96"/>
      <c r="DK382" s="96"/>
      <c r="DL382" s="96"/>
      <c r="DM382" s="96"/>
      <c r="DN382" s="96"/>
      <c r="DO382" s="96"/>
      <c r="DP382" s="96"/>
      <c r="DQ382" s="96"/>
      <c r="DR382" s="96"/>
      <c r="DS382" s="96"/>
      <c r="DT382" s="96"/>
      <c r="DU382" s="96"/>
      <c r="DV382" s="96"/>
      <c r="DW382" s="96"/>
      <c r="DX382" s="96"/>
      <c r="DY382" s="96"/>
      <c r="DZ382" s="96"/>
      <c r="EA382" s="96"/>
      <c r="EB382" s="96"/>
      <c r="EC382" s="96"/>
      <c r="ED382" s="96"/>
      <c r="EE382" s="96"/>
      <c r="EF382" s="96"/>
      <c r="EG382" s="96"/>
      <c r="EH382" s="96"/>
      <c r="EI382" s="96"/>
      <c r="EJ382" s="96"/>
      <c r="EK382" s="96"/>
      <c r="EL382" s="96"/>
      <c r="EM382" s="96"/>
      <c r="EN382" s="96"/>
      <c r="EO382" s="96"/>
      <c r="EP382" s="96"/>
      <c r="EQ382" s="96"/>
      <c r="ER382" s="96"/>
      <c r="ES382" s="96"/>
      <c r="ET382" s="96"/>
    </row>
    <row r="383" spans="4:150"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/>
      <c r="CO383" s="96"/>
      <c r="CP383" s="96"/>
      <c r="CQ383" s="96"/>
      <c r="CR383" s="96"/>
      <c r="CS383" s="96"/>
      <c r="CT383" s="96"/>
      <c r="CU383" s="96"/>
      <c r="CV383" s="96"/>
      <c r="CW383" s="96"/>
      <c r="CX383" s="96"/>
      <c r="CY383" s="96"/>
      <c r="CZ383" s="96"/>
      <c r="DA383" s="96"/>
      <c r="DB383" s="96"/>
      <c r="DC383" s="96"/>
      <c r="DD383" s="96"/>
      <c r="DE383" s="96"/>
      <c r="DF383" s="96"/>
      <c r="DG383" s="96"/>
      <c r="DH383" s="96"/>
      <c r="DI383" s="96"/>
      <c r="DJ383" s="96"/>
      <c r="DK383" s="96"/>
      <c r="DL383" s="96"/>
      <c r="DM383" s="96"/>
      <c r="DN383" s="96"/>
      <c r="DO383" s="96"/>
      <c r="DP383" s="96"/>
      <c r="DQ383" s="96"/>
      <c r="DR383" s="96"/>
      <c r="DS383" s="96"/>
      <c r="DT383" s="96"/>
      <c r="DU383" s="96"/>
      <c r="DV383" s="96"/>
      <c r="DW383" s="96"/>
      <c r="DX383" s="96"/>
      <c r="DY383" s="96"/>
      <c r="DZ383" s="96"/>
      <c r="EA383" s="96"/>
      <c r="EB383" s="96"/>
      <c r="EC383" s="96"/>
      <c r="ED383" s="96"/>
      <c r="EE383" s="96"/>
      <c r="EF383" s="96"/>
      <c r="EG383" s="96"/>
      <c r="EH383" s="96"/>
      <c r="EI383" s="96"/>
      <c r="EJ383" s="96"/>
      <c r="EK383" s="96"/>
      <c r="EL383" s="96"/>
      <c r="EM383" s="96"/>
      <c r="EN383" s="96"/>
      <c r="EO383" s="96"/>
      <c r="EP383" s="96"/>
      <c r="EQ383" s="96"/>
      <c r="ER383" s="96"/>
      <c r="ES383" s="96"/>
      <c r="ET383" s="96"/>
    </row>
    <row r="384" spans="4:150"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/>
      <c r="CO384" s="96"/>
      <c r="CP384" s="96"/>
      <c r="CQ384" s="96"/>
      <c r="CR384" s="96"/>
      <c r="CS384" s="96"/>
      <c r="CT384" s="96"/>
      <c r="CU384" s="96"/>
      <c r="CV384" s="96"/>
      <c r="CW384" s="96"/>
      <c r="CX384" s="96"/>
      <c r="CY384" s="96"/>
      <c r="CZ384" s="96"/>
      <c r="DA384" s="96"/>
      <c r="DB384" s="96"/>
      <c r="DC384" s="96"/>
      <c r="DD384" s="96"/>
      <c r="DE384" s="96"/>
      <c r="DF384" s="96"/>
      <c r="DG384" s="96"/>
      <c r="DH384" s="96"/>
      <c r="DI384" s="96"/>
      <c r="DJ384" s="96"/>
      <c r="DK384" s="96"/>
      <c r="DL384" s="96"/>
      <c r="DM384" s="96"/>
      <c r="DN384" s="96"/>
      <c r="DO384" s="96"/>
      <c r="DP384" s="96"/>
      <c r="DQ384" s="96"/>
      <c r="DR384" s="96"/>
      <c r="DS384" s="96"/>
      <c r="DT384" s="96"/>
      <c r="DU384" s="96"/>
      <c r="DV384" s="96"/>
      <c r="DW384" s="96"/>
      <c r="DX384" s="96"/>
      <c r="DY384" s="96"/>
      <c r="DZ384" s="96"/>
      <c r="EA384" s="96"/>
      <c r="EB384" s="96"/>
      <c r="EC384" s="96"/>
      <c r="ED384" s="96"/>
      <c r="EE384" s="96"/>
      <c r="EF384" s="96"/>
      <c r="EG384" s="96"/>
      <c r="EH384" s="96"/>
      <c r="EI384" s="96"/>
      <c r="EJ384" s="96"/>
      <c r="EK384" s="96"/>
      <c r="EL384" s="96"/>
      <c r="EM384" s="96"/>
      <c r="EN384" s="96"/>
      <c r="EO384" s="96"/>
      <c r="EP384" s="96"/>
      <c r="EQ384" s="96"/>
      <c r="ER384" s="96"/>
      <c r="ES384" s="96"/>
      <c r="ET384" s="96"/>
    </row>
    <row r="385" spans="4:150"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/>
      <c r="CO385" s="96"/>
      <c r="CP385" s="96"/>
      <c r="CQ385" s="96"/>
      <c r="CR385" s="96"/>
      <c r="CS385" s="96"/>
      <c r="CT385" s="96"/>
      <c r="CU385" s="96"/>
      <c r="CV385" s="96"/>
      <c r="CW385" s="96"/>
      <c r="CX385" s="96"/>
      <c r="CY385" s="96"/>
      <c r="CZ385" s="96"/>
      <c r="DA385" s="96"/>
      <c r="DB385" s="96"/>
      <c r="DC385" s="96"/>
      <c r="DD385" s="96"/>
      <c r="DE385" s="96"/>
      <c r="DF385" s="96"/>
      <c r="DG385" s="96"/>
      <c r="DH385" s="96"/>
      <c r="DI385" s="96"/>
      <c r="DJ385" s="96"/>
      <c r="DK385" s="96"/>
      <c r="DL385" s="96"/>
      <c r="DM385" s="96"/>
      <c r="DN385" s="96"/>
      <c r="DO385" s="96"/>
      <c r="DP385" s="96"/>
      <c r="DQ385" s="96"/>
      <c r="DR385" s="96"/>
      <c r="DS385" s="96"/>
      <c r="DT385" s="96"/>
      <c r="DU385" s="96"/>
      <c r="DV385" s="96"/>
      <c r="DW385" s="96"/>
      <c r="DX385" s="96"/>
      <c r="DY385" s="96"/>
      <c r="DZ385" s="96"/>
      <c r="EA385" s="96"/>
      <c r="EB385" s="96"/>
      <c r="EC385" s="96"/>
      <c r="ED385" s="96"/>
      <c r="EE385" s="96"/>
      <c r="EF385" s="96"/>
      <c r="EG385" s="96"/>
      <c r="EH385" s="96"/>
      <c r="EI385" s="96"/>
      <c r="EJ385" s="96"/>
      <c r="EK385" s="96"/>
      <c r="EL385" s="96"/>
      <c r="EM385" s="96"/>
      <c r="EN385" s="96"/>
      <c r="EO385" s="96"/>
      <c r="EP385" s="96"/>
      <c r="EQ385" s="96"/>
      <c r="ER385" s="96"/>
      <c r="ES385" s="96"/>
      <c r="ET385" s="96"/>
    </row>
    <row r="386" spans="4:150"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/>
      <c r="CO386" s="96"/>
      <c r="CP386" s="96"/>
      <c r="CQ386" s="96"/>
      <c r="CR386" s="96"/>
      <c r="CS386" s="96"/>
      <c r="CT386" s="96"/>
      <c r="CU386" s="96"/>
      <c r="CV386" s="96"/>
      <c r="CW386" s="96"/>
      <c r="CX386" s="96"/>
      <c r="CY386" s="96"/>
      <c r="CZ386" s="96"/>
      <c r="DA386" s="96"/>
      <c r="DB386" s="96"/>
      <c r="DC386" s="96"/>
      <c r="DD386" s="96"/>
      <c r="DE386" s="96"/>
      <c r="DF386" s="96"/>
      <c r="DG386" s="96"/>
      <c r="DH386" s="96"/>
      <c r="DI386" s="96"/>
      <c r="DJ386" s="96"/>
      <c r="DK386" s="96"/>
      <c r="DL386" s="96"/>
      <c r="DM386" s="96"/>
      <c r="DN386" s="96"/>
      <c r="DO386" s="96"/>
      <c r="DP386" s="96"/>
      <c r="DQ386" s="96"/>
      <c r="DR386" s="96"/>
      <c r="DS386" s="96"/>
      <c r="DT386" s="96"/>
      <c r="DU386" s="96"/>
      <c r="DV386" s="96"/>
      <c r="DW386" s="96"/>
      <c r="DX386" s="96"/>
      <c r="DY386" s="96"/>
      <c r="DZ386" s="96"/>
      <c r="EA386" s="96"/>
      <c r="EB386" s="96"/>
      <c r="EC386" s="96"/>
      <c r="ED386" s="96"/>
      <c r="EE386" s="96"/>
      <c r="EF386" s="96"/>
      <c r="EG386" s="96"/>
      <c r="EH386" s="96"/>
      <c r="EI386" s="96"/>
      <c r="EJ386" s="96"/>
      <c r="EK386" s="96"/>
      <c r="EL386" s="96"/>
      <c r="EM386" s="96"/>
      <c r="EN386" s="96"/>
      <c r="EO386" s="96"/>
      <c r="EP386" s="96"/>
      <c r="EQ386" s="96"/>
      <c r="ER386" s="96"/>
      <c r="ES386" s="96"/>
      <c r="ET386" s="96"/>
    </row>
    <row r="387" spans="4:150"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/>
      <c r="CO387" s="96"/>
      <c r="CP387" s="96"/>
      <c r="CQ387" s="96"/>
      <c r="CR387" s="96"/>
      <c r="CS387" s="96"/>
      <c r="CT387" s="96"/>
      <c r="CU387" s="96"/>
      <c r="CV387" s="96"/>
      <c r="CW387" s="96"/>
      <c r="CX387" s="96"/>
      <c r="CY387" s="96"/>
      <c r="CZ387" s="96"/>
      <c r="DA387" s="96"/>
      <c r="DB387" s="96"/>
      <c r="DC387" s="96"/>
      <c r="DD387" s="96"/>
      <c r="DE387" s="96"/>
      <c r="DF387" s="96"/>
      <c r="DG387" s="96"/>
      <c r="DH387" s="96"/>
      <c r="DI387" s="96"/>
      <c r="DJ387" s="96"/>
      <c r="DK387" s="96"/>
      <c r="DL387" s="96"/>
      <c r="DM387" s="96"/>
      <c r="DN387" s="96"/>
      <c r="DO387" s="96"/>
      <c r="DP387" s="96"/>
      <c r="DQ387" s="96"/>
      <c r="DR387" s="96"/>
      <c r="DS387" s="96"/>
      <c r="DT387" s="96"/>
      <c r="DU387" s="96"/>
      <c r="DV387" s="96"/>
      <c r="DW387" s="96"/>
      <c r="DX387" s="96"/>
      <c r="DY387" s="96"/>
      <c r="DZ387" s="96"/>
      <c r="EA387" s="96"/>
      <c r="EB387" s="96"/>
      <c r="EC387" s="96"/>
      <c r="ED387" s="96"/>
      <c r="EE387" s="96"/>
      <c r="EF387" s="96"/>
      <c r="EG387" s="96"/>
      <c r="EH387" s="96"/>
      <c r="EI387" s="96"/>
      <c r="EJ387" s="96"/>
      <c r="EK387" s="96"/>
      <c r="EL387" s="96"/>
      <c r="EM387" s="96"/>
      <c r="EN387" s="96"/>
      <c r="EO387" s="96"/>
      <c r="EP387" s="96"/>
      <c r="EQ387" s="96"/>
      <c r="ER387" s="96"/>
      <c r="ES387" s="96"/>
      <c r="ET387" s="96"/>
    </row>
    <row r="388" spans="4:150"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/>
      <c r="CO388" s="96"/>
      <c r="CP388" s="96"/>
      <c r="CQ388" s="96"/>
      <c r="CR388" s="96"/>
      <c r="CS388" s="96"/>
      <c r="CT388" s="96"/>
      <c r="CU388" s="96"/>
      <c r="CV388" s="96"/>
      <c r="CW388" s="96"/>
      <c r="CX388" s="96"/>
      <c r="CY388" s="96"/>
      <c r="CZ388" s="96"/>
      <c r="DA388" s="96"/>
      <c r="DB388" s="96"/>
      <c r="DC388" s="96"/>
      <c r="DD388" s="96"/>
      <c r="DE388" s="96"/>
      <c r="DF388" s="96"/>
      <c r="DG388" s="96"/>
      <c r="DH388" s="96"/>
      <c r="DI388" s="96"/>
      <c r="DJ388" s="96"/>
      <c r="DK388" s="96"/>
      <c r="DL388" s="96"/>
      <c r="DM388" s="96"/>
      <c r="DN388" s="96"/>
      <c r="DO388" s="96"/>
      <c r="DP388" s="96"/>
      <c r="DQ388" s="96"/>
      <c r="DR388" s="96"/>
      <c r="DS388" s="96"/>
      <c r="DT388" s="96"/>
      <c r="DU388" s="96"/>
      <c r="DV388" s="96"/>
      <c r="DW388" s="96"/>
      <c r="DX388" s="96"/>
      <c r="DY388" s="96"/>
      <c r="DZ388" s="96"/>
      <c r="EA388" s="96"/>
      <c r="EB388" s="96"/>
      <c r="EC388" s="96"/>
      <c r="ED388" s="96"/>
      <c r="EE388" s="96"/>
      <c r="EF388" s="96"/>
      <c r="EG388" s="96"/>
      <c r="EH388" s="96"/>
      <c r="EI388" s="96"/>
      <c r="EJ388" s="96"/>
      <c r="EK388" s="96"/>
      <c r="EL388" s="96"/>
      <c r="EM388" s="96"/>
      <c r="EN388" s="96"/>
      <c r="EO388" s="96"/>
      <c r="EP388" s="96"/>
      <c r="EQ388" s="96"/>
      <c r="ER388" s="96"/>
      <c r="ES388" s="96"/>
      <c r="ET388" s="96"/>
    </row>
    <row r="389" spans="4:150"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6"/>
      <c r="AV389" s="96"/>
      <c r="AW389" s="96"/>
      <c r="AX389" s="96"/>
      <c r="AY389" s="96"/>
      <c r="AZ389" s="96"/>
      <c r="BA389" s="96"/>
      <c r="BB389" s="96"/>
      <c r="BC389" s="96"/>
      <c r="BD389" s="96"/>
      <c r="BE389" s="96"/>
      <c r="BF389" s="96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6"/>
      <c r="BS389" s="96"/>
      <c r="BT389" s="96"/>
      <c r="BU389" s="96"/>
      <c r="BV389" s="96"/>
      <c r="BW389" s="96"/>
      <c r="BX389" s="96"/>
      <c r="BY389" s="96"/>
      <c r="BZ389" s="96"/>
      <c r="CA389" s="96"/>
      <c r="CB389" s="96"/>
      <c r="CC389" s="96"/>
      <c r="CD389" s="96"/>
      <c r="CE389" s="96"/>
      <c r="CF389" s="96"/>
      <c r="CG389" s="96"/>
      <c r="CH389" s="96"/>
      <c r="CI389" s="96"/>
      <c r="CJ389" s="96"/>
      <c r="CK389" s="96"/>
      <c r="CL389" s="96"/>
      <c r="CM389" s="96"/>
      <c r="CN389" s="96"/>
      <c r="CO389" s="96"/>
      <c r="CP389" s="96"/>
      <c r="CQ389" s="96"/>
      <c r="CR389" s="96"/>
      <c r="CS389" s="96"/>
      <c r="CT389" s="96"/>
      <c r="CU389" s="96"/>
      <c r="CV389" s="96"/>
      <c r="CW389" s="96"/>
      <c r="CX389" s="96"/>
      <c r="CY389" s="96"/>
      <c r="CZ389" s="96"/>
      <c r="DA389" s="96"/>
      <c r="DB389" s="96"/>
      <c r="DC389" s="96"/>
      <c r="DD389" s="96"/>
      <c r="DE389" s="96"/>
      <c r="DF389" s="96"/>
      <c r="DG389" s="96"/>
      <c r="DH389" s="96"/>
      <c r="DI389" s="96"/>
      <c r="DJ389" s="96"/>
      <c r="DK389" s="96"/>
      <c r="DL389" s="96"/>
      <c r="DM389" s="96"/>
      <c r="DN389" s="96"/>
      <c r="DO389" s="96"/>
      <c r="DP389" s="96"/>
      <c r="DQ389" s="96"/>
      <c r="DR389" s="96"/>
      <c r="DS389" s="96"/>
      <c r="DT389" s="96"/>
      <c r="DU389" s="96"/>
      <c r="DV389" s="96"/>
      <c r="DW389" s="96"/>
      <c r="DX389" s="96"/>
      <c r="DY389" s="96"/>
      <c r="DZ389" s="96"/>
      <c r="EA389" s="96"/>
      <c r="EB389" s="96"/>
      <c r="EC389" s="96"/>
      <c r="ED389" s="96"/>
      <c r="EE389" s="96"/>
      <c r="EF389" s="96"/>
      <c r="EG389" s="96"/>
      <c r="EH389" s="96"/>
      <c r="EI389" s="96"/>
      <c r="EJ389" s="96"/>
      <c r="EK389" s="96"/>
      <c r="EL389" s="96"/>
      <c r="EM389" s="96"/>
      <c r="EN389" s="96"/>
      <c r="EO389" s="96"/>
      <c r="EP389" s="96"/>
      <c r="EQ389" s="96"/>
      <c r="ER389" s="96"/>
      <c r="ES389" s="96"/>
      <c r="ET389" s="96"/>
    </row>
    <row r="390" spans="4:150"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6"/>
      <c r="AV390" s="96"/>
      <c r="AW390" s="96"/>
      <c r="AX390" s="96"/>
      <c r="AY390" s="96"/>
      <c r="AZ390" s="96"/>
      <c r="BA390" s="96"/>
      <c r="BB390" s="96"/>
      <c r="BC390" s="96"/>
      <c r="BD390" s="96"/>
      <c r="BE390" s="96"/>
      <c r="BF390" s="96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6"/>
      <c r="BS390" s="96"/>
      <c r="BT390" s="96"/>
      <c r="BU390" s="96"/>
      <c r="BV390" s="96"/>
      <c r="BW390" s="96"/>
      <c r="BX390" s="96"/>
      <c r="BY390" s="96"/>
      <c r="BZ390" s="96"/>
      <c r="CA390" s="96"/>
      <c r="CB390" s="96"/>
      <c r="CC390" s="96"/>
      <c r="CD390" s="96"/>
      <c r="CE390" s="96"/>
      <c r="CF390" s="96"/>
      <c r="CG390" s="96"/>
      <c r="CH390" s="96"/>
      <c r="CI390" s="96"/>
      <c r="CJ390" s="96"/>
      <c r="CK390" s="96"/>
      <c r="CL390" s="96"/>
      <c r="CM390" s="96"/>
      <c r="CN390" s="96"/>
      <c r="CO390" s="96"/>
      <c r="CP390" s="96"/>
      <c r="CQ390" s="96"/>
      <c r="CR390" s="96"/>
      <c r="CS390" s="96"/>
      <c r="CT390" s="96"/>
      <c r="CU390" s="96"/>
      <c r="CV390" s="96"/>
      <c r="CW390" s="96"/>
      <c r="CX390" s="96"/>
      <c r="CY390" s="96"/>
      <c r="CZ390" s="96"/>
      <c r="DA390" s="96"/>
      <c r="DB390" s="96"/>
      <c r="DC390" s="96"/>
      <c r="DD390" s="96"/>
      <c r="DE390" s="96"/>
      <c r="DF390" s="96"/>
      <c r="DG390" s="96"/>
      <c r="DH390" s="96"/>
      <c r="DI390" s="96"/>
      <c r="DJ390" s="96"/>
      <c r="DK390" s="96"/>
      <c r="DL390" s="96"/>
      <c r="DM390" s="96"/>
      <c r="DN390" s="96"/>
      <c r="DO390" s="96"/>
      <c r="DP390" s="96"/>
      <c r="DQ390" s="96"/>
      <c r="DR390" s="96"/>
      <c r="DS390" s="96"/>
      <c r="DT390" s="96"/>
      <c r="DU390" s="96"/>
      <c r="DV390" s="96"/>
      <c r="DW390" s="96"/>
      <c r="DX390" s="96"/>
      <c r="DY390" s="96"/>
      <c r="DZ390" s="96"/>
      <c r="EA390" s="96"/>
      <c r="EB390" s="96"/>
      <c r="EC390" s="96"/>
      <c r="ED390" s="96"/>
      <c r="EE390" s="96"/>
      <c r="EF390" s="96"/>
      <c r="EG390" s="96"/>
      <c r="EH390" s="96"/>
      <c r="EI390" s="96"/>
      <c r="EJ390" s="96"/>
      <c r="EK390" s="96"/>
      <c r="EL390" s="96"/>
      <c r="EM390" s="96"/>
      <c r="EN390" s="96"/>
      <c r="EO390" s="96"/>
      <c r="EP390" s="96"/>
      <c r="EQ390" s="96"/>
      <c r="ER390" s="96"/>
      <c r="ES390" s="96"/>
      <c r="ET390" s="96"/>
    </row>
    <row r="391" spans="4:150"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6"/>
      <c r="AV391" s="96"/>
      <c r="AW391" s="96"/>
      <c r="AX391" s="96"/>
      <c r="AY391" s="96"/>
      <c r="AZ391" s="96"/>
      <c r="BA391" s="96"/>
      <c r="BB391" s="96"/>
      <c r="BC391" s="96"/>
      <c r="BD391" s="96"/>
      <c r="BE391" s="96"/>
      <c r="BF391" s="96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6"/>
      <c r="BS391" s="96"/>
      <c r="BT391" s="96"/>
      <c r="BU391" s="96"/>
      <c r="BV391" s="96"/>
      <c r="BW391" s="96"/>
      <c r="BX391" s="96"/>
      <c r="BY391" s="96"/>
      <c r="BZ391" s="96"/>
      <c r="CA391" s="96"/>
      <c r="CB391" s="96"/>
      <c r="CC391" s="96"/>
      <c r="CD391" s="96"/>
      <c r="CE391" s="96"/>
      <c r="CF391" s="96"/>
      <c r="CG391" s="96"/>
      <c r="CH391" s="96"/>
      <c r="CI391" s="96"/>
      <c r="CJ391" s="96"/>
      <c r="CK391" s="96"/>
      <c r="CL391" s="96"/>
      <c r="CM391" s="96"/>
      <c r="CN391" s="96"/>
      <c r="CO391" s="96"/>
      <c r="CP391" s="96"/>
      <c r="CQ391" s="96"/>
      <c r="CR391" s="96"/>
      <c r="CS391" s="96"/>
      <c r="CT391" s="96"/>
      <c r="CU391" s="96"/>
      <c r="CV391" s="96"/>
      <c r="CW391" s="96"/>
      <c r="CX391" s="96"/>
      <c r="CY391" s="96"/>
      <c r="CZ391" s="96"/>
      <c r="DA391" s="96"/>
      <c r="DB391" s="96"/>
      <c r="DC391" s="96"/>
      <c r="DD391" s="96"/>
      <c r="DE391" s="96"/>
      <c r="DF391" s="96"/>
      <c r="DG391" s="96"/>
      <c r="DH391" s="96"/>
      <c r="DI391" s="96"/>
      <c r="DJ391" s="96"/>
      <c r="DK391" s="96"/>
      <c r="DL391" s="96"/>
      <c r="DM391" s="96"/>
      <c r="DN391" s="96"/>
      <c r="DO391" s="96"/>
      <c r="DP391" s="96"/>
      <c r="DQ391" s="96"/>
      <c r="DR391" s="96"/>
      <c r="DS391" s="96"/>
      <c r="DT391" s="96"/>
      <c r="DU391" s="96"/>
      <c r="DV391" s="96"/>
      <c r="DW391" s="96"/>
      <c r="DX391" s="96"/>
      <c r="DY391" s="96"/>
      <c r="DZ391" s="96"/>
      <c r="EA391" s="96"/>
      <c r="EB391" s="96"/>
      <c r="EC391" s="96"/>
      <c r="ED391" s="96"/>
      <c r="EE391" s="96"/>
      <c r="EF391" s="96"/>
      <c r="EG391" s="96"/>
      <c r="EH391" s="96"/>
      <c r="EI391" s="96"/>
      <c r="EJ391" s="96"/>
      <c r="EK391" s="96"/>
      <c r="EL391" s="96"/>
      <c r="EM391" s="96"/>
      <c r="EN391" s="96"/>
      <c r="EO391" s="96"/>
      <c r="EP391" s="96"/>
      <c r="EQ391" s="96"/>
      <c r="ER391" s="96"/>
      <c r="ES391" s="96"/>
      <c r="ET391" s="96"/>
    </row>
    <row r="392" spans="4:150"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  <c r="CD392" s="96"/>
      <c r="CE392" s="96"/>
      <c r="CF392" s="96"/>
      <c r="CG392" s="96"/>
      <c r="CH392" s="96"/>
      <c r="CI392" s="96"/>
      <c r="CJ392" s="96"/>
      <c r="CK392" s="96"/>
      <c r="CL392" s="96"/>
      <c r="CM392" s="96"/>
      <c r="CN392" s="96"/>
      <c r="CO392" s="96"/>
      <c r="CP392" s="96"/>
      <c r="CQ392" s="96"/>
      <c r="CR392" s="96"/>
      <c r="CS392" s="96"/>
      <c r="CT392" s="96"/>
      <c r="CU392" s="96"/>
      <c r="CV392" s="96"/>
      <c r="CW392" s="96"/>
      <c r="CX392" s="96"/>
      <c r="CY392" s="96"/>
      <c r="CZ392" s="96"/>
      <c r="DA392" s="96"/>
      <c r="DB392" s="96"/>
      <c r="DC392" s="96"/>
      <c r="DD392" s="96"/>
      <c r="DE392" s="96"/>
      <c r="DF392" s="96"/>
      <c r="DG392" s="96"/>
      <c r="DH392" s="96"/>
      <c r="DI392" s="96"/>
      <c r="DJ392" s="96"/>
      <c r="DK392" s="96"/>
      <c r="DL392" s="96"/>
      <c r="DM392" s="96"/>
      <c r="DN392" s="96"/>
      <c r="DO392" s="96"/>
      <c r="DP392" s="96"/>
      <c r="DQ392" s="96"/>
      <c r="DR392" s="96"/>
      <c r="DS392" s="96"/>
      <c r="DT392" s="96"/>
      <c r="DU392" s="96"/>
      <c r="DV392" s="96"/>
      <c r="DW392" s="96"/>
      <c r="DX392" s="96"/>
      <c r="DY392" s="96"/>
      <c r="DZ392" s="96"/>
      <c r="EA392" s="96"/>
      <c r="EB392" s="96"/>
      <c r="EC392" s="96"/>
      <c r="ED392" s="96"/>
      <c r="EE392" s="96"/>
      <c r="EF392" s="96"/>
      <c r="EG392" s="96"/>
      <c r="EH392" s="96"/>
      <c r="EI392" s="96"/>
      <c r="EJ392" s="96"/>
      <c r="EK392" s="96"/>
      <c r="EL392" s="96"/>
      <c r="EM392" s="96"/>
      <c r="EN392" s="96"/>
      <c r="EO392" s="96"/>
      <c r="EP392" s="96"/>
      <c r="EQ392" s="96"/>
      <c r="ER392" s="96"/>
      <c r="ES392" s="96"/>
      <c r="ET392" s="96"/>
    </row>
    <row r="393" spans="4:150"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6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6"/>
      <c r="BS393" s="96"/>
      <c r="BT393" s="96"/>
      <c r="BU393" s="96"/>
      <c r="BV393" s="96"/>
      <c r="BW393" s="96"/>
      <c r="BX393" s="96"/>
      <c r="BY393" s="96"/>
      <c r="BZ393" s="96"/>
      <c r="CA393" s="96"/>
      <c r="CB393" s="96"/>
      <c r="CC393" s="96"/>
      <c r="CD393" s="96"/>
      <c r="CE393" s="96"/>
      <c r="CF393" s="96"/>
      <c r="CG393" s="96"/>
      <c r="CH393" s="96"/>
      <c r="CI393" s="96"/>
      <c r="CJ393" s="96"/>
      <c r="CK393" s="96"/>
      <c r="CL393" s="96"/>
      <c r="CM393" s="96"/>
      <c r="CN393" s="96"/>
      <c r="CO393" s="96"/>
      <c r="CP393" s="96"/>
      <c r="CQ393" s="96"/>
      <c r="CR393" s="96"/>
      <c r="CS393" s="96"/>
      <c r="CT393" s="96"/>
      <c r="CU393" s="96"/>
      <c r="CV393" s="96"/>
      <c r="CW393" s="96"/>
      <c r="CX393" s="96"/>
      <c r="CY393" s="96"/>
      <c r="CZ393" s="96"/>
      <c r="DA393" s="96"/>
      <c r="DB393" s="96"/>
      <c r="DC393" s="96"/>
      <c r="DD393" s="96"/>
      <c r="DE393" s="96"/>
      <c r="DF393" s="96"/>
      <c r="DG393" s="96"/>
      <c r="DH393" s="96"/>
      <c r="DI393" s="96"/>
      <c r="DJ393" s="96"/>
      <c r="DK393" s="96"/>
      <c r="DL393" s="96"/>
      <c r="DM393" s="96"/>
      <c r="DN393" s="96"/>
      <c r="DO393" s="96"/>
      <c r="DP393" s="96"/>
      <c r="DQ393" s="96"/>
      <c r="DR393" s="96"/>
      <c r="DS393" s="96"/>
      <c r="DT393" s="96"/>
      <c r="DU393" s="96"/>
      <c r="DV393" s="96"/>
      <c r="DW393" s="96"/>
      <c r="DX393" s="96"/>
      <c r="DY393" s="96"/>
      <c r="DZ393" s="96"/>
      <c r="EA393" s="96"/>
      <c r="EB393" s="96"/>
      <c r="EC393" s="96"/>
      <c r="ED393" s="96"/>
      <c r="EE393" s="96"/>
      <c r="EF393" s="96"/>
      <c r="EG393" s="96"/>
      <c r="EH393" s="96"/>
      <c r="EI393" s="96"/>
      <c r="EJ393" s="96"/>
      <c r="EK393" s="96"/>
      <c r="EL393" s="96"/>
      <c r="EM393" s="96"/>
      <c r="EN393" s="96"/>
      <c r="EO393" s="96"/>
      <c r="EP393" s="96"/>
      <c r="EQ393" s="96"/>
      <c r="ER393" s="96"/>
      <c r="ES393" s="96"/>
      <c r="ET393" s="96"/>
    </row>
    <row r="394" spans="4:150"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6"/>
      <c r="AV394" s="96"/>
      <c r="AW394" s="96"/>
      <c r="AX394" s="96"/>
      <c r="AY394" s="96"/>
      <c r="AZ394" s="96"/>
      <c r="BA394" s="96"/>
      <c r="BB394" s="96"/>
      <c r="BC394" s="96"/>
      <c r="BD394" s="96"/>
      <c r="BE394" s="96"/>
      <c r="BF394" s="96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6"/>
      <c r="BS394" s="96"/>
      <c r="BT394" s="96"/>
      <c r="BU394" s="96"/>
      <c r="BV394" s="96"/>
      <c r="BW394" s="96"/>
      <c r="BX394" s="96"/>
      <c r="BY394" s="96"/>
      <c r="BZ394" s="96"/>
      <c r="CA394" s="96"/>
      <c r="CB394" s="96"/>
      <c r="CC394" s="96"/>
      <c r="CD394" s="96"/>
      <c r="CE394" s="96"/>
      <c r="CF394" s="96"/>
      <c r="CG394" s="96"/>
      <c r="CH394" s="96"/>
      <c r="CI394" s="96"/>
      <c r="CJ394" s="96"/>
      <c r="CK394" s="96"/>
      <c r="CL394" s="96"/>
      <c r="CM394" s="96"/>
      <c r="CN394" s="96"/>
      <c r="CO394" s="96"/>
      <c r="CP394" s="96"/>
      <c r="CQ394" s="96"/>
      <c r="CR394" s="96"/>
      <c r="CS394" s="96"/>
      <c r="CT394" s="96"/>
      <c r="CU394" s="96"/>
      <c r="CV394" s="96"/>
      <c r="CW394" s="96"/>
      <c r="CX394" s="96"/>
      <c r="CY394" s="96"/>
      <c r="CZ394" s="96"/>
      <c r="DA394" s="96"/>
      <c r="DB394" s="96"/>
      <c r="DC394" s="96"/>
      <c r="DD394" s="96"/>
      <c r="DE394" s="96"/>
      <c r="DF394" s="96"/>
      <c r="DG394" s="96"/>
      <c r="DH394" s="96"/>
      <c r="DI394" s="96"/>
      <c r="DJ394" s="96"/>
      <c r="DK394" s="96"/>
      <c r="DL394" s="96"/>
      <c r="DM394" s="96"/>
      <c r="DN394" s="96"/>
      <c r="DO394" s="96"/>
      <c r="DP394" s="96"/>
      <c r="DQ394" s="96"/>
      <c r="DR394" s="96"/>
      <c r="DS394" s="96"/>
      <c r="DT394" s="96"/>
      <c r="DU394" s="96"/>
      <c r="DV394" s="96"/>
      <c r="DW394" s="96"/>
      <c r="DX394" s="96"/>
      <c r="DY394" s="96"/>
      <c r="DZ394" s="96"/>
      <c r="EA394" s="96"/>
      <c r="EB394" s="96"/>
      <c r="EC394" s="96"/>
      <c r="ED394" s="96"/>
      <c r="EE394" s="96"/>
      <c r="EF394" s="96"/>
      <c r="EG394" s="96"/>
      <c r="EH394" s="96"/>
      <c r="EI394" s="96"/>
      <c r="EJ394" s="96"/>
      <c r="EK394" s="96"/>
      <c r="EL394" s="96"/>
      <c r="EM394" s="96"/>
      <c r="EN394" s="96"/>
      <c r="EO394" s="96"/>
      <c r="EP394" s="96"/>
      <c r="EQ394" s="96"/>
      <c r="ER394" s="96"/>
      <c r="ES394" s="96"/>
      <c r="ET394" s="96"/>
    </row>
    <row r="395" spans="4:150"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96"/>
      <c r="AO395" s="96"/>
      <c r="AP395" s="96"/>
      <c r="AQ395" s="96"/>
      <c r="AR395" s="96"/>
      <c r="AS395" s="96"/>
      <c r="AT395" s="96"/>
      <c r="AU395" s="96"/>
      <c r="AV395" s="96"/>
      <c r="AW395" s="96"/>
      <c r="AX395" s="96"/>
      <c r="AY395" s="96"/>
      <c r="AZ395" s="96"/>
      <c r="BA395" s="96"/>
      <c r="BB395" s="96"/>
      <c r="BC395" s="96"/>
      <c r="BD395" s="96"/>
      <c r="BE395" s="96"/>
      <c r="BF395" s="96"/>
      <c r="BG395" s="96"/>
      <c r="BH395" s="96"/>
      <c r="BI395" s="96"/>
      <c r="BJ395" s="96"/>
      <c r="BK395" s="96"/>
      <c r="BL395" s="96"/>
      <c r="BM395" s="96"/>
      <c r="BN395" s="96"/>
      <c r="BO395" s="96"/>
      <c r="BP395" s="96"/>
      <c r="BQ395" s="96"/>
      <c r="BR395" s="96"/>
      <c r="BS395" s="96"/>
      <c r="BT395" s="96"/>
      <c r="BU395" s="96"/>
      <c r="BV395" s="96"/>
      <c r="BW395" s="96"/>
      <c r="BX395" s="96"/>
      <c r="BY395" s="96"/>
      <c r="BZ395" s="96"/>
      <c r="CA395" s="96"/>
      <c r="CB395" s="96"/>
      <c r="CC395" s="96"/>
      <c r="CD395" s="96"/>
      <c r="CE395" s="96"/>
      <c r="CF395" s="96"/>
      <c r="CG395" s="96"/>
      <c r="CH395" s="96"/>
      <c r="CI395" s="96"/>
      <c r="CJ395" s="96"/>
      <c r="CK395" s="96"/>
      <c r="CL395" s="96"/>
      <c r="CM395" s="96"/>
      <c r="CN395" s="96"/>
      <c r="CO395" s="96"/>
      <c r="CP395" s="96"/>
      <c r="CQ395" s="96"/>
      <c r="CR395" s="96"/>
      <c r="CS395" s="96"/>
      <c r="CT395" s="96"/>
      <c r="CU395" s="96"/>
      <c r="CV395" s="96"/>
      <c r="CW395" s="96"/>
      <c r="CX395" s="96"/>
      <c r="CY395" s="96"/>
      <c r="CZ395" s="96"/>
      <c r="DA395" s="96"/>
      <c r="DB395" s="96"/>
      <c r="DC395" s="96"/>
      <c r="DD395" s="96"/>
      <c r="DE395" s="96"/>
      <c r="DF395" s="96"/>
      <c r="DG395" s="96"/>
      <c r="DH395" s="96"/>
      <c r="DI395" s="96"/>
      <c r="DJ395" s="96"/>
      <c r="DK395" s="96"/>
      <c r="DL395" s="96"/>
      <c r="DM395" s="96"/>
      <c r="DN395" s="96"/>
      <c r="DO395" s="96"/>
      <c r="DP395" s="96"/>
      <c r="DQ395" s="96"/>
      <c r="DR395" s="96"/>
      <c r="DS395" s="96"/>
      <c r="DT395" s="96"/>
      <c r="DU395" s="96"/>
      <c r="DV395" s="96"/>
      <c r="DW395" s="96"/>
      <c r="DX395" s="96"/>
      <c r="DY395" s="96"/>
      <c r="DZ395" s="96"/>
      <c r="EA395" s="96"/>
      <c r="EB395" s="96"/>
      <c r="EC395" s="96"/>
      <c r="ED395" s="96"/>
      <c r="EE395" s="96"/>
      <c r="EF395" s="96"/>
      <c r="EG395" s="96"/>
      <c r="EH395" s="96"/>
      <c r="EI395" s="96"/>
      <c r="EJ395" s="96"/>
      <c r="EK395" s="96"/>
      <c r="EL395" s="96"/>
      <c r="EM395" s="96"/>
      <c r="EN395" s="96"/>
      <c r="EO395" s="96"/>
      <c r="EP395" s="96"/>
      <c r="EQ395" s="96"/>
      <c r="ER395" s="96"/>
      <c r="ES395" s="96"/>
      <c r="ET395" s="96"/>
    </row>
    <row r="396" spans="4:150"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6"/>
      <c r="AV396" s="96"/>
      <c r="AW396" s="96"/>
      <c r="AX396" s="96"/>
      <c r="AY396" s="96"/>
      <c r="AZ396" s="96"/>
      <c r="BA396" s="96"/>
      <c r="BB396" s="96"/>
      <c r="BC396" s="96"/>
      <c r="BD396" s="96"/>
      <c r="BE396" s="96"/>
      <c r="BF396" s="96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6"/>
      <c r="BS396" s="96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  <c r="CD396" s="96"/>
      <c r="CE396" s="96"/>
      <c r="CF396" s="96"/>
      <c r="CG396" s="96"/>
      <c r="CH396" s="96"/>
      <c r="CI396" s="96"/>
      <c r="CJ396" s="96"/>
      <c r="CK396" s="96"/>
      <c r="CL396" s="96"/>
      <c r="CM396" s="96"/>
      <c r="CN396" s="96"/>
      <c r="CO396" s="96"/>
      <c r="CP396" s="96"/>
      <c r="CQ396" s="96"/>
      <c r="CR396" s="96"/>
      <c r="CS396" s="96"/>
      <c r="CT396" s="96"/>
      <c r="CU396" s="96"/>
      <c r="CV396" s="96"/>
      <c r="CW396" s="96"/>
      <c r="CX396" s="96"/>
      <c r="CY396" s="96"/>
      <c r="CZ396" s="96"/>
      <c r="DA396" s="96"/>
      <c r="DB396" s="96"/>
      <c r="DC396" s="96"/>
      <c r="DD396" s="96"/>
      <c r="DE396" s="96"/>
      <c r="DF396" s="96"/>
      <c r="DG396" s="96"/>
      <c r="DH396" s="96"/>
      <c r="DI396" s="96"/>
      <c r="DJ396" s="96"/>
      <c r="DK396" s="96"/>
      <c r="DL396" s="96"/>
      <c r="DM396" s="96"/>
      <c r="DN396" s="96"/>
      <c r="DO396" s="96"/>
      <c r="DP396" s="96"/>
      <c r="DQ396" s="96"/>
      <c r="DR396" s="96"/>
      <c r="DS396" s="96"/>
      <c r="DT396" s="96"/>
      <c r="DU396" s="96"/>
      <c r="DV396" s="96"/>
      <c r="DW396" s="96"/>
      <c r="DX396" s="96"/>
      <c r="DY396" s="96"/>
      <c r="DZ396" s="96"/>
      <c r="EA396" s="96"/>
      <c r="EB396" s="96"/>
      <c r="EC396" s="96"/>
      <c r="ED396" s="96"/>
      <c r="EE396" s="96"/>
      <c r="EF396" s="96"/>
      <c r="EG396" s="96"/>
      <c r="EH396" s="96"/>
      <c r="EI396" s="96"/>
      <c r="EJ396" s="96"/>
      <c r="EK396" s="96"/>
      <c r="EL396" s="96"/>
      <c r="EM396" s="96"/>
      <c r="EN396" s="96"/>
      <c r="EO396" s="96"/>
      <c r="EP396" s="96"/>
      <c r="EQ396" s="96"/>
      <c r="ER396" s="96"/>
      <c r="ES396" s="96"/>
      <c r="ET396" s="96"/>
    </row>
    <row r="397" spans="4:150"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6"/>
      <c r="AV397" s="96"/>
      <c r="AW397" s="96"/>
      <c r="AX397" s="96"/>
      <c r="AY397" s="96"/>
      <c r="AZ397" s="96"/>
      <c r="BA397" s="96"/>
      <c r="BB397" s="96"/>
      <c r="BC397" s="96"/>
      <c r="BD397" s="96"/>
      <c r="BE397" s="96"/>
      <c r="BF397" s="96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6"/>
      <c r="BS397" s="96"/>
      <c r="BT397" s="96"/>
      <c r="BU397" s="96"/>
      <c r="BV397" s="96"/>
      <c r="BW397" s="96"/>
      <c r="BX397" s="96"/>
      <c r="BY397" s="96"/>
      <c r="BZ397" s="96"/>
      <c r="CA397" s="96"/>
      <c r="CB397" s="96"/>
      <c r="CC397" s="96"/>
      <c r="CD397" s="96"/>
      <c r="CE397" s="96"/>
      <c r="CF397" s="96"/>
      <c r="CG397" s="96"/>
      <c r="CH397" s="96"/>
      <c r="CI397" s="96"/>
      <c r="CJ397" s="96"/>
      <c r="CK397" s="96"/>
      <c r="CL397" s="96"/>
      <c r="CM397" s="96"/>
      <c r="CN397" s="96"/>
      <c r="CO397" s="96"/>
      <c r="CP397" s="96"/>
      <c r="CQ397" s="96"/>
      <c r="CR397" s="96"/>
      <c r="CS397" s="96"/>
      <c r="CT397" s="96"/>
      <c r="CU397" s="96"/>
      <c r="CV397" s="96"/>
      <c r="CW397" s="96"/>
      <c r="CX397" s="96"/>
      <c r="CY397" s="96"/>
      <c r="CZ397" s="96"/>
      <c r="DA397" s="96"/>
      <c r="DB397" s="96"/>
      <c r="DC397" s="96"/>
      <c r="DD397" s="96"/>
      <c r="DE397" s="96"/>
      <c r="DF397" s="96"/>
      <c r="DG397" s="96"/>
      <c r="DH397" s="96"/>
      <c r="DI397" s="96"/>
      <c r="DJ397" s="96"/>
      <c r="DK397" s="96"/>
      <c r="DL397" s="96"/>
      <c r="DM397" s="96"/>
      <c r="DN397" s="96"/>
      <c r="DO397" s="96"/>
      <c r="DP397" s="96"/>
      <c r="DQ397" s="96"/>
      <c r="DR397" s="96"/>
      <c r="DS397" s="96"/>
      <c r="DT397" s="96"/>
      <c r="DU397" s="96"/>
      <c r="DV397" s="96"/>
      <c r="DW397" s="96"/>
      <c r="DX397" s="96"/>
      <c r="DY397" s="96"/>
      <c r="DZ397" s="96"/>
      <c r="EA397" s="96"/>
      <c r="EB397" s="96"/>
      <c r="EC397" s="96"/>
      <c r="ED397" s="96"/>
      <c r="EE397" s="96"/>
      <c r="EF397" s="96"/>
      <c r="EG397" s="96"/>
      <c r="EH397" s="96"/>
      <c r="EI397" s="96"/>
      <c r="EJ397" s="96"/>
      <c r="EK397" s="96"/>
      <c r="EL397" s="96"/>
      <c r="EM397" s="96"/>
      <c r="EN397" s="96"/>
      <c r="EO397" s="96"/>
      <c r="EP397" s="96"/>
      <c r="EQ397" s="96"/>
      <c r="ER397" s="96"/>
      <c r="ES397" s="96"/>
      <c r="ET397" s="96"/>
    </row>
    <row r="398" spans="4:150"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6"/>
      <c r="AV398" s="96"/>
      <c r="AW398" s="96"/>
      <c r="AX398" s="96"/>
      <c r="AY398" s="96"/>
      <c r="AZ398" s="96"/>
      <c r="BA398" s="96"/>
      <c r="BB398" s="96"/>
      <c r="BC398" s="96"/>
      <c r="BD398" s="96"/>
      <c r="BE398" s="96"/>
      <c r="BF398" s="96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6"/>
      <c r="BS398" s="96"/>
      <c r="BT398" s="96"/>
      <c r="BU398" s="96"/>
      <c r="BV398" s="96"/>
      <c r="BW398" s="96"/>
      <c r="BX398" s="96"/>
      <c r="BY398" s="96"/>
      <c r="BZ398" s="96"/>
      <c r="CA398" s="96"/>
      <c r="CB398" s="96"/>
      <c r="CC398" s="96"/>
      <c r="CD398" s="96"/>
      <c r="CE398" s="96"/>
      <c r="CF398" s="96"/>
      <c r="CG398" s="96"/>
      <c r="CH398" s="96"/>
      <c r="CI398" s="96"/>
      <c r="CJ398" s="96"/>
      <c r="CK398" s="96"/>
      <c r="CL398" s="96"/>
      <c r="CM398" s="96"/>
      <c r="CN398" s="96"/>
      <c r="CO398" s="96"/>
      <c r="CP398" s="96"/>
      <c r="CQ398" s="96"/>
      <c r="CR398" s="96"/>
      <c r="CS398" s="96"/>
      <c r="CT398" s="96"/>
      <c r="CU398" s="96"/>
      <c r="CV398" s="96"/>
      <c r="CW398" s="96"/>
      <c r="CX398" s="96"/>
      <c r="CY398" s="96"/>
      <c r="CZ398" s="96"/>
      <c r="DA398" s="96"/>
      <c r="DB398" s="96"/>
      <c r="DC398" s="96"/>
      <c r="DD398" s="96"/>
      <c r="DE398" s="96"/>
      <c r="DF398" s="96"/>
      <c r="DG398" s="96"/>
      <c r="DH398" s="96"/>
      <c r="DI398" s="96"/>
      <c r="DJ398" s="96"/>
      <c r="DK398" s="96"/>
      <c r="DL398" s="96"/>
      <c r="DM398" s="96"/>
      <c r="DN398" s="96"/>
      <c r="DO398" s="96"/>
      <c r="DP398" s="96"/>
      <c r="DQ398" s="96"/>
      <c r="DR398" s="96"/>
      <c r="DS398" s="96"/>
      <c r="DT398" s="96"/>
      <c r="DU398" s="96"/>
      <c r="DV398" s="96"/>
      <c r="DW398" s="96"/>
      <c r="DX398" s="96"/>
      <c r="DY398" s="96"/>
      <c r="DZ398" s="96"/>
      <c r="EA398" s="96"/>
      <c r="EB398" s="96"/>
      <c r="EC398" s="96"/>
      <c r="ED398" s="96"/>
      <c r="EE398" s="96"/>
      <c r="EF398" s="96"/>
      <c r="EG398" s="96"/>
      <c r="EH398" s="96"/>
      <c r="EI398" s="96"/>
      <c r="EJ398" s="96"/>
      <c r="EK398" s="96"/>
      <c r="EL398" s="96"/>
      <c r="EM398" s="96"/>
      <c r="EN398" s="96"/>
      <c r="EO398" s="96"/>
      <c r="EP398" s="96"/>
      <c r="EQ398" s="96"/>
      <c r="ER398" s="96"/>
      <c r="ES398" s="96"/>
      <c r="ET398" s="96"/>
    </row>
    <row r="399" spans="4:150"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6"/>
      <c r="AV399" s="96"/>
      <c r="AW399" s="96"/>
      <c r="AX399" s="96"/>
      <c r="AY399" s="96"/>
      <c r="AZ399" s="96"/>
      <c r="BA399" s="96"/>
      <c r="BB399" s="96"/>
      <c r="BC399" s="96"/>
      <c r="BD399" s="96"/>
      <c r="BE399" s="96"/>
      <c r="BF399" s="96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6"/>
      <c r="BS399" s="96"/>
      <c r="BT399" s="96"/>
      <c r="BU399" s="96"/>
      <c r="BV399" s="96"/>
      <c r="BW399" s="96"/>
      <c r="BX399" s="96"/>
      <c r="BY399" s="96"/>
      <c r="BZ399" s="96"/>
      <c r="CA399" s="96"/>
      <c r="CB399" s="96"/>
      <c r="CC399" s="96"/>
      <c r="CD399" s="96"/>
      <c r="CE399" s="96"/>
      <c r="CF399" s="96"/>
      <c r="CG399" s="96"/>
      <c r="CH399" s="96"/>
      <c r="CI399" s="96"/>
      <c r="CJ399" s="96"/>
      <c r="CK399" s="96"/>
      <c r="CL399" s="96"/>
      <c r="CM399" s="96"/>
      <c r="CN399" s="96"/>
      <c r="CO399" s="96"/>
      <c r="CP399" s="96"/>
      <c r="CQ399" s="96"/>
      <c r="CR399" s="96"/>
      <c r="CS399" s="96"/>
      <c r="CT399" s="96"/>
      <c r="CU399" s="96"/>
      <c r="CV399" s="96"/>
      <c r="CW399" s="96"/>
      <c r="CX399" s="96"/>
      <c r="CY399" s="96"/>
      <c r="CZ399" s="96"/>
      <c r="DA399" s="96"/>
      <c r="DB399" s="96"/>
      <c r="DC399" s="96"/>
      <c r="DD399" s="96"/>
      <c r="DE399" s="96"/>
      <c r="DF399" s="96"/>
      <c r="DG399" s="96"/>
      <c r="DH399" s="96"/>
      <c r="DI399" s="96"/>
      <c r="DJ399" s="96"/>
      <c r="DK399" s="96"/>
      <c r="DL399" s="96"/>
      <c r="DM399" s="96"/>
      <c r="DN399" s="96"/>
      <c r="DO399" s="96"/>
      <c r="DP399" s="96"/>
      <c r="DQ399" s="96"/>
      <c r="DR399" s="96"/>
      <c r="DS399" s="96"/>
      <c r="DT399" s="96"/>
      <c r="DU399" s="96"/>
      <c r="DV399" s="96"/>
      <c r="DW399" s="96"/>
      <c r="DX399" s="96"/>
      <c r="DY399" s="96"/>
      <c r="DZ399" s="96"/>
      <c r="EA399" s="96"/>
      <c r="EB399" s="96"/>
      <c r="EC399" s="96"/>
      <c r="ED399" s="96"/>
      <c r="EE399" s="96"/>
      <c r="EF399" s="96"/>
      <c r="EG399" s="96"/>
      <c r="EH399" s="96"/>
      <c r="EI399" s="96"/>
      <c r="EJ399" s="96"/>
      <c r="EK399" s="96"/>
      <c r="EL399" s="96"/>
      <c r="EM399" s="96"/>
      <c r="EN399" s="96"/>
      <c r="EO399" s="96"/>
      <c r="EP399" s="96"/>
      <c r="EQ399" s="96"/>
      <c r="ER399" s="96"/>
      <c r="ES399" s="96"/>
      <c r="ET399" s="96"/>
    </row>
    <row r="400" spans="4:150"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6"/>
      <c r="AV400" s="96"/>
      <c r="AW400" s="96"/>
      <c r="AX400" s="96"/>
      <c r="AY400" s="96"/>
      <c r="AZ400" s="96"/>
      <c r="BA400" s="96"/>
      <c r="BB400" s="96"/>
      <c r="BC400" s="96"/>
      <c r="BD400" s="96"/>
      <c r="BE400" s="96"/>
      <c r="BF400" s="96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6"/>
      <c r="BS400" s="96"/>
      <c r="BT400" s="96"/>
      <c r="BU400" s="96"/>
      <c r="BV400" s="96"/>
      <c r="BW400" s="96"/>
      <c r="BX400" s="96"/>
      <c r="BY400" s="96"/>
      <c r="BZ400" s="96"/>
      <c r="CA400" s="96"/>
      <c r="CB400" s="96"/>
      <c r="CC400" s="96"/>
      <c r="CD400" s="96"/>
      <c r="CE400" s="96"/>
      <c r="CF400" s="96"/>
      <c r="CG400" s="96"/>
      <c r="CH400" s="96"/>
      <c r="CI400" s="96"/>
      <c r="CJ400" s="96"/>
      <c r="CK400" s="96"/>
      <c r="CL400" s="96"/>
      <c r="CM400" s="96"/>
      <c r="CN400" s="96"/>
      <c r="CO400" s="96"/>
      <c r="CP400" s="96"/>
      <c r="CQ400" s="96"/>
      <c r="CR400" s="96"/>
      <c r="CS400" s="96"/>
      <c r="CT400" s="96"/>
      <c r="CU400" s="96"/>
      <c r="CV400" s="96"/>
      <c r="CW400" s="96"/>
      <c r="CX400" s="96"/>
      <c r="CY400" s="96"/>
      <c r="CZ400" s="96"/>
      <c r="DA400" s="96"/>
      <c r="DB400" s="96"/>
      <c r="DC400" s="96"/>
      <c r="DD400" s="96"/>
      <c r="DE400" s="96"/>
      <c r="DF400" s="96"/>
      <c r="DG400" s="96"/>
      <c r="DH400" s="96"/>
      <c r="DI400" s="96"/>
      <c r="DJ400" s="96"/>
      <c r="DK400" s="96"/>
      <c r="DL400" s="96"/>
      <c r="DM400" s="96"/>
      <c r="DN400" s="96"/>
      <c r="DO400" s="96"/>
      <c r="DP400" s="96"/>
      <c r="DQ400" s="96"/>
      <c r="DR400" s="96"/>
      <c r="DS400" s="96"/>
      <c r="DT400" s="96"/>
      <c r="DU400" s="96"/>
      <c r="DV400" s="96"/>
      <c r="DW400" s="96"/>
      <c r="DX400" s="96"/>
      <c r="DY400" s="96"/>
      <c r="DZ400" s="96"/>
      <c r="EA400" s="96"/>
      <c r="EB400" s="96"/>
      <c r="EC400" s="96"/>
      <c r="ED400" s="96"/>
      <c r="EE400" s="96"/>
      <c r="EF400" s="96"/>
      <c r="EG400" s="96"/>
      <c r="EH400" s="96"/>
      <c r="EI400" s="96"/>
      <c r="EJ400" s="96"/>
      <c r="EK400" s="96"/>
      <c r="EL400" s="96"/>
      <c r="EM400" s="96"/>
      <c r="EN400" s="96"/>
      <c r="EO400" s="96"/>
      <c r="EP400" s="96"/>
      <c r="EQ400" s="96"/>
      <c r="ER400" s="96"/>
      <c r="ES400" s="96"/>
      <c r="ET400" s="96"/>
    </row>
    <row r="401" spans="4:150"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6"/>
      <c r="AV401" s="96"/>
      <c r="AW401" s="96"/>
      <c r="AX401" s="96"/>
      <c r="AY401" s="96"/>
      <c r="AZ401" s="96"/>
      <c r="BA401" s="96"/>
      <c r="BB401" s="96"/>
      <c r="BC401" s="96"/>
      <c r="BD401" s="96"/>
      <c r="BE401" s="96"/>
      <c r="BF401" s="96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6"/>
      <c r="BS401" s="96"/>
      <c r="BT401" s="96"/>
      <c r="BU401" s="96"/>
      <c r="BV401" s="96"/>
      <c r="BW401" s="96"/>
      <c r="BX401" s="96"/>
      <c r="BY401" s="96"/>
      <c r="BZ401" s="96"/>
      <c r="CA401" s="96"/>
      <c r="CB401" s="96"/>
      <c r="CC401" s="96"/>
      <c r="CD401" s="96"/>
      <c r="CE401" s="96"/>
      <c r="CF401" s="96"/>
      <c r="CG401" s="96"/>
      <c r="CH401" s="96"/>
      <c r="CI401" s="96"/>
      <c r="CJ401" s="96"/>
      <c r="CK401" s="96"/>
      <c r="CL401" s="96"/>
      <c r="CM401" s="96"/>
      <c r="CN401" s="96"/>
      <c r="CO401" s="96"/>
      <c r="CP401" s="96"/>
      <c r="CQ401" s="96"/>
      <c r="CR401" s="96"/>
      <c r="CS401" s="96"/>
      <c r="CT401" s="96"/>
      <c r="CU401" s="96"/>
      <c r="CV401" s="96"/>
      <c r="CW401" s="96"/>
      <c r="CX401" s="96"/>
      <c r="CY401" s="96"/>
      <c r="CZ401" s="96"/>
      <c r="DA401" s="96"/>
      <c r="DB401" s="96"/>
      <c r="DC401" s="96"/>
      <c r="DD401" s="96"/>
      <c r="DE401" s="96"/>
      <c r="DF401" s="96"/>
      <c r="DG401" s="96"/>
      <c r="DH401" s="96"/>
      <c r="DI401" s="96"/>
      <c r="DJ401" s="96"/>
      <c r="DK401" s="96"/>
      <c r="DL401" s="96"/>
      <c r="DM401" s="96"/>
      <c r="DN401" s="96"/>
      <c r="DO401" s="96"/>
      <c r="DP401" s="96"/>
      <c r="DQ401" s="96"/>
      <c r="DR401" s="96"/>
      <c r="DS401" s="96"/>
      <c r="DT401" s="96"/>
      <c r="DU401" s="96"/>
      <c r="DV401" s="96"/>
      <c r="DW401" s="96"/>
      <c r="DX401" s="96"/>
      <c r="DY401" s="96"/>
      <c r="DZ401" s="96"/>
      <c r="EA401" s="96"/>
      <c r="EB401" s="96"/>
      <c r="EC401" s="96"/>
      <c r="ED401" s="96"/>
      <c r="EE401" s="96"/>
      <c r="EF401" s="96"/>
      <c r="EG401" s="96"/>
      <c r="EH401" s="96"/>
      <c r="EI401" s="96"/>
      <c r="EJ401" s="96"/>
      <c r="EK401" s="96"/>
      <c r="EL401" s="96"/>
      <c r="EM401" s="96"/>
      <c r="EN401" s="96"/>
      <c r="EO401" s="96"/>
      <c r="EP401" s="96"/>
      <c r="EQ401" s="96"/>
      <c r="ER401" s="96"/>
      <c r="ES401" s="96"/>
      <c r="ET401" s="96"/>
    </row>
    <row r="402" spans="4:150"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6"/>
      <c r="AW402" s="96"/>
      <c r="AX402" s="96"/>
      <c r="AY402" s="96"/>
      <c r="AZ402" s="96"/>
      <c r="BA402" s="96"/>
      <c r="BB402" s="96"/>
      <c r="BC402" s="96"/>
      <c r="BD402" s="96"/>
      <c r="BE402" s="96"/>
      <c r="BF402" s="96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6"/>
      <c r="BS402" s="96"/>
      <c r="BT402" s="96"/>
      <c r="BU402" s="96"/>
      <c r="BV402" s="96"/>
      <c r="BW402" s="96"/>
      <c r="BX402" s="96"/>
      <c r="BY402" s="96"/>
      <c r="BZ402" s="96"/>
      <c r="CA402" s="96"/>
      <c r="CB402" s="96"/>
      <c r="CC402" s="96"/>
      <c r="CD402" s="96"/>
      <c r="CE402" s="96"/>
      <c r="CF402" s="96"/>
      <c r="CG402" s="96"/>
      <c r="CH402" s="96"/>
      <c r="CI402" s="96"/>
      <c r="CJ402" s="96"/>
      <c r="CK402" s="96"/>
      <c r="CL402" s="96"/>
      <c r="CM402" s="96"/>
      <c r="CN402" s="96"/>
      <c r="CO402" s="96"/>
      <c r="CP402" s="96"/>
      <c r="CQ402" s="96"/>
      <c r="CR402" s="96"/>
      <c r="CS402" s="96"/>
      <c r="CT402" s="96"/>
      <c r="CU402" s="96"/>
      <c r="CV402" s="96"/>
      <c r="CW402" s="96"/>
      <c r="CX402" s="96"/>
      <c r="CY402" s="96"/>
      <c r="CZ402" s="96"/>
      <c r="DA402" s="96"/>
      <c r="DB402" s="96"/>
      <c r="DC402" s="96"/>
      <c r="DD402" s="96"/>
      <c r="DE402" s="96"/>
      <c r="DF402" s="96"/>
      <c r="DG402" s="96"/>
      <c r="DH402" s="96"/>
      <c r="DI402" s="96"/>
      <c r="DJ402" s="96"/>
      <c r="DK402" s="96"/>
      <c r="DL402" s="96"/>
      <c r="DM402" s="96"/>
      <c r="DN402" s="96"/>
      <c r="DO402" s="96"/>
      <c r="DP402" s="96"/>
      <c r="DQ402" s="96"/>
      <c r="DR402" s="96"/>
      <c r="DS402" s="96"/>
      <c r="DT402" s="96"/>
      <c r="DU402" s="96"/>
      <c r="DV402" s="96"/>
      <c r="DW402" s="96"/>
      <c r="DX402" s="96"/>
      <c r="DY402" s="96"/>
      <c r="DZ402" s="96"/>
      <c r="EA402" s="96"/>
      <c r="EB402" s="96"/>
      <c r="EC402" s="96"/>
      <c r="ED402" s="96"/>
      <c r="EE402" s="96"/>
      <c r="EF402" s="96"/>
      <c r="EG402" s="96"/>
      <c r="EH402" s="96"/>
      <c r="EI402" s="96"/>
      <c r="EJ402" s="96"/>
      <c r="EK402" s="96"/>
      <c r="EL402" s="96"/>
      <c r="EM402" s="96"/>
      <c r="EN402" s="96"/>
      <c r="EO402" s="96"/>
      <c r="EP402" s="96"/>
      <c r="EQ402" s="96"/>
      <c r="ER402" s="96"/>
      <c r="ES402" s="96"/>
      <c r="ET402" s="96"/>
    </row>
    <row r="403" spans="4:150"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6"/>
      <c r="AW403" s="96"/>
      <c r="AX403" s="96"/>
      <c r="AY403" s="96"/>
      <c r="AZ403" s="96"/>
      <c r="BA403" s="96"/>
      <c r="BB403" s="96"/>
      <c r="BC403" s="96"/>
      <c r="BD403" s="96"/>
      <c r="BE403" s="96"/>
      <c r="BF403" s="96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6"/>
      <c r="BS403" s="96"/>
      <c r="BT403" s="96"/>
      <c r="BU403" s="96"/>
      <c r="BV403" s="96"/>
      <c r="BW403" s="96"/>
      <c r="BX403" s="96"/>
      <c r="BY403" s="96"/>
      <c r="BZ403" s="96"/>
      <c r="CA403" s="96"/>
      <c r="CB403" s="96"/>
      <c r="CC403" s="96"/>
      <c r="CD403" s="96"/>
      <c r="CE403" s="96"/>
      <c r="CF403" s="96"/>
      <c r="CG403" s="96"/>
      <c r="CH403" s="96"/>
      <c r="CI403" s="96"/>
      <c r="CJ403" s="96"/>
      <c r="CK403" s="96"/>
      <c r="CL403" s="96"/>
      <c r="CM403" s="96"/>
      <c r="CN403" s="96"/>
      <c r="CO403" s="96"/>
      <c r="CP403" s="96"/>
      <c r="CQ403" s="96"/>
      <c r="CR403" s="96"/>
      <c r="CS403" s="96"/>
      <c r="CT403" s="96"/>
      <c r="CU403" s="96"/>
      <c r="CV403" s="96"/>
      <c r="CW403" s="96"/>
      <c r="CX403" s="96"/>
      <c r="CY403" s="96"/>
      <c r="CZ403" s="96"/>
      <c r="DA403" s="96"/>
      <c r="DB403" s="96"/>
      <c r="DC403" s="96"/>
      <c r="DD403" s="96"/>
      <c r="DE403" s="96"/>
      <c r="DF403" s="96"/>
      <c r="DG403" s="96"/>
      <c r="DH403" s="96"/>
      <c r="DI403" s="96"/>
      <c r="DJ403" s="96"/>
      <c r="DK403" s="96"/>
      <c r="DL403" s="96"/>
      <c r="DM403" s="96"/>
      <c r="DN403" s="96"/>
      <c r="DO403" s="96"/>
      <c r="DP403" s="96"/>
      <c r="DQ403" s="96"/>
      <c r="DR403" s="96"/>
      <c r="DS403" s="96"/>
      <c r="DT403" s="96"/>
      <c r="DU403" s="96"/>
      <c r="DV403" s="96"/>
      <c r="DW403" s="96"/>
      <c r="DX403" s="96"/>
      <c r="DY403" s="96"/>
      <c r="DZ403" s="96"/>
      <c r="EA403" s="96"/>
      <c r="EB403" s="96"/>
      <c r="EC403" s="96"/>
      <c r="ED403" s="96"/>
      <c r="EE403" s="96"/>
      <c r="EF403" s="96"/>
      <c r="EG403" s="96"/>
      <c r="EH403" s="96"/>
      <c r="EI403" s="96"/>
      <c r="EJ403" s="96"/>
      <c r="EK403" s="96"/>
      <c r="EL403" s="96"/>
      <c r="EM403" s="96"/>
      <c r="EN403" s="96"/>
      <c r="EO403" s="96"/>
      <c r="EP403" s="96"/>
      <c r="EQ403" s="96"/>
      <c r="ER403" s="96"/>
      <c r="ES403" s="96"/>
      <c r="ET403" s="96"/>
    </row>
    <row r="404" spans="4:150"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6"/>
      <c r="BB404" s="96"/>
      <c r="BC404" s="96"/>
      <c r="BD404" s="96"/>
      <c r="BE404" s="96"/>
      <c r="BF404" s="96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6"/>
      <c r="BS404" s="96"/>
      <c r="BT404" s="96"/>
      <c r="BU404" s="96"/>
      <c r="BV404" s="96"/>
      <c r="BW404" s="96"/>
      <c r="BX404" s="96"/>
      <c r="BY404" s="96"/>
      <c r="BZ404" s="96"/>
      <c r="CA404" s="96"/>
      <c r="CB404" s="96"/>
      <c r="CC404" s="96"/>
      <c r="CD404" s="96"/>
      <c r="CE404" s="96"/>
      <c r="CF404" s="96"/>
      <c r="CG404" s="96"/>
      <c r="CH404" s="96"/>
      <c r="CI404" s="96"/>
      <c r="CJ404" s="96"/>
      <c r="CK404" s="96"/>
      <c r="CL404" s="96"/>
      <c r="CM404" s="96"/>
      <c r="CN404" s="96"/>
      <c r="CO404" s="96"/>
      <c r="CP404" s="96"/>
      <c r="CQ404" s="96"/>
      <c r="CR404" s="96"/>
      <c r="CS404" s="96"/>
      <c r="CT404" s="96"/>
      <c r="CU404" s="96"/>
      <c r="CV404" s="96"/>
      <c r="CW404" s="96"/>
      <c r="CX404" s="96"/>
      <c r="CY404" s="96"/>
      <c r="CZ404" s="96"/>
      <c r="DA404" s="96"/>
      <c r="DB404" s="96"/>
      <c r="DC404" s="96"/>
      <c r="DD404" s="96"/>
      <c r="DE404" s="96"/>
      <c r="DF404" s="96"/>
      <c r="DG404" s="96"/>
      <c r="DH404" s="96"/>
      <c r="DI404" s="96"/>
      <c r="DJ404" s="96"/>
      <c r="DK404" s="96"/>
      <c r="DL404" s="96"/>
      <c r="DM404" s="96"/>
      <c r="DN404" s="96"/>
      <c r="DO404" s="96"/>
      <c r="DP404" s="96"/>
      <c r="DQ404" s="96"/>
      <c r="DR404" s="96"/>
      <c r="DS404" s="96"/>
      <c r="DT404" s="96"/>
      <c r="DU404" s="96"/>
      <c r="DV404" s="96"/>
      <c r="DW404" s="96"/>
      <c r="DX404" s="96"/>
      <c r="DY404" s="96"/>
      <c r="DZ404" s="96"/>
      <c r="EA404" s="96"/>
      <c r="EB404" s="96"/>
      <c r="EC404" s="96"/>
      <c r="ED404" s="96"/>
      <c r="EE404" s="96"/>
      <c r="EF404" s="96"/>
      <c r="EG404" s="96"/>
      <c r="EH404" s="96"/>
      <c r="EI404" s="96"/>
      <c r="EJ404" s="96"/>
      <c r="EK404" s="96"/>
      <c r="EL404" s="96"/>
      <c r="EM404" s="96"/>
      <c r="EN404" s="96"/>
      <c r="EO404" s="96"/>
      <c r="EP404" s="96"/>
      <c r="EQ404" s="96"/>
      <c r="ER404" s="96"/>
      <c r="ES404" s="96"/>
      <c r="ET404" s="96"/>
    </row>
    <row r="405" spans="4:150"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6"/>
      <c r="AV405" s="96"/>
      <c r="AW405" s="96"/>
      <c r="AX405" s="96"/>
      <c r="AY405" s="96"/>
      <c r="AZ405" s="96"/>
      <c r="BA405" s="96"/>
      <c r="BB405" s="96"/>
      <c r="BC405" s="96"/>
      <c r="BD405" s="96"/>
      <c r="BE405" s="96"/>
      <c r="BF405" s="96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6"/>
      <c r="BS405" s="96"/>
      <c r="BT405" s="96"/>
      <c r="BU405" s="96"/>
      <c r="BV405" s="96"/>
      <c r="BW405" s="96"/>
      <c r="BX405" s="96"/>
      <c r="BY405" s="96"/>
      <c r="BZ405" s="96"/>
      <c r="CA405" s="96"/>
      <c r="CB405" s="96"/>
      <c r="CC405" s="96"/>
      <c r="CD405" s="96"/>
      <c r="CE405" s="96"/>
      <c r="CF405" s="96"/>
      <c r="CG405" s="96"/>
      <c r="CH405" s="96"/>
      <c r="CI405" s="96"/>
      <c r="CJ405" s="96"/>
      <c r="CK405" s="96"/>
      <c r="CL405" s="96"/>
      <c r="CM405" s="96"/>
      <c r="CN405" s="96"/>
      <c r="CO405" s="96"/>
      <c r="CP405" s="96"/>
      <c r="CQ405" s="96"/>
      <c r="CR405" s="96"/>
      <c r="CS405" s="96"/>
      <c r="CT405" s="96"/>
      <c r="CU405" s="96"/>
      <c r="CV405" s="96"/>
      <c r="CW405" s="96"/>
      <c r="CX405" s="96"/>
      <c r="CY405" s="96"/>
      <c r="CZ405" s="96"/>
      <c r="DA405" s="96"/>
      <c r="DB405" s="96"/>
      <c r="DC405" s="96"/>
      <c r="DD405" s="96"/>
      <c r="DE405" s="96"/>
      <c r="DF405" s="96"/>
      <c r="DG405" s="96"/>
      <c r="DH405" s="96"/>
      <c r="DI405" s="96"/>
      <c r="DJ405" s="96"/>
      <c r="DK405" s="96"/>
      <c r="DL405" s="96"/>
      <c r="DM405" s="96"/>
      <c r="DN405" s="96"/>
      <c r="DO405" s="96"/>
      <c r="DP405" s="96"/>
      <c r="DQ405" s="96"/>
      <c r="DR405" s="96"/>
      <c r="DS405" s="96"/>
      <c r="DT405" s="96"/>
      <c r="DU405" s="96"/>
      <c r="DV405" s="96"/>
      <c r="DW405" s="96"/>
      <c r="DX405" s="96"/>
      <c r="DY405" s="96"/>
      <c r="DZ405" s="96"/>
      <c r="EA405" s="96"/>
      <c r="EB405" s="96"/>
      <c r="EC405" s="96"/>
      <c r="ED405" s="96"/>
      <c r="EE405" s="96"/>
      <c r="EF405" s="96"/>
      <c r="EG405" s="96"/>
      <c r="EH405" s="96"/>
      <c r="EI405" s="96"/>
      <c r="EJ405" s="96"/>
      <c r="EK405" s="96"/>
      <c r="EL405" s="96"/>
      <c r="EM405" s="96"/>
      <c r="EN405" s="96"/>
      <c r="EO405" s="96"/>
      <c r="EP405" s="96"/>
      <c r="EQ405" s="96"/>
      <c r="ER405" s="96"/>
      <c r="ES405" s="96"/>
      <c r="ET405" s="96"/>
    </row>
    <row r="406" spans="4:150"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  <c r="CD406" s="96"/>
      <c r="CE406" s="96"/>
      <c r="CF406" s="96"/>
      <c r="CG406" s="96"/>
      <c r="CH406" s="96"/>
      <c r="CI406" s="96"/>
      <c r="CJ406" s="96"/>
      <c r="CK406" s="96"/>
      <c r="CL406" s="96"/>
      <c r="CM406" s="96"/>
      <c r="CN406" s="96"/>
      <c r="CO406" s="96"/>
      <c r="CP406" s="96"/>
      <c r="CQ406" s="96"/>
      <c r="CR406" s="96"/>
      <c r="CS406" s="96"/>
      <c r="CT406" s="96"/>
      <c r="CU406" s="96"/>
      <c r="CV406" s="96"/>
      <c r="CW406" s="96"/>
      <c r="CX406" s="96"/>
      <c r="CY406" s="96"/>
      <c r="CZ406" s="96"/>
      <c r="DA406" s="96"/>
      <c r="DB406" s="96"/>
      <c r="DC406" s="96"/>
      <c r="DD406" s="96"/>
      <c r="DE406" s="96"/>
      <c r="DF406" s="96"/>
      <c r="DG406" s="96"/>
      <c r="DH406" s="96"/>
      <c r="DI406" s="96"/>
      <c r="DJ406" s="96"/>
      <c r="DK406" s="96"/>
      <c r="DL406" s="96"/>
      <c r="DM406" s="96"/>
      <c r="DN406" s="96"/>
      <c r="DO406" s="96"/>
      <c r="DP406" s="96"/>
      <c r="DQ406" s="96"/>
      <c r="DR406" s="96"/>
      <c r="DS406" s="96"/>
      <c r="DT406" s="96"/>
      <c r="DU406" s="96"/>
      <c r="DV406" s="96"/>
      <c r="DW406" s="96"/>
      <c r="DX406" s="96"/>
      <c r="DY406" s="96"/>
      <c r="DZ406" s="96"/>
      <c r="EA406" s="96"/>
      <c r="EB406" s="96"/>
      <c r="EC406" s="96"/>
      <c r="ED406" s="96"/>
      <c r="EE406" s="96"/>
      <c r="EF406" s="96"/>
      <c r="EG406" s="96"/>
      <c r="EH406" s="96"/>
      <c r="EI406" s="96"/>
      <c r="EJ406" s="96"/>
      <c r="EK406" s="96"/>
      <c r="EL406" s="96"/>
      <c r="EM406" s="96"/>
      <c r="EN406" s="96"/>
      <c r="EO406" s="96"/>
      <c r="EP406" s="96"/>
      <c r="EQ406" s="96"/>
      <c r="ER406" s="96"/>
      <c r="ES406" s="96"/>
      <c r="ET406" s="96"/>
    </row>
    <row r="407" spans="4:150"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96"/>
      <c r="CF407" s="96"/>
      <c r="CG407" s="96"/>
      <c r="CH407" s="96"/>
      <c r="CI407" s="96"/>
      <c r="CJ407" s="96"/>
      <c r="CK407" s="96"/>
      <c r="CL407" s="96"/>
      <c r="CM407" s="96"/>
      <c r="CN407" s="96"/>
      <c r="CO407" s="96"/>
      <c r="CP407" s="96"/>
      <c r="CQ407" s="96"/>
      <c r="CR407" s="96"/>
      <c r="CS407" s="96"/>
      <c r="CT407" s="96"/>
      <c r="CU407" s="96"/>
      <c r="CV407" s="96"/>
      <c r="CW407" s="96"/>
      <c r="CX407" s="96"/>
      <c r="CY407" s="96"/>
      <c r="CZ407" s="96"/>
      <c r="DA407" s="96"/>
      <c r="DB407" s="96"/>
      <c r="DC407" s="96"/>
      <c r="DD407" s="96"/>
      <c r="DE407" s="96"/>
      <c r="DF407" s="96"/>
      <c r="DG407" s="96"/>
      <c r="DH407" s="96"/>
      <c r="DI407" s="96"/>
      <c r="DJ407" s="96"/>
      <c r="DK407" s="96"/>
      <c r="DL407" s="96"/>
      <c r="DM407" s="96"/>
      <c r="DN407" s="96"/>
      <c r="DO407" s="96"/>
      <c r="DP407" s="96"/>
      <c r="DQ407" s="96"/>
      <c r="DR407" s="96"/>
      <c r="DS407" s="96"/>
      <c r="DT407" s="96"/>
      <c r="DU407" s="96"/>
      <c r="DV407" s="96"/>
      <c r="DW407" s="96"/>
      <c r="DX407" s="96"/>
      <c r="DY407" s="96"/>
      <c r="DZ407" s="96"/>
      <c r="EA407" s="96"/>
      <c r="EB407" s="96"/>
      <c r="EC407" s="96"/>
      <c r="ED407" s="96"/>
      <c r="EE407" s="96"/>
      <c r="EF407" s="96"/>
      <c r="EG407" s="96"/>
      <c r="EH407" s="96"/>
      <c r="EI407" s="96"/>
      <c r="EJ407" s="96"/>
      <c r="EK407" s="96"/>
      <c r="EL407" s="96"/>
      <c r="EM407" s="96"/>
      <c r="EN407" s="96"/>
      <c r="EO407" s="96"/>
      <c r="EP407" s="96"/>
      <c r="EQ407" s="96"/>
      <c r="ER407" s="96"/>
      <c r="ES407" s="96"/>
      <c r="ET407" s="96"/>
    </row>
    <row r="408" spans="4:150"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6"/>
      <c r="AV408" s="96"/>
      <c r="AW408" s="96"/>
      <c r="AX408" s="96"/>
      <c r="AY408" s="96"/>
      <c r="AZ408" s="96"/>
      <c r="BA408" s="96"/>
      <c r="BB408" s="96"/>
      <c r="BC408" s="96"/>
      <c r="BD408" s="96"/>
      <c r="BE408" s="96"/>
      <c r="BF408" s="96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6"/>
      <c r="BS408" s="96"/>
      <c r="BT408" s="96"/>
      <c r="BU408" s="96"/>
      <c r="BV408" s="96"/>
      <c r="BW408" s="96"/>
      <c r="BX408" s="96"/>
      <c r="BY408" s="96"/>
      <c r="BZ408" s="96"/>
      <c r="CA408" s="96"/>
      <c r="CB408" s="96"/>
      <c r="CC408" s="96"/>
      <c r="CD408" s="96"/>
      <c r="CE408" s="96"/>
      <c r="CF408" s="96"/>
      <c r="CG408" s="96"/>
      <c r="CH408" s="96"/>
      <c r="CI408" s="96"/>
      <c r="CJ408" s="96"/>
      <c r="CK408" s="96"/>
      <c r="CL408" s="96"/>
      <c r="CM408" s="96"/>
      <c r="CN408" s="96"/>
      <c r="CO408" s="96"/>
      <c r="CP408" s="96"/>
      <c r="CQ408" s="96"/>
      <c r="CR408" s="96"/>
      <c r="CS408" s="96"/>
      <c r="CT408" s="96"/>
      <c r="CU408" s="96"/>
      <c r="CV408" s="96"/>
      <c r="CW408" s="96"/>
      <c r="CX408" s="96"/>
      <c r="CY408" s="96"/>
      <c r="CZ408" s="96"/>
      <c r="DA408" s="96"/>
      <c r="DB408" s="96"/>
      <c r="DC408" s="96"/>
      <c r="DD408" s="96"/>
      <c r="DE408" s="96"/>
      <c r="DF408" s="96"/>
      <c r="DG408" s="96"/>
      <c r="DH408" s="96"/>
      <c r="DI408" s="96"/>
      <c r="DJ408" s="96"/>
      <c r="DK408" s="96"/>
      <c r="DL408" s="96"/>
      <c r="DM408" s="96"/>
      <c r="DN408" s="96"/>
      <c r="DO408" s="96"/>
      <c r="DP408" s="96"/>
      <c r="DQ408" s="96"/>
      <c r="DR408" s="96"/>
      <c r="DS408" s="96"/>
      <c r="DT408" s="96"/>
      <c r="DU408" s="96"/>
      <c r="DV408" s="96"/>
      <c r="DW408" s="96"/>
      <c r="DX408" s="96"/>
      <c r="DY408" s="96"/>
      <c r="DZ408" s="96"/>
      <c r="EA408" s="96"/>
      <c r="EB408" s="96"/>
      <c r="EC408" s="96"/>
      <c r="ED408" s="96"/>
      <c r="EE408" s="96"/>
      <c r="EF408" s="96"/>
      <c r="EG408" s="96"/>
      <c r="EH408" s="96"/>
      <c r="EI408" s="96"/>
      <c r="EJ408" s="96"/>
      <c r="EK408" s="96"/>
      <c r="EL408" s="96"/>
      <c r="EM408" s="96"/>
      <c r="EN408" s="96"/>
      <c r="EO408" s="96"/>
      <c r="EP408" s="96"/>
      <c r="EQ408" s="96"/>
      <c r="ER408" s="96"/>
      <c r="ES408" s="96"/>
      <c r="ET408" s="96"/>
    </row>
    <row r="409" spans="4:150"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6"/>
      <c r="AW409" s="96"/>
      <c r="AX409" s="96"/>
      <c r="AY409" s="96"/>
      <c r="AZ409" s="96"/>
      <c r="BA409" s="96"/>
      <c r="BB409" s="96"/>
      <c r="BC409" s="96"/>
      <c r="BD409" s="96"/>
      <c r="BE409" s="96"/>
      <c r="BF409" s="96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6"/>
      <c r="BS409" s="96"/>
      <c r="BT409" s="96"/>
      <c r="BU409" s="96"/>
      <c r="BV409" s="96"/>
      <c r="BW409" s="96"/>
      <c r="BX409" s="96"/>
      <c r="BY409" s="96"/>
      <c r="BZ409" s="96"/>
      <c r="CA409" s="96"/>
      <c r="CB409" s="96"/>
      <c r="CC409" s="96"/>
      <c r="CD409" s="96"/>
      <c r="CE409" s="96"/>
      <c r="CF409" s="96"/>
      <c r="CG409" s="96"/>
      <c r="CH409" s="96"/>
      <c r="CI409" s="96"/>
      <c r="CJ409" s="96"/>
      <c r="CK409" s="96"/>
      <c r="CL409" s="96"/>
      <c r="CM409" s="96"/>
      <c r="CN409" s="96"/>
      <c r="CO409" s="96"/>
      <c r="CP409" s="96"/>
      <c r="CQ409" s="96"/>
      <c r="CR409" s="96"/>
      <c r="CS409" s="96"/>
      <c r="CT409" s="96"/>
      <c r="CU409" s="96"/>
      <c r="CV409" s="96"/>
      <c r="CW409" s="96"/>
      <c r="CX409" s="96"/>
      <c r="CY409" s="96"/>
      <c r="CZ409" s="96"/>
      <c r="DA409" s="96"/>
      <c r="DB409" s="96"/>
      <c r="DC409" s="96"/>
      <c r="DD409" s="96"/>
      <c r="DE409" s="96"/>
      <c r="DF409" s="96"/>
      <c r="DG409" s="96"/>
      <c r="DH409" s="96"/>
      <c r="DI409" s="96"/>
      <c r="DJ409" s="96"/>
      <c r="DK409" s="96"/>
      <c r="DL409" s="96"/>
      <c r="DM409" s="96"/>
      <c r="DN409" s="96"/>
      <c r="DO409" s="96"/>
      <c r="DP409" s="96"/>
      <c r="DQ409" s="96"/>
      <c r="DR409" s="96"/>
      <c r="DS409" s="96"/>
      <c r="DT409" s="96"/>
      <c r="DU409" s="96"/>
      <c r="DV409" s="96"/>
      <c r="DW409" s="96"/>
      <c r="DX409" s="96"/>
      <c r="DY409" s="96"/>
      <c r="DZ409" s="96"/>
      <c r="EA409" s="96"/>
      <c r="EB409" s="96"/>
      <c r="EC409" s="96"/>
      <c r="ED409" s="96"/>
      <c r="EE409" s="96"/>
      <c r="EF409" s="96"/>
      <c r="EG409" s="96"/>
      <c r="EH409" s="96"/>
      <c r="EI409" s="96"/>
      <c r="EJ409" s="96"/>
      <c r="EK409" s="96"/>
      <c r="EL409" s="96"/>
      <c r="EM409" s="96"/>
      <c r="EN409" s="96"/>
      <c r="EO409" s="96"/>
      <c r="EP409" s="96"/>
      <c r="EQ409" s="96"/>
      <c r="ER409" s="96"/>
      <c r="ES409" s="96"/>
      <c r="ET409" s="96"/>
    </row>
    <row r="410" spans="4:150"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6"/>
      <c r="AW410" s="96"/>
      <c r="AX410" s="96"/>
      <c r="AY410" s="96"/>
      <c r="AZ410" s="96"/>
      <c r="BA410" s="96"/>
      <c r="BB410" s="96"/>
      <c r="BC410" s="96"/>
      <c r="BD410" s="96"/>
      <c r="BE410" s="96"/>
      <c r="BF410" s="96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6"/>
      <c r="BS410" s="96"/>
      <c r="BT410" s="96"/>
      <c r="BU410" s="96"/>
      <c r="BV410" s="96"/>
      <c r="BW410" s="96"/>
      <c r="BX410" s="96"/>
      <c r="BY410" s="96"/>
      <c r="BZ410" s="96"/>
      <c r="CA410" s="96"/>
      <c r="CB410" s="96"/>
      <c r="CC410" s="96"/>
      <c r="CD410" s="96"/>
      <c r="CE410" s="96"/>
      <c r="CF410" s="96"/>
      <c r="CG410" s="96"/>
      <c r="CH410" s="96"/>
      <c r="CI410" s="96"/>
      <c r="CJ410" s="96"/>
      <c r="CK410" s="96"/>
      <c r="CL410" s="96"/>
      <c r="CM410" s="96"/>
      <c r="CN410" s="96"/>
      <c r="CO410" s="96"/>
      <c r="CP410" s="96"/>
      <c r="CQ410" s="96"/>
      <c r="CR410" s="96"/>
      <c r="CS410" s="96"/>
      <c r="CT410" s="96"/>
      <c r="CU410" s="96"/>
      <c r="CV410" s="96"/>
      <c r="CW410" s="96"/>
      <c r="CX410" s="96"/>
      <c r="CY410" s="96"/>
      <c r="CZ410" s="96"/>
      <c r="DA410" s="96"/>
      <c r="DB410" s="96"/>
      <c r="DC410" s="96"/>
      <c r="DD410" s="96"/>
      <c r="DE410" s="96"/>
      <c r="DF410" s="96"/>
      <c r="DG410" s="96"/>
      <c r="DH410" s="96"/>
      <c r="DI410" s="96"/>
      <c r="DJ410" s="96"/>
      <c r="DK410" s="96"/>
      <c r="DL410" s="96"/>
      <c r="DM410" s="96"/>
      <c r="DN410" s="96"/>
      <c r="DO410" s="96"/>
      <c r="DP410" s="96"/>
      <c r="DQ410" s="96"/>
      <c r="DR410" s="96"/>
      <c r="DS410" s="96"/>
      <c r="DT410" s="96"/>
      <c r="DU410" s="96"/>
      <c r="DV410" s="96"/>
      <c r="DW410" s="96"/>
      <c r="DX410" s="96"/>
      <c r="DY410" s="96"/>
      <c r="DZ410" s="96"/>
      <c r="EA410" s="96"/>
      <c r="EB410" s="96"/>
      <c r="EC410" s="96"/>
      <c r="ED410" s="96"/>
      <c r="EE410" s="96"/>
      <c r="EF410" s="96"/>
      <c r="EG410" s="96"/>
      <c r="EH410" s="96"/>
      <c r="EI410" s="96"/>
      <c r="EJ410" s="96"/>
      <c r="EK410" s="96"/>
      <c r="EL410" s="96"/>
      <c r="EM410" s="96"/>
      <c r="EN410" s="96"/>
      <c r="EO410" s="96"/>
      <c r="EP410" s="96"/>
      <c r="EQ410" s="96"/>
      <c r="ER410" s="96"/>
      <c r="ES410" s="96"/>
      <c r="ET410" s="96"/>
    </row>
    <row r="411" spans="4:150"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6"/>
      <c r="AW411" s="96"/>
      <c r="AX411" s="96"/>
      <c r="AY411" s="96"/>
      <c r="AZ411" s="96"/>
      <c r="BA411" s="96"/>
      <c r="BB411" s="96"/>
      <c r="BC411" s="96"/>
      <c r="BD411" s="96"/>
      <c r="BE411" s="96"/>
      <c r="BF411" s="96"/>
      <c r="BG411" s="96"/>
      <c r="BH411" s="96"/>
      <c r="BI411" s="96"/>
      <c r="BJ411" s="96"/>
      <c r="BK411" s="96"/>
      <c r="BL411" s="96"/>
      <c r="BM411" s="96"/>
      <c r="BN411" s="96"/>
      <c r="BO411" s="96"/>
      <c r="BP411" s="96"/>
      <c r="BQ411" s="96"/>
      <c r="BR411" s="96"/>
      <c r="BS411" s="96"/>
      <c r="BT411" s="96"/>
      <c r="BU411" s="96"/>
      <c r="BV411" s="96"/>
      <c r="BW411" s="96"/>
      <c r="BX411" s="96"/>
      <c r="BY411" s="96"/>
      <c r="BZ411" s="96"/>
      <c r="CA411" s="96"/>
      <c r="CB411" s="96"/>
      <c r="CC411" s="96"/>
      <c r="CD411" s="96"/>
      <c r="CE411" s="96"/>
      <c r="CF411" s="96"/>
      <c r="CG411" s="96"/>
      <c r="CH411" s="96"/>
      <c r="CI411" s="96"/>
      <c r="CJ411" s="96"/>
      <c r="CK411" s="96"/>
      <c r="CL411" s="96"/>
      <c r="CM411" s="96"/>
      <c r="CN411" s="96"/>
      <c r="CO411" s="96"/>
      <c r="CP411" s="96"/>
      <c r="CQ411" s="96"/>
      <c r="CR411" s="96"/>
      <c r="CS411" s="96"/>
      <c r="CT411" s="96"/>
      <c r="CU411" s="96"/>
      <c r="CV411" s="96"/>
      <c r="CW411" s="96"/>
      <c r="CX411" s="96"/>
      <c r="CY411" s="96"/>
      <c r="CZ411" s="96"/>
      <c r="DA411" s="96"/>
      <c r="DB411" s="96"/>
      <c r="DC411" s="96"/>
      <c r="DD411" s="96"/>
      <c r="DE411" s="96"/>
      <c r="DF411" s="96"/>
      <c r="DG411" s="96"/>
      <c r="DH411" s="96"/>
      <c r="DI411" s="96"/>
      <c r="DJ411" s="96"/>
      <c r="DK411" s="96"/>
      <c r="DL411" s="96"/>
      <c r="DM411" s="96"/>
      <c r="DN411" s="96"/>
      <c r="DO411" s="96"/>
      <c r="DP411" s="96"/>
      <c r="DQ411" s="96"/>
      <c r="DR411" s="96"/>
      <c r="DS411" s="96"/>
      <c r="DT411" s="96"/>
      <c r="DU411" s="96"/>
      <c r="DV411" s="96"/>
      <c r="DW411" s="96"/>
      <c r="DX411" s="96"/>
      <c r="DY411" s="96"/>
      <c r="DZ411" s="96"/>
      <c r="EA411" s="96"/>
      <c r="EB411" s="96"/>
      <c r="EC411" s="96"/>
      <c r="ED411" s="96"/>
      <c r="EE411" s="96"/>
      <c r="EF411" s="96"/>
      <c r="EG411" s="96"/>
      <c r="EH411" s="96"/>
      <c r="EI411" s="96"/>
      <c r="EJ411" s="96"/>
      <c r="EK411" s="96"/>
      <c r="EL411" s="96"/>
      <c r="EM411" s="96"/>
      <c r="EN411" s="96"/>
      <c r="EO411" s="96"/>
      <c r="EP411" s="96"/>
      <c r="EQ411" s="96"/>
      <c r="ER411" s="96"/>
      <c r="ES411" s="96"/>
      <c r="ET411" s="96"/>
    </row>
    <row r="412" spans="4:150"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  <c r="CD412" s="96"/>
      <c r="CE412" s="96"/>
      <c r="CF412" s="96"/>
      <c r="CG412" s="96"/>
      <c r="CH412" s="96"/>
      <c r="CI412" s="96"/>
      <c r="CJ412" s="96"/>
      <c r="CK412" s="96"/>
      <c r="CL412" s="96"/>
      <c r="CM412" s="96"/>
      <c r="CN412" s="96"/>
      <c r="CO412" s="96"/>
      <c r="CP412" s="96"/>
      <c r="CQ412" s="96"/>
      <c r="CR412" s="96"/>
      <c r="CS412" s="96"/>
      <c r="CT412" s="96"/>
      <c r="CU412" s="96"/>
      <c r="CV412" s="96"/>
      <c r="CW412" s="96"/>
      <c r="CX412" s="96"/>
      <c r="CY412" s="96"/>
      <c r="CZ412" s="96"/>
      <c r="DA412" s="96"/>
      <c r="DB412" s="96"/>
      <c r="DC412" s="96"/>
      <c r="DD412" s="96"/>
      <c r="DE412" s="96"/>
      <c r="DF412" s="96"/>
      <c r="DG412" s="96"/>
      <c r="DH412" s="96"/>
      <c r="DI412" s="96"/>
      <c r="DJ412" s="96"/>
      <c r="DK412" s="96"/>
      <c r="DL412" s="96"/>
      <c r="DM412" s="96"/>
      <c r="DN412" s="96"/>
      <c r="DO412" s="96"/>
      <c r="DP412" s="96"/>
      <c r="DQ412" s="96"/>
      <c r="DR412" s="96"/>
      <c r="DS412" s="96"/>
      <c r="DT412" s="96"/>
      <c r="DU412" s="96"/>
      <c r="DV412" s="96"/>
      <c r="DW412" s="96"/>
      <c r="DX412" s="96"/>
      <c r="DY412" s="96"/>
      <c r="DZ412" s="96"/>
      <c r="EA412" s="96"/>
      <c r="EB412" s="96"/>
      <c r="EC412" s="96"/>
      <c r="ED412" s="96"/>
      <c r="EE412" s="96"/>
      <c r="EF412" s="96"/>
      <c r="EG412" s="96"/>
      <c r="EH412" s="96"/>
      <c r="EI412" s="96"/>
      <c r="EJ412" s="96"/>
      <c r="EK412" s="96"/>
      <c r="EL412" s="96"/>
      <c r="EM412" s="96"/>
      <c r="EN412" s="96"/>
      <c r="EO412" s="96"/>
      <c r="EP412" s="96"/>
      <c r="EQ412" s="96"/>
      <c r="ER412" s="96"/>
      <c r="ES412" s="96"/>
      <c r="ET412" s="96"/>
    </row>
    <row r="413" spans="4:150"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6"/>
      <c r="AW413" s="96"/>
      <c r="AX413" s="96"/>
      <c r="AY413" s="96"/>
      <c r="AZ413" s="96"/>
      <c r="BA413" s="96"/>
      <c r="BB413" s="96"/>
      <c r="BC413" s="96"/>
      <c r="BD413" s="96"/>
      <c r="BE413" s="96"/>
      <c r="BF413" s="96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6"/>
      <c r="BS413" s="96"/>
      <c r="BT413" s="96"/>
      <c r="BU413" s="96"/>
      <c r="BV413" s="96"/>
      <c r="BW413" s="96"/>
      <c r="BX413" s="96"/>
      <c r="BY413" s="96"/>
      <c r="BZ413" s="96"/>
      <c r="CA413" s="96"/>
      <c r="CB413" s="96"/>
      <c r="CC413" s="96"/>
      <c r="CD413" s="96"/>
      <c r="CE413" s="96"/>
      <c r="CF413" s="96"/>
      <c r="CG413" s="96"/>
      <c r="CH413" s="96"/>
      <c r="CI413" s="96"/>
      <c r="CJ413" s="96"/>
      <c r="CK413" s="96"/>
      <c r="CL413" s="96"/>
      <c r="CM413" s="96"/>
      <c r="CN413" s="96"/>
      <c r="CO413" s="96"/>
      <c r="CP413" s="96"/>
      <c r="CQ413" s="96"/>
      <c r="CR413" s="96"/>
      <c r="CS413" s="96"/>
      <c r="CT413" s="96"/>
      <c r="CU413" s="96"/>
      <c r="CV413" s="96"/>
      <c r="CW413" s="96"/>
      <c r="CX413" s="96"/>
      <c r="CY413" s="96"/>
      <c r="CZ413" s="96"/>
      <c r="DA413" s="96"/>
      <c r="DB413" s="96"/>
      <c r="DC413" s="96"/>
      <c r="DD413" s="96"/>
      <c r="DE413" s="96"/>
      <c r="DF413" s="96"/>
      <c r="DG413" s="96"/>
      <c r="DH413" s="96"/>
      <c r="DI413" s="96"/>
      <c r="DJ413" s="96"/>
      <c r="DK413" s="96"/>
      <c r="DL413" s="96"/>
      <c r="DM413" s="96"/>
      <c r="DN413" s="96"/>
      <c r="DO413" s="96"/>
      <c r="DP413" s="96"/>
      <c r="DQ413" s="96"/>
      <c r="DR413" s="96"/>
      <c r="DS413" s="96"/>
      <c r="DT413" s="96"/>
      <c r="DU413" s="96"/>
      <c r="DV413" s="96"/>
      <c r="DW413" s="96"/>
      <c r="DX413" s="96"/>
      <c r="DY413" s="96"/>
      <c r="DZ413" s="96"/>
      <c r="EA413" s="96"/>
      <c r="EB413" s="96"/>
      <c r="EC413" s="96"/>
      <c r="ED413" s="96"/>
      <c r="EE413" s="96"/>
      <c r="EF413" s="96"/>
      <c r="EG413" s="96"/>
      <c r="EH413" s="96"/>
      <c r="EI413" s="96"/>
      <c r="EJ413" s="96"/>
      <c r="EK413" s="96"/>
      <c r="EL413" s="96"/>
      <c r="EM413" s="96"/>
      <c r="EN413" s="96"/>
      <c r="EO413" s="96"/>
      <c r="EP413" s="96"/>
      <c r="EQ413" s="96"/>
      <c r="ER413" s="96"/>
      <c r="ES413" s="96"/>
      <c r="ET413" s="96"/>
    </row>
    <row r="414" spans="4:150"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6"/>
      <c r="AV414" s="96"/>
      <c r="AW414" s="96"/>
      <c r="AX414" s="96"/>
      <c r="AY414" s="96"/>
      <c r="AZ414" s="96"/>
      <c r="BA414" s="96"/>
      <c r="BB414" s="96"/>
      <c r="BC414" s="96"/>
      <c r="BD414" s="96"/>
      <c r="BE414" s="96"/>
      <c r="BF414" s="96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6"/>
      <c r="BS414" s="96"/>
      <c r="BT414" s="96"/>
      <c r="BU414" s="96"/>
      <c r="BV414" s="96"/>
      <c r="BW414" s="96"/>
      <c r="BX414" s="96"/>
      <c r="BY414" s="96"/>
      <c r="BZ414" s="96"/>
      <c r="CA414" s="96"/>
      <c r="CB414" s="96"/>
      <c r="CC414" s="96"/>
      <c r="CD414" s="96"/>
      <c r="CE414" s="96"/>
      <c r="CF414" s="96"/>
      <c r="CG414" s="96"/>
      <c r="CH414" s="96"/>
      <c r="CI414" s="96"/>
      <c r="CJ414" s="96"/>
      <c r="CK414" s="96"/>
      <c r="CL414" s="96"/>
      <c r="CM414" s="96"/>
      <c r="CN414" s="96"/>
      <c r="CO414" s="96"/>
      <c r="CP414" s="96"/>
      <c r="CQ414" s="96"/>
      <c r="CR414" s="96"/>
      <c r="CS414" s="96"/>
      <c r="CT414" s="96"/>
      <c r="CU414" s="96"/>
      <c r="CV414" s="96"/>
      <c r="CW414" s="96"/>
      <c r="CX414" s="96"/>
      <c r="CY414" s="96"/>
      <c r="CZ414" s="96"/>
      <c r="DA414" s="96"/>
      <c r="DB414" s="96"/>
      <c r="DC414" s="96"/>
      <c r="DD414" s="96"/>
      <c r="DE414" s="96"/>
      <c r="DF414" s="96"/>
      <c r="DG414" s="96"/>
      <c r="DH414" s="96"/>
      <c r="DI414" s="96"/>
      <c r="DJ414" s="96"/>
      <c r="DK414" s="96"/>
      <c r="DL414" s="96"/>
      <c r="DM414" s="96"/>
      <c r="DN414" s="96"/>
      <c r="DO414" s="96"/>
      <c r="DP414" s="96"/>
      <c r="DQ414" s="96"/>
      <c r="DR414" s="96"/>
      <c r="DS414" s="96"/>
      <c r="DT414" s="96"/>
      <c r="DU414" s="96"/>
      <c r="DV414" s="96"/>
      <c r="DW414" s="96"/>
      <c r="DX414" s="96"/>
      <c r="DY414" s="96"/>
      <c r="DZ414" s="96"/>
      <c r="EA414" s="96"/>
      <c r="EB414" s="96"/>
      <c r="EC414" s="96"/>
      <c r="ED414" s="96"/>
      <c r="EE414" s="96"/>
      <c r="EF414" s="96"/>
      <c r="EG414" s="96"/>
      <c r="EH414" s="96"/>
      <c r="EI414" s="96"/>
      <c r="EJ414" s="96"/>
      <c r="EK414" s="96"/>
      <c r="EL414" s="96"/>
      <c r="EM414" s="96"/>
      <c r="EN414" s="96"/>
      <c r="EO414" s="96"/>
      <c r="EP414" s="96"/>
      <c r="EQ414" s="96"/>
      <c r="ER414" s="96"/>
      <c r="ES414" s="96"/>
      <c r="ET414" s="96"/>
    </row>
    <row r="415" spans="4:150"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6"/>
      <c r="BB415" s="96"/>
      <c r="BC415" s="96"/>
      <c r="BD415" s="96"/>
      <c r="BE415" s="96"/>
      <c r="BF415" s="96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6"/>
      <c r="BS415" s="96"/>
      <c r="BT415" s="96"/>
      <c r="BU415" s="96"/>
      <c r="BV415" s="96"/>
      <c r="BW415" s="96"/>
      <c r="BX415" s="96"/>
      <c r="BY415" s="96"/>
      <c r="BZ415" s="96"/>
      <c r="CA415" s="96"/>
      <c r="CB415" s="96"/>
      <c r="CC415" s="96"/>
      <c r="CD415" s="96"/>
      <c r="CE415" s="96"/>
      <c r="CF415" s="96"/>
      <c r="CG415" s="96"/>
      <c r="CH415" s="96"/>
      <c r="CI415" s="96"/>
      <c r="CJ415" s="96"/>
      <c r="CK415" s="96"/>
      <c r="CL415" s="96"/>
      <c r="CM415" s="96"/>
      <c r="CN415" s="96"/>
      <c r="CO415" s="96"/>
      <c r="CP415" s="96"/>
      <c r="CQ415" s="96"/>
      <c r="CR415" s="96"/>
      <c r="CS415" s="96"/>
      <c r="CT415" s="96"/>
      <c r="CU415" s="96"/>
      <c r="CV415" s="96"/>
      <c r="CW415" s="96"/>
      <c r="CX415" s="96"/>
      <c r="CY415" s="96"/>
      <c r="CZ415" s="96"/>
      <c r="DA415" s="96"/>
      <c r="DB415" s="96"/>
      <c r="DC415" s="96"/>
      <c r="DD415" s="96"/>
      <c r="DE415" s="96"/>
      <c r="DF415" s="96"/>
      <c r="DG415" s="96"/>
      <c r="DH415" s="96"/>
      <c r="DI415" s="96"/>
      <c r="DJ415" s="96"/>
      <c r="DK415" s="96"/>
      <c r="DL415" s="96"/>
      <c r="DM415" s="96"/>
      <c r="DN415" s="96"/>
      <c r="DO415" s="96"/>
      <c r="DP415" s="96"/>
      <c r="DQ415" s="96"/>
      <c r="DR415" s="96"/>
      <c r="DS415" s="96"/>
      <c r="DT415" s="96"/>
      <c r="DU415" s="96"/>
      <c r="DV415" s="96"/>
      <c r="DW415" s="96"/>
      <c r="DX415" s="96"/>
      <c r="DY415" s="96"/>
      <c r="DZ415" s="96"/>
      <c r="EA415" s="96"/>
      <c r="EB415" s="96"/>
      <c r="EC415" s="96"/>
      <c r="ED415" s="96"/>
      <c r="EE415" s="96"/>
      <c r="EF415" s="96"/>
      <c r="EG415" s="96"/>
      <c r="EH415" s="96"/>
      <c r="EI415" s="96"/>
      <c r="EJ415" s="96"/>
      <c r="EK415" s="96"/>
      <c r="EL415" s="96"/>
      <c r="EM415" s="96"/>
      <c r="EN415" s="96"/>
      <c r="EO415" s="96"/>
      <c r="EP415" s="96"/>
      <c r="EQ415" s="96"/>
      <c r="ER415" s="96"/>
      <c r="ES415" s="96"/>
      <c r="ET415" s="96"/>
    </row>
    <row r="416" spans="4:150"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6"/>
      <c r="AV416" s="96"/>
      <c r="AW416" s="96"/>
      <c r="AX416" s="96"/>
      <c r="AY416" s="96"/>
      <c r="AZ416" s="96"/>
      <c r="BA416" s="96"/>
      <c r="BB416" s="96"/>
      <c r="BC416" s="96"/>
      <c r="BD416" s="96"/>
      <c r="BE416" s="96"/>
      <c r="BF416" s="96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6"/>
      <c r="BS416" s="96"/>
      <c r="BT416" s="96"/>
      <c r="BU416" s="96"/>
      <c r="BV416" s="96"/>
      <c r="BW416" s="96"/>
      <c r="BX416" s="96"/>
      <c r="BY416" s="96"/>
      <c r="BZ416" s="96"/>
      <c r="CA416" s="96"/>
      <c r="CB416" s="96"/>
      <c r="CC416" s="96"/>
      <c r="CD416" s="96"/>
      <c r="CE416" s="96"/>
      <c r="CF416" s="96"/>
      <c r="CG416" s="96"/>
      <c r="CH416" s="96"/>
      <c r="CI416" s="96"/>
      <c r="CJ416" s="96"/>
      <c r="CK416" s="96"/>
      <c r="CL416" s="96"/>
      <c r="CM416" s="96"/>
      <c r="CN416" s="96"/>
      <c r="CO416" s="96"/>
      <c r="CP416" s="96"/>
      <c r="CQ416" s="96"/>
      <c r="CR416" s="96"/>
      <c r="CS416" s="96"/>
      <c r="CT416" s="96"/>
      <c r="CU416" s="96"/>
      <c r="CV416" s="96"/>
      <c r="CW416" s="96"/>
      <c r="CX416" s="96"/>
      <c r="CY416" s="96"/>
      <c r="CZ416" s="96"/>
      <c r="DA416" s="96"/>
      <c r="DB416" s="96"/>
      <c r="DC416" s="96"/>
      <c r="DD416" s="96"/>
      <c r="DE416" s="96"/>
      <c r="DF416" s="96"/>
      <c r="DG416" s="96"/>
      <c r="DH416" s="96"/>
      <c r="DI416" s="96"/>
      <c r="DJ416" s="96"/>
      <c r="DK416" s="96"/>
      <c r="DL416" s="96"/>
      <c r="DM416" s="96"/>
      <c r="DN416" s="96"/>
      <c r="DO416" s="96"/>
      <c r="DP416" s="96"/>
      <c r="DQ416" s="96"/>
      <c r="DR416" s="96"/>
      <c r="DS416" s="96"/>
      <c r="DT416" s="96"/>
      <c r="DU416" s="96"/>
      <c r="DV416" s="96"/>
      <c r="DW416" s="96"/>
      <c r="DX416" s="96"/>
      <c r="DY416" s="96"/>
      <c r="DZ416" s="96"/>
      <c r="EA416" s="96"/>
      <c r="EB416" s="96"/>
      <c r="EC416" s="96"/>
      <c r="ED416" s="96"/>
      <c r="EE416" s="96"/>
      <c r="EF416" s="96"/>
      <c r="EG416" s="96"/>
      <c r="EH416" s="96"/>
      <c r="EI416" s="96"/>
      <c r="EJ416" s="96"/>
      <c r="EK416" s="96"/>
      <c r="EL416" s="96"/>
      <c r="EM416" s="96"/>
      <c r="EN416" s="96"/>
      <c r="EO416" s="96"/>
      <c r="EP416" s="96"/>
      <c r="EQ416" s="96"/>
      <c r="ER416" s="96"/>
      <c r="ES416" s="96"/>
      <c r="ET416" s="96"/>
    </row>
    <row r="417" spans="4:150"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  <c r="CD417" s="96"/>
      <c r="CE417" s="96"/>
      <c r="CF417" s="96"/>
      <c r="CG417" s="96"/>
      <c r="CH417" s="96"/>
      <c r="CI417" s="96"/>
      <c r="CJ417" s="96"/>
      <c r="CK417" s="96"/>
      <c r="CL417" s="96"/>
      <c r="CM417" s="96"/>
      <c r="CN417" s="96"/>
      <c r="CO417" s="96"/>
      <c r="CP417" s="96"/>
      <c r="CQ417" s="96"/>
      <c r="CR417" s="96"/>
      <c r="CS417" s="96"/>
      <c r="CT417" s="96"/>
      <c r="CU417" s="96"/>
      <c r="CV417" s="96"/>
      <c r="CW417" s="96"/>
      <c r="CX417" s="96"/>
      <c r="CY417" s="96"/>
      <c r="CZ417" s="96"/>
      <c r="DA417" s="96"/>
      <c r="DB417" s="96"/>
      <c r="DC417" s="96"/>
      <c r="DD417" s="96"/>
      <c r="DE417" s="96"/>
      <c r="DF417" s="96"/>
      <c r="DG417" s="96"/>
      <c r="DH417" s="96"/>
      <c r="DI417" s="96"/>
      <c r="DJ417" s="96"/>
      <c r="DK417" s="96"/>
      <c r="DL417" s="96"/>
      <c r="DM417" s="96"/>
      <c r="DN417" s="96"/>
      <c r="DO417" s="96"/>
      <c r="DP417" s="96"/>
      <c r="DQ417" s="96"/>
      <c r="DR417" s="96"/>
      <c r="DS417" s="96"/>
      <c r="DT417" s="96"/>
      <c r="DU417" s="96"/>
      <c r="DV417" s="96"/>
      <c r="DW417" s="96"/>
      <c r="DX417" s="96"/>
      <c r="DY417" s="96"/>
      <c r="DZ417" s="96"/>
      <c r="EA417" s="96"/>
      <c r="EB417" s="96"/>
      <c r="EC417" s="96"/>
      <c r="ED417" s="96"/>
      <c r="EE417" s="96"/>
      <c r="EF417" s="96"/>
      <c r="EG417" s="96"/>
      <c r="EH417" s="96"/>
      <c r="EI417" s="96"/>
      <c r="EJ417" s="96"/>
      <c r="EK417" s="96"/>
      <c r="EL417" s="96"/>
      <c r="EM417" s="96"/>
      <c r="EN417" s="96"/>
      <c r="EO417" s="96"/>
      <c r="EP417" s="96"/>
      <c r="EQ417" s="96"/>
      <c r="ER417" s="96"/>
      <c r="ES417" s="96"/>
      <c r="ET417" s="96"/>
    </row>
    <row r="418" spans="4:150"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6"/>
      <c r="AV418" s="96"/>
      <c r="AW418" s="96"/>
      <c r="AX418" s="96"/>
      <c r="AY418" s="96"/>
      <c r="AZ418" s="96"/>
      <c r="BA418" s="96"/>
      <c r="BB418" s="96"/>
      <c r="BC418" s="96"/>
      <c r="BD418" s="96"/>
      <c r="BE418" s="96"/>
      <c r="BF418" s="96"/>
      <c r="BG418" s="96"/>
      <c r="BH418" s="96"/>
      <c r="BI418" s="96"/>
      <c r="BJ418" s="96"/>
      <c r="BK418" s="96"/>
      <c r="BL418" s="96"/>
      <c r="BM418" s="96"/>
      <c r="BN418" s="96"/>
      <c r="BO418" s="96"/>
      <c r="BP418" s="96"/>
      <c r="BQ418" s="96"/>
      <c r="BR418" s="96"/>
      <c r="BS418" s="96"/>
      <c r="BT418" s="96"/>
      <c r="BU418" s="96"/>
      <c r="BV418" s="96"/>
      <c r="BW418" s="96"/>
      <c r="BX418" s="96"/>
      <c r="BY418" s="96"/>
      <c r="BZ418" s="96"/>
      <c r="CA418" s="96"/>
      <c r="CB418" s="96"/>
      <c r="CC418" s="96"/>
      <c r="CD418" s="96"/>
      <c r="CE418" s="96"/>
      <c r="CF418" s="96"/>
      <c r="CG418" s="96"/>
      <c r="CH418" s="96"/>
      <c r="CI418" s="96"/>
      <c r="CJ418" s="96"/>
      <c r="CK418" s="96"/>
      <c r="CL418" s="96"/>
      <c r="CM418" s="96"/>
      <c r="CN418" s="96"/>
      <c r="CO418" s="96"/>
      <c r="CP418" s="96"/>
      <c r="CQ418" s="96"/>
      <c r="CR418" s="96"/>
      <c r="CS418" s="96"/>
      <c r="CT418" s="96"/>
      <c r="CU418" s="96"/>
      <c r="CV418" s="96"/>
      <c r="CW418" s="96"/>
      <c r="CX418" s="96"/>
      <c r="CY418" s="96"/>
      <c r="CZ418" s="96"/>
      <c r="DA418" s="96"/>
      <c r="DB418" s="96"/>
      <c r="DC418" s="96"/>
      <c r="DD418" s="96"/>
      <c r="DE418" s="96"/>
      <c r="DF418" s="96"/>
      <c r="DG418" s="96"/>
      <c r="DH418" s="96"/>
      <c r="DI418" s="96"/>
      <c r="DJ418" s="96"/>
      <c r="DK418" s="96"/>
      <c r="DL418" s="96"/>
      <c r="DM418" s="96"/>
      <c r="DN418" s="96"/>
      <c r="DO418" s="96"/>
      <c r="DP418" s="96"/>
      <c r="DQ418" s="96"/>
      <c r="DR418" s="96"/>
      <c r="DS418" s="96"/>
      <c r="DT418" s="96"/>
      <c r="DU418" s="96"/>
      <c r="DV418" s="96"/>
      <c r="DW418" s="96"/>
      <c r="DX418" s="96"/>
      <c r="DY418" s="96"/>
      <c r="DZ418" s="96"/>
      <c r="EA418" s="96"/>
      <c r="EB418" s="96"/>
      <c r="EC418" s="96"/>
      <c r="ED418" s="96"/>
      <c r="EE418" s="96"/>
      <c r="EF418" s="96"/>
      <c r="EG418" s="96"/>
      <c r="EH418" s="96"/>
      <c r="EI418" s="96"/>
      <c r="EJ418" s="96"/>
      <c r="EK418" s="96"/>
      <c r="EL418" s="96"/>
      <c r="EM418" s="96"/>
      <c r="EN418" s="96"/>
      <c r="EO418" s="96"/>
      <c r="EP418" s="96"/>
      <c r="EQ418" s="96"/>
      <c r="ER418" s="96"/>
      <c r="ES418" s="96"/>
      <c r="ET418" s="96"/>
    </row>
    <row r="419" spans="4:150"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6"/>
      <c r="AV419" s="96"/>
      <c r="AW419" s="96"/>
      <c r="AX419" s="96"/>
      <c r="AY419" s="96"/>
      <c r="AZ419" s="96"/>
      <c r="BA419" s="96"/>
      <c r="BB419" s="96"/>
      <c r="BC419" s="96"/>
      <c r="BD419" s="96"/>
      <c r="BE419" s="96"/>
      <c r="BF419" s="96"/>
      <c r="BG419" s="96"/>
      <c r="BH419" s="96"/>
      <c r="BI419" s="96"/>
      <c r="BJ419" s="96"/>
      <c r="BK419" s="96"/>
      <c r="BL419" s="96"/>
      <c r="BM419" s="96"/>
      <c r="BN419" s="96"/>
      <c r="BO419" s="96"/>
      <c r="BP419" s="96"/>
      <c r="BQ419" s="96"/>
      <c r="BR419" s="96"/>
      <c r="BS419" s="96"/>
      <c r="BT419" s="96"/>
      <c r="BU419" s="96"/>
      <c r="BV419" s="96"/>
      <c r="BW419" s="96"/>
      <c r="BX419" s="96"/>
      <c r="BY419" s="96"/>
      <c r="BZ419" s="96"/>
      <c r="CA419" s="96"/>
      <c r="CB419" s="96"/>
      <c r="CC419" s="96"/>
      <c r="CD419" s="96"/>
      <c r="CE419" s="96"/>
      <c r="CF419" s="96"/>
      <c r="CG419" s="96"/>
      <c r="CH419" s="96"/>
      <c r="CI419" s="96"/>
      <c r="CJ419" s="96"/>
      <c r="CK419" s="96"/>
      <c r="CL419" s="96"/>
      <c r="CM419" s="96"/>
      <c r="CN419" s="96"/>
      <c r="CO419" s="96"/>
      <c r="CP419" s="96"/>
      <c r="CQ419" s="96"/>
      <c r="CR419" s="96"/>
      <c r="CS419" s="96"/>
      <c r="CT419" s="96"/>
      <c r="CU419" s="96"/>
      <c r="CV419" s="96"/>
      <c r="CW419" s="96"/>
      <c r="CX419" s="96"/>
      <c r="CY419" s="96"/>
      <c r="CZ419" s="96"/>
      <c r="DA419" s="96"/>
      <c r="DB419" s="96"/>
      <c r="DC419" s="96"/>
      <c r="DD419" s="96"/>
      <c r="DE419" s="96"/>
      <c r="DF419" s="96"/>
      <c r="DG419" s="96"/>
      <c r="DH419" s="96"/>
      <c r="DI419" s="96"/>
      <c r="DJ419" s="96"/>
      <c r="DK419" s="96"/>
      <c r="DL419" s="96"/>
      <c r="DM419" s="96"/>
      <c r="DN419" s="96"/>
      <c r="DO419" s="96"/>
      <c r="DP419" s="96"/>
      <c r="DQ419" s="96"/>
      <c r="DR419" s="96"/>
      <c r="DS419" s="96"/>
      <c r="DT419" s="96"/>
      <c r="DU419" s="96"/>
      <c r="DV419" s="96"/>
      <c r="DW419" s="96"/>
      <c r="DX419" s="96"/>
      <c r="DY419" s="96"/>
      <c r="DZ419" s="96"/>
      <c r="EA419" s="96"/>
      <c r="EB419" s="96"/>
      <c r="EC419" s="96"/>
      <c r="ED419" s="96"/>
      <c r="EE419" s="96"/>
      <c r="EF419" s="96"/>
      <c r="EG419" s="96"/>
      <c r="EH419" s="96"/>
      <c r="EI419" s="96"/>
      <c r="EJ419" s="96"/>
      <c r="EK419" s="96"/>
      <c r="EL419" s="96"/>
      <c r="EM419" s="96"/>
      <c r="EN419" s="96"/>
      <c r="EO419" s="96"/>
      <c r="EP419" s="96"/>
      <c r="EQ419" s="96"/>
      <c r="ER419" s="96"/>
      <c r="ES419" s="96"/>
      <c r="ET419" s="96"/>
    </row>
    <row r="420" spans="4:150"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6"/>
      <c r="AW420" s="96"/>
      <c r="AX420" s="96"/>
      <c r="AY420" s="96"/>
      <c r="AZ420" s="96"/>
      <c r="BA420" s="96"/>
      <c r="BB420" s="96"/>
      <c r="BC420" s="96"/>
      <c r="BD420" s="96"/>
      <c r="BE420" s="96"/>
      <c r="BF420" s="96"/>
      <c r="BG420" s="96"/>
      <c r="BH420" s="96"/>
      <c r="BI420" s="96"/>
      <c r="BJ420" s="96"/>
      <c r="BK420" s="96"/>
      <c r="BL420" s="96"/>
      <c r="BM420" s="96"/>
      <c r="BN420" s="96"/>
      <c r="BO420" s="96"/>
      <c r="BP420" s="96"/>
      <c r="BQ420" s="96"/>
      <c r="BR420" s="96"/>
      <c r="BS420" s="96"/>
      <c r="BT420" s="96"/>
      <c r="BU420" s="96"/>
      <c r="BV420" s="96"/>
      <c r="BW420" s="96"/>
      <c r="BX420" s="96"/>
      <c r="BY420" s="96"/>
      <c r="BZ420" s="96"/>
      <c r="CA420" s="96"/>
      <c r="CB420" s="96"/>
      <c r="CC420" s="96"/>
      <c r="CD420" s="96"/>
      <c r="CE420" s="96"/>
      <c r="CF420" s="96"/>
      <c r="CG420" s="96"/>
      <c r="CH420" s="96"/>
      <c r="CI420" s="96"/>
      <c r="CJ420" s="96"/>
      <c r="CK420" s="96"/>
      <c r="CL420" s="96"/>
      <c r="CM420" s="96"/>
      <c r="CN420" s="96"/>
      <c r="CO420" s="96"/>
      <c r="CP420" s="96"/>
      <c r="CQ420" s="96"/>
      <c r="CR420" s="96"/>
      <c r="CS420" s="96"/>
      <c r="CT420" s="96"/>
      <c r="CU420" s="96"/>
      <c r="CV420" s="96"/>
      <c r="CW420" s="96"/>
      <c r="CX420" s="96"/>
      <c r="CY420" s="96"/>
      <c r="CZ420" s="96"/>
      <c r="DA420" s="96"/>
      <c r="DB420" s="96"/>
      <c r="DC420" s="96"/>
      <c r="DD420" s="96"/>
      <c r="DE420" s="96"/>
      <c r="DF420" s="96"/>
      <c r="DG420" s="96"/>
      <c r="DH420" s="96"/>
      <c r="DI420" s="96"/>
      <c r="DJ420" s="96"/>
      <c r="DK420" s="96"/>
      <c r="DL420" s="96"/>
      <c r="DM420" s="96"/>
      <c r="DN420" s="96"/>
      <c r="DO420" s="96"/>
      <c r="DP420" s="96"/>
      <c r="DQ420" s="96"/>
      <c r="DR420" s="96"/>
      <c r="DS420" s="96"/>
      <c r="DT420" s="96"/>
      <c r="DU420" s="96"/>
      <c r="DV420" s="96"/>
      <c r="DW420" s="96"/>
      <c r="DX420" s="96"/>
      <c r="DY420" s="96"/>
      <c r="DZ420" s="96"/>
      <c r="EA420" s="96"/>
      <c r="EB420" s="96"/>
      <c r="EC420" s="96"/>
      <c r="ED420" s="96"/>
      <c r="EE420" s="96"/>
      <c r="EF420" s="96"/>
      <c r="EG420" s="96"/>
      <c r="EH420" s="96"/>
      <c r="EI420" s="96"/>
      <c r="EJ420" s="96"/>
      <c r="EK420" s="96"/>
      <c r="EL420" s="96"/>
      <c r="EM420" s="96"/>
      <c r="EN420" s="96"/>
      <c r="EO420" s="96"/>
      <c r="EP420" s="96"/>
      <c r="EQ420" s="96"/>
      <c r="ER420" s="96"/>
      <c r="ES420" s="96"/>
      <c r="ET420" s="96"/>
    </row>
    <row r="421" spans="4:150"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6"/>
      <c r="AW421" s="96"/>
      <c r="AX421" s="96"/>
      <c r="AY421" s="96"/>
      <c r="AZ421" s="96"/>
      <c r="BA421" s="96"/>
      <c r="BB421" s="96"/>
      <c r="BC421" s="96"/>
      <c r="BD421" s="96"/>
      <c r="BE421" s="96"/>
      <c r="BF421" s="96"/>
      <c r="BG421" s="96"/>
      <c r="BH421" s="96"/>
      <c r="BI421" s="96"/>
      <c r="BJ421" s="96"/>
      <c r="BK421" s="96"/>
      <c r="BL421" s="96"/>
      <c r="BM421" s="96"/>
      <c r="BN421" s="96"/>
      <c r="BO421" s="96"/>
      <c r="BP421" s="96"/>
      <c r="BQ421" s="96"/>
      <c r="BR421" s="96"/>
      <c r="BS421" s="96"/>
      <c r="BT421" s="96"/>
      <c r="BU421" s="96"/>
      <c r="BV421" s="96"/>
      <c r="BW421" s="96"/>
      <c r="BX421" s="96"/>
      <c r="BY421" s="96"/>
      <c r="BZ421" s="96"/>
      <c r="CA421" s="96"/>
      <c r="CB421" s="96"/>
      <c r="CC421" s="96"/>
      <c r="CD421" s="96"/>
      <c r="CE421" s="96"/>
      <c r="CF421" s="96"/>
      <c r="CG421" s="96"/>
      <c r="CH421" s="96"/>
      <c r="CI421" s="96"/>
      <c r="CJ421" s="96"/>
      <c r="CK421" s="96"/>
      <c r="CL421" s="96"/>
      <c r="CM421" s="96"/>
      <c r="CN421" s="96"/>
      <c r="CO421" s="96"/>
      <c r="CP421" s="96"/>
      <c r="CQ421" s="96"/>
      <c r="CR421" s="96"/>
      <c r="CS421" s="96"/>
      <c r="CT421" s="96"/>
      <c r="CU421" s="96"/>
      <c r="CV421" s="96"/>
      <c r="CW421" s="96"/>
      <c r="CX421" s="96"/>
      <c r="CY421" s="96"/>
      <c r="CZ421" s="96"/>
      <c r="DA421" s="96"/>
      <c r="DB421" s="96"/>
      <c r="DC421" s="96"/>
      <c r="DD421" s="96"/>
      <c r="DE421" s="96"/>
      <c r="DF421" s="96"/>
      <c r="DG421" s="96"/>
      <c r="DH421" s="96"/>
      <c r="DI421" s="96"/>
      <c r="DJ421" s="96"/>
      <c r="DK421" s="96"/>
      <c r="DL421" s="96"/>
      <c r="DM421" s="96"/>
      <c r="DN421" s="96"/>
      <c r="DO421" s="96"/>
      <c r="DP421" s="96"/>
      <c r="DQ421" s="96"/>
      <c r="DR421" s="96"/>
      <c r="DS421" s="96"/>
      <c r="DT421" s="96"/>
      <c r="DU421" s="96"/>
      <c r="DV421" s="96"/>
      <c r="DW421" s="96"/>
      <c r="DX421" s="96"/>
      <c r="DY421" s="96"/>
      <c r="DZ421" s="96"/>
      <c r="EA421" s="96"/>
      <c r="EB421" s="96"/>
      <c r="EC421" s="96"/>
      <c r="ED421" s="96"/>
      <c r="EE421" s="96"/>
      <c r="EF421" s="96"/>
      <c r="EG421" s="96"/>
      <c r="EH421" s="96"/>
      <c r="EI421" s="96"/>
      <c r="EJ421" s="96"/>
      <c r="EK421" s="96"/>
      <c r="EL421" s="96"/>
      <c r="EM421" s="96"/>
      <c r="EN421" s="96"/>
      <c r="EO421" s="96"/>
      <c r="EP421" s="96"/>
      <c r="EQ421" s="96"/>
      <c r="ER421" s="96"/>
      <c r="ES421" s="96"/>
      <c r="ET421" s="96"/>
    </row>
    <row r="422" spans="4:150"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6"/>
      <c r="AV422" s="96"/>
      <c r="AW422" s="96"/>
      <c r="AX422" s="96"/>
      <c r="AY422" s="96"/>
      <c r="AZ422" s="96"/>
      <c r="BA422" s="96"/>
      <c r="BB422" s="96"/>
      <c r="BC422" s="96"/>
      <c r="BD422" s="96"/>
      <c r="BE422" s="96"/>
      <c r="BF422" s="96"/>
      <c r="BG422" s="96"/>
      <c r="BH422" s="96"/>
      <c r="BI422" s="96"/>
      <c r="BJ422" s="96"/>
      <c r="BK422" s="96"/>
      <c r="BL422" s="96"/>
      <c r="BM422" s="96"/>
      <c r="BN422" s="96"/>
      <c r="BO422" s="96"/>
      <c r="BP422" s="96"/>
      <c r="BQ422" s="96"/>
      <c r="BR422" s="96"/>
      <c r="BS422" s="96"/>
      <c r="BT422" s="96"/>
      <c r="BU422" s="96"/>
      <c r="BV422" s="96"/>
      <c r="BW422" s="96"/>
      <c r="BX422" s="96"/>
      <c r="BY422" s="96"/>
      <c r="BZ422" s="96"/>
      <c r="CA422" s="96"/>
      <c r="CB422" s="96"/>
      <c r="CC422" s="96"/>
      <c r="CD422" s="96"/>
      <c r="CE422" s="96"/>
      <c r="CF422" s="96"/>
      <c r="CG422" s="96"/>
      <c r="CH422" s="96"/>
      <c r="CI422" s="96"/>
      <c r="CJ422" s="96"/>
      <c r="CK422" s="96"/>
      <c r="CL422" s="96"/>
      <c r="CM422" s="96"/>
      <c r="CN422" s="96"/>
      <c r="CO422" s="96"/>
      <c r="CP422" s="96"/>
      <c r="CQ422" s="96"/>
      <c r="CR422" s="96"/>
      <c r="CS422" s="96"/>
      <c r="CT422" s="96"/>
      <c r="CU422" s="96"/>
      <c r="CV422" s="96"/>
      <c r="CW422" s="96"/>
      <c r="CX422" s="96"/>
      <c r="CY422" s="96"/>
      <c r="CZ422" s="96"/>
      <c r="DA422" s="96"/>
      <c r="DB422" s="96"/>
      <c r="DC422" s="96"/>
      <c r="DD422" s="96"/>
      <c r="DE422" s="96"/>
      <c r="DF422" s="96"/>
      <c r="DG422" s="96"/>
      <c r="DH422" s="96"/>
      <c r="DI422" s="96"/>
      <c r="DJ422" s="96"/>
      <c r="DK422" s="96"/>
      <c r="DL422" s="96"/>
      <c r="DM422" s="96"/>
      <c r="DN422" s="96"/>
      <c r="DO422" s="96"/>
      <c r="DP422" s="96"/>
      <c r="DQ422" s="96"/>
      <c r="DR422" s="96"/>
      <c r="DS422" s="96"/>
      <c r="DT422" s="96"/>
      <c r="DU422" s="96"/>
      <c r="DV422" s="96"/>
      <c r="DW422" s="96"/>
      <c r="DX422" s="96"/>
      <c r="DY422" s="96"/>
      <c r="DZ422" s="96"/>
      <c r="EA422" s="96"/>
      <c r="EB422" s="96"/>
      <c r="EC422" s="96"/>
      <c r="ED422" s="96"/>
      <c r="EE422" s="96"/>
      <c r="EF422" s="96"/>
      <c r="EG422" s="96"/>
      <c r="EH422" s="96"/>
      <c r="EI422" s="96"/>
      <c r="EJ422" s="96"/>
      <c r="EK422" s="96"/>
      <c r="EL422" s="96"/>
      <c r="EM422" s="96"/>
      <c r="EN422" s="96"/>
      <c r="EO422" s="96"/>
      <c r="EP422" s="96"/>
      <c r="EQ422" s="96"/>
      <c r="ER422" s="96"/>
      <c r="ES422" s="96"/>
      <c r="ET422" s="96"/>
    </row>
  </sheetData>
  <printOptions gridLines="1"/>
  <pageMargins left="0.25" right="0.25" top="0.75" bottom="0.75" header="0.3" footer="0.3"/>
  <pageSetup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1" sqref="C11"/>
    </sheetView>
  </sheetViews>
  <sheetFormatPr defaultRowHeight="14.4"/>
  <cols>
    <col min="2" max="2" width="17.6640625" customWidth="1"/>
  </cols>
  <sheetData>
    <row r="1" spans="1:4" ht="25.8">
      <c r="A1" s="109" t="s">
        <v>404</v>
      </c>
    </row>
    <row r="5" spans="1:4">
      <c r="A5" t="s">
        <v>405</v>
      </c>
      <c r="C5">
        <v>10200</v>
      </c>
    </row>
    <row r="7" spans="1:4">
      <c r="A7" t="s">
        <v>406</v>
      </c>
      <c r="C7">
        <v>9600</v>
      </c>
    </row>
    <row r="10" spans="1:4" ht="23.4">
      <c r="A10" s="110" t="s">
        <v>407</v>
      </c>
      <c r="B10" s="110"/>
      <c r="C10" s="110">
        <f>C7-C5</f>
        <v>-600</v>
      </c>
      <c r="D10" s="11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0" sqref="A20"/>
    </sheetView>
  </sheetViews>
  <sheetFormatPr defaultRowHeight="14.4"/>
  <cols>
    <col min="1" max="1" width="17.77734375" customWidth="1"/>
    <col min="5" max="5" width="13.6640625" customWidth="1"/>
  </cols>
  <sheetData>
    <row r="1" spans="1:5" ht="25.8">
      <c r="A1" s="109" t="s">
        <v>412</v>
      </c>
    </row>
    <row r="5" spans="1:5">
      <c r="A5" t="s">
        <v>411</v>
      </c>
      <c r="E5">
        <v>86730</v>
      </c>
    </row>
    <row r="7" spans="1:5">
      <c r="A7" t="s">
        <v>414</v>
      </c>
      <c r="E7">
        <v>93382</v>
      </c>
    </row>
    <row r="10" spans="1:5" ht="23.4">
      <c r="A10" s="106" t="s">
        <v>413</v>
      </c>
      <c r="E10" s="10">
        <f>E7-E5</f>
        <v>6652</v>
      </c>
    </row>
    <row r="20" spans="1:1">
      <c r="A20" t="s">
        <v>489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2" sqref="E12"/>
    </sheetView>
  </sheetViews>
  <sheetFormatPr defaultRowHeight="14.4"/>
  <cols>
    <col min="5" max="5" width="11.77734375" customWidth="1"/>
  </cols>
  <sheetData>
    <row r="1" spans="1:5" ht="25.8">
      <c r="A1" s="109" t="s">
        <v>467</v>
      </c>
    </row>
    <row r="4" spans="1:5">
      <c r="E4" s="11" t="s">
        <v>471</v>
      </c>
    </row>
    <row r="6" spans="1:5">
      <c r="A6" t="s">
        <v>468</v>
      </c>
      <c r="E6" s="95">
        <v>25036.400000000001</v>
      </c>
    </row>
    <row r="7" spans="1:5">
      <c r="E7" s="95"/>
    </row>
    <row r="8" spans="1:5">
      <c r="A8" t="s">
        <v>469</v>
      </c>
      <c r="C8">
        <v>2133.96</v>
      </c>
      <c r="D8" t="s">
        <v>470</v>
      </c>
      <c r="E8" s="95">
        <f>C8*12</f>
        <v>25607.52</v>
      </c>
    </row>
    <row r="9" spans="1:5">
      <c r="E9" s="95"/>
    </row>
    <row r="10" spans="1:5">
      <c r="E10" s="95"/>
    </row>
    <row r="11" spans="1:5">
      <c r="B11" t="s">
        <v>472</v>
      </c>
      <c r="E11" s="104">
        <f>E8-E6</f>
        <v>571.11999999999898</v>
      </c>
    </row>
    <row r="12" spans="1:5">
      <c r="E12" s="95"/>
    </row>
    <row r="13" spans="1:5">
      <c r="E13" s="95"/>
    </row>
    <row r="14" spans="1:5">
      <c r="E14" s="95"/>
    </row>
    <row r="15" spans="1:5">
      <c r="E15" s="9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14D923B9FD954297108C6561B438F8" ma:contentTypeVersion="16" ma:contentTypeDescription="" ma:contentTypeScope="" ma:versionID="0c2b3039742b6b3924ed6fdf1136a8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Stanley's Sanitary Service, L.L.C.</CaseCompanyNames>
    <Nickname xmlns="http://schemas.microsoft.com/sharepoint/v3" xsi:nil="true"/>
    <DocketNumber xmlns="dc463f71-b30c-4ab2-9473-d307f9d35888">230368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D58BC51-EDB6-4E5B-81CC-727B50D93C72}"/>
</file>

<file path=customXml/itemProps2.xml><?xml version="1.0" encoding="utf-8"?>
<ds:datastoreItem xmlns:ds="http://schemas.openxmlformats.org/officeDocument/2006/customXml" ds:itemID="{757F798A-AD0D-4CDF-997F-65C27960A91A}"/>
</file>

<file path=customXml/itemProps3.xml><?xml version="1.0" encoding="utf-8"?>
<ds:datastoreItem xmlns:ds="http://schemas.openxmlformats.org/officeDocument/2006/customXml" ds:itemID="{F5979C14-C446-4847-B55B-660BBBF1AF50}"/>
</file>

<file path=customXml/itemProps4.xml><?xml version="1.0" encoding="utf-8"?>
<ds:datastoreItem xmlns:ds="http://schemas.openxmlformats.org/officeDocument/2006/customXml" ds:itemID="{B8245CDE-D7DB-4A8F-B342-08B8348EDB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2023 RATE APPEAL </vt:lpstr>
      <vt:lpstr>RESULTS OF OPERATIONS</vt:lpstr>
      <vt:lpstr>LG Nonpublic 2018 V5.2a</vt:lpstr>
      <vt:lpstr>2022 REV (2)</vt:lpstr>
      <vt:lpstr>2022 DEPREC</vt:lpstr>
      <vt:lpstr>PA INDEX</vt:lpstr>
      <vt:lpstr>PA 1 RENT</vt:lpstr>
      <vt:lpstr>PA 2 DEPREC</vt:lpstr>
      <vt:lpstr>PA 3 GROUP INS</vt:lpstr>
      <vt:lpstr>PA 4 PROP TAX</vt:lpstr>
      <vt:lpstr>PA 5 TARIFF PREP</vt:lpstr>
      <vt:lpstr>PA 6 GAIN LOSS</vt:lpstr>
      <vt:lpstr>PA 7 CC FEES</vt:lpstr>
      <vt:lpstr>PA 8 INTEREST</vt:lpstr>
      <vt:lpstr>PA 9 MANAGER INS</vt:lpstr>
      <vt:lpstr>PA 10 WRRA</vt:lpstr>
      <vt:lpstr>PA 11 PAYROLL</vt:lpstr>
      <vt:lpstr>PA 12 PROP INS</vt:lpstr>
      <vt:lpstr>EXTRA</vt:lpstr>
      <vt:lpstr>'LG Nonpublic 2018 V5.2a'!Debt_Rate</vt:lpstr>
      <vt:lpstr>'LG Nonpublic 2018 V5.2a'!debtP</vt:lpstr>
      <vt:lpstr>'LG Nonpublic 2018 V5.2a'!Equity_percent</vt:lpstr>
      <vt:lpstr>'LG Nonpublic 2018 V5.2a'!equityP</vt:lpstr>
      <vt:lpstr>'LG Nonpublic 2018 V5.2a'!expenses</vt:lpstr>
      <vt:lpstr>'LG Nonpublic 2018 V5.2a'!Investment</vt:lpstr>
      <vt:lpstr>'LG Nonpublic 2018 V5.2a'!Pfd_weighted</vt:lpstr>
      <vt:lpstr>'LG Nonpublic 2018 V5.2a'!Print_Area</vt:lpstr>
      <vt:lpstr>'LG Nonpublic 2018 V5.2a'!regDebt_weighted</vt:lpstr>
      <vt:lpstr>'LG Nonpublic 2018 V5.2a'!Revenue</vt:lpstr>
      <vt:lpstr>slope</vt:lpstr>
      <vt:lpstr>'LG Nonpublic 2018 V5.2a'!taxrate</vt:lpstr>
      <vt:lpstr>y_inter1</vt:lpstr>
      <vt:lpstr>y_inter2</vt:lpstr>
      <vt:lpstr>y_inter3</vt:lpstr>
      <vt:lpstr>y_inter4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</dc:creator>
  <cp:lastModifiedBy>Crystal</cp:lastModifiedBy>
  <cp:lastPrinted>2023-05-13T21:27:16Z</cp:lastPrinted>
  <dcterms:created xsi:type="dcterms:W3CDTF">2021-04-20T20:01:21Z</dcterms:created>
  <dcterms:modified xsi:type="dcterms:W3CDTF">2023-05-15T20:06:03Z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0x0101006E56B4D1795A2E4DB2F0B01679ED314A00CB14D923B9FD954297108C6561B438F8</vt:lpwstr>
  </property>
  <property fmtid="{D5CDD505-2E9C-101B-9397-08002B2CF9AE}" pid="3" name="_docset_NoMedatataSyncRequired">
    <vt:lpwstr>False</vt:lpwstr>
  </property>
</Properties>
</file>