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sharedStrings.xml" ContentType="application/vnd.openxmlformats-officedocument.spreadsheetml.sharedStrings+xml"/>
  <Override PartName="/xl/worksheets/sheet59.xml" ContentType="application/vnd.openxmlformats-officedocument.spreadsheetml.worksheet+xml"/>
  <Override PartName="/xl/worksheets/sheet5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styles.xml" ContentType="application/vnd.openxmlformats-officedocument.spreadsheetml.styles+xml"/>
  <Override PartName="/xl/worksheets/sheet34.xml" ContentType="application/vnd.openxmlformats-officedocument.spreadsheetml.worksheet+xml"/>
  <Override PartName="/xl/worksheets/sheet32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33.xml" ContentType="application/vnd.openxmlformats-officedocument.spreadsheetml.worksheet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4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5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printerSettings/printerSettings10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1.bin" ContentType="application/vnd.openxmlformats-officedocument.spreadsheetml.printerSettings"/>
  <Override PartName="/xl/printerSettings/printerSettings52.bin" ContentType="application/vnd.openxmlformats-officedocument.spreadsheetml.printerSettings"/>
  <Override PartName="/xl/printerSettings/printerSettings53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54.bin" ContentType="application/vnd.openxmlformats-officedocument.spreadsheetml.printerSettings"/>
  <Override PartName="/xl/externalLinks/externalLink1.xml" ContentType="application/vnd.openxmlformats-officedocument.spreadsheetml.externalLink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50.bin" ContentType="application/vnd.openxmlformats-officedocument.spreadsheetml.printerSettings"/>
  <Override PartName="/xl/printerSettings/printerSettings25.bin" ContentType="application/vnd.openxmlformats-officedocument.spreadsheetml.printerSettings"/>
  <Override PartName="/xl/printerSettings/printerSettings24.bin" ContentType="application/vnd.openxmlformats-officedocument.spreadsheetml.printerSettings"/>
  <Override PartName="/xl/printerSettings/printerSettings23.bin" ContentType="application/vnd.openxmlformats-officedocument.spreadsheetml.printerSettings"/>
  <Override PartName="/xl/printerSettings/printerSettings22.bin" ContentType="application/vnd.openxmlformats-officedocument.spreadsheetml.printerSettings"/>
  <Override PartName="/xl/printerSettings/printerSettings26.bin" ContentType="application/vnd.openxmlformats-officedocument.spreadsheetml.printerSettings"/>
  <Override PartName="/xl/printerSettings/printerSettings31.bin" ContentType="application/vnd.openxmlformats-officedocument.spreadsheetml.printerSettings"/>
  <Override PartName="/xl/printerSettings/printerSettings30.bin" ContentType="application/vnd.openxmlformats-officedocument.spreadsheetml.printerSettings"/>
  <Override PartName="/xl/printerSettings/printerSettings29.bin" ContentType="application/vnd.openxmlformats-officedocument.spreadsheetml.printerSettings"/>
  <Override PartName="/xl/printerSettings/printerSettings28.bin" ContentType="application/vnd.openxmlformats-officedocument.spreadsheetml.printerSettings"/>
  <Override PartName="/xl/printerSettings/printerSettings27.bin" ContentType="application/vnd.openxmlformats-officedocument.spreadsheetml.printerSettings"/>
  <Override PartName="/xl/printerSettings/printerSettings21.bin" ContentType="application/vnd.openxmlformats-officedocument.spreadsheetml.printerSettings"/>
  <Override PartName="/xl/printerSettings/printerSettings14.bin" ContentType="application/vnd.openxmlformats-officedocument.spreadsheetml.printerSettings"/>
  <Override PartName="/xl/printerSettings/printerSettings13.bin" ContentType="application/vnd.openxmlformats-officedocument.spreadsheetml.printerSettings"/>
  <Override PartName="/xl/printerSettings/printerSettings12.bin" ContentType="application/vnd.openxmlformats-officedocument.spreadsheetml.printerSettings"/>
  <Override PartName="/xl/printerSettings/printerSettings11.bin" ContentType="application/vnd.openxmlformats-officedocument.spreadsheetml.printerSettings"/>
  <Override PartName="/xl/printerSettings/printerSettings15.bin" ContentType="application/vnd.openxmlformats-officedocument.spreadsheetml.printerSettings"/>
  <Override PartName="/xl/printerSettings/printerSettings16.bin" ContentType="application/vnd.openxmlformats-officedocument.spreadsheetml.printerSettings"/>
  <Override PartName="/xl/printerSettings/printerSettings20.bin" ContentType="application/vnd.openxmlformats-officedocument.spreadsheetml.printerSettings"/>
  <Override PartName="/xl/printerSettings/printerSettings19.bin" ContentType="application/vnd.openxmlformats-officedocument.spreadsheetml.printerSettings"/>
  <Override PartName="/xl/printerSettings/printerSettings18.bin" ContentType="application/vnd.openxmlformats-officedocument.spreadsheetml.printerSettings"/>
  <Override PartName="/xl/printerSettings/printerSettings17.bin" ContentType="application/vnd.openxmlformats-officedocument.spreadsheetml.printerSettings"/>
  <Override PartName="/xl/printerSettings/printerSettings32.bin" ContentType="application/vnd.openxmlformats-officedocument.spreadsheetml.printerSettings"/>
  <Override PartName="/xl/printerSettings/printerSettings46.bin" ContentType="application/vnd.openxmlformats-officedocument.spreadsheetml.printerSettings"/>
  <Override PartName="/xl/printerSettings/printerSettings45.bin" ContentType="application/vnd.openxmlformats-officedocument.spreadsheetml.printerSettings"/>
  <Override PartName="/xl/printerSettings/printerSettings44.bin" ContentType="application/vnd.openxmlformats-officedocument.spreadsheetml.printerSettings"/>
  <Override PartName="/xl/printerSettings/printerSettings43.bin" ContentType="application/vnd.openxmlformats-officedocument.spreadsheetml.printerSettings"/>
  <Override PartName="/xl/printerSettings/printerSettings47.bin" ContentType="application/vnd.openxmlformats-officedocument.spreadsheetml.printerSettings"/>
  <Override PartName="/xl/printerSettings/printerSettings49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48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printerSettings/printerSettings42.bin" ContentType="application/vnd.openxmlformats-officedocument.spreadsheetml.printerSettings"/>
  <Override PartName="/xl/printerSettings/printerSettings41.bin" ContentType="application/vnd.openxmlformats-officedocument.spreadsheetml.printerSettings"/>
  <Override PartName="/xl/printerSettings/printerSettings9.bin" ContentType="application/vnd.openxmlformats-officedocument.spreadsheetml.printerSettings"/>
  <Override PartName="/xl/printerSettings/printerSettings36.bin" ContentType="application/vnd.openxmlformats-officedocument.spreadsheetml.printerSettings"/>
  <Override PartName="/xl/printerSettings/printerSettings35.bin" ContentType="application/vnd.openxmlformats-officedocument.spreadsheetml.printerSettings"/>
  <Override PartName="/xl/printerSettings/printerSettings34.bin" ContentType="application/vnd.openxmlformats-officedocument.spreadsheetml.printerSettings"/>
  <Override PartName="/xl/printerSettings/printerSettings33.bin" ContentType="application/vnd.openxmlformats-officedocument.spreadsheetml.printerSettings"/>
  <Override PartName="/xl/printerSettings/printerSettings8.bin" ContentType="application/vnd.openxmlformats-officedocument.spreadsheetml.printerSettings"/>
  <Override PartName="/xl/printerSettings/printerSettings40.bin" ContentType="application/vnd.openxmlformats-officedocument.spreadsheetml.printerSettings"/>
  <Override PartName="/xl/printerSettings/printerSettings39.bin" ContentType="application/vnd.openxmlformats-officedocument.spreadsheetml.printerSettings"/>
  <Override PartName="/xl/printerSettings/printerSettings38.bin" ContentType="application/vnd.openxmlformats-officedocument.spreadsheetml.printerSettings"/>
  <Override PartName="/xl/printerSettings/printerSettings37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RASANEN\#  Rate Filings\SCH 141N and 141R\Filed on 04-2023 (UE-XXXXXX)\"/>
    </mc:Choice>
  </mc:AlternateContent>
  <bookViews>
    <workbookView xWindow="0" yWindow="216" windowWidth="20100" windowHeight="9096" tabRatio="946" activeTab="2"/>
  </bookViews>
  <sheets>
    <sheet name="Table of Contents" sheetId="93" r:id="rId1"/>
    <sheet name="Overall Rate Impacts --&gt;" sheetId="75" r:id="rId2"/>
    <sheet name="Rate Impacts_RY#1" sheetId="72" r:id="rId3"/>
    <sheet name="Rate Impacts_RY#2" sheetId="77" r:id="rId4"/>
    <sheet name="Rate Impacts_RY#3" sheetId="78" r:id="rId5"/>
    <sheet name="Residential Bill Impacts--&gt;" sheetId="79" r:id="rId6"/>
    <sheet name="Res Bill Summary" sheetId="82" r:id="rId7"/>
    <sheet name="Res Bill RY#1" sheetId="36" r:id="rId8"/>
    <sheet name="Res Bill RY#2" sheetId="80" r:id="rId9"/>
    <sheet name="Res Bill RY#3" sheetId="81" r:id="rId10"/>
    <sheet name="Typical Res Bill Impacts--&gt;" sheetId="83" r:id="rId11"/>
    <sheet name="Typical Res Bill RY#1" sheetId="84" r:id="rId12"/>
    <sheet name="Typical Res Bill RY#2" sheetId="85" r:id="rId13"/>
    <sheet name="Typical Res Bill RY#3" sheetId="86" r:id="rId14"/>
    <sheet name="OTHER BILL IMPACTS--&gt;" sheetId="35" r:id="rId15"/>
    <sheet name="Schedule 24 Impacts" sheetId="37" r:id="rId16"/>
    <sheet name="Schedule 25 Impacts" sheetId="38" r:id="rId17"/>
    <sheet name="Schedule 26 Impacts" sheetId="39" r:id="rId18"/>
    <sheet name="Schedule 29 Impacts" sheetId="40" r:id="rId19"/>
    <sheet name="Schedule 31 Impacts" sheetId="41" r:id="rId20"/>
    <sheet name="Schedule 46 Impacts" sheetId="42" r:id="rId21"/>
    <sheet name="Schedule 49 Impacts" sheetId="43" r:id="rId22"/>
    <sheet name="Workpapers --&gt;" sheetId="91" r:id="rId23"/>
    <sheet name="Avg Per kWh Impacts===&gt;" sheetId="87" r:id="rId24"/>
    <sheet name="Avg Per kWh RY#1" sheetId="88" r:id="rId25"/>
    <sheet name="Avg Per kWh RY#2" sheetId="89" r:id="rId26"/>
    <sheet name="Avg Per kWh RY#3" sheetId="90" r:id="rId27"/>
    <sheet name="Revenue Calculations --&gt;" sheetId="76" r:id="rId28"/>
    <sheet name="Revenue By Sch TY" sheetId="1" r:id="rId29"/>
    <sheet name="Revenue by Sch RY#1" sheetId="71" r:id="rId30"/>
    <sheet name="Revenue by Sch RY#2" sheetId="96" r:id="rId31"/>
    <sheet name="Revenue by Sch RY#3" sheetId="74" r:id="rId32"/>
    <sheet name="Revenue &amp; Rider Impacts--&gt;" sheetId="15" r:id="rId33"/>
    <sheet name="Sch 95 PCORC" sheetId="62" r:id="rId34"/>
    <sheet name="Sch 95 Imbalance" sheetId="3" r:id="rId35"/>
    <sheet name="Sch 95a" sheetId="4" r:id="rId36"/>
    <sheet name="Sch 120" sheetId="13" r:id="rId37"/>
    <sheet name="Sch 129" sheetId="16" r:id="rId38"/>
    <sheet name="Sch 137" sheetId="19" r:id="rId39"/>
    <sheet name="Sch 139" sheetId="67" r:id="rId40"/>
    <sheet name="Sch 140" sheetId="22" r:id="rId41"/>
    <sheet name="Sch 141" sheetId="23" r:id="rId42"/>
    <sheet name="Sch 141A" sheetId="95" r:id="rId43"/>
    <sheet name="Sch 141C" sheetId="68" r:id="rId44"/>
    <sheet name="Sch 141N" sheetId="69" r:id="rId45"/>
    <sheet name="Sch 141R" sheetId="70" r:id="rId46"/>
    <sheet name="Sch 141X" sheetId="50" r:id="rId47"/>
    <sheet name="Sch 141Z" sheetId="59" r:id="rId48"/>
    <sheet name="Sch 142" sheetId="24" r:id="rId49"/>
    <sheet name="Sch 194" sheetId="25" r:id="rId50"/>
    <sheet name="Final Rider-Tracker Filings --&gt;" sheetId="14" r:id="rId51"/>
    <sheet name="UE-200890 Sch 95 PCORC" sheetId="61" r:id="rId52"/>
    <sheet name="UE-200893 Sch 95 Imb" sheetId="60" r:id="rId53"/>
    <sheet name="UE-210821 Sch 95A" sheetId="52" r:id="rId54"/>
    <sheet name="UE-210140 Sch 120" sheetId="6" r:id="rId55"/>
    <sheet name="UE-210674 Sch 129" sheetId="7" r:id="rId56"/>
    <sheet name="UE-210924 Sch 137" sheetId="20" r:id="rId57"/>
    <sheet name="UE-210217 Sch 140" sheetId="8" r:id="rId58"/>
    <sheet name="UE-190529 (PLR) 141x" sheetId="63" r:id="rId59"/>
    <sheet name="UE-190529 Sch 141Z" sheetId="64" r:id="rId60"/>
    <sheet name="UE-210214 Sch 142" sheetId="66" r:id="rId61"/>
    <sheet name="UE-200965 Sch 142 Supplemental" sheetId="65" r:id="rId62"/>
    <sheet name="UE-210757 Sch 194" sheetId="10" r:id="rId63"/>
  </sheets>
  <externalReferences>
    <externalReference r:id="rId64"/>
  </externalReferences>
  <definedNames>
    <definedName name="_xlnm.Print_Area" localSheetId="24">'Avg Per kWh RY#1'!$A$1:$L$25</definedName>
    <definedName name="_xlnm.Print_Area" localSheetId="25">'Avg Per kWh RY#2'!$A$1:$L$26</definedName>
    <definedName name="_xlnm.Print_Area" localSheetId="26">'Avg Per kWh RY#3'!$A$1:$L$25</definedName>
    <definedName name="_xlnm.Print_Area" localSheetId="2">'Rate Impacts_RY#1'!$A$1:$AP$32</definedName>
    <definedName name="_xlnm.Print_Area" localSheetId="3">'Rate Impacts_RY#2'!$A$1:$X$28</definedName>
    <definedName name="_xlnm.Print_Area" localSheetId="4">'Rate Impacts_RY#3'!$A$1:$U$28</definedName>
    <definedName name="_xlnm.Print_Area" localSheetId="7">'Res Bill RY#1'!$A$1:$U$44</definedName>
    <definedName name="_xlnm.Print_Area" localSheetId="8">'Res Bill RY#2'!$A$1:$U$44</definedName>
    <definedName name="_xlnm.Print_Area" localSheetId="9">'Res Bill RY#3'!$A$1:$U$44</definedName>
    <definedName name="_xlnm.Print_Area" localSheetId="6">'Res Bill Summary'!$A$1:$S$37</definedName>
    <definedName name="_xlnm.Print_Area" localSheetId="29">'Revenue by Sch RY#1'!$A$1:$AN$24</definedName>
    <definedName name="_xlnm.Print_Area" localSheetId="30">'Revenue by Sch RY#2'!$A$1:$AM$24</definedName>
    <definedName name="_xlnm.Print_Area" localSheetId="31">'Revenue by Sch RY#3'!$A$1:$AK$24</definedName>
    <definedName name="_xlnm.Print_Area" localSheetId="28">'Revenue By Sch TY'!$A$1:$AN$24</definedName>
    <definedName name="_xlnm.Print_Area" localSheetId="36">'Sch 120'!$A$1:$F$40</definedName>
    <definedName name="_xlnm.Print_Area" localSheetId="37">'Sch 129'!$A$1:$F$40</definedName>
    <definedName name="_xlnm.Print_Area" localSheetId="38">'Sch 137'!$A$1:$F$40</definedName>
    <definedName name="_xlnm.Print_Area" localSheetId="39">'Sch 139'!$A$1:$O$40</definedName>
    <definedName name="_xlnm.Print_Area" localSheetId="40">'Sch 140'!$A$1:$F$40</definedName>
    <definedName name="_xlnm.Print_Area" localSheetId="41">'Sch 141'!$A$1:$F$40</definedName>
    <definedName name="_xlnm.Print_Area" localSheetId="42">'Sch 141A'!$A$1:$G$40</definedName>
    <definedName name="_xlnm.Print_Area" localSheetId="43">'Sch 141C'!$A$1:$H$40</definedName>
    <definedName name="_xlnm.Print_Area" localSheetId="44">'Sch 141N'!$A$1:$I$40</definedName>
    <definedName name="_xlnm.Print_Area" localSheetId="45">'Sch 141R'!$A$1:$I$40</definedName>
    <definedName name="_xlnm.Print_Area" localSheetId="46">'Sch 141X'!$A$1:$G$40</definedName>
    <definedName name="_xlnm.Print_Area" localSheetId="47">'Sch 141Z'!$A$1:$D$40</definedName>
    <definedName name="_xlnm.Print_Area" localSheetId="48">'Sch 142'!$A$1:$H$40</definedName>
    <definedName name="_xlnm.Print_Area" localSheetId="49">'Sch 194'!$A$1:$F$42</definedName>
    <definedName name="_xlnm.Print_Area" localSheetId="34">'Sch 95 Imbalance'!$A$1:$G$40</definedName>
    <definedName name="_xlnm.Print_Area" localSheetId="33">'Sch 95 PCORC'!$A$1:$G$40</definedName>
    <definedName name="_xlnm.Print_Area" localSheetId="35">'Sch 95a'!$A$1:$F$40</definedName>
    <definedName name="_xlnm.Print_Area" localSheetId="15">'Schedule 24 Impacts'!$A$1:$AB$46</definedName>
    <definedName name="_xlnm.Print_Area" localSheetId="16">'Schedule 25 Impacts'!$A$1:$S$63</definedName>
    <definedName name="_xlnm.Print_Area" localSheetId="17">'Schedule 26 Impacts'!$A$1:$S$49</definedName>
    <definedName name="_xlnm.Print_Area" localSheetId="18">'Schedule 29 Impacts'!$B$1:$S$63</definedName>
    <definedName name="_xlnm.Print_Area" localSheetId="19">'Schedule 31 Impacts'!$A$1:$S$49</definedName>
    <definedName name="_xlnm.Print_Area" localSheetId="20">'Schedule 46 Impacts'!$A$1:$R$41</definedName>
    <definedName name="_xlnm.Print_Area" localSheetId="21">'Schedule 49 Impacts'!$A$1:$R$41</definedName>
    <definedName name="_xlnm.Print_Area" localSheetId="11">'Typical Res Bill RY#1'!$A$1:$AI$43</definedName>
    <definedName name="_xlnm.Print_Area" localSheetId="12">'Typical Res Bill RY#2'!$A$1:$T$43</definedName>
    <definedName name="_xlnm.Print_Area" localSheetId="13">'Typical Res Bill RY#3'!$A$1:$T$43</definedName>
    <definedName name="_xlnm.Print_Area" localSheetId="54">'UE-210140 Sch 120'!$A$1:$Q$35</definedName>
    <definedName name="_xlnm.Print_Area" localSheetId="57">'UE-210217 Sch 140'!$A$1:$M$35</definedName>
    <definedName name="_xlnm.Print_Area" localSheetId="55">'UE-210674 Sch 129'!$A$1:$T$36</definedName>
    <definedName name="_xlnm.Print_Area" localSheetId="62">'UE-210757 Sch 194'!$A$1:$K$26</definedName>
    <definedName name="_xlnm.Print_Area" localSheetId="53">'UE-210821 Sch 95A'!$A$1:$R$39</definedName>
    <definedName name="_xlnm.Print_Area" localSheetId="56">'UE-210924 Sch 137'!$A$1:$Q$39</definedName>
    <definedName name="_xlnm.Print_Titles" localSheetId="2">'Rate Impacts_RY#1'!$A:$B</definedName>
    <definedName name="_xlnm.Print_Titles" localSheetId="3">'Rate Impacts_RY#2'!$A:$B</definedName>
    <definedName name="_xlnm.Print_Titles" localSheetId="4">'Rate Impacts_RY#3'!$A:$B</definedName>
    <definedName name="_xlnm.Print_Titles" localSheetId="29">'Revenue by Sch RY#1'!$A:$C</definedName>
    <definedName name="_xlnm.Print_Titles" localSheetId="30">'Revenue by Sch RY#2'!$A:$C</definedName>
    <definedName name="_xlnm.Print_Titles" localSheetId="31">'Revenue by Sch RY#3'!$A:$C</definedName>
    <definedName name="_xlnm.Print_Titles" localSheetId="28">'Revenue By Sch TY'!$A:$C</definedName>
  </definedNames>
  <calcPr calcId="162913"/>
</workbook>
</file>

<file path=xl/calcChain.xml><?xml version="1.0" encoding="utf-8"?>
<calcChain xmlns="http://schemas.openxmlformats.org/spreadsheetml/2006/main">
  <c r="S42" i="68" l="1"/>
  <c r="L42" i="68"/>
  <c r="P38" i="68"/>
  <c r="F38" i="68"/>
  <c r="F33" i="68"/>
  <c r="F32" i="68"/>
  <c r="F30" i="68"/>
  <c r="P33" i="68"/>
  <c r="P32" i="68"/>
  <c r="P30" i="68"/>
  <c r="Q27" i="68"/>
  <c r="P27" i="68"/>
  <c r="Q26" i="68"/>
  <c r="P26" i="68"/>
  <c r="Q23" i="68"/>
  <c r="P23" i="68"/>
  <c r="Q22" i="68"/>
  <c r="P22" i="68"/>
  <c r="P21" i="68"/>
  <c r="Q20" i="68"/>
  <c r="Q17" i="68"/>
  <c r="P17" i="68"/>
  <c r="P16" i="68"/>
  <c r="Q15" i="68"/>
  <c r="P14" i="68"/>
  <c r="Q13" i="68"/>
  <c r="P12" i="68"/>
  <c r="P7" i="68"/>
  <c r="W21" i="24"/>
  <c r="S21" i="24"/>
  <c r="W16" i="24"/>
  <c r="S16" i="24"/>
  <c r="T38" i="70"/>
  <c r="S38" i="70"/>
  <c r="Q38" i="70"/>
  <c r="L38" i="70"/>
  <c r="H38" i="70"/>
  <c r="G38" i="70"/>
  <c r="M32" i="70"/>
  <c r="R32" i="70"/>
  <c r="S30" i="70"/>
  <c r="G30" i="70"/>
  <c r="Q27" i="70"/>
  <c r="Q26" i="70"/>
  <c r="Q23" i="70"/>
  <c r="Q22" i="70"/>
  <c r="Q20" i="70"/>
  <c r="Q17" i="70"/>
  <c r="Q15" i="70"/>
  <c r="Q13" i="70"/>
  <c r="L27" i="70"/>
  <c r="L26" i="70"/>
  <c r="L23" i="70"/>
  <c r="L22" i="70"/>
  <c r="L20" i="70"/>
  <c r="L17" i="70"/>
  <c r="L15" i="70"/>
  <c r="L13" i="70"/>
  <c r="T38" i="69"/>
  <c r="S38" i="69"/>
  <c r="Q38" i="69"/>
  <c r="L38" i="69"/>
  <c r="H38" i="69"/>
  <c r="G38" i="69"/>
  <c r="M32" i="69"/>
  <c r="R32" i="69"/>
  <c r="S30" i="69"/>
  <c r="G30" i="69"/>
  <c r="Q27" i="69"/>
  <c r="Q26" i="69"/>
  <c r="Q23" i="69"/>
  <c r="Q22" i="69"/>
  <c r="Q20" i="69"/>
  <c r="Q17" i="69"/>
  <c r="Q15" i="69"/>
  <c r="Q13" i="69"/>
  <c r="L27" i="69"/>
  <c r="L26" i="69"/>
  <c r="L23" i="69"/>
  <c r="L22" i="69"/>
  <c r="L20" i="69"/>
  <c r="L17" i="69"/>
  <c r="L15" i="69"/>
  <c r="L13" i="69"/>
  <c r="O38" i="68"/>
  <c r="K38" i="68"/>
  <c r="O27" i="68"/>
  <c r="O26" i="68"/>
  <c r="O23" i="68"/>
  <c r="O22" i="68"/>
  <c r="O20" i="68"/>
  <c r="O17" i="68"/>
  <c r="O15" i="68"/>
  <c r="O13" i="68"/>
  <c r="K27" i="68"/>
  <c r="K26" i="68"/>
  <c r="K23" i="68"/>
  <c r="K22" i="68"/>
  <c r="K20" i="68"/>
  <c r="K17" i="68"/>
  <c r="K15" i="68"/>
  <c r="K13" i="68"/>
  <c r="O32" i="95"/>
  <c r="J32" i="95"/>
  <c r="R42" i="95"/>
  <c r="L42" i="95"/>
  <c r="P38" i="95"/>
  <c r="F38" i="95"/>
  <c r="P33" i="95"/>
  <c r="P32" i="95"/>
  <c r="P30" i="95"/>
  <c r="N30" i="95"/>
  <c r="P27" i="95"/>
  <c r="N27" i="95"/>
  <c r="P26" i="95"/>
  <c r="N26" i="95"/>
  <c r="P23" i="95"/>
  <c r="N23" i="95"/>
  <c r="P22" i="95"/>
  <c r="N22" i="95"/>
  <c r="P21" i="95"/>
  <c r="N21" i="95"/>
  <c r="F33" i="95"/>
  <c r="F32" i="95"/>
  <c r="I30" i="95"/>
  <c r="F30" i="95"/>
  <c r="I27" i="95"/>
  <c r="F27" i="95"/>
  <c r="I26" i="95"/>
  <c r="F26" i="95"/>
  <c r="I23" i="95"/>
  <c r="F23" i="95"/>
  <c r="I22" i="95"/>
  <c r="F22" i="95"/>
  <c r="I21" i="95"/>
  <c r="F21" i="95"/>
  <c r="P17" i="95"/>
  <c r="N17" i="95"/>
  <c r="P16" i="95"/>
  <c r="N16" i="95"/>
  <c r="P14" i="95"/>
  <c r="N14" i="95"/>
  <c r="P12" i="95"/>
  <c r="N12" i="95"/>
  <c r="I17" i="95"/>
  <c r="F17" i="95"/>
  <c r="I16" i="95"/>
  <c r="F16" i="95"/>
  <c r="I14" i="95"/>
  <c r="F14" i="95"/>
  <c r="I12" i="95"/>
  <c r="F12" i="95"/>
  <c r="P7" i="95"/>
  <c r="N7" i="95"/>
  <c r="I7" i="95"/>
  <c r="F7" i="95"/>
  <c r="E21" i="24"/>
  <c r="E16" i="24"/>
  <c r="E38" i="70"/>
  <c r="F32" i="70"/>
  <c r="E27" i="70"/>
  <c r="E26" i="70"/>
  <c r="E23" i="70"/>
  <c r="E22" i="70"/>
  <c r="E20" i="70"/>
  <c r="E17" i="70"/>
  <c r="E15" i="70"/>
  <c r="E13" i="70"/>
  <c r="E38" i="69"/>
  <c r="F32" i="69"/>
  <c r="E27" i="69"/>
  <c r="E26" i="69"/>
  <c r="E23" i="69"/>
  <c r="E22" i="69"/>
  <c r="E20" i="69"/>
  <c r="E17" i="69"/>
  <c r="E15" i="69"/>
  <c r="E13" i="69"/>
  <c r="E38" i="68"/>
  <c r="E27" i="68"/>
  <c r="E26" i="68"/>
  <c r="E23" i="68"/>
  <c r="E22" i="68"/>
  <c r="E20" i="68"/>
  <c r="E17" i="68"/>
  <c r="E15" i="68"/>
  <c r="E13" i="68"/>
  <c r="E32" i="95"/>
  <c r="W26" i="1"/>
  <c r="E26" i="1"/>
  <c r="D26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Q25" i="41"/>
  <c r="O25" i="41"/>
  <c r="Q41" i="40"/>
  <c r="O41" i="40"/>
  <c r="Q37" i="40"/>
  <c r="O37" i="40"/>
  <c r="Q34" i="40"/>
  <c r="O34" i="40"/>
  <c r="Q25" i="39"/>
  <c r="O25" i="39"/>
  <c r="Q35" i="38"/>
  <c r="O35" i="38"/>
  <c r="Q30" i="38"/>
  <c r="O30" i="38"/>
  <c r="X20" i="37"/>
  <c r="U20" i="37"/>
  <c r="S33" i="70"/>
  <c r="S32" i="70"/>
  <c r="G33" i="70"/>
  <c r="G32" i="70"/>
  <c r="T27" i="70"/>
  <c r="S27" i="70"/>
  <c r="T26" i="70"/>
  <c r="S26" i="70"/>
  <c r="T23" i="70"/>
  <c r="S23" i="70"/>
  <c r="T22" i="70"/>
  <c r="S22" i="70"/>
  <c r="S21" i="70"/>
  <c r="T20" i="70"/>
  <c r="T17" i="70"/>
  <c r="S17" i="70"/>
  <c r="S16" i="70"/>
  <c r="T15" i="70"/>
  <c r="S14" i="70"/>
  <c r="T13" i="70"/>
  <c r="S12" i="70"/>
  <c r="H27" i="70"/>
  <c r="G27" i="70"/>
  <c r="H26" i="70"/>
  <c r="G26" i="70"/>
  <c r="H23" i="70"/>
  <c r="G23" i="70"/>
  <c r="H22" i="70"/>
  <c r="G22" i="70"/>
  <c r="G21" i="70"/>
  <c r="H20" i="70"/>
  <c r="H17" i="70"/>
  <c r="G17" i="70"/>
  <c r="G16" i="70"/>
  <c r="H15" i="70"/>
  <c r="G14" i="70"/>
  <c r="H13" i="70"/>
  <c r="G12" i="70"/>
  <c r="S7" i="70"/>
  <c r="G7" i="70"/>
  <c r="S33" i="69"/>
  <c r="S32" i="69"/>
  <c r="G33" i="69"/>
  <c r="G32" i="69"/>
  <c r="T27" i="69"/>
  <c r="S27" i="69"/>
  <c r="T26" i="69"/>
  <c r="S26" i="69"/>
  <c r="T23" i="69"/>
  <c r="S23" i="69"/>
  <c r="T22" i="69"/>
  <c r="S22" i="69"/>
  <c r="S21" i="69"/>
  <c r="T20" i="69"/>
  <c r="T17" i="69"/>
  <c r="S17" i="69"/>
  <c r="S16" i="69"/>
  <c r="T15" i="69"/>
  <c r="S14" i="69"/>
  <c r="T13" i="69"/>
  <c r="S12" i="69"/>
  <c r="H27" i="69"/>
  <c r="G27" i="69"/>
  <c r="H26" i="69"/>
  <c r="G26" i="69"/>
  <c r="H23" i="69"/>
  <c r="G23" i="69"/>
  <c r="H22" i="69"/>
  <c r="G22" i="69"/>
  <c r="G21" i="69"/>
  <c r="H20" i="69"/>
  <c r="H17" i="69"/>
  <c r="G17" i="69"/>
  <c r="G16" i="69"/>
  <c r="H15" i="69"/>
  <c r="G14" i="69"/>
  <c r="H13" i="69"/>
  <c r="G12" i="69"/>
  <c r="S7" i="69"/>
  <c r="G7" i="69"/>
  <c r="G27" i="68"/>
  <c r="F27" i="68"/>
  <c r="G26" i="68"/>
  <c r="F26" i="68"/>
  <c r="G23" i="68"/>
  <c r="F23" i="68"/>
  <c r="G22" i="68"/>
  <c r="F22" i="68"/>
  <c r="F21" i="68"/>
  <c r="G20" i="68"/>
  <c r="G17" i="68"/>
  <c r="F17" i="68"/>
  <c r="F16" i="68"/>
  <c r="G15" i="68"/>
  <c r="F14" i="68"/>
  <c r="G13" i="68"/>
  <c r="F12" i="68"/>
  <c r="F7" i="68"/>
  <c r="P18" i="43"/>
  <c r="N18" i="43"/>
  <c r="P17" i="43"/>
  <c r="N17" i="43"/>
  <c r="P18" i="42"/>
  <c r="N18" i="42"/>
  <c r="P17" i="42"/>
  <c r="N17" i="42"/>
  <c r="Q26" i="41"/>
  <c r="O26" i="41"/>
  <c r="Q24" i="41"/>
  <c r="O24" i="41"/>
  <c r="Q23" i="41"/>
  <c r="O23" i="41"/>
  <c r="Q22" i="41"/>
  <c r="O22" i="41"/>
  <c r="Q21" i="41"/>
  <c r="O21" i="41"/>
  <c r="Q42" i="40"/>
  <c r="O42" i="40"/>
  <c r="Q40" i="40"/>
  <c r="O40" i="40"/>
  <c r="Q39" i="40"/>
  <c r="O39" i="40"/>
  <c r="Q38" i="40"/>
  <c r="O38" i="40"/>
  <c r="Q36" i="40"/>
  <c r="O36" i="40"/>
  <c r="Q35" i="40"/>
  <c r="O35" i="40"/>
  <c r="Q33" i="40"/>
  <c r="O33" i="40"/>
  <c r="Q32" i="40"/>
  <c r="O32" i="40"/>
  <c r="Q31" i="40"/>
  <c r="O31" i="40"/>
  <c r="Q30" i="40"/>
  <c r="O30" i="40"/>
  <c r="Q26" i="39"/>
  <c r="O26" i="39"/>
  <c r="Q24" i="39"/>
  <c r="O24" i="39"/>
  <c r="Q23" i="39"/>
  <c r="O23" i="39"/>
  <c r="Q22" i="39"/>
  <c r="O22" i="39"/>
  <c r="Q21" i="39"/>
  <c r="O21" i="39"/>
  <c r="Q36" i="38"/>
  <c r="O36" i="38"/>
  <c r="Q34" i="38"/>
  <c r="O34" i="38"/>
  <c r="Q33" i="38"/>
  <c r="O33" i="38"/>
  <c r="Q32" i="38"/>
  <c r="O32" i="38"/>
  <c r="Q31" i="38"/>
  <c r="O31" i="38"/>
  <c r="Q29" i="38"/>
  <c r="O29" i="38"/>
  <c r="Q28" i="38"/>
  <c r="O28" i="38"/>
  <c r="Q27" i="38"/>
  <c r="O27" i="38"/>
  <c r="X19" i="37"/>
  <c r="U19" i="37"/>
  <c r="X18" i="37"/>
  <c r="U18" i="37"/>
  <c r="Y17" i="37"/>
  <c r="X17" i="37"/>
  <c r="V17" i="37"/>
  <c r="U17" i="37"/>
  <c r="S19" i="36"/>
  <c r="Q19" i="36"/>
  <c r="S18" i="36"/>
  <c r="Q18" i="36"/>
  <c r="S17" i="36"/>
  <c r="Q17" i="36"/>
  <c r="V38" i="24"/>
  <c r="R38" i="24"/>
  <c r="V33" i="24"/>
  <c r="V32" i="24"/>
  <c r="V30" i="24"/>
  <c r="V27" i="24"/>
  <c r="V26" i="24"/>
  <c r="V23" i="24"/>
  <c r="V22" i="24"/>
  <c r="V21" i="24"/>
  <c r="R33" i="24"/>
  <c r="R32" i="24"/>
  <c r="R30" i="24"/>
  <c r="R27" i="24"/>
  <c r="R26" i="24"/>
  <c r="R23" i="24"/>
  <c r="R22" i="24"/>
  <c r="R21" i="24"/>
  <c r="V17" i="24"/>
  <c r="V16" i="24"/>
  <c r="V14" i="24"/>
  <c r="V12" i="24"/>
  <c r="R17" i="24"/>
  <c r="R16" i="24"/>
  <c r="R14" i="24"/>
  <c r="R12" i="24"/>
  <c r="V7" i="24"/>
  <c r="R7" i="24"/>
  <c r="N38" i="50"/>
  <c r="J38" i="50"/>
  <c r="N33" i="50"/>
  <c r="N32" i="50"/>
  <c r="N30" i="50"/>
  <c r="N27" i="50"/>
  <c r="N26" i="50"/>
  <c r="N23" i="50"/>
  <c r="N22" i="50"/>
  <c r="N21" i="50"/>
  <c r="J33" i="50"/>
  <c r="J32" i="50"/>
  <c r="J30" i="50"/>
  <c r="J27" i="50"/>
  <c r="J26" i="50"/>
  <c r="J23" i="50"/>
  <c r="J22" i="50"/>
  <c r="J21" i="50"/>
  <c r="N17" i="50"/>
  <c r="N16" i="50"/>
  <c r="N14" i="50"/>
  <c r="N12" i="50"/>
  <c r="J17" i="50"/>
  <c r="J16" i="50"/>
  <c r="J14" i="50"/>
  <c r="J12" i="50"/>
  <c r="N7" i="50"/>
  <c r="J7" i="50"/>
  <c r="V42" i="70"/>
  <c r="N42" i="70"/>
  <c r="V42" i="69"/>
  <c r="N42" i="69"/>
  <c r="N38" i="62"/>
  <c r="J38" i="62"/>
  <c r="N33" i="62"/>
  <c r="N32" i="62"/>
  <c r="N30" i="62"/>
  <c r="N27" i="62"/>
  <c r="N26" i="62"/>
  <c r="N23" i="62"/>
  <c r="N22" i="62"/>
  <c r="N21" i="62"/>
  <c r="J33" i="62"/>
  <c r="J32" i="62"/>
  <c r="J30" i="62"/>
  <c r="J27" i="62"/>
  <c r="J26" i="62"/>
  <c r="J23" i="62"/>
  <c r="J22" i="62"/>
  <c r="J21" i="62"/>
  <c r="N17" i="62"/>
  <c r="N16" i="62"/>
  <c r="N14" i="62"/>
  <c r="N12" i="62"/>
  <c r="J17" i="62"/>
  <c r="J16" i="62"/>
  <c r="J14" i="62"/>
  <c r="J12" i="62"/>
  <c r="N7" i="62"/>
  <c r="J7" i="62"/>
  <c r="E26" i="96"/>
  <c r="D26" i="96"/>
  <c r="E22" i="96"/>
  <c r="D22" i="96"/>
  <c r="E21" i="96"/>
  <c r="D21" i="96"/>
  <c r="E20" i="96"/>
  <c r="D20" i="96"/>
  <c r="E19" i="96"/>
  <c r="D19" i="96"/>
  <c r="E18" i="96"/>
  <c r="D18" i="96"/>
  <c r="E17" i="96"/>
  <c r="D17" i="96"/>
  <c r="E16" i="96"/>
  <c r="D16" i="96"/>
  <c r="E15" i="96"/>
  <c r="D15" i="96"/>
  <c r="E14" i="96"/>
  <c r="D14" i="96"/>
  <c r="E13" i="96"/>
  <c r="D13" i="96"/>
  <c r="E12" i="96"/>
  <c r="D12" i="96"/>
  <c r="E11" i="96"/>
  <c r="D11" i="96"/>
  <c r="E10" i="96"/>
  <c r="D10" i="96"/>
  <c r="E9" i="96"/>
  <c r="D9" i="96"/>
  <c r="E26" i="71"/>
  <c r="D26" i="71"/>
  <c r="E22" i="71"/>
  <c r="D22" i="71"/>
  <c r="E21" i="71"/>
  <c r="D21" i="71"/>
  <c r="E20" i="71"/>
  <c r="D20" i="71"/>
  <c r="E19" i="71"/>
  <c r="D19" i="71"/>
  <c r="E18" i="71"/>
  <c r="D18" i="71"/>
  <c r="E17" i="71"/>
  <c r="D17" i="71"/>
  <c r="E16" i="71"/>
  <c r="D16" i="71"/>
  <c r="E15" i="71"/>
  <c r="D15" i="71"/>
  <c r="E14" i="71"/>
  <c r="D14" i="71"/>
  <c r="E13" i="71"/>
  <c r="D13" i="71"/>
  <c r="E12" i="71"/>
  <c r="D12" i="71"/>
  <c r="E11" i="71"/>
  <c r="D11" i="71"/>
  <c r="E10" i="71"/>
  <c r="D10" i="71"/>
  <c r="E9" i="71"/>
  <c r="D9" i="71"/>
  <c r="D25" i="72"/>
  <c r="D22" i="72"/>
  <c r="D21" i="72"/>
  <c r="D20" i="72"/>
  <c r="D19" i="72"/>
  <c r="D18" i="72"/>
  <c r="D17" i="72"/>
  <c r="D16" i="72"/>
  <c r="D15" i="72"/>
  <c r="D14" i="72"/>
  <c r="D13" i="72"/>
  <c r="D12" i="72"/>
  <c r="D11" i="72"/>
  <c r="D10" i="72"/>
  <c r="D9" i="72"/>
  <c r="F35" i="77" l="1"/>
  <c r="I35" i="77"/>
  <c r="L35" i="77"/>
  <c r="O35" i="77"/>
  <c r="R35" i="77"/>
  <c r="U35" i="77"/>
  <c r="G22" i="77" l="1"/>
  <c r="G21" i="77"/>
  <c r="G20" i="77"/>
  <c r="G19" i="77"/>
  <c r="G15" i="77"/>
  <c r="G13" i="77"/>
  <c r="G9" i="77"/>
  <c r="AG22" i="96"/>
  <c r="AG21" i="96"/>
  <c r="AG20" i="96"/>
  <c r="AG19" i="96"/>
  <c r="AG15" i="96"/>
  <c r="AG13" i="96"/>
  <c r="AG9" i="96"/>
  <c r="AE9" i="71"/>
  <c r="AG7" i="96"/>
  <c r="AB7" i="96"/>
  <c r="AB9" i="96"/>
  <c r="AB13" i="96"/>
  <c r="AB15" i="96"/>
  <c r="AB19" i="96"/>
  <c r="AB20" i="96"/>
  <c r="AB21" i="96"/>
  <c r="AB22" i="96"/>
  <c r="V11" i="69" l="1"/>
  <c r="U11" i="69"/>
  <c r="V8" i="69"/>
  <c r="U8" i="69"/>
  <c r="N11" i="69"/>
  <c r="N8" i="69"/>
  <c r="V11" i="70"/>
  <c r="U11" i="70"/>
  <c r="V8" i="70"/>
  <c r="U8" i="70"/>
  <c r="N11" i="70"/>
  <c r="N8" i="70"/>
  <c r="S11" i="68"/>
  <c r="R11" i="68"/>
  <c r="S8" i="68"/>
  <c r="R8" i="68"/>
  <c r="AA7" i="96"/>
  <c r="AF7" i="96" s="1"/>
  <c r="AC7" i="96"/>
  <c r="AD7" i="96"/>
  <c r="AE7" i="96"/>
  <c r="AH7" i="96"/>
  <c r="L9" i="96"/>
  <c r="A10" i="96"/>
  <c r="A11" i="96"/>
  <c r="A12" i="96"/>
  <c r="A13" i="96"/>
  <c r="A14" i="96" s="1"/>
  <c r="A15" i="96" s="1"/>
  <c r="A16" i="96" s="1"/>
  <c r="A17" i="96" s="1"/>
  <c r="A18" i="96" s="1"/>
  <c r="A19" i="96" s="1"/>
  <c r="A20" i="96" s="1"/>
  <c r="A21" i="96" s="1"/>
  <c r="A22" i="96" s="1"/>
  <c r="A23" i="96" s="1"/>
  <c r="A24" i="96" s="1"/>
  <c r="L13" i="96"/>
  <c r="W17" i="96"/>
  <c r="W18" i="96"/>
  <c r="L19" i="96"/>
  <c r="L20" i="96"/>
  <c r="W20" i="96"/>
  <c r="L21" i="96"/>
  <c r="W21" i="96"/>
  <c r="L22" i="96"/>
  <c r="W22" i="96"/>
  <c r="Q6" i="68" l="1"/>
  <c r="P6" i="68"/>
  <c r="O6" i="68"/>
  <c r="P13" i="68"/>
  <c r="K6" i="68"/>
  <c r="H11" i="68"/>
  <c r="H8" i="68"/>
  <c r="E6" i="68"/>
  <c r="I11" i="69"/>
  <c r="I8" i="69"/>
  <c r="T6" i="69"/>
  <c r="Q6" i="69"/>
  <c r="L6" i="69"/>
  <c r="H6" i="69"/>
  <c r="G6" i="68" s="1"/>
  <c r="E6" i="69"/>
  <c r="I11" i="70"/>
  <c r="I8" i="70"/>
  <c r="G6" i="70"/>
  <c r="G6" i="69" s="1"/>
  <c r="F6" i="68" s="1"/>
  <c r="B25" i="84" l="1"/>
  <c r="B25" i="86" s="1"/>
  <c r="P30" i="81"/>
  <c r="P30" i="80"/>
  <c r="AF7" i="74"/>
  <c r="B25" i="85" l="1"/>
  <c r="F29" i="85"/>
  <c r="F30" i="85"/>
  <c r="F31" i="85"/>
  <c r="F32" i="85"/>
  <c r="F33" i="85"/>
  <c r="O8" i="84"/>
  <c r="M27" i="43" l="1"/>
  <c r="M27" i="42"/>
  <c r="N51" i="40"/>
  <c r="N35" i="39"/>
  <c r="N35" i="41" s="1"/>
  <c r="N46" i="38"/>
  <c r="T32" i="37"/>
  <c r="T31" i="37"/>
  <c r="T30" i="37"/>
  <c r="T29" i="37"/>
  <c r="A25" i="86"/>
  <c r="A26" i="86"/>
  <c r="A27" i="86" s="1"/>
  <c r="A28" i="86" s="1"/>
  <c r="C25" i="84"/>
  <c r="U25" i="84" s="1"/>
  <c r="AA25" i="84" l="1"/>
  <c r="I25" i="84"/>
  <c r="R25" i="84"/>
  <c r="AD25" i="84"/>
  <c r="L25" i="84"/>
  <c r="X25" i="84"/>
  <c r="F25" i="84"/>
  <c r="AB7" i="74" l="1"/>
  <c r="K20" i="95"/>
  <c r="Q20" i="95" s="1"/>
  <c r="K15" i="95"/>
  <c r="K13" i="95"/>
  <c r="K11" i="95"/>
  <c r="Q11" i="95" s="1"/>
  <c r="K8" i="95"/>
  <c r="Q8" i="95" s="1"/>
  <c r="A35" i="95"/>
  <c r="A36" i="95" s="1"/>
  <c r="A37" i="95" s="1"/>
  <c r="A38" i="95" s="1"/>
  <c r="A39" i="95" s="1"/>
  <c r="A40" i="95" s="1"/>
  <c r="A31" i="95"/>
  <c r="A32" i="95" s="1"/>
  <c r="A33" i="95" s="1"/>
  <c r="A34" i="95" s="1"/>
  <c r="N20" i="95"/>
  <c r="I20" i="95"/>
  <c r="G20" i="95"/>
  <c r="N15" i="95"/>
  <c r="R15" i="95" s="1"/>
  <c r="I15" i="95"/>
  <c r="G15" i="95"/>
  <c r="N13" i="95"/>
  <c r="R13" i="95" s="1"/>
  <c r="I13" i="95"/>
  <c r="G13" i="95"/>
  <c r="R11" i="95"/>
  <c r="N11" i="95"/>
  <c r="I11" i="95"/>
  <c r="G11" i="95"/>
  <c r="R8" i="95"/>
  <c r="N8" i="95"/>
  <c r="L8" i="95"/>
  <c r="I8" i="95"/>
  <c r="G8" i="95"/>
  <c r="W6" i="95"/>
  <c r="Q6" i="95"/>
  <c r="O6" i="95"/>
  <c r="U6" i="95" s="1"/>
  <c r="N6" i="95"/>
  <c r="T6" i="95" s="1"/>
  <c r="A3" i="95"/>
  <c r="Q13" i="95" l="1"/>
  <c r="L15" i="95"/>
  <c r="L11" i="95"/>
  <c r="L13" i="95"/>
  <c r="L20" i="95"/>
  <c r="Q15" i="95"/>
  <c r="R20" i="95"/>
  <c r="V14" i="67" l="1"/>
  <c r="M12" i="67"/>
  <c r="Z33" i="67"/>
  <c r="Z32" i="67"/>
  <c r="Z30" i="67"/>
  <c r="Z22" i="67"/>
  <c r="Z20" i="67"/>
  <c r="Z17" i="67"/>
  <c r="Z15" i="67"/>
  <c r="Z13" i="67"/>
  <c r="Z11" i="67"/>
  <c r="Z8" i="67"/>
  <c r="Z7" i="67"/>
  <c r="Z9" i="67" s="1"/>
  <c r="T7" i="67"/>
  <c r="X27" i="67"/>
  <c r="W27" i="67"/>
  <c r="V27" i="67"/>
  <c r="X26" i="67"/>
  <c r="W26" i="67"/>
  <c r="V26" i="67"/>
  <c r="X23" i="67"/>
  <c r="W23" i="67"/>
  <c r="V23" i="67"/>
  <c r="X21" i="67"/>
  <c r="W21" i="67"/>
  <c r="V21" i="67"/>
  <c r="X16" i="67"/>
  <c r="W16" i="67"/>
  <c r="V16" i="67"/>
  <c r="X14" i="67"/>
  <c r="W14" i="67"/>
  <c r="AA7" i="74" l="1"/>
  <c r="AE7" i="74" s="1"/>
  <c r="S22" i="1" l="1"/>
  <c r="S22" i="71"/>
  <c r="E38" i="59"/>
  <c r="E38" i="4"/>
  <c r="E38" i="3"/>
  <c r="E38" i="62"/>
  <c r="A12" i="90" l="1"/>
  <c r="A13" i="90" s="1"/>
  <c r="A14" i="90" s="1"/>
  <c r="A15" i="90" s="1"/>
  <c r="A16" i="90" s="1"/>
  <c r="A17" i="90" s="1"/>
  <c r="A18" i="90" s="1"/>
  <c r="A19" i="90" s="1"/>
  <c r="A20" i="90" s="1"/>
  <c r="A21" i="90" s="1"/>
  <c r="A22" i="90" s="1"/>
  <c r="A23" i="90" s="1"/>
  <c r="A24" i="90" s="1"/>
  <c r="A25" i="90" s="1"/>
  <c r="I9" i="90"/>
  <c r="H9" i="90"/>
  <c r="E9" i="90"/>
  <c r="A12" i="89"/>
  <c r="A13" i="89" s="1"/>
  <c r="A14" i="89" s="1"/>
  <c r="A15" i="89" s="1"/>
  <c r="A16" i="89" s="1"/>
  <c r="A17" i="89" s="1"/>
  <c r="A18" i="89" s="1"/>
  <c r="A19" i="89" s="1"/>
  <c r="A20" i="89" s="1"/>
  <c r="A21" i="89" s="1"/>
  <c r="A22" i="89" s="1"/>
  <c r="A23" i="89" s="1"/>
  <c r="A24" i="89" s="1"/>
  <c r="A25" i="89" s="1"/>
  <c r="I9" i="89"/>
  <c r="H9" i="89"/>
  <c r="E9" i="89"/>
  <c r="A12" i="88"/>
  <c r="A13" i="88" s="1"/>
  <c r="A14" i="88" s="1"/>
  <c r="A15" i="88" s="1"/>
  <c r="A16" i="88" s="1"/>
  <c r="A17" i="88" s="1"/>
  <c r="A18" i="88" s="1"/>
  <c r="A19" i="88" s="1"/>
  <c r="A20" i="88" s="1"/>
  <c r="A21" i="88" s="1"/>
  <c r="A22" i="88" s="1"/>
  <c r="A23" i="88" s="1"/>
  <c r="A24" i="88" s="1"/>
  <c r="A25" i="88" s="1"/>
  <c r="I9" i="88"/>
  <c r="H9" i="88"/>
  <c r="E9" i="88"/>
  <c r="A9" i="86"/>
  <c r="A10" i="86" s="1"/>
  <c r="A11" i="86" s="1"/>
  <c r="A12" i="86" s="1"/>
  <c r="A13" i="86" s="1"/>
  <c r="A14" i="86" s="1"/>
  <c r="A15" i="86" s="1"/>
  <c r="A16" i="86" s="1"/>
  <c r="A17" i="86" s="1"/>
  <c r="A18" i="86" s="1"/>
  <c r="A19" i="86" s="1"/>
  <c r="A20" i="86" s="1"/>
  <c r="A21" i="86" s="1"/>
  <c r="A22" i="86" s="1"/>
  <c r="A23" i="86" s="1"/>
  <c r="A24" i="86" s="1"/>
  <c r="A29" i="86" s="1"/>
  <c r="A30" i="86" s="1"/>
  <c r="A31" i="86" s="1"/>
  <c r="A32" i="86" s="1"/>
  <c r="A33" i="86" s="1"/>
  <c r="A34" i="86" s="1"/>
  <c r="A35" i="86" s="1"/>
  <c r="A36" i="86" s="1"/>
  <c r="A37" i="86" s="1"/>
  <c r="A38" i="86" s="1"/>
  <c r="A39" i="86" s="1"/>
  <c r="A40" i="86" s="1"/>
  <c r="A41" i="86" s="1"/>
  <c r="A9" i="85"/>
  <c r="A10" i="85" s="1"/>
  <c r="A11" i="85" s="1"/>
  <c r="A12" i="85" s="1"/>
  <c r="A13" i="85" s="1"/>
  <c r="A14" i="85" s="1"/>
  <c r="A15" i="85" s="1"/>
  <c r="A16" i="85" s="1"/>
  <c r="A17" i="85" s="1"/>
  <c r="A18" i="85" s="1"/>
  <c r="A19" i="85" s="1"/>
  <c r="A20" i="85" s="1"/>
  <c r="A21" i="85" s="1"/>
  <c r="A22" i="85" s="1"/>
  <c r="A23" i="85" s="1"/>
  <c r="A9" i="84"/>
  <c r="A10" i="84" s="1"/>
  <c r="A11" i="84" s="1"/>
  <c r="A12" i="84" s="1"/>
  <c r="A13" i="84" s="1"/>
  <c r="A14" i="84" s="1"/>
  <c r="A15" i="84" s="1"/>
  <c r="A16" i="84" s="1"/>
  <c r="A17" i="84" s="1"/>
  <c r="A18" i="84" s="1"/>
  <c r="A19" i="84" s="1"/>
  <c r="A20" i="84" s="1"/>
  <c r="A21" i="84" s="1"/>
  <c r="A22" i="84" s="1"/>
  <c r="A23" i="84" s="1"/>
  <c r="A24" i="84" s="1"/>
  <c r="C18" i="85"/>
  <c r="F18" i="85" s="1"/>
  <c r="C8" i="85"/>
  <c r="F8" i="85" s="1"/>
  <c r="AG32" i="84"/>
  <c r="C32" i="85" s="1"/>
  <c r="AG29" i="84"/>
  <c r="C29" i="85" s="1"/>
  <c r="AG19" i="84"/>
  <c r="C19" i="85" s="1"/>
  <c r="F19" i="85" s="1"/>
  <c r="AG18" i="84"/>
  <c r="AG8" i="84"/>
  <c r="AD8" i="84"/>
  <c r="R8" i="84"/>
  <c r="I8" i="84"/>
  <c r="L8" i="84"/>
  <c r="C26" i="84"/>
  <c r="C27" i="84"/>
  <c r="C28" i="84"/>
  <c r="AA8" i="84"/>
  <c r="X8" i="84"/>
  <c r="U8" i="84"/>
  <c r="F8" i="84"/>
  <c r="A24" i="85" l="1"/>
  <c r="A25" i="85" s="1"/>
  <c r="A26" i="85" s="1"/>
  <c r="A27" i="85" s="1"/>
  <c r="A28" i="85" s="1"/>
  <c r="A29" i="85" s="1"/>
  <c r="A30" i="85" s="1"/>
  <c r="A31" i="85" s="1"/>
  <c r="A32" i="85" s="1"/>
  <c r="A33" i="85" s="1"/>
  <c r="A34" i="85" s="1"/>
  <c r="A35" i="85" s="1"/>
  <c r="A36" i="85" s="1"/>
  <c r="A37" i="85" s="1"/>
  <c r="A38" i="85" s="1"/>
  <c r="A39" i="85" s="1"/>
  <c r="A40" i="85" s="1"/>
  <c r="A41" i="85" s="1"/>
  <c r="A25" i="84"/>
  <c r="A26" i="84" s="1"/>
  <c r="A27" i="84" s="1"/>
  <c r="A28" i="84" s="1"/>
  <c r="A29" i="84" s="1"/>
  <c r="A30" i="84" s="1"/>
  <c r="A31" i="84" s="1"/>
  <c r="A32" i="84" s="1"/>
  <c r="A33" i="84" s="1"/>
  <c r="A34" i="84" s="1"/>
  <c r="A35" i="84" s="1"/>
  <c r="A36" i="84" s="1"/>
  <c r="A37" i="84" s="1"/>
  <c r="A38" i="84" s="1"/>
  <c r="A39" i="84" s="1"/>
  <c r="A40" i="84" s="1"/>
  <c r="A41" i="84" s="1"/>
  <c r="F26" i="84"/>
  <c r="O26" i="84"/>
  <c r="F28" i="84"/>
  <c r="O28" i="84"/>
  <c r="I26" i="84"/>
  <c r="F27" i="84"/>
  <c r="O27" i="84"/>
  <c r="R32" i="85"/>
  <c r="I32" i="85"/>
  <c r="R29" i="85"/>
  <c r="I29" i="85"/>
  <c r="R19" i="85"/>
  <c r="I19" i="85"/>
  <c r="R18" i="85"/>
  <c r="I18" i="85"/>
  <c r="X27" i="84"/>
  <c r="U26" i="84"/>
  <c r="U28" i="84"/>
  <c r="R27" i="84"/>
  <c r="AD26" i="84"/>
  <c r="L26" i="84"/>
  <c r="R28" i="84"/>
  <c r="AD27" i="84"/>
  <c r="L27" i="84"/>
  <c r="AA26" i="84"/>
  <c r="AD28" i="84"/>
  <c r="I28" i="84"/>
  <c r="L28" i="84"/>
  <c r="AA27" i="84"/>
  <c r="I27" i="84"/>
  <c r="X26" i="84"/>
  <c r="AA28" i="84"/>
  <c r="R8" i="85"/>
  <c r="I8" i="85"/>
  <c r="L18" i="85"/>
  <c r="O32" i="85"/>
  <c r="L8" i="85"/>
  <c r="O8" i="85"/>
  <c r="L32" i="85"/>
  <c r="O29" i="85"/>
  <c r="L29" i="85"/>
  <c r="O19" i="85"/>
  <c r="L19" i="85"/>
  <c r="O18" i="85"/>
  <c r="N7" i="82" l="1"/>
  <c r="R7" i="82" s="1"/>
  <c r="O7" i="82"/>
  <c r="S7" i="82" s="1"/>
  <c r="M7" i="82"/>
  <c r="Q7" i="82" s="1"/>
  <c r="B31" i="82"/>
  <c r="B9" i="82"/>
  <c r="B10" i="82"/>
  <c r="B11" i="82"/>
  <c r="B12" i="82"/>
  <c r="B13" i="82"/>
  <c r="B14" i="82"/>
  <c r="B15" i="82"/>
  <c r="B16" i="82"/>
  <c r="B17" i="82"/>
  <c r="B18" i="82"/>
  <c r="B19" i="82"/>
  <c r="B20" i="82"/>
  <c r="B21" i="82"/>
  <c r="B22" i="82"/>
  <c r="B23" i="82"/>
  <c r="B24" i="82"/>
  <c r="B25" i="82"/>
  <c r="B26" i="82"/>
  <c r="B27" i="82"/>
  <c r="B28" i="82"/>
  <c r="B29" i="82"/>
  <c r="B30" i="82"/>
  <c r="B8" i="82"/>
  <c r="P19" i="81"/>
  <c r="P18" i="81"/>
  <c r="P17" i="81"/>
  <c r="Q24" i="80"/>
  <c r="S24" i="80" s="1"/>
  <c r="Q34" i="80"/>
  <c r="S34" i="80" s="1"/>
  <c r="Q37" i="80"/>
  <c r="S37" i="80" s="1"/>
  <c r="Q23" i="80"/>
  <c r="S23" i="80" s="1"/>
  <c r="P19" i="80"/>
  <c r="P18" i="80"/>
  <c r="P17" i="80"/>
  <c r="A10" i="74"/>
  <c r="A11" i="74" s="1"/>
  <c r="A12" i="74" s="1"/>
  <c r="A13" i="74" s="1"/>
  <c r="A14" i="74" s="1"/>
  <c r="A15" i="74" s="1"/>
  <c r="A16" i="74" s="1"/>
  <c r="A17" i="74" s="1"/>
  <c r="A18" i="74" s="1"/>
  <c r="A19" i="74" s="1"/>
  <c r="A20" i="74" s="1"/>
  <c r="A21" i="74" s="1"/>
  <c r="A22" i="74" s="1"/>
  <c r="A23" i="74" s="1"/>
  <c r="A24" i="74" s="1"/>
  <c r="A11" i="78"/>
  <c r="A12" i="78" s="1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10" i="78"/>
  <c r="A10" i="77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O20" i="24"/>
  <c r="O15" i="24"/>
  <c r="O13" i="24"/>
  <c r="O11" i="24"/>
  <c r="O8" i="24"/>
  <c r="O6" i="24"/>
  <c r="K20" i="50"/>
  <c r="K15" i="50"/>
  <c r="K13" i="50"/>
  <c r="K11" i="50"/>
  <c r="K8" i="50"/>
  <c r="K6" i="50"/>
  <c r="K20" i="3"/>
  <c r="K15" i="3"/>
  <c r="K13" i="3"/>
  <c r="K11" i="3"/>
  <c r="K8" i="3"/>
  <c r="K6" i="3"/>
  <c r="K20" i="62"/>
  <c r="K15" i="62"/>
  <c r="K13" i="62"/>
  <c r="K11" i="62"/>
  <c r="K8" i="62"/>
  <c r="K6" i="62"/>
  <c r="W23" i="71"/>
  <c r="X23" i="71"/>
  <c r="Y23" i="71"/>
  <c r="Z23" i="71"/>
  <c r="AA23" i="71"/>
  <c r="AA7" i="71"/>
  <c r="AK7" i="71" s="1"/>
  <c r="Z7" i="71"/>
  <c r="AJ7" i="71" s="1"/>
  <c r="Y7" i="71"/>
  <c r="AE7" i="71" s="1"/>
  <c r="X7" i="71"/>
  <c r="AD7" i="71" s="1"/>
  <c r="W7" i="71"/>
  <c r="AC7" i="71" s="1"/>
  <c r="A10" i="71"/>
  <c r="A11" i="71" s="1"/>
  <c r="A12" i="71" s="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11" i="1"/>
  <c r="A12" i="1"/>
  <c r="A13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10" i="1"/>
  <c r="A10" i="72" l="1"/>
  <c r="A11" i="72" s="1"/>
  <c r="AD7" i="74"/>
  <c r="AC7" i="74"/>
  <c r="AA6" i="70" l="1"/>
  <c r="U6" i="70"/>
  <c r="AA6" i="69"/>
  <c r="U6" i="69" l="1"/>
  <c r="S21" i="71" l="1"/>
  <c r="S20" i="71"/>
  <c r="S18" i="71"/>
  <c r="S17" i="71"/>
  <c r="X6" i="24"/>
  <c r="V6" i="24"/>
  <c r="AB6" i="24" s="1"/>
  <c r="P20" i="24"/>
  <c r="P15" i="24"/>
  <c r="P13" i="24"/>
  <c r="P11" i="24"/>
  <c r="P8" i="24"/>
  <c r="L20" i="59"/>
  <c r="I20" i="59"/>
  <c r="L15" i="59"/>
  <c r="K15" i="59"/>
  <c r="H15" i="59"/>
  <c r="I15" i="59" s="1"/>
  <c r="L13" i="59"/>
  <c r="K13" i="59"/>
  <c r="H13" i="59"/>
  <c r="I13" i="59" s="1"/>
  <c r="L11" i="59"/>
  <c r="K11" i="59"/>
  <c r="H11" i="59"/>
  <c r="L8" i="59"/>
  <c r="K8" i="59"/>
  <c r="H8" i="59"/>
  <c r="I8" i="59" s="1"/>
  <c r="L6" i="59"/>
  <c r="O6" i="59" s="1"/>
  <c r="K6" i="59"/>
  <c r="N6" i="59" s="1"/>
  <c r="O20" i="50"/>
  <c r="O15" i="50"/>
  <c r="O13" i="50"/>
  <c r="O11" i="50"/>
  <c r="O8" i="50"/>
  <c r="L20" i="50"/>
  <c r="L15" i="50"/>
  <c r="L13" i="50"/>
  <c r="L11" i="50"/>
  <c r="L8" i="50"/>
  <c r="H20" i="50"/>
  <c r="H15" i="50"/>
  <c r="H13" i="50"/>
  <c r="H11" i="50"/>
  <c r="H8" i="50"/>
  <c r="O6" i="50"/>
  <c r="N6" i="50"/>
  <c r="R6" i="50" s="1"/>
  <c r="Z6" i="24" l="1"/>
  <c r="I11" i="59"/>
  <c r="Q6" i="50"/>
  <c r="A12" i="72"/>
  <c r="A13" i="72" s="1"/>
  <c r="A14" i="72" s="1"/>
  <c r="A15" i="72" s="1"/>
  <c r="A16" i="72" s="1"/>
  <c r="A17" i="72" s="1"/>
  <c r="A18" i="72" s="1"/>
  <c r="A19" i="72" s="1"/>
  <c r="A20" i="72" s="1"/>
  <c r="A21" i="72" s="1"/>
  <c r="A22" i="72" s="1"/>
  <c r="A23" i="72" s="1"/>
  <c r="F13" i="68" l="1"/>
  <c r="S13" i="70"/>
  <c r="S13" i="69"/>
  <c r="O20" i="3" l="1"/>
  <c r="L20" i="3"/>
  <c r="H20" i="3"/>
  <c r="H15" i="3"/>
  <c r="H13" i="3"/>
  <c r="H11" i="3"/>
  <c r="H8" i="3"/>
  <c r="L20" i="62"/>
  <c r="L15" i="62"/>
  <c r="L13" i="62"/>
  <c r="L11" i="62"/>
  <c r="L8" i="62"/>
  <c r="H20" i="62"/>
  <c r="H15" i="62"/>
  <c r="H13" i="62"/>
  <c r="H11" i="62"/>
  <c r="H8" i="62"/>
  <c r="P20" i="70" l="1"/>
  <c r="K20" i="70"/>
  <c r="P15" i="70"/>
  <c r="K15" i="70"/>
  <c r="P13" i="70"/>
  <c r="K13" i="70"/>
  <c r="P11" i="70"/>
  <c r="K11" i="70"/>
  <c r="P8" i="70"/>
  <c r="K8" i="70"/>
  <c r="R6" i="70"/>
  <c r="Y6" i="70" s="1"/>
  <c r="P6" i="70"/>
  <c r="X6" i="70" s="1"/>
  <c r="P20" i="69" l="1"/>
  <c r="P13" i="69"/>
  <c r="P15" i="69"/>
  <c r="P11" i="69"/>
  <c r="P8" i="69"/>
  <c r="K20" i="69"/>
  <c r="K13" i="69"/>
  <c r="K15" i="69"/>
  <c r="K11" i="69"/>
  <c r="K8" i="69"/>
  <c r="R6" i="69"/>
  <c r="Y6" i="69" s="1"/>
  <c r="P6" i="69"/>
  <c r="X6" i="69" s="1"/>
  <c r="O20" i="62"/>
  <c r="O15" i="62"/>
  <c r="O13" i="62"/>
  <c r="O11" i="62"/>
  <c r="O8" i="62"/>
  <c r="K36" i="25" l="1"/>
  <c r="K30" i="25"/>
  <c r="K15" i="25"/>
  <c r="K13" i="25"/>
  <c r="K11" i="25"/>
  <c r="I12" i="25"/>
  <c r="S10" i="71" l="1"/>
  <c r="K9" i="25"/>
  <c r="K18" i="25"/>
  <c r="K24" i="25"/>
  <c r="I8" i="25"/>
  <c r="I7" i="25"/>
  <c r="L40" i="25"/>
  <c r="I40" i="25"/>
  <c r="L35" i="25"/>
  <c r="I35" i="25"/>
  <c r="L34" i="25"/>
  <c r="I34" i="25"/>
  <c r="L32" i="25"/>
  <c r="W19" i="96" s="1"/>
  <c r="I32" i="25"/>
  <c r="L29" i="25"/>
  <c r="I29" i="25"/>
  <c r="L28" i="25"/>
  <c r="I28" i="25"/>
  <c r="L23" i="25"/>
  <c r="W16" i="96" s="1"/>
  <c r="I23" i="25"/>
  <c r="L22" i="25"/>
  <c r="W15" i="96" s="1"/>
  <c r="I22" i="25"/>
  <c r="L21" i="25"/>
  <c r="W14" i="96" s="1"/>
  <c r="H24" i="25"/>
  <c r="L20" i="25"/>
  <c r="I20" i="25"/>
  <c r="L17" i="25"/>
  <c r="W13" i="96" s="1"/>
  <c r="I17" i="25"/>
  <c r="L16" i="25"/>
  <c r="W12" i="96" s="1"/>
  <c r="I16" i="25"/>
  <c r="L15" i="25"/>
  <c r="H15" i="25"/>
  <c r="I15" i="25" s="1"/>
  <c r="L14" i="25"/>
  <c r="I14" i="25"/>
  <c r="L13" i="25"/>
  <c r="H13" i="25"/>
  <c r="I13" i="25" s="1"/>
  <c r="L12" i="25"/>
  <c r="W10" i="96" s="1"/>
  <c r="L11" i="25"/>
  <c r="H11" i="25"/>
  <c r="I11" i="25" s="1"/>
  <c r="L8" i="25"/>
  <c r="L7" i="25"/>
  <c r="W9" i="96" s="1"/>
  <c r="L6" i="25"/>
  <c r="O6" i="25" s="1"/>
  <c r="K6" i="25"/>
  <c r="N6" i="25" s="1"/>
  <c r="W11" i="96" l="1"/>
  <c r="W24" i="96" s="1"/>
  <c r="S12" i="71"/>
  <c r="L9" i="25"/>
  <c r="S11" i="71"/>
  <c r="S16" i="71"/>
  <c r="S13" i="71"/>
  <c r="S15" i="71"/>
  <c r="S19" i="71"/>
  <c r="S9" i="71"/>
  <c r="H18" i="25"/>
  <c r="K38" i="25"/>
  <c r="K42" i="25" s="1"/>
  <c r="H9" i="25"/>
  <c r="L36" i="25"/>
  <c r="L18" i="25"/>
  <c r="I18" i="25"/>
  <c r="I9" i="25"/>
  <c r="I30" i="25"/>
  <c r="L24" i="25"/>
  <c r="L30" i="25"/>
  <c r="I36" i="25"/>
  <c r="H30" i="25"/>
  <c r="H36" i="25"/>
  <c r="I21" i="25"/>
  <c r="I24" i="25" l="1"/>
  <c r="I38" i="25" s="1"/>
  <c r="S14" i="71"/>
  <c r="S24" i="71" s="1"/>
  <c r="H38" i="25"/>
  <c r="H42" i="25" s="1"/>
  <c r="L38" i="25"/>
  <c r="L42" i="25" l="1"/>
  <c r="W26" i="96" s="1"/>
  <c r="W27" i="96" s="1"/>
  <c r="I42" i="25"/>
  <c r="S26" i="71" s="1"/>
  <c r="N15" i="68" l="1"/>
  <c r="J15" i="68"/>
  <c r="N13" i="68"/>
  <c r="J13" i="68"/>
  <c r="N11" i="68"/>
  <c r="J11" i="68"/>
  <c r="L11" i="68" s="1"/>
  <c r="N8" i="68"/>
  <c r="J8" i="68"/>
  <c r="L8" i="68" s="1"/>
  <c r="N6" i="68"/>
  <c r="U6" i="68" s="1"/>
  <c r="L20" i="23"/>
  <c r="I20" i="23"/>
  <c r="K15" i="23"/>
  <c r="L15" i="23" s="1"/>
  <c r="H15" i="23"/>
  <c r="I15" i="23" s="1"/>
  <c r="K13" i="23"/>
  <c r="L13" i="23" s="1"/>
  <c r="H13" i="23"/>
  <c r="I13" i="23" s="1"/>
  <c r="K11" i="23"/>
  <c r="L11" i="23" s="1"/>
  <c r="H11" i="23"/>
  <c r="I11" i="23" s="1"/>
  <c r="K8" i="23"/>
  <c r="L8" i="23" s="1"/>
  <c r="H8" i="23"/>
  <c r="I8" i="23" s="1"/>
  <c r="L6" i="23"/>
  <c r="O6" i="23" s="1"/>
  <c r="K6" i="23"/>
  <c r="N6" i="23" s="1"/>
  <c r="L20" i="22"/>
  <c r="I20" i="22"/>
  <c r="K15" i="22"/>
  <c r="L15" i="22" s="1"/>
  <c r="H15" i="22"/>
  <c r="I15" i="22" s="1"/>
  <c r="K13" i="22"/>
  <c r="L13" i="22" s="1"/>
  <c r="H13" i="22"/>
  <c r="I13" i="22" s="1"/>
  <c r="K11" i="22"/>
  <c r="L11" i="22" s="1"/>
  <c r="H11" i="22"/>
  <c r="I11" i="22" s="1"/>
  <c r="N8" i="22"/>
  <c r="O8" i="22" s="1"/>
  <c r="K8" i="22"/>
  <c r="L8" i="22" s="1"/>
  <c r="H8" i="22"/>
  <c r="I8" i="22" s="1"/>
  <c r="L6" i="22"/>
  <c r="O6" i="22" s="1"/>
  <c r="K6" i="22"/>
  <c r="N6" i="22" s="1"/>
  <c r="K15" i="19"/>
  <c r="H15" i="19"/>
  <c r="K13" i="19"/>
  <c r="H13" i="19"/>
  <c r="K11" i="19"/>
  <c r="H11" i="19"/>
  <c r="K8" i="19"/>
  <c r="H8" i="19"/>
  <c r="L6" i="19"/>
  <c r="O6" i="19" s="1"/>
  <c r="K6" i="19"/>
  <c r="N6" i="19" s="1"/>
  <c r="L20" i="16"/>
  <c r="I20" i="16"/>
  <c r="K15" i="16"/>
  <c r="L15" i="16" s="1"/>
  <c r="H15" i="16"/>
  <c r="I15" i="16" s="1"/>
  <c r="K13" i="16"/>
  <c r="L13" i="16" s="1"/>
  <c r="H13" i="16"/>
  <c r="I13" i="16" s="1"/>
  <c r="K11" i="16"/>
  <c r="L11" i="16" s="1"/>
  <c r="H11" i="16"/>
  <c r="K8" i="16"/>
  <c r="L8" i="16" s="1"/>
  <c r="H8" i="16"/>
  <c r="I8" i="16" s="1"/>
  <c r="N6" i="16"/>
  <c r="L6" i="16"/>
  <c r="O6" i="16" s="1"/>
  <c r="K6" i="16"/>
  <c r="L20" i="13"/>
  <c r="I20" i="13"/>
  <c r="K15" i="13"/>
  <c r="L15" i="13" s="1"/>
  <c r="H15" i="13"/>
  <c r="I15" i="13" s="1"/>
  <c r="K13" i="13"/>
  <c r="L13" i="13" s="1"/>
  <c r="H13" i="13"/>
  <c r="I13" i="13" s="1"/>
  <c r="K11" i="13"/>
  <c r="L11" i="13" s="1"/>
  <c r="H11" i="13"/>
  <c r="I11" i="13" s="1"/>
  <c r="K8" i="13"/>
  <c r="L8" i="13" s="1"/>
  <c r="H8" i="13"/>
  <c r="I8" i="13" s="1"/>
  <c r="L6" i="13"/>
  <c r="O6" i="13" s="1"/>
  <c r="K6" i="13"/>
  <c r="N6" i="13" s="1"/>
  <c r="K15" i="4"/>
  <c r="H15" i="4"/>
  <c r="K13" i="4"/>
  <c r="H13" i="4"/>
  <c r="K11" i="4"/>
  <c r="H11" i="4"/>
  <c r="K8" i="4"/>
  <c r="H8" i="4"/>
  <c r="L6" i="4"/>
  <c r="O6" i="4" s="1"/>
  <c r="K6" i="4"/>
  <c r="N6" i="4" s="1"/>
  <c r="N15" i="3"/>
  <c r="O15" i="3" s="1"/>
  <c r="N13" i="3"/>
  <c r="O13" i="3" s="1"/>
  <c r="N11" i="3"/>
  <c r="O11" i="3" s="1"/>
  <c r="N8" i="3"/>
  <c r="O8" i="3" s="1"/>
  <c r="J15" i="3"/>
  <c r="L15" i="3" s="1"/>
  <c r="J13" i="3"/>
  <c r="L13" i="3" s="1"/>
  <c r="J11" i="3"/>
  <c r="L11" i="3" s="1"/>
  <c r="J8" i="3"/>
  <c r="L8" i="3" s="1"/>
  <c r="O6" i="3"/>
  <c r="R6" i="3" s="1"/>
  <c r="N6" i="3"/>
  <c r="Q6" i="3" s="1"/>
  <c r="O6" i="62"/>
  <c r="N6" i="62"/>
  <c r="R6" i="62" s="1"/>
  <c r="A4" i="59"/>
  <c r="A4" i="50"/>
  <c r="Q6" i="62" l="1"/>
  <c r="I11" i="16"/>
  <c r="D6" i="70"/>
  <c r="M28" i="43" l="1"/>
  <c r="M29" i="43"/>
  <c r="M30" i="43"/>
  <c r="M28" i="42"/>
  <c r="M29" i="42"/>
  <c r="M30" i="42"/>
  <c r="N52" i="40"/>
  <c r="N53" i="40"/>
  <c r="N54" i="40"/>
  <c r="N36" i="39"/>
  <c r="N36" i="41" s="1"/>
  <c r="N37" i="39"/>
  <c r="N37" i="41" s="1"/>
  <c r="N38" i="39"/>
  <c r="N38" i="41" s="1"/>
  <c r="N47" i="38" l="1"/>
  <c r="N48" i="38"/>
  <c r="N49" i="38"/>
  <c r="A31" i="70"/>
  <c r="A32" i="70" s="1"/>
  <c r="A33" i="70" s="1"/>
  <c r="A34" i="70" s="1"/>
  <c r="G13" i="70"/>
  <c r="A3" i="70"/>
  <c r="A31" i="69"/>
  <c r="A32" i="69" s="1"/>
  <c r="A33" i="69" s="1"/>
  <c r="A34" i="69" s="1"/>
  <c r="G13" i="69"/>
  <c r="D6" i="69"/>
  <c r="A3" i="69"/>
  <c r="A31" i="68"/>
  <c r="A32" i="68" s="1"/>
  <c r="A33" i="68" s="1"/>
  <c r="A34" i="68" s="1"/>
  <c r="D6" i="68"/>
  <c r="A3" i="68"/>
  <c r="T8" i="67"/>
  <c r="R27" i="67"/>
  <c r="Q26" i="67"/>
  <c r="Q21" i="67"/>
  <c r="R16" i="67"/>
  <c r="Q14" i="67"/>
  <c r="R21" i="67"/>
  <c r="Q27" i="67"/>
  <c r="P26" i="67"/>
  <c r="O22" i="67"/>
  <c r="L15" i="71" s="1"/>
  <c r="Y15" i="71" s="1"/>
  <c r="O20" i="67"/>
  <c r="O17" i="67"/>
  <c r="L13" i="71" s="1"/>
  <c r="Y13" i="71" s="1"/>
  <c r="O15" i="67"/>
  <c r="O13" i="67"/>
  <c r="O11" i="67"/>
  <c r="O8" i="67"/>
  <c r="O7" i="67"/>
  <c r="K38" i="67"/>
  <c r="K33" i="67"/>
  <c r="K32" i="67"/>
  <c r="K30" i="67"/>
  <c r="L9" i="67"/>
  <c r="K9" i="67"/>
  <c r="N27" i="67"/>
  <c r="N26" i="67"/>
  <c r="N23" i="67"/>
  <c r="N21" i="67"/>
  <c r="N16" i="67"/>
  <c r="N14" i="67"/>
  <c r="K34" i="67" l="1"/>
  <c r="L33" i="67"/>
  <c r="O33" i="67" s="1"/>
  <c r="L21" i="71" s="1"/>
  <c r="Y21" i="71" s="1"/>
  <c r="L9" i="71"/>
  <c r="Y9" i="71" s="1"/>
  <c r="L30" i="67"/>
  <c r="O30" i="67" s="1"/>
  <c r="L19" i="71" s="1"/>
  <c r="Y19" i="71" s="1"/>
  <c r="L38" i="67"/>
  <c r="O38" i="67" s="1"/>
  <c r="Z38" i="67"/>
  <c r="O32" i="67"/>
  <c r="L20" i="71" s="1"/>
  <c r="Y20" i="71" s="1"/>
  <c r="K24" i="67"/>
  <c r="L18" i="67"/>
  <c r="K28" i="67"/>
  <c r="L28" i="67"/>
  <c r="L24" i="67"/>
  <c r="K18" i="67"/>
  <c r="P23" i="67"/>
  <c r="R14" i="67"/>
  <c r="P21" i="67"/>
  <c r="Q23" i="67"/>
  <c r="R26" i="67"/>
  <c r="P16" i="67"/>
  <c r="R23" i="67"/>
  <c r="P27" i="67"/>
  <c r="P14" i="67"/>
  <c r="Q16" i="67"/>
  <c r="L32" i="67"/>
  <c r="AA7" i="1"/>
  <c r="AD7" i="1" s="1"/>
  <c r="L22" i="1" l="1"/>
  <c r="L22" i="71"/>
  <c r="Y22" i="71" s="1"/>
  <c r="L34" i="67"/>
  <c r="M9" i="72"/>
  <c r="Z34" i="67"/>
  <c r="K36" i="67"/>
  <c r="K40" i="67" s="1"/>
  <c r="L36" i="67"/>
  <c r="L40" i="67" s="1"/>
  <c r="E8" i="82"/>
  <c r="F8" i="82"/>
  <c r="E9" i="82"/>
  <c r="F9" i="82"/>
  <c r="E10" i="82"/>
  <c r="F10" i="82"/>
  <c r="E11" i="82"/>
  <c r="F11" i="82"/>
  <c r="E12" i="82"/>
  <c r="F12" i="82"/>
  <c r="E13" i="82"/>
  <c r="F13" i="82"/>
  <c r="E14" i="82"/>
  <c r="F14" i="82"/>
  <c r="E15" i="82"/>
  <c r="F15" i="82"/>
  <c r="E16" i="82"/>
  <c r="F16" i="82"/>
  <c r="E17" i="82"/>
  <c r="F17" i="82"/>
  <c r="E18" i="82"/>
  <c r="F18" i="82"/>
  <c r="E19" i="82"/>
  <c r="F19" i="82"/>
  <c r="E20" i="82"/>
  <c r="F20" i="82"/>
  <c r="E21" i="82"/>
  <c r="F21" i="82"/>
  <c r="E22" i="82"/>
  <c r="F22" i="82"/>
  <c r="E23" i="82"/>
  <c r="F23" i="82"/>
  <c r="E24" i="82"/>
  <c r="F24" i="82"/>
  <c r="E25" i="82"/>
  <c r="F25" i="82"/>
  <c r="E26" i="82"/>
  <c r="F26" i="82"/>
  <c r="E27" i="82"/>
  <c r="F27" i="82"/>
  <c r="E28" i="82"/>
  <c r="F28" i="82"/>
  <c r="E29" i="82"/>
  <c r="F29" i="82"/>
  <c r="E30" i="82"/>
  <c r="F30" i="82"/>
  <c r="E31" i="82"/>
  <c r="F31" i="82"/>
  <c r="D30" i="82"/>
  <c r="D31" i="82"/>
  <c r="D26" i="82"/>
  <c r="D27" i="82"/>
  <c r="D28" i="82"/>
  <c r="D29" i="82"/>
  <c r="D11" i="82"/>
  <c r="D12" i="82"/>
  <c r="D13" i="82"/>
  <c r="D14" i="82"/>
  <c r="D15" i="82"/>
  <c r="D16" i="82"/>
  <c r="D17" i="82"/>
  <c r="D18" i="82"/>
  <c r="D19" i="82"/>
  <c r="D20" i="82"/>
  <c r="D21" i="82"/>
  <c r="D22" i="82"/>
  <c r="D23" i="82"/>
  <c r="D24" i="82"/>
  <c r="D25" i="82"/>
  <c r="D9" i="82"/>
  <c r="D10" i="82"/>
  <c r="D8" i="82"/>
  <c r="N33" i="43" l="1"/>
  <c r="P33" i="43" s="1"/>
  <c r="N32" i="43"/>
  <c r="N26" i="43"/>
  <c r="P26" i="43" s="1"/>
  <c r="N24" i="43"/>
  <c r="P24" i="43" s="1"/>
  <c r="N23" i="43"/>
  <c r="P23" i="43" s="1"/>
  <c r="M21" i="43"/>
  <c r="M22" i="43"/>
  <c r="M23" i="43"/>
  <c r="M24" i="43"/>
  <c r="M25" i="43"/>
  <c r="M26" i="43"/>
  <c r="M31" i="43"/>
  <c r="M32" i="43"/>
  <c r="M33" i="43"/>
  <c r="M34" i="43"/>
  <c r="M20" i="43"/>
  <c r="N13" i="43"/>
  <c r="P23" i="42"/>
  <c r="P24" i="42"/>
  <c r="P26" i="42"/>
  <c r="N33" i="42"/>
  <c r="P33" i="42" s="1"/>
  <c r="N32" i="42"/>
  <c r="N26" i="42"/>
  <c r="N24" i="42"/>
  <c r="N23" i="42"/>
  <c r="M32" i="42"/>
  <c r="M33" i="42"/>
  <c r="M34" i="42"/>
  <c r="M21" i="42"/>
  <c r="M22" i="42"/>
  <c r="M23" i="42"/>
  <c r="M24" i="42"/>
  <c r="M25" i="42"/>
  <c r="M26" i="42"/>
  <c r="M31" i="42"/>
  <c r="M20" i="42"/>
  <c r="N13" i="42"/>
  <c r="O40" i="41"/>
  <c r="O34" i="41"/>
  <c r="Q34" i="41" s="1"/>
  <c r="O32" i="41"/>
  <c r="Q32" i="41" s="1"/>
  <c r="O31" i="41"/>
  <c r="Q31" i="41" s="1"/>
  <c r="N41" i="41"/>
  <c r="N42" i="41"/>
  <c r="N43" i="41"/>
  <c r="N44" i="41"/>
  <c r="O18" i="41"/>
  <c r="O10" i="41"/>
  <c r="O23" i="40"/>
  <c r="O24" i="40"/>
  <c r="Q47" i="40"/>
  <c r="O59" i="40"/>
  <c r="Q59" i="40" s="1"/>
  <c r="O56" i="40"/>
  <c r="O50" i="40"/>
  <c r="Q50" i="40" s="1"/>
  <c r="O47" i="40"/>
  <c r="N59" i="40"/>
  <c r="N45" i="40"/>
  <c r="N46" i="40"/>
  <c r="N47" i="40"/>
  <c r="N48" i="40"/>
  <c r="N49" i="40"/>
  <c r="N50" i="40"/>
  <c r="N55" i="40"/>
  <c r="N56" i="40"/>
  <c r="N57" i="40"/>
  <c r="N58" i="40"/>
  <c r="N44" i="40"/>
  <c r="Q21" i="40"/>
  <c r="O27" i="40"/>
  <c r="O21" i="40"/>
  <c r="O11" i="40"/>
  <c r="O10" i="40"/>
  <c r="Q31" i="39"/>
  <c r="Q32" i="39"/>
  <c r="O40" i="39"/>
  <c r="O34" i="39"/>
  <c r="Q34" i="39" s="1"/>
  <c r="O32" i="39"/>
  <c r="O31" i="39"/>
  <c r="N29" i="39"/>
  <c r="N29" i="41" s="1"/>
  <c r="N30" i="39"/>
  <c r="N30" i="41" s="1"/>
  <c r="N31" i="39"/>
  <c r="N31" i="41" s="1"/>
  <c r="N32" i="39"/>
  <c r="N32" i="41" s="1"/>
  <c r="N33" i="39"/>
  <c r="N33" i="41" s="1"/>
  <c r="N34" i="39"/>
  <c r="N34" i="41" s="1"/>
  <c r="N39" i="39"/>
  <c r="N39" i="41" s="1"/>
  <c r="N40" i="39"/>
  <c r="N40" i="41" s="1"/>
  <c r="N28" i="39"/>
  <c r="N28" i="41" s="1"/>
  <c r="O18" i="39"/>
  <c r="O10" i="39"/>
  <c r="O51" i="38"/>
  <c r="O45" i="38"/>
  <c r="O43" i="38"/>
  <c r="O42" i="38"/>
  <c r="N52" i="38"/>
  <c r="N53" i="38"/>
  <c r="N40" i="38"/>
  <c r="N41" i="38"/>
  <c r="N42" i="38"/>
  <c r="N43" i="38"/>
  <c r="N44" i="38"/>
  <c r="N45" i="38"/>
  <c r="N50" i="38"/>
  <c r="N51" i="38"/>
  <c r="N39" i="38"/>
  <c r="O24" i="38"/>
  <c r="O21" i="38"/>
  <c r="O20" i="38"/>
  <c r="O10" i="38"/>
  <c r="V34" i="37" l="1"/>
  <c r="V28" i="37"/>
  <c r="Y28" i="37" s="1"/>
  <c r="V26" i="37"/>
  <c r="Y26" i="37" s="1"/>
  <c r="V25" i="37"/>
  <c r="Y25" i="37" s="1"/>
  <c r="T26" i="37"/>
  <c r="T27" i="37"/>
  <c r="T28" i="37"/>
  <c r="T33" i="37"/>
  <c r="T34" i="37"/>
  <c r="T35" i="37"/>
  <c r="T36" i="37"/>
  <c r="T23" i="37"/>
  <c r="T24" i="37"/>
  <c r="T25" i="37"/>
  <c r="T22" i="37"/>
  <c r="V10" i="37"/>
  <c r="U10" i="37"/>
  <c r="Q38" i="36" l="1"/>
  <c r="C33" i="84" s="1"/>
  <c r="O33" i="84" s="1"/>
  <c r="F33" i="84" l="1"/>
  <c r="U33" i="84"/>
  <c r="X33" i="84"/>
  <c r="AA33" i="84"/>
  <c r="L33" i="84"/>
  <c r="AD33" i="84"/>
  <c r="AG33" i="84" s="1"/>
  <c r="C33" i="85" s="1"/>
  <c r="R33" i="84"/>
  <c r="I33" i="84"/>
  <c r="Q35" i="36"/>
  <c r="S38" i="36"/>
  <c r="Q38" i="80" s="1"/>
  <c r="S38" i="80" s="1"/>
  <c r="O33" i="85" l="1"/>
  <c r="I33" i="85"/>
  <c r="L33" i="85"/>
  <c r="R33" i="85"/>
  <c r="S35" i="36"/>
  <c r="Q35" i="80" s="1"/>
  <c r="S35" i="80" s="1"/>
  <c r="C30" i="84"/>
  <c r="O30" i="84" s="1"/>
  <c r="E8" i="25"/>
  <c r="C16" i="84"/>
  <c r="O16" i="84" s="1"/>
  <c r="C15" i="84"/>
  <c r="O15" i="84" s="1"/>
  <c r="F30" i="84" l="1"/>
  <c r="AD30" i="84"/>
  <c r="AG30" i="84" s="1"/>
  <c r="C30" i="85" s="1"/>
  <c r="R30" i="84"/>
  <c r="L30" i="84"/>
  <c r="U30" i="84"/>
  <c r="I30" i="84"/>
  <c r="X30" i="84"/>
  <c r="AA30" i="84"/>
  <c r="X15" i="84"/>
  <c r="R15" i="84"/>
  <c r="L15" i="84"/>
  <c r="I15" i="84"/>
  <c r="AD15" i="84"/>
  <c r="U15" i="84"/>
  <c r="AA15" i="84"/>
  <c r="Q9" i="36"/>
  <c r="C11" i="84"/>
  <c r="O11" i="84" s="1"/>
  <c r="P11" i="84" s="1"/>
  <c r="P12" i="84" s="1"/>
  <c r="AD16" i="84"/>
  <c r="X16" i="84"/>
  <c r="R16" i="84"/>
  <c r="L16" i="84"/>
  <c r="U16" i="84"/>
  <c r="AA16" i="84"/>
  <c r="I16" i="84"/>
  <c r="R30" i="85" l="1"/>
  <c r="I30" i="85"/>
  <c r="O30" i="85"/>
  <c r="L30" i="85"/>
  <c r="AA11" i="84"/>
  <c r="AB11" i="84" s="1"/>
  <c r="AB12" i="84" s="1"/>
  <c r="L11" i="84"/>
  <c r="M11" i="84" s="1"/>
  <c r="M12" i="84" s="1"/>
  <c r="AD11" i="84"/>
  <c r="AE11" i="84" s="1"/>
  <c r="AE12" i="84" s="1"/>
  <c r="X11" i="84"/>
  <c r="Y11" i="84" s="1"/>
  <c r="Y12" i="84" s="1"/>
  <c r="I11" i="84"/>
  <c r="J11" i="84"/>
  <c r="J12" i="84" s="1"/>
  <c r="U11" i="84"/>
  <c r="V11" i="84" s="1"/>
  <c r="V12" i="84" s="1"/>
  <c r="R11" i="84"/>
  <c r="S11" i="84" s="1"/>
  <c r="S12" i="84" s="1"/>
  <c r="D11" i="84"/>
  <c r="D12" i="84" s="1"/>
  <c r="AB7" i="1"/>
  <c r="AC7" i="1"/>
  <c r="M21" i="67"/>
  <c r="M27" i="67"/>
  <c r="I21" i="67"/>
  <c r="J23" i="67"/>
  <c r="H27" i="67"/>
  <c r="G38" i="67"/>
  <c r="G33" i="67"/>
  <c r="G32" i="67"/>
  <c r="G30" i="67"/>
  <c r="G22" i="67"/>
  <c r="G20" i="67"/>
  <c r="T20" i="67" s="1"/>
  <c r="G17" i="67"/>
  <c r="G15" i="67"/>
  <c r="T15" i="67" s="1"/>
  <c r="G13" i="67"/>
  <c r="T13" i="67" s="1"/>
  <c r="G11" i="67"/>
  <c r="T11" i="67" s="1"/>
  <c r="G7" i="67"/>
  <c r="F34" i="67"/>
  <c r="E34" i="67"/>
  <c r="D34" i="67"/>
  <c r="E9" i="67"/>
  <c r="F9" i="67"/>
  <c r="D9" i="67"/>
  <c r="L9" i="1" l="1"/>
  <c r="L13" i="1"/>
  <c r="AA13" i="1" s="1"/>
  <c r="T17" i="67"/>
  <c r="G34" i="67"/>
  <c r="T32" i="67"/>
  <c r="L21" i="1"/>
  <c r="AA21" i="1" s="1"/>
  <c r="T33" i="67"/>
  <c r="L19" i="1"/>
  <c r="AA19" i="1" s="1"/>
  <c r="T30" i="67"/>
  <c r="L15" i="1"/>
  <c r="AA15" i="1" s="1"/>
  <c r="T22" i="67"/>
  <c r="L15" i="96" s="1"/>
  <c r="AA22" i="1"/>
  <c r="T38" i="67"/>
  <c r="O12" i="67"/>
  <c r="L10" i="71" s="1"/>
  <c r="L20" i="1"/>
  <c r="AA20" i="1" s="1"/>
  <c r="AA9" i="1"/>
  <c r="G16" i="67"/>
  <c r="E18" i="67"/>
  <c r="D24" i="67"/>
  <c r="H14" i="67"/>
  <c r="F28" i="67"/>
  <c r="F24" i="67"/>
  <c r="H26" i="67"/>
  <c r="G21" i="67"/>
  <c r="G23" i="67"/>
  <c r="I27" i="67"/>
  <c r="J21" i="67"/>
  <c r="G12" i="67"/>
  <c r="E28" i="67"/>
  <c r="E24" i="67"/>
  <c r="D18" i="67"/>
  <c r="G14" i="67"/>
  <c r="G26" i="67"/>
  <c r="F18" i="67"/>
  <c r="I16" i="67"/>
  <c r="G27" i="67"/>
  <c r="J14" i="67"/>
  <c r="J16" i="67"/>
  <c r="H23" i="67"/>
  <c r="I26" i="67"/>
  <c r="J27" i="67"/>
  <c r="D28" i="67"/>
  <c r="I14" i="67"/>
  <c r="H21" i="67"/>
  <c r="I23" i="67"/>
  <c r="J26" i="67"/>
  <c r="H16" i="67"/>
  <c r="M23" i="67"/>
  <c r="M14" i="67"/>
  <c r="M26" i="67"/>
  <c r="M16" i="67"/>
  <c r="A8" i="67"/>
  <c r="A9" i="67" s="1"/>
  <c r="A10" i="67" s="1"/>
  <c r="A11" i="67" s="1"/>
  <c r="A12" i="67" s="1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8" i="67" s="1"/>
  <c r="A39" i="67" s="1"/>
  <c r="A40" i="67" s="1"/>
  <c r="G9" i="67"/>
  <c r="G6" i="67"/>
  <c r="A3" i="67"/>
  <c r="Z7" i="1"/>
  <c r="Y7" i="1"/>
  <c r="E7" i="25"/>
  <c r="AE22" i="71" l="1"/>
  <c r="M22" i="72" s="1"/>
  <c r="AD22" i="1"/>
  <c r="AE19" i="71"/>
  <c r="M19" i="72" s="1"/>
  <c r="AD19" i="1"/>
  <c r="AE20" i="71"/>
  <c r="M20" i="72" s="1"/>
  <c r="AD20" i="1"/>
  <c r="T34" i="67"/>
  <c r="AD9" i="1"/>
  <c r="T9" i="67"/>
  <c r="AE15" i="71"/>
  <c r="M15" i="72" s="1"/>
  <c r="AD15" i="1"/>
  <c r="AE21" i="71"/>
  <c r="M21" i="72" s="1"/>
  <c r="AD21" i="1"/>
  <c r="AE13" i="71"/>
  <c r="M13" i="72" s="1"/>
  <c r="AD13" i="1"/>
  <c r="Y10" i="71"/>
  <c r="O26" i="67"/>
  <c r="L17" i="71" s="1"/>
  <c r="Y17" i="71" s="1"/>
  <c r="O16" i="67"/>
  <c r="L12" i="71" s="1"/>
  <c r="Y12" i="71" s="1"/>
  <c r="O23" i="67"/>
  <c r="L16" i="71" s="1"/>
  <c r="Y16" i="71" s="1"/>
  <c r="O27" i="67"/>
  <c r="L18" i="71" s="1"/>
  <c r="Y18" i="71" s="1"/>
  <c r="L10" i="1"/>
  <c r="O21" i="67"/>
  <c r="L14" i="71" s="1"/>
  <c r="Y14" i="71" s="1"/>
  <c r="O14" i="67"/>
  <c r="L11" i="71" s="1"/>
  <c r="Y11" i="71" s="1"/>
  <c r="F36" i="67"/>
  <c r="F40" i="67" s="1"/>
  <c r="E36" i="67"/>
  <c r="E40" i="67" s="1"/>
  <c r="G18" i="67"/>
  <c r="D36" i="67"/>
  <c r="D40" i="67" s="1"/>
  <c r="G24" i="67"/>
  <c r="O34" i="67"/>
  <c r="G28" i="67"/>
  <c r="O9" i="67"/>
  <c r="A26" i="10"/>
  <c r="A25" i="10"/>
  <c r="B26" i="10" s="1"/>
  <c r="D25" i="10"/>
  <c r="D26" i="10" s="1"/>
  <c r="A24" i="10"/>
  <c r="B25" i="10" s="1"/>
  <c r="A23" i="10"/>
  <c r="A22" i="10"/>
  <c r="A21" i="10"/>
  <c r="A20" i="10"/>
  <c r="A19" i="10"/>
  <c r="A18" i="10"/>
  <c r="A17" i="10"/>
  <c r="A16" i="10"/>
  <c r="A15" i="10"/>
  <c r="A14" i="10"/>
  <c r="B13" i="10"/>
  <c r="A13" i="10"/>
  <c r="B16" i="10" s="1"/>
  <c r="A12" i="10"/>
  <c r="A11" i="10"/>
  <c r="D13" i="10"/>
  <c r="D16" i="10" s="1"/>
  <c r="D18" i="10" s="1"/>
  <c r="A10" i="10"/>
  <c r="A9" i="10"/>
  <c r="A8" i="10"/>
  <c r="B18" i="10" s="1"/>
  <c r="L18" i="1" l="1"/>
  <c r="AA18" i="1" s="1"/>
  <c r="AA10" i="1"/>
  <c r="Y24" i="71"/>
  <c r="L24" i="71"/>
  <c r="L12" i="1"/>
  <c r="AA12" i="1" s="1"/>
  <c r="L17" i="1"/>
  <c r="AA17" i="1" s="1"/>
  <c r="L16" i="1"/>
  <c r="AA16" i="1" s="1"/>
  <c r="L14" i="1"/>
  <c r="AA14" i="1" s="1"/>
  <c r="L11" i="1"/>
  <c r="AA11" i="1" s="1"/>
  <c r="O24" i="67"/>
  <c r="G36" i="67"/>
  <c r="G40" i="67" s="1"/>
  <c r="O28" i="67"/>
  <c r="O18" i="67"/>
  <c r="I33" i="24"/>
  <c r="I26" i="24"/>
  <c r="N34" i="42" s="1"/>
  <c r="P34" i="42" s="1"/>
  <c r="J20" i="24"/>
  <c r="J21" i="24" s="1"/>
  <c r="O44" i="41" s="1"/>
  <c r="I20" i="24"/>
  <c r="I21" i="24" s="1"/>
  <c r="O43" i="41" s="1"/>
  <c r="J15" i="24"/>
  <c r="J16" i="24" s="1"/>
  <c r="O44" i="39" s="1"/>
  <c r="I15" i="24"/>
  <c r="I16" i="24" s="1"/>
  <c r="O43" i="39" s="1"/>
  <c r="I11" i="24"/>
  <c r="I12" i="24" s="1"/>
  <c r="V36" i="37" s="1"/>
  <c r="I8" i="24"/>
  <c r="I17" i="24" s="1"/>
  <c r="O58" i="40" s="1"/>
  <c r="I7" i="24"/>
  <c r="Q37" i="36" s="1"/>
  <c r="C32" i="84" s="1"/>
  <c r="O32" i="84" s="1"/>
  <c r="F33" i="24"/>
  <c r="G20" i="24"/>
  <c r="G21" i="24" s="1"/>
  <c r="O42" i="41" s="1"/>
  <c r="F20" i="24"/>
  <c r="G15" i="24"/>
  <c r="G16" i="24" s="1"/>
  <c r="O42" i="39" s="1"/>
  <c r="F15" i="24"/>
  <c r="F11" i="24"/>
  <c r="F8" i="24"/>
  <c r="F7" i="24"/>
  <c r="E35" i="65"/>
  <c r="E32" i="65"/>
  <c r="E31" i="65"/>
  <c r="E28" i="65"/>
  <c r="E27" i="65"/>
  <c r="E24" i="65"/>
  <c r="E21" i="65"/>
  <c r="E18" i="65"/>
  <c r="E15" i="65"/>
  <c r="E12" i="65"/>
  <c r="M37" i="64"/>
  <c r="E33" i="59" s="1"/>
  <c r="M36" i="64"/>
  <c r="E32" i="59" s="1"/>
  <c r="E30" i="59"/>
  <c r="E27" i="59"/>
  <c r="E26" i="59"/>
  <c r="E23" i="59"/>
  <c r="E22" i="59"/>
  <c r="E20" i="59"/>
  <c r="E17" i="59"/>
  <c r="E15" i="59"/>
  <c r="E11" i="59"/>
  <c r="E8" i="59"/>
  <c r="E7" i="59"/>
  <c r="E38" i="50"/>
  <c r="E32" i="50"/>
  <c r="E33" i="50"/>
  <c r="E30" i="50"/>
  <c r="E27" i="50"/>
  <c r="N31" i="43" s="1"/>
  <c r="E26" i="50"/>
  <c r="N31" i="42" s="1"/>
  <c r="E23" i="50"/>
  <c r="E22" i="50"/>
  <c r="E20" i="50"/>
  <c r="E17" i="50"/>
  <c r="O55" i="40" s="1"/>
  <c r="E15" i="50"/>
  <c r="E11" i="50"/>
  <c r="E8" i="50"/>
  <c r="E7" i="50"/>
  <c r="Q34" i="36" s="1"/>
  <c r="C29" i="84" s="1"/>
  <c r="O29" i="84" s="1"/>
  <c r="G37" i="8"/>
  <c r="F29" i="84" l="1"/>
  <c r="L29" i="84"/>
  <c r="AD29" i="84"/>
  <c r="R29" i="84"/>
  <c r="I29" i="84"/>
  <c r="U29" i="84"/>
  <c r="X29" i="84"/>
  <c r="F32" i="84"/>
  <c r="U32" i="84"/>
  <c r="X32" i="84"/>
  <c r="R32" i="84"/>
  <c r="AA32" i="84"/>
  <c r="L32" i="84"/>
  <c r="I32" i="84"/>
  <c r="L24" i="1"/>
  <c r="AA24" i="1"/>
  <c r="T11" i="24"/>
  <c r="X11" i="24"/>
  <c r="T15" i="24"/>
  <c r="X15" i="24"/>
  <c r="I13" i="24"/>
  <c r="X20" i="24"/>
  <c r="T20" i="24"/>
  <c r="X8" i="24"/>
  <c r="T8" i="24"/>
  <c r="F16" i="24"/>
  <c r="I23" i="24"/>
  <c r="I22" i="24"/>
  <c r="Q42" i="41"/>
  <c r="O14" i="41"/>
  <c r="O15" i="41"/>
  <c r="F13" i="24"/>
  <c r="I14" i="24"/>
  <c r="O53" i="38" s="1"/>
  <c r="F12" i="24"/>
  <c r="F21" i="24"/>
  <c r="Q42" i="39"/>
  <c r="O15" i="39"/>
  <c r="O14" i="39"/>
  <c r="I27" i="24"/>
  <c r="N34" i="43" s="1"/>
  <c r="P34" i="43" s="1"/>
  <c r="O36" i="67"/>
  <c r="F14" i="24"/>
  <c r="F22" i="24"/>
  <c r="F17" i="24"/>
  <c r="F23" i="24"/>
  <c r="H33" i="8"/>
  <c r="I33" i="8" s="1"/>
  <c r="H31" i="8"/>
  <c r="I31" i="8" s="1"/>
  <c r="G29" i="8"/>
  <c r="E29" i="8"/>
  <c r="D29" i="8"/>
  <c r="H28" i="8"/>
  <c r="H27" i="8"/>
  <c r="I27" i="8" s="1"/>
  <c r="H24" i="8"/>
  <c r="I24" i="8" s="1"/>
  <c r="G22" i="8"/>
  <c r="E22" i="8"/>
  <c r="D22" i="8"/>
  <c r="H21" i="8"/>
  <c r="I21" i="8" s="1"/>
  <c r="H20" i="8"/>
  <c r="I20" i="8" s="1"/>
  <c r="H19" i="8"/>
  <c r="H22" i="8" s="1"/>
  <c r="I22" i="8" s="1"/>
  <c r="G16" i="8"/>
  <c r="E16" i="8"/>
  <c r="D16" i="8"/>
  <c r="H15" i="8"/>
  <c r="I15" i="8" s="1"/>
  <c r="H14" i="8"/>
  <c r="I14" i="8" s="1"/>
  <c r="H13" i="8"/>
  <c r="I13" i="8" s="1"/>
  <c r="H12" i="8"/>
  <c r="G9" i="8"/>
  <c r="E9" i="8"/>
  <c r="D9" i="8"/>
  <c r="H8" i="8"/>
  <c r="I8" i="8" s="1"/>
  <c r="X13" i="24" l="1"/>
  <c r="T13" i="24"/>
  <c r="O41" i="39"/>
  <c r="Q41" i="39" s="1"/>
  <c r="O52" i="38"/>
  <c r="Q52" i="38" s="1"/>
  <c r="O41" i="41"/>
  <c r="Q41" i="41" s="1"/>
  <c r="V35" i="37"/>
  <c r="Y35" i="37" s="1"/>
  <c r="O57" i="40"/>
  <c r="Q57" i="40" s="1"/>
  <c r="O40" i="67"/>
  <c r="H16" i="8"/>
  <c r="I16" i="8" s="1"/>
  <c r="D35" i="8"/>
  <c r="G35" i="8"/>
  <c r="H29" i="8"/>
  <c r="I29" i="8" s="1"/>
  <c r="E35" i="8"/>
  <c r="I12" i="8"/>
  <c r="H9" i="8"/>
  <c r="I19" i="8"/>
  <c r="I28" i="8"/>
  <c r="I41" i="20"/>
  <c r="J31" i="6"/>
  <c r="K31" i="6" s="1"/>
  <c r="I31" i="6"/>
  <c r="H31" i="6"/>
  <c r="I29" i="6"/>
  <c r="J29" i="6" s="1"/>
  <c r="H29" i="6"/>
  <c r="J27" i="6"/>
  <c r="K27" i="6" s="1"/>
  <c r="I27" i="6"/>
  <c r="H27" i="6"/>
  <c r="I25" i="6"/>
  <c r="H25" i="6"/>
  <c r="F25" i="6"/>
  <c r="E25" i="6"/>
  <c r="D25" i="6"/>
  <c r="G25" i="6" s="1"/>
  <c r="J23" i="6"/>
  <c r="K23" i="6" s="1"/>
  <c r="I23" i="6"/>
  <c r="H23" i="6"/>
  <c r="I22" i="6"/>
  <c r="J22" i="6" s="1"/>
  <c r="H22" i="6"/>
  <c r="G20" i="6"/>
  <c r="F20" i="6"/>
  <c r="E20" i="6"/>
  <c r="E33" i="6" s="1"/>
  <c r="D20" i="6"/>
  <c r="I18" i="6"/>
  <c r="J18" i="6" s="1"/>
  <c r="K18" i="6" s="1"/>
  <c r="H18" i="6"/>
  <c r="I17" i="6"/>
  <c r="J17" i="6" s="1"/>
  <c r="H17" i="6"/>
  <c r="K17" i="6" s="1"/>
  <c r="I16" i="6"/>
  <c r="J16" i="6" s="1"/>
  <c r="H16" i="6"/>
  <c r="H20" i="6" s="1"/>
  <c r="G14" i="6"/>
  <c r="E14" i="6"/>
  <c r="D14" i="6"/>
  <c r="I12" i="6"/>
  <c r="J12" i="6" s="1"/>
  <c r="K12" i="6" s="1"/>
  <c r="H12" i="6"/>
  <c r="J11" i="6"/>
  <c r="K11" i="6" s="1"/>
  <c r="I11" i="6"/>
  <c r="H11" i="6"/>
  <c r="I10" i="6"/>
  <c r="J10" i="6" s="1"/>
  <c r="K10" i="6" s="1"/>
  <c r="H10" i="6"/>
  <c r="I9" i="6"/>
  <c r="I14" i="6" s="1"/>
  <c r="H9" i="6"/>
  <c r="J7" i="6"/>
  <c r="K7" i="6" s="1"/>
  <c r="I7" i="6"/>
  <c r="H7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E30" i="62"/>
  <c r="E27" i="62"/>
  <c r="N20" i="43" s="1"/>
  <c r="E26" i="62"/>
  <c r="N20" i="42" s="1"/>
  <c r="E23" i="62"/>
  <c r="E22" i="62"/>
  <c r="E20" i="62"/>
  <c r="E17" i="62"/>
  <c r="O44" i="40" s="1"/>
  <c r="E15" i="62"/>
  <c r="E11" i="62"/>
  <c r="E8" i="62"/>
  <c r="E7" i="62"/>
  <c r="Q23" i="36" s="1"/>
  <c r="C18" i="84" s="1"/>
  <c r="O18" i="84" s="1"/>
  <c r="E30" i="3"/>
  <c r="E27" i="3"/>
  <c r="N21" i="43" s="1"/>
  <c r="E26" i="3"/>
  <c r="N21" i="42" s="1"/>
  <c r="E23" i="3"/>
  <c r="E22" i="3"/>
  <c r="E20" i="3"/>
  <c r="E17" i="3"/>
  <c r="O45" i="40" s="1"/>
  <c r="E15" i="3"/>
  <c r="E11" i="3"/>
  <c r="E8" i="3"/>
  <c r="E7" i="3"/>
  <c r="Q24" i="36" s="1"/>
  <c r="C19" i="84" s="1"/>
  <c r="O19" i="84" s="1"/>
  <c r="A8" i="62"/>
  <c r="A9" i="62" s="1"/>
  <c r="A10" i="62" s="1"/>
  <c r="A11" i="62" s="1"/>
  <c r="A12" i="62" s="1"/>
  <c r="A13" i="62" s="1"/>
  <c r="A14" i="62" s="1"/>
  <c r="A15" i="62" s="1"/>
  <c r="A16" i="62" s="1"/>
  <c r="A17" i="62" s="1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37" i="62" s="1"/>
  <c r="A38" i="62" s="1"/>
  <c r="A39" i="62" s="1"/>
  <c r="A40" i="62" s="1"/>
  <c r="D6" i="62"/>
  <c r="A3" i="62"/>
  <c r="F27" i="61"/>
  <c r="K23" i="61"/>
  <c r="K27" i="61" s="1"/>
  <c r="F23" i="61"/>
  <c r="G19" i="61" s="1"/>
  <c r="D23" i="61"/>
  <c r="E11" i="61" s="1"/>
  <c r="G21" i="61"/>
  <c r="N17" i="61"/>
  <c r="G17" i="61"/>
  <c r="G16" i="61"/>
  <c r="H16" i="61" s="1"/>
  <c r="J16" i="61" s="1"/>
  <c r="L16" i="61" s="1"/>
  <c r="E16" i="61"/>
  <c r="N14" i="61"/>
  <c r="G14" i="61"/>
  <c r="H14" i="61" s="1"/>
  <c r="J14" i="61" s="1"/>
  <c r="L14" i="61" s="1"/>
  <c r="E14" i="61"/>
  <c r="N13" i="61"/>
  <c r="G13" i="61"/>
  <c r="N12" i="61"/>
  <c r="G12" i="61"/>
  <c r="N11" i="61"/>
  <c r="G11" i="61"/>
  <c r="N10" i="61"/>
  <c r="G10" i="61"/>
  <c r="H10" i="61" s="1"/>
  <c r="J10" i="61" s="1"/>
  <c r="L10" i="61" s="1"/>
  <c r="E10" i="61"/>
  <c r="N9" i="61"/>
  <c r="G9" i="61"/>
  <c r="A9" i="61"/>
  <c r="A10" i="61" s="1"/>
  <c r="A11" i="61" s="1"/>
  <c r="A12" i="61" s="1"/>
  <c r="A13" i="61" s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N8" i="61"/>
  <c r="G8" i="61"/>
  <c r="A8" i="61"/>
  <c r="G7" i="61"/>
  <c r="G23" i="61" s="1"/>
  <c r="E7" i="61"/>
  <c r="L31" i="60"/>
  <c r="M31" i="60" s="1"/>
  <c r="N31" i="60" s="1"/>
  <c r="K31" i="60"/>
  <c r="I31" i="60"/>
  <c r="M29" i="60"/>
  <c r="N29" i="60" s="1"/>
  <c r="L29" i="60"/>
  <c r="K29" i="60"/>
  <c r="I29" i="60"/>
  <c r="H27" i="60"/>
  <c r="G27" i="60"/>
  <c r="E27" i="60"/>
  <c r="D27" i="60"/>
  <c r="N26" i="60"/>
  <c r="M26" i="60"/>
  <c r="L26" i="60"/>
  <c r="K26" i="60"/>
  <c r="I26" i="60"/>
  <c r="L25" i="60"/>
  <c r="L27" i="60" s="1"/>
  <c r="K25" i="60"/>
  <c r="K27" i="60" s="1"/>
  <c r="I25" i="60"/>
  <c r="I27" i="60" s="1"/>
  <c r="L22" i="60"/>
  <c r="H22" i="60"/>
  <c r="G22" i="60"/>
  <c r="E22" i="60"/>
  <c r="D22" i="60"/>
  <c r="M21" i="60"/>
  <c r="N21" i="60" s="1"/>
  <c r="L21" i="60"/>
  <c r="K21" i="60"/>
  <c r="I21" i="60"/>
  <c r="N20" i="60"/>
  <c r="M20" i="60"/>
  <c r="L20" i="60"/>
  <c r="K20" i="60"/>
  <c r="I20" i="60"/>
  <c r="L19" i="60"/>
  <c r="M19" i="60" s="1"/>
  <c r="K19" i="60"/>
  <c r="K22" i="60" s="1"/>
  <c r="I19" i="60"/>
  <c r="I22" i="60" s="1"/>
  <c r="H16" i="60"/>
  <c r="G16" i="60"/>
  <c r="E16" i="60"/>
  <c r="D16" i="60"/>
  <c r="M15" i="60"/>
  <c r="N15" i="60" s="1"/>
  <c r="L15" i="60"/>
  <c r="K15" i="60"/>
  <c r="I15" i="60"/>
  <c r="L14" i="60"/>
  <c r="M14" i="60" s="1"/>
  <c r="N14" i="60" s="1"/>
  <c r="K14" i="60"/>
  <c r="I14" i="60"/>
  <c r="L13" i="60"/>
  <c r="K13" i="60"/>
  <c r="M13" i="60" s="1"/>
  <c r="N13" i="60" s="1"/>
  <c r="I13" i="60"/>
  <c r="L12" i="60"/>
  <c r="M12" i="60" s="1"/>
  <c r="K12" i="60"/>
  <c r="K16" i="60" s="1"/>
  <c r="I12" i="60"/>
  <c r="I16" i="60" s="1"/>
  <c r="K9" i="60"/>
  <c r="H9" i="60"/>
  <c r="H33" i="60" s="1"/>
  <c r="G9" i="60"/>
  <c r="G33" i="60" s="1"/>
  <c r="E9" i="60"/>
  <c r="E33" i="60" s="1"/>
  <c r="D9" i="60"/>
  <c r="D33" i="60" s="1"/>
  <c r="L8" i="60"/>
  <c r="L9" i="60" s="1"/>
  <c r="K8" i="60"/>
  <c r="I8" i="60"/>
  <c r="I9" i="60" s="1"/>
  <c r="F19" i="84" l="1"/>
  <c r="AA19" i="84"/>
  <c r="AD19" i="84"/>
  <c r="R19" i="84"/>
  <c r="U19" i="84"/>
  <c r="I19" i="84"/>
  <c r="X19" i="84"/>
  <c r="F18" i="84"/>
  <c r="AA18" i="84"/>
  <c r="L18" i="84"/>
  <c r="AD18" i="84"/>
  <c r="R18" i="84"/>
  <c r="U18" i="84"/>
  <c r="X18" i="84"/>
  <c r="M30" i="72"/>
  <c r="L26" i="71"/>
  <c r="L27" i="71" s="1"/>
  <c r="L26" i="1"/>
  <c r="L27" i="1" s="1"/>
  <c r="V23" i="37"/>
  <c r="E13" i="3"/>
  <c r="O29" i="39"/>
  <c r="E16" i="62"/>
  <c r="O28" i="39" s="1"/>
  <c r="E13" i="62"/>
  <c r="G13" i="62" s="1"/>
  <c r="E21" i="62"/>
  <c r="O28" i="41" s="1"/>
  <c r="G11" i="62"/>
  <c r="V22" i="37"/>
  <c r="G8" i="62"/>
  <c r="I9" i="8"/>
  <c r="H35" i="8"/>
  <c r="I35" i="8" s="1"/>
  <c r="K16" i="6"/>
  <c r="J20" i="6"/>
  <c r="K20" i="6" s="1"/>
  <c r="I33" i="6"/>
  <c r="K22" i="6"/>
  <c r="J25" i="6"/>
  <c r="K25" i="6" s="1"/>
  <c r="K29" i="6"/>
  <c r="F33" i="6"/>
  <c r="I20" i="6"/>
  <c r="D33" i="6"/>
  <c r="G33" i="6" s="1"/>
  <c r="H14" i="6"/>
  <c r="J9" i="6"/>
  <c r="J14" i="6" s="1"/>
  <c r="J33" i="6" s="1"/>
  <c r="F14" i="6"/>
  <c r="G20" i="62"/>
  <c r="G15" i="62"/>
  <c r="E12" i="62"/>
  <c r="H11" i="61"/>
  <c r="J11" i="61" s="1"/>
  <c r="L11" i="61" s="1"/>
  <c r="H21" i="61"/>
  <c r="J21" i="61" s="1"/>
  <c r="L21" i="61" s="1"/>
  <c r="D27" i="61"/>
  <c r="E13" i="61"/>
  <c r="H13" i="61" s="1"/>
  <c r="J13" i="61" s="1"/>
  <c r="L13" i="61" s="1"/>
  <c r="E21" i="61"/>
  <c r="H7" i="61"/>
  <c r="E8" i="61"/>
  <c r="H8" i="61" s="1"/>
  <c r="J8" i="61" s="1"/>
  <c r="L8" i="61" s="1"/>
  <c r="E12" i="61"/>
  <c r="H12" i="61" s="1"/>
  <c r="J12" i="61" s="1"/>
  <c r="L12" i="61" s="1"/>
  <c r="E17" i="61"/>
  <c r="H17" i="61" s="1"/>
  <c r="J17" i="61" s="1"/>
  <c r="L17" i="61" s="1"/>
  <c r="E19" i="61"/>
  <c r="H19" i="61" s="1"/>
  <c r="J19" i="61" s="1"/>
  <c r="L19" i="61" s="1"/>
  <c r="E9" i="61"/>
  <c r="H9" i="61" s="1"/>
  <c r="J9" i="61" s="1"/>
  <c r="L9" i="61" s="1"/>
  <c r="N12" i="60"/>
  <c r="M16" i="60"/>
  <c r="N16" i="60" s="1"/>
  <c r="K33" i="60"/>
  <c r="N19" i="60"/>
  <c r="M22" i="60"/>
  <c r="N22" i="60" s="1"/>
  <c r="I33" i="60"/>
  <c r="L16" i="60"/>
  <c r="L33" i="60" s="1"/>
  <c r="M25" i="60"/>
  <c r="M8" i="60"/>
  <c r="E14" i="62" l="1"/>
  <c r="O39" i="38" s="1"/>
  <c r="K9" i="6"/>
  <c r="H33" i="6"/>
  <c r="K33" i="6" s="1"/>
  <c r="K14" i="6"/>
  <c r="J7" i="61"/>
  <c r="H23" i="61"/>
  <c r="E23" i="61"/>
  <c r="M9" i="60"/>
  <c r="N8" i="60"/>
  <c r="M27" i="60"/>
  <c r="N27" i="60" s="1"/>
  <c r="N25" i="60"/>
  <c r="J23" i="61" l="1"/>
  <c r="L23" i="61" s="1"/>
  <c r="L7" i="61"/>
  <c r="M33" i="60"/>
  <c r="N33" i="60" s="1"/>
  <c r="N9" i="60"/>
  <c r="A31" i="59" l="1"/>
  <c r="A32" i="59" s="1"/>
  <c r="A33" i="59" s="1"/>
  <c r="A34" i="59" s="1"/>
  <c r="D6" i="59"/>
  <c r="A3" i="59"/>
  <c r="I40" i="52" l="1"/>
  <c r="E33" i="13"/>
  <c r="I36" i="6"/>
  <c r="E33" i="16"/>
  <c r="J45" i="7"/>
  <c r="F34" i="25" l="1"/>
  <c r="S20" i="1" s="1"/>
  <c r="A31" i="50"/>
  <c r="A32" i="50" s="1"/>
  <c r="A33" i="50" s="1"/>
  <c r="A34" i="50" s="1"/>
  <c r="A31" i="23"/>
  <c r="A32" i="23" s="1"/>
  <c r="A33" i="23" s="1"/>
  <c r="A34" i="23" s="1"/>
  <c r="E33" i="22"/>
  <c r="E32" i="22"/>
  <c r="E32" i="16"/>
  <c r="E32" i="13"/>
  <c r="F35" i="25" l="1"/>
  <c r="D36" i="25"/>
  <c r="S21" i="1" l="1"/>
  <c r="F36" i="25"/>
  <c r="E13" i="50"/>
  <c r="E14" i="50" s="1"/>
  <c r="O50" i="38" s="1"/>
  <c r="E21" i="23"/>
  <c r="E16" i="23"/>
  <c r="E13" i="23"/>
  <c r="E14" i="23" s="1"/>
  <c r="E12" i="50"/>
  <c r="V33" i="37" s="1"/>
  <c r="E16" i="50" l="1"/>
  <c r="O39" i="39" s="1"/>
  <c r="E12" i="23"/>
  <c r="E21" i="50"/>
  <c r="O39" i="41" s="1"/>
  <c r="E30" i="4"/>
  <c r="E27" i="4"/>
  <c r="E26" i="4"/>
  <c r="E23" i="4"/>
  <c r="E22" i="4"/>
  <c r="E20" i="4"/>
  <c r="E17" i="4"/>
  <c r="O46" i="40" s="1"/>
  <c r="E15" i="4"/>
  <c r="E11" i="4"/>
  <c r="E8" i="4"/>
  <c r="E7" i="4"/>
  <c r="Q25" i="36" s="1"/>
  <c r="C20" i="84" s="1"/>
  <c r="O20" i="84" s="1"/>
  <c r="F20" i="84" l="1"/>
  <c r="L20" i="84"/>
  <c r="AD20" i="84"/>
  <c r="R20" i="84"/>
  <c r="I20" i="84"/>
  <c r="AG20" i="84"/>
  <c r="C20" i="85" s="1"/>
  <c r="F20" i="85" s="1"/>
  <c r="U20" i="84"/>
  <c r="X20" i="84"/>
  <c r="AA20" i="84"/>
  <c r="L15" i="4"/>
  <c r="I15" i="4"/>
  <c r="N22" i="43"/>
  <c r="N22" i="42"/>
  <c r="L8" i="4"/>
  <c r="I8" i="4"/>
  <c r="I20" i="4"/>
  <c r="L20" i="4"/>
  <c r="L11" i="4"/>
  <c r="I11" i="4"/>
  <c r="V24" i="37"/>
  <c r="Y24" i="37" s="1"/>
  <c r="S25" i="36"/>
  <c r="Q25" i="80" s="1"/>
  <c r="S25" i="80" s="1"/>
  <c r="E30" i="13"/>
  <c r="E27" i="13"/>
  <c r="E26" i="13"/>
  <c r="E23" i="13"/>
  <c r="E22" i="13"/>
  <c r="E20" i="13"/>
  <c r="E17" i="13"/>
  <c r="Q46" i="40" s="1"/>
  <c r="E15" i="13"/>
  <c r="E11" i="13"/>
  <c r="E8" i="13"/>
  <c r="E7" i="13"/>
  <c r="Q26" i="36" s="1"/>
  <c r="E30" i="16"/>
  <c r="E27" i="16"/>
  <c r="E26" i="16"/>
  <c r="E23" i="16"/>
  <c r="E22" i="16"/>
  <c r="E20" i="16"/>
  <c r="E17" i="16"/>
  <c r="E15" i="16"/>
  <c r="E11" i="16"/>
  <c r="E8" i="16"/>
  <c r="E7" i="16"/>
  <c r="Q27" i="36" s="1"/>
  <c r="P22" i="42" l="1"/>
  <c r="S26" i="36"/>
  <c r="Q26" i="80" s="1"/>
  <c r="S26" i="80" s="1"/>
  <c r="C21" i="84"/>
  <c r="O21" i="84" s="1"/>
  <c r="L20" i="85"/>
  <c r="I20" i="85"/>
  <c r="O20" i="85"/>
  <c r="R20" i="85"/>
  <c r="S27" i="36"/>
  <c r="Q27" i="80" s="1"/>
  <c r="S27" i="80" s="1"/>
  <c r="C22" i="84"/>
  <c r="O22" i="84" s="1"/>
  <c r="P22" i="43"/>
  <c r="E38" i="19"/>
  <c r="E30" i="19"/>
  <c r="E27" i="19"/>
  <c r="N25" i="43" s="1"/>
  <c r="E26" i="19"/>
  <c r="N25" i="42" s="1"/>
  <c r="E23" i="19"/>
  <c r="E22" i="19"/>
  <c r="E20" i="19"/>
  <c r="E17" i="19"/>
  <c r="E15" i="19"/>
  <c r="E11" i="19"/>
  <c r="E8" i="19"/>
  <c r="E7" i="19"/>
  <c r="Q28" i="36" s="1"/>
  <c r="F22" i="84" l="1"/>
  <c r="AG22" i="84"/>
  <c r="C22" i="85" s="1"/>
  <c r="F22" i="85" s="1"/>
  <c r="R22" i="84"/>
  <c r="U22" i="84"/>
  <c r="X22" i="84"/>
  <c r="I22" i="84"/>
  <c r="AA22" i="84"/>
  <c r="L22" i="84"/>
  <c r="AD22" i="84"/>
  <c r="F21" i="84"/>
  <c r="AD21" i="84"/>
  <c r="R21" i="84"/>
  <c r="L21" i="84"/>
  <c r="U21" i="84"/>
  <c r="I21" i="84"/>
  <c r="X21" i="84"/>
  <c r="AA21" i="84"/>
  <c r="AG21" i="84"/>
  <c r="C21" i="85" s="1"/>
  <c r="F21" i="85" s="1"/>
  <c r="S28" i="36"/>
  <c r="Q28" i="80" s="1"/>
  <c r="S28" i="80" s="1"/>
  <c r="C23" i="84"/>
  <c r="O23" i="84" s="1"/>
  <c r="O48" i="40"/>
  <c r="O49" i="40"/>
  <c r="Q49" i="40" s="1"/>
  <c r="I20" i="19"/>
  <c r="L20" i="19"/>
  <c r="P25" i="42"/>
  <c r="N14" i="42"/>
  <c r="I8" i="19"/>
  <c r="L8" i="19"/>
  <c r="P25" i="43"/>
  <c r="N14" i="43"/>
  <c r="L11" i="19"/>
  <c r="I11" i="19"/>
  <c r="I15" i="19"/>
  <c r="L15" i="19"/>
  <c r="E30" i="22"/>
  <c r="E27" i="22"/>
  <c r="E26" i="22"/>
  <c r="E23" i="22"/>
  <c r="E22" i="22"/>
  <c r="E20" i="22"/>
  <c r="E17" i="22"/>
  <c r="E15" i="22"/>
  <c r="E13" i="22"/>
  <c r="E11" i="22"/>
  <c r="E8" i="22"/>
  <c r="E7" i="22"/>
  <c r="Q29" i="36" s="1"/>
  <c r="C24" i="84" s="1"/>
  <c r="O24" i="84" s="1"/>
  <c r="G20" i="50"/>
  <c r="G15" i="50"/>
  <c r="G13" i="50"/>
  <c r="G11" i="50"/>
  <c r="G8" i="50"/>
  <c r="D6" i="50"/>
  <c r="A3" i="50"/>
  <c r="Q36" i="36"/>
  <c r="S36" i="36" l="1"/>
  <c r="Q36" i="80" s="1"/>
  <c r="S36" i="80" s="1"/>
  <c r="C31" i="84"/>
  <c r="O31" i="84" s="1"/>
  <c r="F24" i="84"/>
  <c r="X24" i="84"/>
  <c r="AG24" i="84"/>
  <c r="C24" i="85" s="1"/>
  <c r="F24" i="85" s="1"/>
  <c r="AA24" i="84"/>
  <c r="L24" i="84"/>
  <c r="AD24" i="84"/>
  <c r="R24" i="84"/>
  <c r="I24" i="84"/>
  <c r="U24" i="84"/>
  <c r="R21" i="85"/>
  <c r="I21" i="85"/>
  <c r="O21" i="85"/>
  <c r="L21" i="85"/>
  <c r="F23" i="84"/>
  <c r="U23" i="84"/>
  <c r="AG23" i="84"/>
  <c r="C23" i="85" s="1"/>
  <c r="F23" i="85" s="1"/>
  <c r="X23" i="84"/>
  <c r="AA23" i="84"/>
  <c r="L23" i="84"/>
  <c r="I23" i="84"/>
  <c r="AD23" i="84"/>
  <c r="R23" i="84"/>
  <c r="O22" i="85"/>
  <c r="I22" i="85"/>
  <c r="L22" i="85"/>
  <c r="R22" i="85"/>
  <c r="C35" i="84"/>
  <c r="D35" i="84" s="1"/>
  <c r="Q48" i="40"/>
  <c r="O13" i="40"/>
  <c r="O18" i="40"/>
  <c r="O17" i="40"/>
  <c r="O14" i="40"/>
  <c r="S29" i="36"/>
  <c r="Q29" i="80" s="1"/>
  <c r="S29" i="80" s="1"/>
  <c r="Q11" i="36"/>
  <c r="Q12" i="36"/>
  <c r="E12" i="22"/>
  <c r="F31" i="84" l="1"/>
  <c r="R31" i="84"/>
  <c r="U31" i="84"/>
  <c r="X31" i="84"/>
  <c r="I31" i="84"/>
  <c r="I35" i="84" s="1"/>
  <c r="J35" i="84" s="1"/>
  <c r="AA31" i="84"/>
  <c r="L31" i="84"/>
  <c r="AD31" i="84"/>
  <c r="AG31" i="84" s="1"/>
  <c r="C31" i="85" s="1"/>
  <c r="L24" i="85"/>
  <c r="I24" i="85"/>
  <c r="O24" i="85"/>
  <c r="R24" i="85"/>
  <c r="R23" i="85"/>
  <c r="I23" i="85"/>
  <c r="O23" i="85"/>
  <c r="L23" i="85"/>
  <c r="C36" i="84"/>
  <c r="D36" i="84" s="1"/>
  <c r="D37" i="84" s="1"/>
  <c r="D39" i="84" s="1"/>
  <c r="H9" i="36"/>
  <c r="H8" i="82" s="1"/>
  <c r="H18" i="36"/>
  <c r="H17" i="82" s="1"/>
  <c r="A3" i="25"/>
  <c r="A3" i="24"/>
  <c r="A3" i="23"/>
  <c r="F20" i="23"/>
  <c r="F15" i="23"/>
  <c r="F13" i="23"/>
  <c r="F8" i="23"/>
  <c r="D6" i="23"/>
  <c r="I36" i="84" l="1"/>
  <c r="J36" i="84" s="1"/>
  <c r="J37" i="84" s="1"/>
  <c r="J39" i="84" s="1"/>
  <c r="J40" i="84" s="1"/>
  <c r="J41" i="84" s="1"/>
  <c r="AD35" i="84"/>
  <c r="AE35" i="84" s="1"/>
  <c r="L31" i="85"/>
  <c r="I31" i="85"/>
  <c r="R31" i="85"/>
  <c r="O31" i="85"/>
  <c r="L35" i="84"/>
  <c r="M35" i="84" s="1"/>
  <c r="L36" i="84"/>
  <c r="M36" i="84" s="1"/>
  <c r="AA36" i="84"/>
  <c r="AB36" i="84" s="1"/>
  <c r="AA35" i="84"/>
  <c r="AB35" i="84" s="1"/>
  <c r="AD36" i="84"/>
  <c r="AE36" i="84" s="1"/>
  <c r="F11" i="23"/>
  <c r="M37" i="84" l="1"/>
  <c r="M39" i="84" s="1"/>
  <c r="M40" i="84" s="1"/>
  <c r="M41" i="84" s="1"/>
  <c r="AB37" i="84"/>
  <c r="AB39" i="84" s="1"/>
  <c r="AB40" i="84" s="1"/>
  <c r="AB41" i="84" s="1"/>
  <c r="AE37" i="84"/>
  <c r="AE39" i="84" s="1"/>
  <c r="AE40" i="84" s="1"/>
  <c r="AE41" i="84" s="1"/>
  <c r="H20" i="24"/>
  <c r="H8" i="24"/>
  <c r="H11" i="24"/>
  <c r="H13" i="24"/>
  <c r="H15" i="24"/>
  <c r="M18" i="43" l="1"/>
  <c r="M17" i="43"/>
  <c r="M18" i="42"/>
  <c r="M17" i="42"/>
  <c r="N26" i="41"/>
  <c r="N25" i="41"/>
  <c r="N24" i="41"/>
  <c r="N23" i="41"/>
  <c r="N22" i="41"/>
  <c r="N21" i="41"/>
  <c r="N42" i="40" l="1"/>
  <c r="N41" i="40"/>
  <c r="N40" i="40"/>
  <c r="N39" i="40"/>
  <c r="N38" i="40"/>
  <c r="N36" i="40"/>
  <c r="N35" i="40"/>
  <c r="N33" i="40"/>
  <c r="N32" i="40"/>
  <c r="N31" i="40"/>
  <c r="N30" i="40"/>
  <c r="N26" i="39"/>
  <c r="N23" i="39"/>
  <c r="N24" i="39"/>
  <c r="N25" i="39"/>
  <c r="N22" i="39"/>
  <c r="N21" i="39"/>
  <c r="N36" i="38"/>
  <c r="N35" i="38"/>
  <c r="N34" i="38"/>
  <c r="N33" i="38"/>
  <c r="N32" i="38"/>
  <c r="N30" i="38"/>
  <c r="N31" i="38"/>
  <c r="N29" i="38"/>
  <c r="N28" i="38"/>
  <c r="N27" i="38"/>
  <c r="T20" i="37" l="1"/>
  <c r="T19" i="37"/>
  <c r="T18" i="37"/>
  <c r="T17" i="37"/>
  <c r="P17" i="36"/>
  <c r="P19" i="36" l="1"/>
  <c r="P18" i="36"/>
  <c r="E13" i="43" l="1"/>
  <c r="E14" i="43"/>
  <c r="E15" i="43"/>
  <c r="E17" i="43"/>
  <c r="E18" i="43"/>
  <c r="E19" i="43"/>
  <c r="E21" i="43"/>
  <c r="E22" i="43"/>
  <c r="E23" i="43"/>
  <c r="E25" i="43"/>
  <c r="E26" i="43"/>
  <c r="E27" i="43"/>
  <c r="E29" i="43"/>
  <c r="E30" i="43"/>
  <c r="E31" i="43"/>
  <c r="E33" i="43"/>
  <c r="E34" i="43"/>
  <c r="E35" i="43"/>
  <c r="E13" i="42"/>
  <c r="E14" i="42"/>
  <c r="E15" i="42"/>
  <c r="E17" i="42"/>
  <c r="E18" i="42"/>
  <c r="E19" i="42"/>
  <c r="E21" i="42"/>
  <c r="E22" i="42"/>
  <c r="E23" i="42"/>
  <c r="E25" i="42"/>
  <c r="E26" i="42"/>
  <c r="E27" i="42"/>
  <c r="E29" i="42"/>
  <c r="E30" i="42"/>
  <c r="E31" i="42"/>
  <c r="E33" i="42"/>
  <c r="E34" i="42"/>
  <c r="E35" i="42"/>
  <c r="E10" i="41"/>
  <c r="P10" i="41"/>
  <c r="B11" i="41"/>
  <c r="B12" i="41" s="1"/>
  <c r="B14" i="41" s="1"/>
  <c r="E11" i="41"/>
  <c r="E12" i="41"/>
  <c r="P12" i="41"/>
  <c r="P14" i="41"/>
  <c r="P15" i="41"/>
  <c r="P16" i="41"/>
  <c r="P18" i="41"/>
  <c r="P10" i="40"/>
  <c r="E11" i="40"/>
  <c r="P11" i="40"/>
  <c r="B12" i="40"/>
  <c r="E12" i="40"/>
  <c r="B13" i="40"/>
  <c r="E13" i="40"/>
  <c r="P13" i="40"/>
  <c r="P14" i="40"/>
  <c r="E15" i="40"/>
  <c r="P15" i="40"/>
  <c r="B16" i="40"/>
  <c r="E16" i="40"/>
  <c r="B17" i="40"/>
  <c r="E17" i="40"/>
  <c r="P17" i="40"/>
  <c r="P18" i="40"/>
  <c r="E19" i="40"/>
  <c r="P19" i="40"/>
  <c r="B20" i="40"/>
  <c r="E20" i="40"/>
  <c r="B21" i="40"/>
  <c r="E21" i="40"/>
  <c r="P21" i="40"/>
  <c r="P23" i="40"/>
  <c r="E24" i="40"/>
  <c r="P24" i="40"/>
  <c r="B25" i="40"/>
  <c r="B26" i="40" s="1"/>
  <c r="E25" i="40"/>
  <c r="P25" i="40"/>
  <c r="E26" i="40"/>
  <c r="P27" i="40"/>
  <c r="E28" i="40"/>
  <c r="B29" i="40"/>
  <c r="B30" i="40" s="1"/>
  <c r="E29" i="40"/>
  <c r="E30" i="40"/>
  <c r="E32" i="40"/>
  <c r="B33" i="40"/>
  <c r="B34" i="40" s="1"/>
  <c r="E33" i="40"/>
  <c r="E34" i="40"/>
  <c r="E36" i="40"/>
  <c r="B37" i="40"/>
  <c r="B38" i="40" s="1"/>
  <c r="E37" i="40"/>
  <c r="E38" i="40"/>
  <c r="E10" i="39"/>
  <c r="P10" i="39"/>
  <c r="B11" i="39"/>
  <c r="B12" i="39" s="1"/>
  <c r="B14" i="39" s="1"/>
  <c r="E11" i="39"/>
  <c r="E12" i="39"/>
  <c r="P12" i="39"/>
  <c r="P14" i="39"/>
  <c r="P15" i="39"/>
  <c r="P16" i="39"/>
  <c r="P18" i="39"/>
  <c r="E10" i="38"/>
  <c r="P10" i="38"/>
  <c r="B11" i="38"/>
  <c r="B12" i="38" s="1"/>
  <c r="E11" i="38"/>
  <c r="E12" i="38"/>
  <c r="P12" i="38"/>
  <c r="P13" i="38"/>
  <c r="E14" i="38"/>
  <c r="P14" i="38"/>
  <c r="B15" i="38"/>
  <c r="B16" i="38" s="1"/>
  <c r="E15" i="38"/>
  <c r="E16" i="38"/>
  <c r="P16" i="38"/>
  <c r="E18" i="38"/>
  <c r="P18" i="38"/>
  <c r="B19" i="38"/>
  <c r="B20" i="38" s="1"/>
  <c r="E19" i="38"/>
  <c r="E20" i="38"/>
  <c r="P20" i="38"/>
  <c r="P21" i="38"/>
  <c r="E22" i="38"/>
  <c r="P22" i="38"/>
  <c r="B23" i="38"/>
  <c r="B24" i="38" s="1"/>
  <c r="E23" i="38"/>
  <c r="E24" i="38"/>
  <c r="P24" i="38"/>
  <c r="E26" i="38"/>
  <c r="B27" i="38"/>
  <c r="B28" i="38" s="1"/>
  <c r="E27" i="38"/>
  <c r="E28" i="38"/>
  <c r="E30" i="38"/>
  <c r="B31" i="38"/>
  <c r="B32" i="38" s="1"/>
  <c r="E31" i="38"/>
  <c r="E32" i="38"/>
  <c r="E34" i="38"/>
  <c r="B35" i="38"/>
  <c r="B36" i="38" s="1"/>
  <c r="E35" i="38"/>
  <c r="E36" i="38"/>
  <c r="W10" i="37"/>
  <c r="B11" i="37"/>
  <c r="W12" i="37"/>
  <c r="W13" i="37"/>
  <c r="W14" i="37"/>
  <c r="B15" i="37"/>
  <c r="B16" i="37" s="1"/>
  <c r="E14" i="41" l="1"/>
  <c r="B15" i="41"/>
  <c r="B18" i="37"/>
  <c r="E14" i="39"/>
  <c r="B15" i="39"/>
  <c r="E15" i="39"/>
  <c r="E16" i="39"/>
  <c r="B12" i="37"/>
  <c r="E15" i="41"/>
  <c r="E16" i="41"/>
  <c r="B16" i="41"/>
  <c r="B18" i="41" l="1"/>
  <c r="B19" i="37"/>
  <c r="B16" i="39"/>
  <c r="B20" i="37" l="1"/>
  <c r="E20" i="41"/>
  <c r="B19" i="41"/>
  <c r="E19" i="41"/>
  <c r="E18" i="41"/>
  <c r="B18" i="39"/>
  <c r="B20" i="41" l="1"/>
  <c r="B22" i="37"/>
  <c r="E19" i="39"/>
  <c r="E20" i="39"/>
  <c r="E18" i="39"/>
  <c r="B19" i="39"/>
  <c r="B20" i="39" l="1"/>
  <c r="B23" i="37"/>
  <c r="B22" i="41"/>
  <c r="E22" i="41" l="1"/>
  <c r="E24" i="41"/>
  <c r="B23" i="41"/>
  <c r="E23" i="41"/>
  <c r="B24" i="37"/>
  <c r="B22" i="39"/>
  <c r="E23" i="39" l="1"/>
  <c r="E22" i="39"/>
  <c r="E24" i="39"/>
  <c r="B23" i="39"/>
  <c r="B26" i="37"/>
  <c r="B24" i="41"/>
  <c r="B24" i="39" l="1"/>
  <c r="B27" i="37"/>
  <c r="B26" i="41"/>
  <c r="B28" i="37" l="1"/>
  <c r="B26" i="39"/>
  <c r="E26" i="41"/>
  <c r="E28" i="41"/>
  <c r="B27" i="41"/>
  <c r="E27" i="41"/>
  <c r="E27" i="39" l="1"/>
  <c r="E28" i="39"/>
  <c r="B27" i="39"/>
  <c r="E26" i="39"/>
  <c r="B30" i="37"/>
  <c r="B28" i="41"/>
  <c r="B30" i="41" l="1"/>
  <c r="B31" i="37"/>
  <c r="B28" i="39"/>
  <c r="B30" i="39" l="1"/>
  <c r="E30" i="41"/>
  <c r="B31" i="41"/>
  <c r="E32" i="41"/>
  <c r="E31" i="41"/>
  <c r="B32" i="37"/>
  <c r="B32" i="41" l="1"/>
  <c r="E32" i="39"/>
  <c r="E30" i="39"/>
  <c r="E31" i="39"/>
  <c r="B31" i="39"/>
  <c r="B34" i="37"/>
  <c r="B35" i="37" l="1"/>
  <c r="B34" i="41"/>
  <c r="B32" i="39"/>
  <c r="B36" i="37" l="1"/>
  <c r="B34" i="39"/>
  <c r="E36" i="41"/>
  <c r="E34" i="41"/>
  <c r="E35" i="41"/>
  <c r="B35" i="41"/>
  <c r="E35" i="39" l="1"/>
  <c r="E34" i="39"/>
  <c r="B35" i="39"/>
  <c r="E36" i="39"/>
  <c r="B38" i="37"/>
  <c r="B39" i="37" s="1"/>
  <c r="B36" i="41"/>
  <c r="B36" i="39" l="1"/>
  <c r="B40" i="37" l="1"/>
  <c r="E12" i="25" l="1"/>
  <c r="E16" i="25"/>
  <c r="F16" i="25" s="1"/>
  <c r="E22" i="25"/>
  <c r="E13" i="25"/>
  <c r="E17" i="25"/>
  <c r="E32" i="25"/>
  <c r="F32" i="25" s="1"/>
  <c r="E20" i="25"/>
  <c r="E14" i="25"/>
  <c r="E11" i="25"/>
  <c r="E15" i="25"/>
  <c r="F15" i="25" s="1"/>
  <c r="E21" i="25"/>
  <c r="F40" i="25"/>
  <c r="F29" i="25"/>
  <c r="S18" i="1" s="1"/>
  <c r="F28" i="25"/>
  <c r="S17" i="1" s="1"/>
  <c r="D30" i="25"/>
  <c r="F26" i="25"/>
  <c r="F23" i="25"/>
  <c r="S16" i="1" s="1"/>
  <c r="F20" i="25"/>
  <c r="F13" i="25"/>
  <c r="F11" i="25"/>
  <c r="F8" i="25"/>
  <c r="A8" i="25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D6" i="25"/>
  <c r="S19" i="1" l="1"/>
  <c r="S12" i="1"/>
  <c r="A33" i="25"/>
  <c r="A34" i="25" s="1"/>
  <c r="A35" i="25" s="1"/>
  <c r="A36" i="25" s="1"/>
  <c r="A37" i="25" s="1"/>
  <c r="A38" i="25" s="1"/>
  <c r="A39" i="25" s="1"/>
  <c r="A40" i="25" s="1"/>
  <c r="A41" i="25" s="1"/>
  <c r="A42" i="25" s="1"/>
  <c r="F30" i="25"/>
  <c r="F12" i="25"/>
  <c r="F21" i="25"/>
  <c r="F14" i="25"/>
  <c r="S10" i="1" l="1"/>
  <c r="S11" i="1"/>
  <c r="S14" i="1"/>
  <c r="A8" i="24" l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D6" i="24"/>
  <c r="A25" i="24" l="1"/>
  <c r="A26" i="24" s="1"/>
  <c r="A27" i="24" s="1"/>
  <c r="A28" i="24" s="1"/>
  <c r="A29" i="24" s="1"/>
  <c r="A30" i="24" s="1"/>
  <c r="A8" i="22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D6" i="22"/>
  <c r="A3" i="22"/>
  <c r="F20" i="19"/>
  <c r="F15" i="19"/>
  <c r="F8" i="19"/>
  <c r="E21" i="19"/>
  <c r="O33" i="41" s="1"/>
  <c r="Q33" i="41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D6" i="19"/>
  <c r="A3" i="19"/>
  <c r="F20" i="16"/>
  <c r="F15" i="16"/>
  <c r="E16" i="16"/>
  <c r="E12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D6" i="16"/>
  <c r="A3" i="16"/>
  <c r="F20" i="13"/>
  <c r="F8" i="13"/>
  <c r="E16" i="13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D6" i="13"/>
  <c r="A3" i="13"/>
  <c r="E12" i="4"/>
  <c r="F8" i="4"/>
  <c r="D6" i="4"/>
  <c r="G20" i="3"/>
  <c r="G15" i="3"/>
  <c r="G13" i="3"/>
  <c r="E12" i="3"/>
  <c r="G8" i="3"/>
  <c r="D6" i="3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3" i="4"/>
  <c r="A3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31" i="24" l="1"/>
  <c r="A32" i="24" s="1"/>
  <c r="A33" i="24" s="1"/>
  <c r="A34" i="24" s="1"/>
  <c r="A35" i="24" s="1"/>
  <c r="A36" i="24" s="1"/>
  <c r="A37" i="24" s="1"/>
  <c r="A38" i="24" s="1"/>
  <c r="A39" i="24" s="1"/>
  <c r="A40" i="24" s="1"/>
  <c r="A25" i="22"/>
  <c r="A26" i="22" s="1"/>
  <c r="A27" i="22" s="1"/>
  <c r="A28" i="22" s="1"/>
  <c r="A29" i="22" s="1"/>
  <c r="A30" i="22" s="1"/>
  <c r="A24" i="19"/>
  <c r="A25" i="19" s="1"/>
  <c r="A26" i="19" s="1"/>
  <c r="A27" i="19" s="1"/>
  <c r="A28" i="19" s="1"/>
  <c r="A29" i="19" s="1"/>
  <c r="A30" i="19" s="1"/>
  <c r="A26" i="16"/>
  <c r="A27" i="16" s="1"/>
  <c r="A28" i="16" s="1"/>
  <c r="A29" i="16" s="1"/>
  <c r="A30" i="16" s="1"/>
  <c r="A26" i="13"/>
  <c r="A27" i="13" s="1"/>
  <c r="A28" i="13" s="1"/>
  <c r="A29" i="13" s="1"/>
  <c r="A30" i="13" s="1"/>
  <c r="A26" i="3"/>
  <c r="A27" i="3" s="1"/>
  <c r="A28" i="3" s="1"/>
  <c r="A29" i="3" s="1"/>
  <c r="A30" i="3" s="1"/>
  <c r="A31" i="3" s="1"/>
  <c r="E13" i="13"/>
  <c r="E12" i="13"/>
  <c r="A25" i="4"/>
  <c r="A26" i="4" s="1"/>
  <c r="A27" i="4" s="1"/>
  <c r="A28" i="4" s="1"/>
  <c r="A29" i="4" s="1"/>
  <c r="A30" i="4" s="1"/>
  <c r="A31" i="4" s="1"/>
  <c r="F8" i="22"/>
  <c r="F20" i="22"/>
  <c r="E21" i="22"/>
  <c r="E16" i="19"/>
  <c r="O33" i="39" s="1"/>
  <c r="Q33" i="39" s="1"/>
  <c r="E13" i="4"/>
  <c r="E16" i="3"/>
  <c r="O30" i="39" s="1"/>
  <c r="G11" i="3"/>
  <c r="E21" i="4"/>
  <c r="O30" i="41" s="1"/>
  <c r="Q30" i="41" s="1"/>
  <c r="F20" i="4"/>
  <c r="F11" i="4"/>
  <c r="E16" i="4"/>
  <c r="F15" i="4"/>
  <c r="E12" i="19"/>
  <c r="V27" i="37" s="1"/>
  <c r="F11" i="19"/>
  <c r="F11" i="16"/>
  <c r="E13" i="16"/>
  <c r="Q42" i="38" s="1"/>
  <c r="F8" i="16"/>
  <c r="E21" i="16"/>
  <c r="F15" i="22"/>
  <c r="F11" i="22"/>
  <c r="F15" i="13"/>
  <c r="F11" i="13"/>
  <c r="E16" i="22"/>
  <c r="E13" i="19"/>
  <c r="E21" i="13"/>
  <c r="E14" i="3"/>
  <c r="O40" i="38" s="1"/>
  <c r="E21" i="3"/>
  <c r="O29" i="41" s="1"/>
  <c r="O12" i="41" s="1"/>
  <c r="L13" i="4" l="1"/>
  <c r="I13" i="4"/>
  <c r="Y27" i="37"/>
  <c r="U12" i="37"/>
  <c r="V12" i="37" s="1"/>
  <c r="U13" i="37"/>
  <c r="Q43" i="38"/>
  <c r="L13" i="19"/>
  <c r="I13" i="19"/>
  <c r="O13" i="38"/>
  <c r="O16" i="38"/>
  <c r="Q30" i="39"/>
  <c r="O12" i="39"/>
  <c r="A31" i="19"/>
  <c r="A32" i="19" s="1"/>
  <c r="A33" i="19" s="1"/>
  <c r="A34" i="19" s="1"/>
  <c r="A35" i="19" s="1"/>
  <c r="A36" i="19" s="1"/>
  <c r="A37" i="19" s="1"/>
  <c r="A38" i="19" s="1"/>
  <c r="A39" i="19" s="1"/>
  <c r="A40" i="19" s="1"/>
  <c r="A32" i="3"/>
  <c r="A33" i="3" s="1"/>
  <c r="A34" i="3" s="1"/>
  <c r="A35" i="3" s="1"/>
  <c r="A36" i="3" s="1"/>
  <c r="A37" i="3" s="1"/>
  <c r="A38" i="3" s="1"/>
  <c r="A39" i="3" s="1"/>
  <c r="A40" i="3" s="1"/>
  <c r="A32" i="4"/>
  <c r="A33" i="4" s="1"/>
  <c r="A34" i="4" s="1"/>
  <c r="A35" i="4" s="1"/>
  <c r="A36" i="4" s="1"/>
  <c r="A37" i="4" s="1"/>
  <c r="A38" i="4" s="1"/>
  <c r="A39" i="4" s="1"/>
  <c r="A40" i="4" s="1"/>
  <c r="A35" i="22"/>
  <c r="A36" i="22" s="1"/>
  <c r="A37" i="22" s="1"/>
  <c r="A38" i="22" s="1"/>
  <c r="A39" i="22" s="1"/>
  <c r="A40" i="22" s="1"/>
  <c r="A31" i="22"/>
  <c r="A32" i="22" s="1"/>
  <c r="A33" i="22" s="1"/>
  <c r="A34" i="22" s="1"/>
  <c r="A31" i="16"/>
  <c r="A32" i="16" s="1"/>
  <c r="A33" i="16" s="1"/>
  <c r="A34" i="16" s="1"/>
  <c r="A35" i="16" s="1"/>
  <c r="A36" i="16" s="1"/>
  <c r="A37" i="16" s="1"/>
  <c r="A38" i="16" s="1"/>
  <c r="A39" i="16" s="1"/>
  <c r="A40" i="16" s="1"/>
  <c r="A31" i="13"/>
  <c r="A32" i="13" s="1"/>
  <c r="A33" i="13" s="1"/>
  <c r="A34" i="13" s="1"/>
  <c r="A35" i="13" s="1"/>
  <c r="A36" i="13" s="1"/>
  <c r="A37" i="13" s="1"/>
  <c r="A38" i="13" s="1"/>
  <c r="A39" i="13" s="1"/>
  <c r="A40" i="13" s="1"/>
  <c r="F13" i="13"/>
  <c r="Q41" i="38"/>
  <c r="F13" i="4"/>
  <c r="E14" i="13"/>
  <c r="E14" i="4"/>
  <c r="O41" i="38" s="1"/>
  <c r="E14" i="19"/>
  <c r="O44" i="38" s="1"/>
  <c r="Q44" i="38" s="1"/>
  <c r="F13" i="19"/>
  <c r="E14" i="16"/>
  <c r="F13" i="16"/>
  <c r="E14" i="22"/>
  <c r="F13" i="22"/>
  <c r="O12" i="38" l="1"/>
  <c r="G35" i="43" l="1"/>
  <c r="G31" i="43" l="1"/>
  <c r="G34" i="43"/>
  <c r="G13" i="43"/>
  <c r="G15" i="43"/>
  <c r="G25" i="43"/>
  <c r="G22" i="43"/>
  <c r="G19" i="43"/>
  <c r="G14" i="43"/>
  <c r="G21" i="43"/>
  <c r="G29" i="43"/>
  <c r="G18" i="43"/>
  <c r="G27" i="43"/>
  <c r="G17" i="43"/>
  <c r="G33" i="43"/>
  <c r="G23" i="43"/>
  <c r="G26" i="43"/>
  <c r="G30" i="43"/>
  <c r="G22" i="42" l="1"/>
  <c r="G21" i="42"/>
  <c r="G18" i="42"/>
  <c r="G29" i="42"/>
  <c r="G14" i="42"/>
  <c r="G25" i="42"/>
  <c r="G13" i="42"/>
  <c r="G19" i="42"/>
  <c r="G33" i="42"/>
  <c r="G23" i="42"/>
  <c r="G27" i="42"/>
  <c r="G15" i="42"/>
  <c r="G31" i="42"/>
  <c r="G35" i="42"/>
  <c r="G26" i="42"/>
  <c r="G17" i="42"/>
  <c r="G34" i="42"/>
  <c r="G30" i="42"/>
  <c r="V18" i="37" l="1"/>
  <c r="V19" i="37"/>
  <c r="V13" i="37"/>
  <c r="H30" i="36" l="1"/>
  <c r="H29" i="82" s="1"/>
  <c r="H20" i="36"/>
  <c r="H19" i="82" s="1"/>
  <c r="H13" i="36"/>
  <c r="H12" i="82" s="1"/>
  <c r="H12" i="36"/>
  <c r="H11" i="82" s="1"/>
  <c r="H29" i="36"/>
  <c r="H28" i="82" s="1"/>
  <c r="H11" i="36"/>
  <c r="H10" i="82" s="1"/>
  <c r="H28" i="36"/>
  <c r="H27" i="82" s="1"/>
  <c r="H15" i="36"/>
  <c r="H14" i="82" s="1"/>
  <c r="H26" i="36"/>
  <c r="H25" i="82" s="1"/>
  <c r="H19" i="36"/>
  <c r="H18" i="82" s="1"/>
  <c r="H16" i="36"/>
  <c r="H15" i="82" s="1"/>
  <c r="H17" i="36"/>
  <c r="H16" i="82" s="1"/>
  <c r="H25" i="36"/>
  <c r="H24" i="82" s="1"/>
  <c r="H31" i="36"/>
  <c r="H30" i="82" s="1"/>
  <c r="H14" i="36"/>
  <c r="H13" i="82" s="1"/>
  <c r="H22" i="36"/>
  <c r="H21" i="82" s="1"/>
  <c r="H27" i="36"/>
  <c r="H26" i="82" s="1"/>
  <c r="H23" i="36"/>
  <c r="H22" i="82" s="1"/>
  <c r="H24" i="36"/>
  <c r="H23" i="82" s="1"/>
  <c r="H10" i="36"/>
  <c r="H9" i="82" s="1"/>
  <c r="H21" i="36"/>
  <c r="H20" i="82" s="1"/>
  <c r="K15" i="24" l="1"/>
  <c r="K20" i="24" l="1"/>
  <c r="K11" i="24" l="1"/>
  <c r="K8" i="24" l="1"/>
  <c r="K13" i="24" l="1"/>
  <c r="F15" i="59" l="1"/>
  <c r="E16" i="59"/>
  <c r="F11" i="59" l="1"/>
  <c r="E12" i="59"/>
  <c r="F8" i="59"/>
  <c r="E13" i="59"/>
  <c r="F20" i="59"/>
  <c r="E21" i="59"/>
  <c r="E14" i="59" l="1"/>
  <c r="F13" i="59"/>
  <c r="S27" i="71" l="1"/>
  <c r="U17" i="36" l="1"/>
  <c r="Q17" i="80"/>
  <c r="F11" i="84"/>
  <c r="S9" i="36"/>
  <c r="U9" i="36" s="1"/>
  <c r="S17" i="80" l="1"/>
  <c r="Q9" i="80"/>
  <c r="AG11" i="84"/>
  <c r="G11" i="84"/>
  <c r="G12" i="84" s="1"/>
  <c r="AH11" i="84" l="1"/>
  <c r="AH12" i="84" s="1"/>
  <c r="C11" i="85"/>
  <c r="F11" i="85" s="1"/>
  <c r="G11" i="85" s="1"/>
  <c r="G12" i="85" s="1"/>
  <c r="AG12" i="84"/>
  <c r="U17" i="80"/>
  <c r="S9" i="80"/>
  <c r="U9" i="80" s="1"/>
  <c r="I11" i="85" l="1"/>
  <c r="J11" i="85" s="1"/>
  <c r="J12" i="85" s="1"/>
  <c r="D11" i="85"/>
  <c r="D12" i="85" s="1"/>
  <c r="O11" i="85"/>
  <c r="P11" i="85" s="1"/>
  <c r="P12" i="85" s="1"/>
  <c r="L11" i="85"/>
  <c r="M11" i="85" s="1"/>
  <c r="M12" i="85" s="1"/>
  <c r="R11" i="85"/>
  <c r="S11" i="85" l="1"/>
  <c r="S12" i="85" s="1"/>
  <c r="P13" i="43" l="1"/>
  <c r="R13" i="43" l="1"/>
  <c r="R17" i="43"/>
  <c r="R17" i="42" l="1"/>
  <c r="P13" i="42"/>
  <c r="R13" i="42" s="1"/>
  <c r="Q18" i="39" l="1"/>
  <c r="S18" i="39" s="1"/>
  <c r="S26" i="39"/>
  <c r="Q10" i="39" l="1"/>
  <c r="S10" i="39" s="1"/>
  <c r="S21" i="39"/>
  <c r="Q18" i="41" l="1"/>
  <c r="S18" i="41" s="1"/>
  <c r="S26" i="41"/>
  <c r="Q14" i="41"/>
  <c r="S14" i="41" s="1"/>
  <c r="S23" i="41"/>
  <c r="Q10" i="38"/>
  <c r="S10" i="38" s="1"/>
  <c r="S27" i="38"/>
  <c r="S24" i="41"/>
  <c r="Q15" i="41"/>
  <c r="S15" i="41" s="1"/>
  <c r="S21" i="41"/>
  <c r="Q10" i="41"/>
  <c r="S10" i="41" s="1"/>
  <c r="Q14" i="39" l="1"/>
  <c r="S14" i="39" s="1"/>
  <c r="S23" i="39"/>
  <c r="S39" i="40"/>
  <c r="Q23" i="40"/>
  <c r="S23" i="40" s="1"/>
  <c r="Q27" i="40"/>
  <c r="S27" i="40" s="1"/>
  <c r="S42" i="40"/>
  <c r="S40" i="40"/>
  <c r="Q24" i="40"/>
  <c r="S24" i="40" s="1"/>
  <c r="Q15" i="39"/>
  <c r="S15" i="39" s="1"/>
  <c r="S24" i="39"/>
  <c r="AA17" i="37" l="1"/>
  <c r="X10" i="37"/>
  <c r="AA10" i="37" s="1"/>
  <c r="AB17" i="37"/>
  <c r="Y10" i="37"/>
  <c r="AB10" i="37" s="1"/>
  <c r="S30" i="40" l="1"/>
  <c r="Q10" i="40"/>
  <c r="S10" i="40" s="1"/>
  <c r="S31" i="40"/>
  <c r="Q11" i="40"/>
  <c r="S11" i="40" s="1"/>
  <c r="Q21" i="38" l="1"/>
  <c r="S21" i="38" s="1"/>
  <c r="S34" i="38"/>
  <c r="Q20" i="38"/>
  <c r="S20" i="38" s="1"/>
  <c r="S33" i="38"/>
  <c r="Q24" i="38"/>
  <c r="S24" i="38" s="1"/>
  <c r="S36" i="38"/>
  <c r="N7" i="22" l="1"/>
  <c r="N9" i="22" l="1"/>
  <c r="O7" i="22"/>
  <c r="O9" i="22" l="1"/>
  <c r="K15" i="82" l="1"/>
  <c r="K14" i="82"/>
  <c r="K20" i="82"/>
  <c r="K16" i="82"/>
  <c r="K10" i="82"/>
  <c r="K22" i="82"/>
  <c r="K13" i="82"/>
  <c r="K12" i="82"/>
  <c r="K18" i="82"/>
  <c r="K23" i="82"/>
  <c r="K24" i="82"/>
  <c r="K11" i="82"/>
  <c r="K9" i="82"/>
  <c r="K30" i="82"/>
  <c r="K29" i="82"/>
  <c r="K26" i="82"/>
  <c r="K19" i="82"/>
  <c r="K27" i="82"/>
  <c r="K21" i="82"/>
  <c r="K28" i="82"/>
  <c r="K17" i="82"/>
  <c r="K8" i="82"/>
  <c r="K25" i="82"/>
  <c r="H44" i="25" l="1"/>
  <c r="K44" i="25"/>
  <c r="S23" i="67" l="1"/>
  <c r="T23" i="67" s="1"/>
  <c r="S21" i="67"/>
  <c r="T21" i="67" s="1"/>
  <c r="S16" i="67"/>
  <c r="T16" i="67" s="1"/>
  <c r="S14" i="67"/>
  <c r="T14" i="67" s="1"/>
  <c r="S27" i="67"/>
  <c r="T27" i="67" s="1"/>
  <c r="S26" i="67"/>
  <c r="T26" i="67" s="1"/>
  <c r="T12" i="67"/>
  <c r="AE10" i="71" s="1"/>
  <c r="Y14" i="67" l="1"/>
  <c r="Z14" i="67" s="1"/>
  <c r="AG11" i="96" s="1"/>
  <c r="Y16" i="67"/>
  <c r="Z16" i="67" s="1"/>
  <c r="AG12" i="96" s="1"/>
  <c r="Y26" i="67"/>
  <c r="Z26" i="67" s="1"/>
  <c r="AG17" i="96" s="1"/>
  <c r="Y21" i="67"/>
  <c r="Z21" i="67" s="1"/>
  <c r="AG14" i="96" s="1"/>
  <c r="Y27" i="67"/>
  <c r="Z27" i="67" s="1"/>
  <c r="AG18" i="96" s="1"/>
  <c r="Y23" i="67"/>
  <c r="Z23" i="67" s="1"/>
  <c r="AG16" i="96" s="1"/>
  <c r="Z12" i="67"/>
  <c r="L12" i="96"/>
  <c r="AB12" i="96" s="1"/>
  <c r="G12" i="77" s="1"/>
  <c r="AD12" i="1"/>
  <c r="AE12" i="71"/>
  <c r="M12" i="72" s="1"/>
  <c r="L10" i="96"/>
  <c r="AB10" i="96" s="1"/>
  <c r="AD10" i="1"/>
  <c r="T18" i="67"/>
  <c r="L18" i="96"/>
  <c r="AB18" i="96" s="1"/>
  <c r="AD18" i="1"/>
  <c r="AE18" i="71"/>
  <c r="M18" i="72" s="1"/>
  <c r="L14" i="96"/>
  <c r="AB14" i="96" s="1"/>
  <c r="AE14" i="71"/>
  <c r="M14" i="72" s="1"/>
  <c r="T24" i="67"/>
  <c r="AD14" i="1"/>
  <c r="L17" i="96"/>
  <c r="AB17" i="96" s="1"/>
  <c r="T28" i="67"/>
  <c r="AD17" i="1"/>
  <c r="AE17" i="71"/>
  <c r="M17" i="72" s="1"/>
  <c r="L11" i="96"/>
  <c r="AB11" i="96" s="1"/>
  <c r="G11" i="77" s="1"/>
  <c r="AE11" i="71"/>
  <c r="M11" i="72" s="1"/>
  <c r="AD11" i="1"/>
  <c r="L16" i="96"/>
  <c r="AB16" i="96" s="1"/>
  <c r="AD16" i="1"/>
  <c r="AE16" i="71"/>
  <c r="M16" i="72" s="1"/>
  <c r="G17" i="77" l="1"/>
  <c r="G18" i="77"/>
  <c r="Z18" i="67"/>
  <c r="AG10" i="96"/>
  <c r="AG24" i="96" s="1"/>
  <c r="AB24" i="96"/>
  <c r="G16" i="77"/>
  <c r="G14" i="77"/>
  <c r="T36" i="67"/>
  <c r="T40" i="67" s="1"/>
  <c r="L26" i="96" s="1"/>
  <c r="M10" i="72"/>
  <c r="M23" i="72" s="1"/>
  <c r="M40" i="72" s="1"/>
  <c r="AE24" i="71"/>
  <c r="AE31" i="71" s="1"/>
  <c r="Z24" i="67"/>
  <c r="L24" i="96"/>
  <c r="Z28" i="67"/>
  <c r="AD24" i="1"/>
  <c r="G10" i="77" l="1"/>
  <c r="G23" i="77"/>
  <c r="G35" i="77" s="1"/>
  <c r="AG31" i="96"/>
  <c r="T42" i="67"/>
  <c r="Z36" i="67"/>
  <c r="Z40" i="67" s="1"/>
  <c r="AG26" i="96" s="1"/>
  <c r="AG27" i="96" s="1"/>
  <c r="AE26" i="71"/>
  <c r="M31" i="72"/>
  <c r="AE27" i="71"/>
  <c r="L27" i="96"/>
  <c r="M32" i="72" l="1"/>
  <c r="W24" i="24" l="1"/>
  <c r="S18" i="24"/>
  <c r="S24" i="24"/>
  <c r="W18" i="24"/>
  <c r="S36" i="24" l="1"/>
  <c r="W36" i="24"/>
  <c r="D23" i="88" l="1"/>
  <c r="H23" i="88" s="1"/>
  <c r="D20" i="77"/>
  <c r="D22" i="89" s="1"/>
  <c r="H22" i="89" s="1"/>
  <c r="X33" i="24"/>
  <c r="U21" i="96" s="1"/>
  <c r="D21" i="77"/>
  <c r="D23" i="89" s="1"/>
  <c r="H23" i="89" s="1"/>
  <c r="O33" i="50"/>
  <c r="S21" i="96" s="1"/>
  <c r="D22" i="88"/>
  <c r="H22" i="88" s="1"/>
  <c r="L32" i="50" l="1"/>
  <c r="K32" i="50"/>
  <c r="J34" i="50"/>
  <c r="D21" i="88"/>
  <c r="H21" i="88" s="1"/>
  <c r="N32" i="3"/>
  <c r="K32" i="19"/>
  <c r="N32" i="95"/>
  <c r="K32" i="22"/>
  <c r="K32" i="16"/>
  <c r="P32" i="70"/>
  <c r="P32" i="69"/>
  <c r="P34" i="69" s="1"/>
  <c r="O32" i="62"/>
  <c r="N34" i="62"/>
  <c r="K32" i="13"/>
  <c r="K32" i="23"/>
  <c r="K32" i="59"/>
  <c r="N32" i="68"/>
  <c r="K32" i="4"/>
  <c r="K33" i="50"/>
  <c r="O21" i="71" s="1"/>
  <c r="Z21" i="71" s="1"/>
  <c r="L33" i="50"/>
  <c r="AJ21" i="71" s="1"/>
  <c r="R34" i="24"/>
  <c r="T32" i="24"/>
  <c r="O32" i="24"/>
  <c r="N34" i="50"/>
  <c r="O32" i="50"/>
  <c r="K32" i="69"/>
  <c r="H32" i="16"/>
  <c r="H32" i="23"/>
  <c r="J32" i="68"/>
  <c r="K32" i="70"/>
  <c r="H32" i="22"/>
  <c r="K32" i="62"/>
  <c r="J32" i="3"/>
  <c r="H32" i="4"/>
  <c r="J34" i="62"/>
  <c r="H32" i="19"/>
  <c r="I32" i="95"/>
  <c r="H32" i="13"/>
  <c r="L32" i="62"/>
  <c r="H32" i="59"/>
  <c r="X32" i="24"/>
  <c r="V34" i="24"/>
  <c r="N33" i="68"/>
  <c r="S33" i="68" s="1"/>
  <c r="AF21" i="96" s="1"/>
  <c r="K33" i="23"/>
  <c r="L33" i="23" s="1"/>
  <c r="O21" i="96" s="1"/>
  <c r="K33" i="22"/>
  <c r="L33" i="22" s="1"/>
  <c r="N21" i="96" s="1"/>
  <c r="K33" i="4"/>
  <c r="L33" i="4" s="1"/>
  <c r="H21" i="96" s="1"/>
  <c r="K33" i="13"/>
  <c r="L33" i="13" s="1"/>
  <c r="I21" i="96" s="1"/>
  <c r="N33" i="3"/>
  <c r="O33" i="3" s="1"/>
  <c r="G21" i="96" s="1"/>
  <c r="K33" i="59"/>
  <c r="L33" i="59" s="1"/>
  <c r="T21" i="96" s="1"/>
  <c r="P33" i="69"/>
  <c r="P33" i="70"/>
  <c r="N33" i="95"/>
  <c r="K33" i="16"/>
  <c r="L33" i="16" s="1"/>
  <c r="J21" i="96" s="1"/>
  <c r="K33" i="19"/>
  <c r="L33" i="19" s="1"/>
  <c r="K21" i="96" s="1"/>
  <c r="O33" i="62"/>
  <c r="F21" i="96" s="1"/>
  <c r="H33" i="13"/>
  <c r="I33" i="13" s="1"/>
  <c r="I21" i="71" s="1"/>
  <c r="J33" i="3"/>
  <c r="H33" i="16"/>
  <c r="I33" i="16" s="1"/>
  <c r="J21" i="71" s="1"/>
  <c r="I33" i="95"/>
  <c r="L33" i="62"/>
  <c r="AC21" i="71" s="1"/>
  <c r="K33" i="62"/>
  <c r="F21" i="71" s="1"/>
  <c r="K33" i="70"/>
  <c r="H33" i="23"/>
  <c r="I33" i="23" s="1"/>
  <c r="N21" i="71" s="1"/>
  <c r="H33" i="59"/>
  <c r="I33" i="59" s="1"/>
  <c r="P21" i="71" s="1"/>
  <c r="H33" i="22"/>
  <c r="I33" i="22" s="1"/>
  <c r="M21" i="71" s="1"/>
  <c r="H33" i="4"/>
  <c r="I33" i="4" s="1"/>
  <c r="H21" i="71" s="1"/>
  <c r="K33" i="69"/>
  <c r="H33" i="19"/>
  <c r="I33" i="19" s="1"/>
  <c r="K21" i="71" s="1"/>
  <c r="J33" i="68"/>
  <c r="L32" i="68"/>
  <c r="O33" i="24"/>
  <c r="R21" i="71" s="1"/>
  <c r="AA21" i="71" s="1"/>
  <c r="T33" i="24"/>
  <c r="Q21" i="71" s="1"/>
  <c r="AH21" i="72" l="1"/>
  <c r="L32" i="4"/>
  <c r="K34" i="4"/>
  <c r="H34" i="59"/>
  <c r="I32" i="59"/>
  <c r="K34" i="62"/>
  <c r="F20" i="71"/>
  <c r="L32" i="59"/>
  <c r="K34" i="59"/>
  <c r="K34" i="22"/>
  <c r="L32" i="22"/>
  <c r="L30" i="50"/>
  <c r="AJ19" i="71" s="1"/>
  <c r="K30" i="50"/>
  <c r="O19" i="71" s="1"/>
  <c r="Z19" i="71" s="1"/>
  <c r="H34" i="23"/>
  <c r="I32" i="23"/>
  <c r="F20" i="96"/>
  <c r="O34" i="62"/>
  <c r="I32" i="4"/>
  <c r="H34" i="4"/>
  <c r="P34" i="70"/>
  <c r="X34" i="24"/>
  <c r="U20" i="96"/>
  <c r="N34" i="68"/>
  <c r="K30" i="70"/>
  <c r="K30" i="69"/>
  <c r="J30" i="68"/>
  <c r="H30" i="23"/>
  <c r="I30" i="23" s="1"/>
  <c r="N19" i="71" s="1"/>
  <c r="L30" i="62"/>
  <c r="AC19" i="71" s="1"/>
  <c r="J30" i="3"/>
  <c r="H30" i="13"/>
  <c r="I30" i="13" s="1"/>
  <c r="I19" i="71" s="1"/>
  <c r="H30" i="4"/>
  <c r="I30" i="4" s="1"/>
  <c r="H19" i="71" s="1"/>
  <c r="H30" i="59"/>
  <c r="I30" i="59" s="1"/>
  <c r="P19" i="71" s="1"/>
  <c r="H30" i="19"/>
  <c r="I30" i="19" s="1"/>
  <c r="K19" i="71" s="1"/>
  <c r="H30" i="22"/>
  <c r="I30" i="22" s="1"/>
  <c r="M19" i="71" s="1"/>
  <c r="H30" i="16"/>
  <c r="I30" i="16" s="1"/>
  <c r="J19" i="71" s="1"/>
  <c r="K30" i="62"/>
  <c r="F19" i="71" s="1"/>
  <c r="R32" i="68"/>
  <c r="AC20" i="71"/>
  <c r="L34" i="62"/>
  <c r="H34" i="22"/>
  <c r="I32" i="22"/>
  <c r="O34" i="24"/>
  <c r="R20" i="71"/>
  <c r="AA20" i="71" s="1"/>
  <c r="L32" i="23"/>
  <c r="K34" i="23"/>
  <c r="N34" i="95"/>
  <c r="D19" i="77"/>
  <c r="D21" i="89" s="1"/>
  <c r="H21" i="89" s="1"/>
  <c r="O30" i="50"/>
  <c r="S19" i="96" s="1"/>
  <c r="X30" i="24"/>
  <c r="U19" i="96" s="1"/>
  <c r="T30" i="24"/>
  <c r="Q19" i="71" s="1"/>
  <c r="O30" i="24"/>
  <c r="R19" i="71" s="1"/>
  <c r="AA19" i="71" s="1"/>
  <c r="I32" i="16"/>
  <c r="H34" i="16"/>
  <c r="L33" i="68"/>
  <c r="AG21" i="71" s="1"/>
  <c r="P21" i="72" s="1"/>
  <c r="R33" i="68"/>
  <c r="P21" i="96" s="1"/>
  <c r="AA21" i="96" s="1"/>
  <c r="K34" i="69"/>
  <c r="O34" i="50"/>
  <c r="S20" i="96"/>
  <c r="K34" i="16"/>
  <c r="L32" i="16"/>
  <c r="AG20" i="71"/>
  <c r="P20" i="72" s="1"/>
  <c r="H34" i="13"/>
  <c r="I32" i="13"/>
  <c r="K34" i="70"/>
  <c r="Q20" i="71"/>
  <c r="T34" i="24"/>
  <c r="K34" i="13"/>
  <c r="L32" i="13"/>
  <c r="L32" i="19"/>
  <c r="K34" i="19"/>
  <c r="O20" i="71"/>
  <c r="Z20" i="71" s="1"/>
  <c r="K34" i="50"/>
  <c r="H34" i="19"/>
  <c r="I32" i="19"/>
  <c r="L30" i="68"/>
  <c r="AG19" i="71" s="1"/>
  <c r="P19" i="72" s="1"/>
  <c r="L33" i="3"/>
  <c r="AD21" i="71" s="1"/>
  <c r="K33" i="3"/>
  <c r="G21" i="71" s="1"/>
  <c r="X21" i="71" s="1"/>
  <c r="J34" i="3"/>
  <c r="K32" i="3"/>
  <c r="L32" i="3"/>
  <c r="W21" i="71"/>
  <c r="I34" i="95"/>
  <c r="J34" i="68"/>
  <c r="N34" i="3"/>
  <c r="O32" i="3"/>
  <c r="AJ20" i="71"/>
  <c r="L34" i="50"/>
  <c r="AE21" i="72" l="1"/>
  <c r="L34" i="68"/>
  <c r="AD20" i="71"/>
  <c r="L34" i="3"/>
  <c r="K30" i="3"/>
  <c r="G19" i="71" s="1"/>
  <c r="X19" i="71" s="1"/>
  <c r="L30" i="3"/>
  <c r="AD19" i="71" s="1"/>
  <c r="D17" i="88"/>
  <c r="H17" i="88" s="1"/>
  <c r="X23" i="24"/>
  <c r="U16" i="96" s="1"/>
  <c r="O23" i="50"/>
  <c r="S16" i="96" s="1"/>
  <c r="D16" i="77"/>
  <c r="D18" i="89" s="1"/>
  <c r="H18" i="89" s="1"/>
  <c r="O34" i="3"/>
  <c r="G20" i="96"/>
  <c r="K34" i="3"/>
  <c r="G20" i="71"/>
  <c r="X20" i="71" s="1"/>
  <c r="AE20" i="72" s="1"/>
  <c r="L34" i="23"/>
  <c r="O20" i="96"/>
  <c r="W19" i="71"/>
  <c r="AH19" i="72"/>
  <c r="P20" i="71"/>
  <c r="I34" i="59"/>
  <c r="I34" i="19"/>
  <c r="K20" i="71"/>
  <c r="N20" i="71"/>
  <c r="I34" i="23"/>
  <c r="I20" i="71"/>
  <c r="I34" i="13"/>
  <c r="D14" i="88"/>
  <c r="H14" i="88" s="1"/>
  <c r="D16" i="88"/>
  <c r="H16" i="88" s="1"/>
  <c r="O22" i="50"/>
  <c r="S15" i="96" s="1"/>
  <c r="D15" i="77"/>
  <c r="D17" i="89" s="1"/>
  <c r="H17" i="89" s="1"/>
  <c r="X22" i="24"/>
  <c r="U15" i="96" s="1"/>
  <c r="J21" i="77"/>
  <c r="N30" i="68"/>
  <c r="R30" i="68" s="1"/>
  <c r="P19" i="96" s="1"/>
  <c r="AA19" i="96" s="1"/>
  <c r="P30" i="70"/>
  <c r="K30" i="4"/>
  <c r="L30" i="4" s="1"/>
  <c r="H19" i="96" s="1"/>
  <c r="P30" i="69"/>
  <c r="K30" i="23"/>
  <c r="L30" i="23" s="1"/>
  <c r="O19" i="96" s="1"/>
  <c r="K30" i="16"/>
  <c r="L30" i="16" s="1"/>
  <c r="J19" i="96" s="1"/>
  <c r="K30" i="22"/>
  <c r="L30" i="22" s="1"/>
  <c r="N19" i="96" s="1"/>
  <c r="K30" i="19"/>
  <c r="L30" i="19" s="1"/>
  <c r="K19" i="96" s="1"/>
  <c r="N30" i="3"/>
  <c r="O30" i="3" s="1"/>
  <c r="G19" i="96" s="1"/>
  <c r="O30" i="62"/>
  <c r="F19" i="96" s="1"/>
  <c r="K30" i="59"/>
  <c r="L30" i="59" s="1"/>
  <c r="T19" i="96" s="1"/>
  <c r="K30" i="13"/>
  <c r="L30" i="13" s="1"/>
  <c r="I19" i="96" s="1"/>
  <c r="H20" i="71"/>
  <c r="I34" i="4"/>
  <c r="L34" i="22"/>
  <c r="N20" i="96"/>
  <c r="W20" i="71"/>
  <c r="D20" i="88"/>
  <c r="H20" i="88" s="1"/>
  <c r="D22" i="77"/>
  <c r="D24" i="89" s="1"/>
  <c r="H24" i="89" s="1"/>
  <c r="O38" i="50"/>
  <c r="X38" i="24"/>
  <c r="U22" i="96" s="1"/>
  <c r="K20" i="96"/>
  <c r="L34" i="19"/>
  <c r="I34" i="22"/>
  <c r="M20" i="71"/>
  <c r="O16" i="50"/>
  <c r="S12" i="96" s="1"/>
  <c r="D12" i="77"/>
  <c r="D14" i="89" s="1"/>
  <c r="H14" i="89" s="1"/>
  <c r="X16" i="24"/>
  <c r="U12" i="96" s="1"/>
  <c r="D17" i="77"/>
  <c r="D19" i="89" s="1"/>
  <c r="H19" i="89" s="1"/>
  <c r="AH20" i="72"/>
  <c r="D19" i="88"/>
  <c r="H19" i="88" s="1"/>
  <c r="O27" i="50"/>
  <c r="S18" i="96" s="1"/>
  <c r="D18" i="77"/>
  <c r="D20" i="89" s="1"/>
  <c r="H20" i="89" s="1"/>
  <c r="X27" i="24"/>
  <c r="U18" i="96" s="1"/>
  <c r="D24" i="88"/>
  <c r="H24" i="88" s="1"/>
  <c r="T21" i="71"/>
  <c r="E21" i="72" s="1"/>
  <c r="I20" i="96"/>
  <c r="L34" i="13"/>
  <c r="H20" i="96"/>
  <c r="L34" i="4"/>
  <c r="P20" i="96"/>
  <c r="AA20" i="96" s="1"/>
  <c r="R34" i="68"/>
  <c r="D18" i="88"/>
  <c r="H18" i="88" s="1"/>
  <c r="D14" i="77"/>
  <c r="D16" i="89" s="1"/>
  <c r="H16" i="89" s="1"/>
  <c r="J21" i="72"/>
  <c r="L34" i="16"/>
  <c r="J20" i="96"/>
  <c r="I34" i="16"/>
  <c r="J20" i="71"/>
  <c r="T20" i="96"/>
  <c r="L34" i="59"/>
  <c r="Q36" i="39"/>
  <c r="S20" i="68"/>
  <c r="T19" i="71" l="1"/>
  <c r="E19" i="72" s="1"/>
  <c r="T20" i="71"/>
  <c r="E20" i="72" s="1"/>
  <c r="N26" i="68"/>
  <c r="P26" i="69"/>
  <c r="K26" i="59"/>
  <c r="K26" i="16"/>
  <c r="K26" i="13"/>
  <c r="K26" i="23"/>
  <c r="K26" i="19"/>
  <c r="N28" i="62"/>
  <c r="K26" i="4"/>
  <c r="N26" i="3"/>
  <c r="K26" i="22"/>
  <c r="P26" i="70"/>
  <c r="O26" i="62"/>
  <c r="J20" i="72"/>
  <c r="J24" i="50"/>
  <c r="L21" i="50"/>
  <c r="K21" i="50"/>
  <c r="L22" i="50"/>
  <c r="AJ15" i="71" s="1"/>
  <c r="K22" i="50"/>
  <c r="O15" i="71" s="1"/>
  <c r="Z15" i="71" s="1"/>
  <c r="V28" i="24"/>
  <c r="X26" i="24"/>
  <c r="K16" i="70"/>
  <c r="L16" i="62"/>
  <c r="AC12" i="71" s="1"/>
  <c r="K16" i="62"/>
  <c r="F12" i="71" s="1"/>
  <c r="H16" i="59"/>
  <c r="I16" i="59" s="1"/>
  <c r="P12" i="71" s="1"/>
  <c r="K16" i="69"/>
  <c r="H16" i="13"/>
  <c r="I16" i="13" s="1"/>
  <c r="I12" i="71" s="1"/>
  <c r="H16" i="19"/>
  <c r="I16" i="19" s="1"/>
  <c r="K12" i="71" s="1"/>
  <c r="J16" i="3"/>
  <c r="H16" i="4"/>
  <c r="I16" i="4" s="1"/>
  <c r="H12" i="71" s="1"/>
  <c r="H16" i="23"/>
  <c r="I16" i="23" s="1"/>
  <c r="N12" i="71" s="1"/>
  <c r="H16" i="16"/>
  <c r="I16" i="16" s="1"/>
  <c r="J12" i="71" s="1"/>
  <c r="J16" i="68"/>
  <c r="L16" i="68" s="1"/>
  <c r="H16" i="22"/>
  <c r="I16" i="22" s="1"/>
  <c r="M12" i="71" s="1"/>
  <c r="L22" i="62"/>
  <c r="AC15" i="71" s="1"/>
  <c r="H22" i="59"/>
  <c r="I22" i="59" s="1"/>
  <c r="P15" i="71" s="1"/>
  <c r="K22" i="69"/>
  <c r="H22" i="23"/>
  <c r="I22" i="23" s="1"/>
  <c r="N15" i="71" s="1"/>
  <c r="K22" i="70"/>
  <c r="H22" i="16"/>
  <c r="I22" i="16" s="1"/>
  <c r="J15" i="71" s="1"/>
  <c r="H22" i="13"/>
  <c r="I22" i="13" s="1"/>
  <c r="I15" i="71" s="1"/>
  <c r="H22" i="19"/>
  <c r="I22" i="19" s="1"/>
  <c r="K15" i="71" s="1"/>
  <c r="J22" i="68"/>
  <c r="H22" i="22"/>
  <c r="I22" i="22" s="1"/>
  <c r="M15" i="71" s="1"/>
  <c r="H22" i="4"/>
  <c r="I22" i="4" s="1"/>
  <c r="H15" i="71" s="1"/>
  <c r="J22" i="3"/>
  <c r="K22" i="62"/>
  <c r="F15" i="71" s="1"/>
  <c r="L15" i="68"/>
  <c r="R15" i="68"/>
  <c r="D12" i="88"/>
  <c r="H12" i="88" s="1"/>
  <c r="K21" i="16"/>
  <c r="N21" i="68"/>
  <c r="N24" i="62"/>
  <c r="K21" i="22"/>
  <c r="K21" i="23"/>
  <c r="K21" i="59"/>
  <c r="K21" i="19"/>
  <c r="O21" i="62"/>
  <c r="K21" i="4"/>
  <c r="N21" i="3"/>
  <c r="K21" i="13"/>
  <c r="P21" i="70"/>
  <c r="P21" i="69"/>
  <c r="H38" i="4"/>
  <c r="I38" i="4" s="1"/>
  <c r="H22" i="71" s="1"/>
  <c r="L38" i="62"/>
  <c r="AC22" i="71" s="1"/>
  <c r="I38" i="95"/>
  <c r="H38" i="16"/>
  <c r="I38" i="16" s="1"/>
  <c r="H38" i="23"/>
  <c r="I38" i="23" s="1"/>
  <c r="N22" i="71" s="1"/>
  <c r="J38" i="68"/>
  <c r="L38" i="68" s="1"/>
  <c r="AG22" i="71" s="1"/>
  <c r="P22" i="72" s="1"/>
  <c r="H38" i="13"/>
  <c r="I38" i="13" s="1"/>
  <c r="H38" i="19"/>
  <c r="I38" i="19" s="1"/>
  <c r="K22" i="71" s="1"/>
  <c r="K38" i="62"/>
  <c r="F22" i="71" s="1"/>
  <c r="H38" i="59"/>
  <c r="I38" i="59" s="1"/>
  <c r="P22" i="71" s="1"/>
  <c r="J38" i="3"/>
  <c r="K38" i="69"/>
  <c r="K38" i="70"/>
  <c r="H38" i="22"/>
  <c r="I38" i="22" s="1"/>
  <c r="K26" i="50"/>
  <c r="J28" i="50"/>
  <c r="L26" i="50"/>
  <c r="O23" i="24"/>
  <c r="R16" i="71" s="1"/>
  <c r="AA16" i="71" s="1"/>
  <c r="T23" i="24"/>
  <c r="Q16" i="71" s="1"/>
  <c r="K38" i="50"/>
  <c r="O22" i="71" s="1"/>
  <c r="Z22" i="71" s="1"/>
  <c r="AH22" i="72" s="1"/>
  <c r="L38" i="50"/>
  <c r="H26" i="22"/>
  <c r="K26" i="69"/>
  <c r="J28" i="62"/>
  <c r="H26" i="13"/>
  <c r="H26" i="4"/>
  <c r="H26" i="23"/>
  <c r="L26" i="62"/>
  <c r="H26" i="59"/>
  <c r="H26" i="19"/>
  <c r="J26" i="68"/>
  <c r="J26" i="3"/>
  <c r="K26" i="62"/>
  <c r="H26" i="16"/>
  <c r="K26" i="70"/>
  <c r="N28" i="50"/>
  <c r="O26" i="50"/>
  <c r="O27" i="24"/>
  <c r="R18" i="71" s="1"/>
  <c r="AA18" i="71" s="1"/>
  <c r="T27" i="24"/>
  <c r="Q18" i="71" s="1"/>
  <c r="H21" i="19"/>
  <c r="K21" i="62"/>
  <c r="K21" i="69"/>
  <c r="J21" i="3"/>
  <c r="H21" i="23"/>
  <c r="H21" i="22"/>
  <c r="H21" i="16"/>
  <c r="H21" i="59"/>
  <c r="J24" i="62"/>
  <c r="J21" i="68"/>
  <c r="H21" i="4"/>
  <c r="H21" i="13"/>
  <c r="K21" i="70"/>
  <c r="L21" i="62"/>
  <c r="T22" i="24"/>
  <c r="Q15" i="71" s="1"/>
  <c r="O22" i="24"/>
  <c r="R15" i="71" s="1"/>
  <c r="AA15" i="71" s="1"/>
  <c r="H23" i="4"/>
  <c r="I23" i="4" s="1"/>
  <c r="H16" i="71" s="1"/>
  <c r="H23" i="13"/>
  <c r="I23" i="13" s="1"/>
  <c r="I16" i="71" s="1"/>
  <c r="J23" i="68"/>
  <c r="J23" i="3"/>
  <c r="K23" i="62"/>
  <c r="F16" i="71" s="1"/>
  <c r="H23" i="23"/>
  <c r="I23" i="23" s="1"/>
  <c r="N16" i="71" s="1"/>
  <c r="L23" i="62"/>
  <c r="AC16" i="71" s="1"/>
  <c r="H23" i="19"/>
  <c r="I23" i="19" s="1"/>
  <c r="K16" i="71" s="1"/>
  <c r="H23" i="16"/>
  <c r="I23" i="16" s="1"/>
  <c r="J16" i="71" s="1"/>
  <c r="K23" i="69"/>
  <c r="H23" i="22"/>
  <c r="I23" i="22" s="1"/>
  <c r="M16" i="71" s="1"/>
  <c r="K23" i="70"/>
  <c r="H23" i="59"/>
  <c r="I23" i="59" s="1"/>
  <c r="P16" i="71" s="1"/>
  <c r="R24" i="24"/>
  <c r="O21" i="24"/>
  <c r="T21" i="24"/>
  <c r="J19" i="72"/>
  <c r="X21" i="24"/>
  <c r="V24" i="24"/>
  <c r="K23" i="50"/>
  <c r="O16" i="71" s="1"/>
  <c r="Z16" i="71" s="1"/>
  <c r="L23" i="50"/>
  <c r="AJ16" i="71" s="1"/>
  <c r="T38" i="24"/>
  <c r="Q22" i="71" s="1"/>
  <c r="O38" i="24"/>
  <c r="R22" i="71" s="1"/>
  <c r="AA22" i="71" s="1"/>
  <c r="AK22" i="72" s="1"/>
  <c r="L27" i="50"/>
  <c r="AJ18" i="71" s="1"/>
  <c r="K27" i="50"/>
  <c r="O18" i="71" s="1"/>
  <c r="Z18" i="71" s="1"/>
  <c r="K22" i="19"/>
  <c r="L22" i="19" s="1"/>
  <c r="K15" i="96" s="1"/>
  <c r="K22" i="59"/>
  <c r="L22" i="59" s="1"/>
  <c r="T15" i="96" s="1"/>
  <c r="N22" i="68"/>
  <c r="S22" i="68" s="1"/>
  <c r="AF15" i="96" s="1"/>
  <c r="K22" i="22"/>
  <c r="L22" i="22" s="1"/>
  <c r="N15" i="96" s="1"/>
  <c r="K22" i="16"/>
  <c r="L22" i="16" s="1"/>
  <c r="J15" i="96" s="1"/>
  <c r="K22" i="4"/>
  <c r="L22" i="4" s="1"/>
  <c r="H15" i="96" s="1"/>
  <c r="P22" i="70"/>
  <c r="O22" i="62"/>
  <c r="F15" i="96" s="1"/>
  <c r="K22" i="13"/>
  <c r="L22" i="13" s="1"/>
  <c r="I15" i="96" s="1"/>
  <c r="P22" i="69"/>
  <c r="K22" i="23"/>
  <c r="L22" i="23" s="1"/>
  <c r="O15" i="96" s="1"/>
  <c r="N22" i="3"/>
  <c r="O22" i="3" s="1"/>
  <c r="G15" i="96" s="1"/>
  <c r="K23" i="16"/>
  <c r="L23" i="16" s="1"/>
  <c r="J16" i="96" s="1"/>
  <c r="P23" i="70"/>
  <c r="O23" i="62"/>
  <c r="F16" i="96" s="1"/>
  <c r="K23" i="4"/>
  <c r="L23" i="4" s="1"/>
  <c r="H16" i="96" s="1"/>
  <c r="K23" i="22"/>
  <c r="L23" i="22" s="1"/>
  <c r="N16" i="96" s="1"/>
  <c r="N23" i="3"/>
  <c r="O23" i="3" s="1"/>
  <c r="G16" i="96" s="1"/>
  <c r="N23" i="68"/>
  <c r="S23" i="68" s="1"/>
  <c r="AF16" i="96" s="1"/>
  <c r="K23" i="23"/>
  <c r="L23" i="23" s="1"/>
  <c r="O16" i="96" s="1"/>
  <c r="K23" i="59"/>
  <c r="L23" i="59" s="1"/>
  <c r="T16" i="96" s="1"/>
  <c r="P23" i="69"/>
  <c r="K23" i="19"/>
  <c r="L23" i="19" s="1"/>
  <c r="K16" i="96" s="1"/>
  <c r="K23" i="13"/>
  <c r="L23" i="13" s="1"/>
  <c r="I16" i="96" s="1"/>
  <c r="AE19" i="72"/>
  <c r="D10" i="77"/>
  <c r="D12" i="89" s="1"/>
  <c r="H12" i="89" s="1"/>
  <c r="N27" i="68"/>
  <c r="S27" i="68" s="1"/>
  <c r="AF18" i="96" s="1"/>
  <c r="K27" i="13"/>
  <c r="L27" i="13" s="1"/>
  <c r="I18" i="96" s="1"/>
  <c r="K27" i="23"/>
  <c r="L27" i="23" s="1"/>
  <c r="O18" i="96" s="1"/>
  <c r="K27" i="22"/>
  <c r="L27" i="22" s="1"/>
  <c r="N18" i="96" s="1"/>
  <c r="K27" i="19"/>
  <c r="L27" i="19" s="1"/>
  <c r="K18" i="96" s="1"/>
  <c r="K27" i="4"/>
  <c r="L27" i="4" s="1"/>
  <c r="H18" i="96" s="1"/>
  <c r="K27" i="16"/>
  <c r="L27" i="16" s="1"/>
  <c r="J18" i="96" s="1"/>
  <c r="O27" i="62"/>
  <c r="F18" i="96" s="1"/>
  <c r="K27" i="59"/>
  <c r="L27" i="59" s="1"/>
  <c r="T18" i="96" s="1"/>
  <c r="P27" i="69"/>
  <c r="P27" i="70"/>
  <c r="N27" i="3"/>
  <c r="O27" i="3" s="1"/>
  <c r="G18" i="96" s="1"/>
  <c r="O26" i="24"/>
  <c r="T26" i="24"/>
  <c r="R28" i="24"/>
  <c r="P16" i="69"/>
  <c r="P16" i="70"/>
  <c r="K16" i="23"/>
  <c r="L16" i="23" s="1"/>
  <c r="O12" i="96" s="1"/>
  <c r="K16" i="13"/>
  <c r="L16" i="13" s="1"/>
  <c r="I12" i="96" s="1"/>
  <c r="K16" i="22"/>
  <c r="L16" i="22" s="1"/>
  <c r="N12" i="96" s="1"/>
  <c r="K16" i="59"/>
  <c r="L16" i="59" s="1"/>
  <c r="T12" i="96" s="1"/>
  <c r="K16" i="19"/>
  <c r="L16" i="19" s="1"/>
  <c r="K12" i="96" s="1"/>
  <c r="N16" i="68"/>
  <c r="R16" i="68" s="1"/>
  <c r="K16" i="4"/>
  <c r="L16" i="4" s="1"/>
  <c r="H12" i="96" s="1"/>
  <c r="O16" i="62"/>
  <c r="F12" i="96" s="1"/>
  <c r="K16" i="16"/>
  <c r="L16" i="16" s="1"/>
  <c r="J12" i="96" s="1"/>
  <c r="N16" i="3"/>
  <c r="O16" i="3" s="1"/>
  <c r="G12" i="96" s="1"/>
  <c r="K27" i="62"/>
  <c r="F18" i="71" s="1"/>
  <c r="L27" i="62"/>
  <c r="AC18" i="71" s="1"/>
  <c r="J27" i="3"/>
  <c r="H27" i="16"/>
  <c r="I27" i="16" s="1"/>
  <c r="J18" i="71" s="1"/>
  <c r="K27" i="70"/>
  <c r="J27" i="68"/>
  <c r="H27" i="22"/>
  <c r="I27" i="22" s="1"/>
  <c r="M18" i="71" s="1"/>
  <c r="H27" i="13"/>
  <c r="I27" i="13" s="1"/>
  <c r="I18" i="71" s="1"/>
  <c r="K27" i="69"/>
  <c r="H27" i="23"/>
  <c r="I27" i="23" s="1"/>
  <c r="N18" i="71" s="1"/>
  <c r="H27" i="19"/>
  <c r="I27" i="19" s="1"/>
  <c r="K18" i="71" s="1"/>
  <c r="H27" i="59"/>
  <c r="I27" i="59" s="1"/>
  <c r="P18" i="71" s="1"/>
  <c r="H27" i="4"/>
  <c r="I27" i="4" s="1"/>
  <c r="H18" i="71" s="1"/>
  <c r="O16" i="24"/>
  <c r="R12" i="71" s="1"/>
  <c r="AA12" i="71" s="1"/>
  <c r="T16" i="24"/>
  <c r="Q12" i="71" s="1"/>
  <c r="N38" i="95"/>
  <c r="P38" i="69"/>
  <c r="N38" i="68"/>
  <c r="S38" i="68" s="1"/>
  <c r="AF22" i="96" s="1"/>
  <c r="K38" i="22"/>
  <c r="L38" i="22" s="1"/>
  <c r="K38" i="59"/>
  <c r="L38" i="59" s="1"/>
  <c r="T22" i="96" s="1"/>
  <c r="P38" i="70"/>
  <c r="K38" i="16"/>
  <c r="L38" i="16" s="1"/>
  <c r="J22" i="96" s="1"/>
  <c r="O38" i="62"/>
  <c r="F22" i="96" s="1"/>
  <c r="K38" i="23"/>
  <c r="L38" i="23" s="1"/>
  <c r="K38" i="4"/>
  <c r="L38" i="4" s="1"/>
  <c r="H22" i="96" s="1"/>
  <c r="K38" i="13"/>
  <c r="L38" i="13" s="1"/>
  <c r="I22" i="96" s="1"/>
  <c r="K38" i="19"/>
  <c r="L38" i="19" s="1"/>
  <c r="K22" i="96" s="1"/>
  <c r="N38" i="3"/>
  <c r="O38" i="3" s="1"/>
  <c r="G22" i="96" s="1"/>
  <c r="L20" i="68"/>
  <c r="R20" i="68"/>
  <c r="O21" i="50"/>
  <c r="N24" i="50"/>
  <c r="L16" i="50"/>
  <c r="AJ12" i="71" s="1"/>
  <c r="K16" i="50"/>
  <c r="O12" i="71" s="1"/>
  <c r="Z12" i="71" s="1"/>
  <c r="AG12" i="71" l="1"/>
  <c r="P12" i="72" s="1"/>
  <c r="AH18" i="72"/>
  <c r="AH12" i="72"/>
  <c r="J28" i="68"/>
  <c r="K28" i="23"/>
  <c r="L26" i="23"/>
  <c r="K21" i="3"/>
  <c r="L21" i="3"/>
  <c r="J24" i="3"/>
  <c r="O28" i="62"/>
  <c r="F17" i="96"/>
  <c r="R22" i="68"/>
  <c r="P15" i="96" s="1"/>
  <c r="AA15" i="96" s="1"/>
  <c r="L22" i="68"/>
  <c r="AG15" i="71" s="1"/>
  <c r="P15" i="72" s="1"/>
  <c r="K27" i="3"/>
  <c r="G18" i="71" s="1"/>
  <c r="X18" i="71" s="1"/>
  <c r="L27" i="3"/>
  <c r="AD18" i="71" s="1"/>
  <c r="T28" i="24"/>
  <c r="Q17" i="71"/>
  <c r="O12" i="50"/>
  <c r="Q14" i="71"/>
  <c r="T24" i="24"/>
  <c r="J24" i="68"/>
  <c r="F14" i="71"/>
  <c r="K24" i="62"/>
  <c r="K28" i="62"/>
  <c r="F17" i="71"/>
  <c r="I26" i="13"/>
  <c r="H28" i="13"/>
  <c r="L21" i="4"/>
  <c r="K24" i="4"/>
  <c r="L21" i="16"/>
  <c r="K24" i="16"/>
  <c r="P12" i="96"/>
  <c r="AA12" i="96" s="1"/>
  <c r="AH15" i="72"/>
  <c r="P28" i="70"/>
  <c r="K28" i="16"/>
  <c r="L26" i="16"/>
  <c r="H24" i="13"/>
  <c r="I21" i="13"/>
  <c r="K24" i="69"/>
  <c r="J28" i="3"/>
  <c r="L26" i="3"/>
  <c r="K26" i="3"/>
  <c r="O24" i="62"/>
  <c r="F14" i="96"/>
  <c r="K28" i="70"/>
  <c r="R27" i="68"/>
  <c r="P18" i="96" s="1"/>
  <c r="AA18" i="96" s="1"/>
  <c r="L27" i="68"/>
  <c r="AG18" i="71" s="1"/>
  <c r="P18" i="72" s="1"/>
  <c r="P28" i="43"/>
  <c r="R17" i="71"/>
  <c r="AA17" i="71" s="1"/>
  <c r="O28" i="24"/>
  <c r="L38" i="3"/>
  <c r="AD22" i="71" s="1"/>
  <c r="K38" i="3"/>
  <c r="G22" i="71" s="1"/>
  <c r="X22" i="71" s="1"/>
  <c r="K28" i="59"/>
  <c r="L26" i="59"/>
  <c r="W18" i="71"/>
  <c r="K12" i="16"/>
  <c r="K12" i="22"/>
  <c r="P12" i="70"/>
  <c r="N12" i="3"/>
  <c r="K12" i="23"/>
  <c r="N12" i="68"/>
  <c r="R12" i="68" s="1"/>
  <c r="K12" i="4"/>
  <c r="P12" i="69"/>
  <c r="K12" i="59"/>
  <c r="K12" i="19"/>
  <c r="K12" i="13"/>
  <c r="O12" i="62"/>
  <c r="R38" i="68"/>
  <c r="P22" i="96" s="1"/>
  <c r="AA22" i="96" s="1"/>
  <c r="W15" i="71"/>
  <c r="W12" i="71"/>
  <c r="K24" i="50"/>
  <c r="O14" i="71"/>
  <c r="Z14" i="71" s="1"/>
  <c r="AH14" i="72" s="1"/>
  <c r="N28" i="3"/>
  <c r="O26" i="3"/>
  <c r="P28" i="69"/>
  <c r="H28" i="23"/>
  <c r="I26" i="23"/>
  <c r="K24" i="13"/>
  <c r="L21" i="13"/>
  <c r="O12" i="24"/>
  <c r="T12" i="24"/>
  <c r="H24" i="4"/>
  <c r="I21" i="4"/>
  <c r="I26" i="16"/>
  <c r="H28" i="16"/>
  <c r="H28" i="4"/>
  <c r="I26" i="4"/>
  <c r="O21" i="3"/>
  <c r="N24" i="3"/>
  <c r="P28" i="42"/>
  <c r="L26" i="68"/>
  <c r="R26" i="68"/>
  <c r="R14" i="71"/>
  <c r="AA14" i="71" s="1"/>
  <c r="O24" i="24"/>
  <c r="K28" i="22"/>
  <c r="L26" i="22"/>
  <c r="R23" i="68"/>
  <c r="P16" i="96" s="1"/>
  <c r="AA16" i="96" s="1"/>
  <c r="L23" i="68"/>
  <c r="AG16" i="71" s="1"/>
  <c r="P16" i="72" s="1"/>
  <c r="I21" i="59"/>
  <c r="H24" i="59"/>
  <c r="K28" i="69"/>
  <c r="L21" i="19"/>
  <c r="K24" i="19"/>
  <c r="R21" i="68"/>
  <c r="P14" i="96" s="1"/>
  <c r="AA14" i="96" s="1"/>
  <c r="L21" i="68"/>
  <c r="AG14" i="71" s="1"/>
  <c r="P14" i="72" s="1"/>
  <c r="Q36" i="41"/>
  <c r="AH16" i="72"/>
  <c r="W16" i="71"/>
  <c r="H24" i="16"/>
  <c r="I21" i="16"/>
  <c r="H28" i="19"/>
  <c r="I26" i="19"/>
  <c r="H28" i="22"/>
  <c r="I26" i="22"/>
  <c r="AJ17" i="71"/>
  <c r="L28" i="50"/>
  <c r="W22" i="71"/>
  <c r="L21" i="59"/>
  <c r="K24" i="59"/>
  <c r="L22" i="3"/>
  <c r="AD15" i="71" s="1"/>
  <c r="K22" i="3"/>
  <c r="G15" i="71" s="1"/>
  <c r="X15" i="71" s="1"/>
  <c r="AJ14" i="71"/>
  <c r="L24" i="50"/>
  <c r="K28" i="4"/>
  <c r="L26" i="4"/>
  <c r="S26" i="68"/>
  <c r="N28" i="68"/>
  <c r="N24" i="68"/>
  <c r="S21" i="68"/>
  <c r="K28" i="13"/>
  <c r="L26" i="13"/>
  <c r="X12" i="24"/>
  <c r="AC14" i="71"/>
  <c r="L24" i="62"/>
  <c r="I21" i="22"/>
  <c r="H24" i="22"/>
  <c r="O28" i="50"/>
  <c r="S17" i="96"/>
  <c r="I26" i="59"/>
  <c r="H28" i="59"/>
  <c r="P24" i="69"/>
  <c r="K24" i="23"/>
  <c r="L21" i="23"/>
  <c r="L12" i="50"/>
  <c r="K12" i="50"/>
  <c r="I21" i="19"/>
  <c r="H24" i="19"/>
  <c r="Y30" i="37"/>
  <c r="S14" i="96"/>
  <c r="O24" i="50"/>
  <c r="L23" i="3"/>
  <c r="AD16" i="71" s="1"/>
  <c r="K23" i="3"/>
  <c r="G16" i="71" s="1"/>
  <c r="X16" i="71" s="1"/>
  <c r="X24" i="24"/>
  <c r="U14" i="96"/>
  <c r="K24" i="70"/>
  <c r="H24" i="23"/>
  <c r="I21" i="23"/>
  <c r="L28" i="62"/>
  <c r="AC17" i="71"/>
  <c r="O17" i="71"/>
  <c r="Z17" i="71" s="1"/>
  <c r="AH17" i="72" s="1"/>
  <c r="K28" i="50"/>
  <c r="P24" i="70"/>
  <c r="K24" i="22"/>
  <c r="L21" i="22"/>
  <c r="J12" i="3"/>
  <c r="K12" i="62"/>
  <c r="J12" i="68"/>
  <c r="L12" i="68" s="1"/>
  <c r="K12" i="69"/>
  <c r="K12" i="70"/>
  <c r="H12" i="19"/>
  <c r="H12" i="16"/>
  <c r="H12" i="4"/>
  <c r="H12" i="13"/>
  <c r="H12" i="59"/>
  <c r="L12" i="62"/>
  <c r="H12" i="22"/>
  <c r="H12" i="23"/>
  <c r="L16" i="3"/>
  <c r="AD12" i="71" s="1"/>
  <c r="K16" i="3"/>
  <c r="G12" i="71" s="1"/>
  <c r="X12" i="71" s="1"/>
  <c r="U17" i="96"/>
  <c r="X28" i="24"/>
  <c r="L26" i="19"/>
  <c r="K28" i="19"/>
  <c r="S13" i="68"/>
  <c r="T22" i="71" l="1"/>
  <c r="E22" i="72" s="1"/>
  <c r="T15" i="71"/>
  <c r="E15" i="72" s="1"/>
  <c r="AE18" i="72"/>
  <c r="R24" i="68"/>
  <c r="AE16" i="72"/>
  <c r="AE15" i="72"/>
  <c r="L28" i="13"/>
  <c r="I17" i="96"/>
  <c r="L28" i="22"/>
  <c r="N17" i="96"/>
  <c r="L12" i="16"/>
  <c r="L13" i="68"/>
  <c r="R13" i="68"/>
  <c r="T18" i="71"/>
  <c r="E18" i="72" s="1"/>
  <c r="I24" i="13"/>
  <c r="I14" i="71"/>
  <c r="I12" i="19"/>
  <c r="O14" i="96"/>
  <c r="L24" i="23"/>
  <c r="AF14" i="96"/>
  <c r="J14" i="77" s="1"/>
  <c r="S24" i="68"/>
  <c r="J22" i="72"/>
  <c r="I28" i="4"/>
  <c r="H17" i="71"/>
  <c r="J15" i="72"/>
  <c r="L12" i="4"/>
  <c r="J18" i="72"/>
  <c r="I28" i="13"/>
  <c r="I17" i="71"/>
  <c r="J15" i="77"/>
  <c r="I12" i="4"/>
  <c r="S28" i="68"/>
  <c r="AF17" i="96"/>
  <c r="P10" i="96"/>
  <c r="AA10" i="96" s="1"/>
  <c r="K28" i="3"/>
  <c r="G17" i="71"/>
  <c r="X17" i="71" s="1"/>
  <c r="W17" i="71"/>
  <c r="I12" i="22"/>
  <c r="J16" i="72"/>
  <c r="R10" i="71"/>
  <c r="AA10" i="71" s="1"/>
  <c r="L12" i="23"/>
  <c r="L28" i="59"/>
  <c r="T17" i="96"/>
  <c r="L28" i="3"/>
  <c r="AD17" i="71"/>
  <c r="L24" i="68"/>
  <c r="S10" i="96"/>
  <c r="N14" i="71"/>
  <c r="I24" i="23"/>
  <c r="L28" i="4"/>
  <c r="H17" i="96"/>
  <c r="I12" i="23"/>
  <c r="K14" i="71"/>
  <c r="I24" i="19"/>
  <c r="T16" i="71"/>
  <c r="E16" i="72" s="1"/>
  <c r="Q10" i="71"/>
  <c r="AC10" i="71"/>
  <c r="P17" i="96"/>
  <c r="AA17" i="96" s="1"/>
  <c r="R28" i="68"/>
  <c r="I28" i="16"/>
  <c r="J17" i="71"/>
  <c r="I14" i="96"/>
  <c r="L24" i="13"/>
  <c r="F10" i="96"/>
  <c r="O12" i="3"/>
  <c r="J17" i="96"/>
  <c r="L28" i="16"/>
  <c r="L24" i="16"/>
  <c r="J14" i="96"/>
  <c r="O17" i="96"/>
  <c r="L28" i="23"/>
  <c r="L24" i="22"/>
  <c r="N14" i="96"/>
  <c r="J12" i="72"/>
  <c r="AG10" i="71"/>
  <c r="P10" i="72" s="1"/>
  <c r="G14" i="96"/>
  <c r="O24" i="3"/>
  <c r="J22" i="77"/>
  <c r="K17" i="96"/>
  <c r="L28" i="19"/>
  <c r="I12" i="59"/>
  <c r="F10" i="71"/>
  <c r="AG17" i="71"/>
  <c r="P17" i="72" s="1"/>
  <c r="L28" i="68"/>
  <c r="I24" i="4"/>
  <c r="H14" i="71"/>
  <c r="L12" i="13"/>
  <c r="J18" i="77"/>
  <c r="W14" i="71"/>
  <c r="AE12" i="72"/>
  <c r="O10" i="71"/>
  <c r="Z10" i="71" s="1"/>
  <c r="T14" i="96"/>
  <c r="L24" i="59"/>
  <c r="L12" i="59"/>
  <c r="G14" i="71"/>
  <c r="X14" i="71" s="1"/>
  <c r="K24" i="3"/>
  <c r="I12" i="16"/>
  <c r="AJ10" i="71"/>
  <c r="I24" i="16"/>
  <c r="J14" i="71"/>
  <c r="M14" i="71"/>
  <c r="I24" i="22"/>
  <c r="P14" i="71"/>
  <c r="I24" i="59"/>
  <c r="O28" i="3"/>
  <c r="G17" i="96"/>
  <c r="M17" i="71"/>
  <c r="I28" i="22"/>
  <c r="I12" i="13"/>
  <c r="L12" i="3"/>
  <c r="K12" i="3"/>
  <c r="I28" i="59"/>
  <c r="P17" i="71"/>
  <c r="U10" i="96"/>
  <c r="K17" i="71"/>
  <c r="I28" i="19"/>
  <c r="K14" i="96"/>
  <c r="L24" i="19"/>
  <c r="J16" i="77"/>
  <c r="N17" i="71"/>
  <c r="I28" i="23"/>
  <c r="T12" i="71"/>
  <c r="E12" i="72" s="1"/>
  <c r="L12" i="19"/>
  <c r="L12" i="22"/>
  <c r="AE22" i="72"/>
  <c r="L24" i="4"/>
  <c r="H14" i="96"/>
  <c r="AD14" i="71"/>
  <c r="L24" i="3"/>
  <c r="T17" i="71" l="1"/>
  <c r="E17" i="72" s="1"/>
  <c r="N10" i="96"/>
  <c r="K10" i="96"/>
  <c r="AD10" i="71"/>
  <c r="N10" i="71"/>
  <c r="J17" i="72"/>
  <c r="O10" i="96"/>
  <c r="G10" i="71"/>
  <c r="X10" i="71" s="1"/>
  <c r="AE10" i="72" s="1"/>
  <c r="W10" i="71"/>
  <c r="I10" i="71"/>
  <c r="J10" i="71"/>
  <c r="AH10" i="72"/>
  <c r="I10" i="96"/>
  <c r="T10" i="96"/>
  <c r="P10" i="71"/>
  <c r="AE17" i="72"/>
  <c r="H10" i="71"/>
  <c r="H10" i="96"/>
  <c r="M10" i="71"/>
  <c r="K10" i="71"/>
  <c r="J10" i="96"/>
  <c r="AE14" i="72"/>
  <c r="T14" i="71"/>
  <c r="E14" i="72" s="1"/>
  <c r="G10" i="96"/>
  <c r="J14" i="72"/>
  <c r="J17" i="77"/>
  <c r="T10" i="71" l="1"/>
  <c r="E10" i="72" s="1"/>
  <c r="J10" i="72"/>
  <c r="H20" i="68" l="1"/>
  <c r="E24" i="24"/>
  <c r="E18" i="24" l="1"/>
  <c r="E36" i="24" s="1"/>
  <c r="H15" i="68"/>
  <c r="H13" i="68" l="1"/>
  <c r="E20" i="88" l="1"/>
  <c r="F20" i="88" s="1"/>
  <c r="N18" i="72"/>
  <c r="AI18" i="72"/>
  <c r="Q18" i="72"/>
  <c r="AF18" i="72"/>
  <c r="K18" i="72"/>
  <c r="O16" i="41" l="1"/>
  <c r="G19" i="41" l="1"/>
  <c r="G26" i="41"/>
  <c r="G10" i="41"/>
  <c r="G14" i="41"/>
  <c r="G12" i="41"/>
  <c r="G34" i="41"/>
  <c r="G28" i="41"/>
  <c r="G24" i="41"/>
  <c r="G11" i="41"/>
  <c r="G22" i="41"/>
  <c r="G27" i="41"/>
  <c r="G20" i="41"/>
  <c r="G16" i="41"/>
  <c r="G32" i="41"/>
  <c r="G18" i="41"/>
  <c r="G36" i="41"/>
  <c r="G35" i="41"/>
  <c r="G31" i="41"/>
  <c r="G23" i="41"/>
  <c r="G30" i="41"/>
  <c r="G15" i="41"/>
  <c r="O16" i="39"/>
  <c r="G11" i="39" l="1"/>
  <c r="G14" i="39"/>
  <c r="G16" i="39"/>
  <c r="G18" i="39"/>
  <c r="G31" i="39"/>
  <c r="G19" i="39"/>
  <c r="G24" i="39"/>
  <c r="G35" i="39"/>
  <c r="G12" i="39"/>
  <c r="G26" i="39"/>
  <c r="G30" i="39"/>
  <c r="G28" i="39"/>
  <c r="G22" i="39"/>
  <c r="G34" i="39"/>
  <c r="G23" i="39"/>
  <c r="G36" i="39"/>
  <c r="G27" i="39"/>
  <c r="G20" i="39"/>
  <c r="G10" i="39"/>
  <c r="G32" i="39"/>
  <c r="G15" i="39"/>
  <c r="E19" i="88"/>
  <c r="F19" i="88" s="1"/>
  <c r="N17" i="72"/>
  <c r="AI17" i="72"/>
  <c r="Q17" i="72"/>
  <c r="K17" i="72"/>
  <c r="AF17" i="72"/>
  <c r="O25" i="40"/>
  <c r="O19" i="40"/>
  <c r="O15" i="40"/>
  <c r="G33" i="40" l="1"/>
  <c r="G36" i="40"/>
  <c r="G26" i="40"/>
  <c r="G25" i="40"/>
  <c r="G32" i="40"/>
  <c r="G37" i="40"/>
  <c r="G21" i="40"/>
  <c r="G17" i="40"/>
  <c r="G13" i="40"/>
  <c r="G28" i="40"/>
  <c r="G29" i="40"/>
  <c r="G11" i="40"/>
  <c r="G30" i="40"/>
  <c r="G12" i="40"/>
  <c r="G24" i="40"/>
  <c r="G19" i="40"/>
  <c r="G16" i="40"/>
  <c r="G34" i="40"/>
  <c r="G15" i="40"/>
  <c r="G38" i="40"/>
  <c r="G20" i="40"/>
  <c r="O14" i="38" l="1"/>
  <c r="G11" i="38" l="1"/>
  <c r="G10" i="38"/>
  <c r="G12" i="38"/>
  <c r="O22" i="38"/>
  <c r="G14" i="38" s="1"/>
  <c r="G30" i="38" l="1"/>
  <c r="G24" i="38"/>
  <c r="G28" i="38"/>
  <c r="G34" i="38"/>
  <c r="G36" i="38"/>
  <c r="G26" i="38"/>
  <c r="G31" i="38"/>
  <c r="G32" i="38"/>
  <c r="G16" i="38"/>
  <c r="G23" i="38"/>
  <c r="G15" i="38"/>
  <c r="G20" i="38"/>
  <c r="G22" i="38"/>
  <c r="G19" i="38"/>
  <c r="G35" i="38"/>
  <c r="G18" i="38"/>
  <c r="G27" i="38"/>
  <c r="D33" i="59" l="1"/>
  <c r="F33" i="59" s="1"/>
  <c r="P21" i="1" s="1"/>
  <c r="D33" i="68"/>
  <c r="H33" i="68" s="1"/>
  <c r="AF21" i="1" s="1"/>
  <c r="D33" i="22"/>
  <c r="F33" i="22" s="1"/>
  <c r="M21" i="1" s="1"/>
  <c r="D33" i="62"/>
  <c r="D33" i="70"/>
  <c r="D33" i="4"/>
  <c r="F33" i="4" s="1"/>
  <c r="H21" i="1" s="1"/>
  <c r="D33" i="69"/>
  <c r="D33" i="16"/>
  <c r="F33" i="16" s="1"/>
  <c r="J21" i="1" s="1"/>
  <c r="D33" i="95"/>
  <c r="D33" i="23"/>
  <c r="F33" i="23" s="1"/>
  <c r="N21" i="1" s="1"/>
  <c r="D33" i="19"/>
  <c r="F33" i="19" s="1"/>
  <c r="K21" i="1" s="1"/>
  <c r="D33" i="50"/>
  <c r="D33" i="24"/>
  <c r="D33" i="3"/>
  <c r="D33" i="13"/>
  <c r="F33" i="13" s="1"/>
  <c r="I21" i="1" s="1"/>
  <c r="P33" i="24" l="1"/>
  <c r="K33" i="24"/>
  <c r="R21" i="1" s="1"/>
  <c r="AC21" i="1" s="1"/>
  <c r="H33" i="24"/>
  <c r="Q21" i="1" s="1"/>
  <c r="H33" i="50"/>
  <c r="G33" i="50"/>
  <c r="O21" i="1" s="1"/>
  <c r="AB21" i="1" s="1"/>
  <c r="H33" i="62"/>
  <c r="G33" i="62"/>
  <c r="F21" i="1" s="1"/>
  <c r="Y21" i="1" s="1"/>
  <c r="G33" i="3"/>
  <c r="G21" i="1" s="1"/>
  <c r="H33" i="3"/>
  <c r="V21" i="96" l="1"/>
  <c r="AK21" i="71"/>
  <c r="AK21" i="72" s="1"/>
  <c r="Z21" i="1"/>
  <c r="T21" i="1"/>
  <c r="X21" i="1" s="1"/>
  <c r="U21" i="1" l="1"/>
  <c r="S12" i="68" l="1"/>
  <c r="AF10" i="96" l="1"/>
  <c r="J10" i="77" s="1"/>
  <c r="D27" i="62" l="1"/>
  <c r="D27" i="4"/>
  <c r="F27" i="4" s="1"/>
  <c r="H18" i="1" s="1"/>
  <c r="D27" i="50"/>
  <c r="D27" i="69"/>
  <c r="D27" i="19"/>
  <c r="F27" i="19" s="1"/>
  <c r="K18" i="1" s="1"/>
  <c r="D27" i="70"/>
  <c r="D27" i="23"/>
  <c r="F27" i="23" s="1"/>
  <c r="N18" i="1" s="1"/>
  <c r="D27" i="13"/>
  <c r="F27" i="13" s="1"/>
  <c r="I18" i="1" s="1"/>
  <c r="D27" i="59"/>
  <c r="F27" i="59" s="1"/>
  <c r="P18" i="1" s="1"/>
  <c r="D27" i="3"/>
  <c r="D27" i="24"/>
  <c r="D27" i="16"/>
  <c r="F27" i="16" s="1"/>
  <c r="J18" i="1" s="1"/>
  <c r="D27" i="68"/>
  <c r="H27" i="68" s="1"/>
  <c r="AF18" i="1" s="1"/>
  <c r="D27" i="22"/>
  <c r="F27" i="22" s="1"/>
  <c r="M18" i="1" s="1"/>
  <c r="D32" i="19" l="1"/>
  <c r="D32" i="4"/>
  <c r="D32" i="13"/>
  <c r="D32" i="59"/>
  <c r="D32" i="95"/>
  <c r="D34" i="95" s="1"/>
  <c r="D32" i="50"/>
  <c r="D32" i="16"/>
  <c r="D32" i="24"/>
  <c r="D32" i="3"/>
  <c r="D32" i="68"/>
  <c r="D32" i="69"/>
  <c r="D34" i="69" s="1"/>
  <c r="D32" i="70"/>
  <c r="D34" i="70" s="1"/>
  <c r="D32" i="22"/>
  <c r="D32" i="23"/>
  <c r="D32" i="62"/>
  <c r="D26" i="59"/>
  <c r="D26" i="70"/>
  <c r="D26" i="62"/>
  <c r="D26" i="24"/>
  <c r="D26" i="13"/>
  <c r="D26" i="68"/>
  <c r="D26" i="69"/>
  <c r="D26" i="4"/>
  <c r="D26" i="22"/>
  <c r="D26" i="3"/>
  <c r="D26" i="23"/>
  <c r="D26" i="16"/>
  <c r="D26" i="19"/>
  <c r="D26" i="50"/>
  <c r="K27" i="24"/>
  <c r="R18" i="1" s="1"/>
  <c r="AC18" i="1" s="1"/>
  <c r="H27" i="24"/>
  <c r="Q18" i="1" s="1"/>
  <c r="P27" i="24"/>
  <c r="H27" i="50"/>
  <c r="G27" i="50"/>
  <c r="O18" i="1" s="1"/>
  <c r="AB18" i="1" s="1"/>
  <c r="G27" i="3"/>
  <c r="G18" i="1" s="1"/>
  <c r="H27" i="3"/>
  <c r="D22" i="24"/>
  <c r="D22" i="22"/>
  <c r="F22" i="22" s="1"/>
  <c r="M15" i="1" s="1"/>
  <c r="D22" i="68"/>
  <c r="H22" i="68" s="1"/>
  <c r="AF15" i="1" s="1"/>
  <c r="D22" i="70"/>
  <c r="D22" i="69"/>
  <c r="D22" i="3"/>
  <c r="D22" i="62"/>
  <c r="D22" i="13"/>
  <c r="F22" i="13" s="1"/>
  <c r="I15" i="1" s="1"/>
  <c r="D22" i="19"/>
  <c r="F22" i="19" s="1"/>
  <c r="K15" i="1" s="1"/>
  <c r="D22" i="16"/>
  <c r="F22" i="16" s="1"/>
  <c r="J15" i="1" s="1"/>
  <c r="D22" i="50"/>
  <c r="D22" i="23"/>
  <c r="F22" i="23" s="1"/>
  <c r="N15" i="1" s="1"/>
  <c r="D22" i="25"/>
  <c r="D22" i="59"/>
  <c r="F22" i="59" s="1"/>
  <c r="P15" i="1" s="1"/>
  <c r="D22" i="4"/>
  <c r="F22" i="4" s="1"/>
  <c r="H15" i="1" s="1"/>
  <c r="D22" i="95"/>
  <c r="H27" i="62"/>
  <c r="G27" i="62"/>
  <c r="F18" i="1" s="1"/>
  <c r="Y18" i="1" s="1"/>
  <c r="H26" i="50" l="1"/>
  <c r="H28" i="50" s="1"/>
  <c r="G26" i="50"/>
  <c r="D28" i="50"/>
  <c r="D28" i="68"/>
  <c r="H26" i="68"/>
  <c r="D34" i="62"/>
  <c r="G32" i="62"/>
  <c r="H32" i="62"/>
  <c r="H34" i="62" s="1"/>
  <c r="D34" i="16"/>
  <c r="F32" i="16"/>
  <c r="D30" i="4"/>
  <c r="F30" i="4" s="1"/>
  <c r="H19" i="1" s="1"/>
  <c r="D30" i="69"/>
  <c r="D30" i="50"/>
  <c r="D30" i="24"/>
  <c r="D30" i="95"/>
  <c r="D30" i="68"/>
  <c r="H30" i="68" s="1"/>
  <c r="AF19" i="1" s="1"/>
  <c r="D30" i="19"/>
  <c r="F30" i="19" s="1"/>
  <c r="K19" i="1" s="1"/>
  <c r="D30" i="62"/>
  <c r="D30" i="23"/>
  <c r="F30" i="23" s="1"/>
  <c r="N19" i="1" s="1"/>
  <c r="D30" i="22"/>
  <c r="F30" i="22" s="1"/>
  <c r="M19" i="1" s="1"/>
  <c r="D30" i="16"/>
  <c r="F30" i="16" s="1"/>
  <c r="J19" i="1" s="1"/>
  <c r="D30" i="13"/>
  <c r="F30" i="13" s="1"/>
  <c r="I19" i="1" s="1"/>
  <c r="D30" i="70"/>
  <c r="D30" i="59"/>
  <c r="F30" i="59" s="1"/>
  <c r="P19" i="1" s="1"/>
  <c r="D30" i="3"/>
  <c r="H22" i="62"/>
  <c r="G22" i="62"/>
  <c r="F15" i="1" s="1"/>
  <c r="Y15" i="1" s="1"/>
  <c r="Z18" i="1"/>
  <c r="T18" i="1"/>
  <c r="D28" i="19"/>
  <c r="F26" i="19"/>
  <c r="D28" i="13"/>
  <c r="F26" i="13"/>
  <c r="F32" i="23"/>
  <c r="D34" i="23"/>
  <c r="G32" i="50"/>
  <c r="D34" i="50"/>
  <c r="H32" i="50"/>
  <c r="H34" i="50" s="1"/>
  <c r="H26" i="24"/>
  <c r="P26" i="24"/>
  <c r="D28" i="24"/>
  <c r="K26" i="24"/>
  <c r="F22" i="25"/>
  <c r="D24" i="25"/>
  <c r="F26" i="23"/>
  <c r="D28" i="23"/>
  <c r="D28" i="62"/>
  <c r="H26" i="62"/>
  <c r="H28" i="62" s="1"/>
  <c r="G26" i="62"/>
  <c r="F32" i="59"/>
  <c r="D34" i="59"/>
  <c r="D34" i="22"/>
  <c r="F32" i="22"/>
  <c r="AK18" i="71"/>
  <c r="AK18" i="72" s="1"/>
  <c r="AL18" i="72" s="1"/>
  <c r="V18" i="96"/>
  <c r="H26" i="3"/>
  <c r="H28" i="3" s="1"/>
  <c r="D28" i="3"/>
  <c r="G26" i="3"/>
  <c r="D28" i="70"/>
  <c r="D34" i="13"/>
  <c r="F32" i="13"/>
  <c r="D17" i="23"/>
  <c r="F17" i="23" s="1"/>
  <c r="N13" i="1" s="1"/>
  <c r="D17" i="50"/>
  <c r="D17" i="70"/>
  <c r="D17" i="19"/>
  <c r="F17" i="19" s="1"/>
  <c r="K13" i="1" s="1"/>
  <c r="D17" i="59"/>
  <c r="F17" i="59" s="1"/>
  <c r="P13" i="1" s="1"/>
  <c r="D17" i="68"/>
  <c r="D17" i="25"/>
  <c r="D17" i="22"/>
  <c r="F17" i="22" s="1"/>
  <c r="M13" i="1" s="1"/>
  <c r="D17" i="69"/>
  <c r="D17" i="13"/>
  <c r="F17" i="13" s="1"/>
  <c r="I13" i="1" s="1"/>
  <c r="D17" i="4"/>
  <c r="F17" i="4" s="1"/>
  <c r="H13" i="1" s="1"/>
  <c r="D17" i="62"/>
  <c r="D17" i="3"/>
  <c r="D17" i="16"/>
  <c r="F17" i="16" s="1"/>
  <c r="J13" i="1" s="1"/>
  <c r="D17" i="24"/>
  <c r="G22" i="50"/>
  <c r="O15" i="1" s="1"/>
  <c r="AB15" i="1" s="1"/>
  <c r="H22" i="50"/>
  <c r="F26" i="22"/>
  <c r="D28" i="22"/>
  <c r="F26" i="59"/>
  <c r="D28" i="59"/>
  <c r="D34" i="68"/>
  <c r="H32" i="68"/>
  <c r="F32" i="4"/>
  <c r="D34" i="4"/>
  <c r="G22" i="3"/>
  <c r="G15" i="1" s="1"/>
  <c r="Z15" i="1" s="1"/>
  <c r="H22" i="3"/>
  <c r="F26" i="16"/>
  <c r="D28" i="16"/>
  <c r="D28" i="4"/>
  <c r="F26" i="4"/>
  <c r="D34" i="3"/>
  <c r="G32" i="3"/>
  <c r="H32" i="3"/>
  <c r="H34" i="3" s="1"/>
  <c r="D34" i="19"/>
  <c r="F32" i="19"/>
  <c r="P22" i="24"/>
  <c r="H22" i="24"/>
  <c r="Q15" i="1" s="1"/>
  <c r="K22" i="24"/>
  <c r="R15" i="1" s="1"/>
  <c r="AC15" i="1" s="1"/>
  <c r="D28" i="95"/>
  <c r="D28" i="69"/>
  <c r="K32" i="24"/>
  <c r="P32" i="24"/>
  <c r="H32" i="24"/>
  <c r="D34" i="24"/>
  <c r="Q20" i="1" l="1"/>
  <c r="H34" i="24"/>
  <c r="H17" i="24"/>
  <c r="Q13" i="1" s="1"/>
  <c r="P17" i="24"/>
  <c r="K17" i="24"/>
  <c r="R13" i="1" s="1"/>
  <c r="AC13" i="1" s="1"/>
  <c r="F17" i="25"/>
  <c r="D18" i="25"/>
  <c r="H28" i="24"/>
  <c r="Q17" i="1"/>
  <c r="K17" i="1"/>
  <c r="F28" i="19"/>
  <c r="F20" i="1"/>
  <c r="Y20" i="1" s="1"/>
  <c r="G34" i="62"/>
  <c r="V15" i="96"/>
  <c r="AK15" i="71"/>
  <c r="AK15" i="72" s="1"/>
  <c r="F34" i="22"/>
  <c r="M20" i="1"/>
  <c r="F28" i="23"/>
  <c r="N17" i="1"/>
  <c r="P30" i="24"/>
  <c r="K30" i="24"/>
  <c r="R19" i="1" s="1"/>
  <c r="AC19" i="1" s="1"/>
  <c r="H30" i="24"/>
  <c r="Q19" i="1" s="1"/>
  <c r="P34" i="24"/>
  <c r="AK20" i="71"/>
  <c r="AK20" i="72" s="1"/>
  <c r="V20" i="96"/>
  <c r="K20" i="1"/>
  <c r="F34" i="19"/>
  <c r="F28" i="16"/>
  <c r="J17" i="1"/>
  <c r="F28" i="59"/>
  <c r="P17" i="1"/>
  <c r="G17" i="3"/>
  <c r="G13" i="1" s="1"/>
  <c r="Z13" i="1" s="1"/>
  <c r="H17" i="3"/>
  <c r="X18" i="1"/>
  <c r="U18" i="1"/>
  <c r="H30" i="50"/>
  <c r="G30" i="50"/>
  <c r="O19" i="1" s="1"/>
  <c r="AB19" i="1" s="1"/>
  <c r="AF17" i="1"/>
  <c r="H28" i="68"/>
  <c r="H17" i="62"/>
  <c r="G17" i="62"/>
  <c r="F13" i="1" s="1"/>
  <c r="Y13" i="1" s="1"/>
  <c r="G28" i="3"/>
  <c r="G17" i="1"/>
  <c r="O20" i="1"/>
  <c r="AB20" i="1" s="1"/>
  <c r="G34" i="50"/>
  <c r="R20" i="1"/>
  <c r="AC20" i="1" s="1"/>
  <c r="K34" i="24"/>
  <c r="F28" i="22"/>
  <c r="M17" i="1"/>
  <c r="P20" i="1"/>
  <c r="F34" i="59"/>
  <c r="F24" i="25"/>
  <c r="S15" i="1"/>
  <c r="T15" i="1" s="1"/>
  <c r="G20" i="1"/>
  <c r="G34" i="3"/>
  <c r="G17" i="50"/>
  <c r="O13" i="1" s="1"/>
  <c r="AB13" i="1" s="1"/>
  <c r="H17" i="50"/>
  <c r="G28" i="62"/>
  <c r="F17" i="1"/>
  <c r="Y17" i="1" s="1"/>
  <c r="K28" i="24"/>
  <c r="R17" i="1"/>
  <c r="AC17" i="1" s="1"/>
  <c r="N20" i="1"/>
  <c r="F34" i="23"/>
  <c r="H30" i="62"/>
  <c r="G30" i="62"/>
  <c r="F19" i="1" s="1"/>
  <c r="Y19" i="1" s="1"/>
  <c r="J20" i="1"/>
  <c r="F34" i="16"/>
  <c r="G28" i="50"/>
  <c r="O17" i="1"/>
  <c r="AB17" i="1" s="1"/>
  <c r="H20" i="1"/>
  <c r="F34" i="4"/>
  <c r="I17" i="1"/>
  <c r="F28" i="13"/>
  <c r="H30" i="3"/>
  <c r="G30" i="3"/>
  <c r="G19" i="1" s="1"/>
  <c r="H17" i="1"/>
  <c r="F28" i="4"/>
  <c r="H34" i="68"/>
  <c r="AF20" i="1"/>
  <c r="I20" i="1"/>
  <c r="F34" i="13"/>
  <c r="V17" i="96"/>
  <c r="AK17" i="71"/>
  <c r="AK17" i="72" s="1"/>
  <c r="AL17" i="72" s="1"/>
  <c r="P28" i="24"/>
  <c r="V19" i="96" l="1"/>
  <c r="AK19" i="71"/>
  <c r="AK19" i="72" s="1"/>
  <c r="T17" i="1"/>
  <c r="Z17" i="1"/>
  <c r="F18" i="25"/>
  <c r="S13" i="1"/>
  <c r="T13" i="1" s="1"/>
  <c r="V13" i="96"/>
  <c r="AK13" i="71"/>
  <c r="T19" i="1"/>
  <c r="X19" i="1" s="1"/>
  <c r="Z19" i="1"/>
  <c r="X15" i="1"/>
  <c r="U15" i="1"/>
  <c r="Z20" i="1"/>
  <c r="T20" i="1"/>
  <c r="X20" i="1" l="1"/>
  <c r="U20" i="1"/>
  <c r="U13" i="1"/>
  <c r="X13" i="1"/>
  <c r="U17" i="1"/>
  <c r="X17" i="1"/>
  <c r="U19" i="1" l="1"/>
  <c r="N19" i="72" l="1"/>
  <c r="E21" i="88"/>
  <c r="F21" i="88" s="1"/>
  <c r="Q19" i="72"/>
  <c r="AI19" i="72"/>
  <c r="K19" i="72"/>
  <c r="AF19" i="72"/>
  <c r="AL19" i="72"/>
  <c r="S41" i="40" l="1"/>
  <c r="Q25" i="40"/>
  <c r="S25" i="40" s="1"/>
  <c r="S25" i="41" l="1"/>
  <c r="Q16" i="41"/>
  <c r="S25" i="39" l="1"/>
  <c r="Q16" i="39"/>
  <c r="S16" i="41"/>
  <c r="S16" i="39" l="1"/>
  <c r="S35" i="38" l="1"/>
  <c r="Q22" i="38"/>
  <c r="S22" i="38" s="1"/>
  <c r="AK15" i="1" l="1"/>
  <c r="AM15" i="1" s="1"/>
  <c r="E24" i="88" l="1"/>
  <c r="F24" i="88" s="1"/>
  <c r="N22" i="72"/>
  <c r="Q22" i="72"/>
  <c r="AI22" i="72"/>
  <c r="AL22" i="72"/>
  <c r="K22" i="72"/>
  <c r="AF22" i="72"/>
  <c r="D15" i="88" l="1"/>
  <c r="H15" i="88" s="1"/>
  <c r="D13" i="77"/>
  <c r="D15" i="89" s="1"/>
  <c r="H15" i="89" s="1"/>
  <c r="X17" i="24"/>
  <c r="U13" i="96" s="1"/>
  <c r="O17" i="50"/>
  <c r="S13" i="96" s="1"/>
  <c r="K17" i="69" l="1"/>
  <c r="J17" i="3"/>
  <c r="H17" i="16"/>
  <c r="I17" i="16" s="1"/>
  <c r="J13" i="71" s="1"/>
  <c r="H17" i="23"/>
  <c r="I17" i="23" s="1"/>
  <c r="N13" i="71" s="1"/>
  <c r="H17" i="4"/>
  <c r="I17" i="4" s="1"/>
  <c r="H13" i="71" s="1"/>
  <c r="H17" i="59"/>
  <c r="I17" i="59" s="1"/>
  <c r="P13" i="71" s="1"/>
  <c r="H17" i="19"/>
  <c r="I17" i="19" s="1"/>
  <c r="K13" i="71" s="1"/>
  <c r="J17" i="68"/>
  <c r="H17" i="22"/>
  <c r="I17" i="22" s="1"/>
  <c r="M13" i="71" s="1"/>
  <c r="K17" i="70"/>
  <c r="H17" i="13"/>
  <c r="I17" i="13" s="1"/>
  <c r="I13" i="71" s="1"/>
  <c r="K17" i="62"/>
  <c r="F13" i="71" s="1"/>
  <c r="L17" i="62"/>
  <c r="AC13" i="71" s="1"/>
  <c r="T17" i="24"/>
  <c r="Q13" i="71" s="1"/>
  <c r="O17" i="24"/>
  <c r="R13" i="71" s="1"/>
  <c r="AA13" i="71" s="1"/>
  <c r="AK13" i="72" s="1"/>
  <c r="O17" i="62"/>
  <c r="F13" i="96" s="1"/>
  <c r="P17" i="70"/>
  <c r="P17" i="69"/>
  <c r="K17" i="59"/>
  <c r="L17" i="59" s="1"/>
  <c r="T13" i="96" s="1"/>
  <c r="K17" i="13"/>
  <c r="L17" i="13" s="1"/>
  <c r="I13" i="96" s="1"/>
  <c r="N17" i="68"/>
  <c r="S17" i="68" s="1"/>
  <c r="AF13" i="96" s="1"/>
  <c r="K17" i="23"/>
  <c r="L17" i="23" s="1"/>
  <c r="O13" i="96" s="1"/>
  <c r="K17" i="16"/>
  <c r="L17" i="16" s="1"/>
  <c r="J13" i="96" s="1"/>
  <c r="K17" i="19"/>
  <c r="L17" i="19" s="1"/>
  <c r="K13" i="96" s="1"/>
  <c r="K17" i="4"/>
  <c r="L17" i="4" s="1"/>
  <c r="H13" i="96" s="1"/>
  <c r="K17" i="22"/>
  <c r="L17" i="22" s="1"/>
  <c r="N13" i="96" s="1"/>
  <c r="N17" i="3"/>
  <c r="O17" i="3" s="1"/>
  <c r="G13" i="96" s="1"/>
  <c r="L17" i="50"/>
  <c r="AJ13" i="71" s="1"/>
  <c r="K17" i="50"/>
  <c r="O13" i="71" s="1"/>
  <c r="Z13" i="71" s="1"/>
  <c r="AH13" i="72" s="1"/>
  <c r="D11" i="77" l="1"/>
  <c r="D13" i="89" s="1"/>
  <c r="H13" i="89" s="1"/>
  <c r="D13" i="88"/>
  <c r="H13" i="88" s="1"/>
  <c r="W13" i="71"/>
  <c r="R17" i="68"/>
  <c r="P13" i="96" s="1"/>
  <c r="AA13" i="96" s="1"/>
  <c r="L17" i="68"/>
  <c r="AG13" i="71" s="1"/>
  <c r="P13" i="72" s="1"/>
  <c r="Q52" i="40"/>
  <c r="H17" i="68"/>
  <c r="AF13" i="1" s="1"/>
  <c r="K17" i="3"/>
  <c r="G13" i="71" s="1"/>
  <c r="X13" i="71" s="1"/>
  <c r="L17" i="3"/>
  <c r="AD13" i="71" s="1"/>
  <c r="J13" i="77" l="1"/>
  <c r="K14" i="50"/>
  <c r="L14" i="50"/>
  <c r="J18" i="50"/>
  <c r="T13" i="71"/>
  <c r="E13" i="72" s="1"/>
  <c r="K14" i="16"/>
  <c r="N14" i="3"/>
  <c r="O14" i="62"/>
  <c r="K14" i="19"/>
  <c r="K14" i="13"/>
  <c r="P14" i="70"/>
  <c r="N14" i="68"/>
  <c r="K14" i="59"/>
  <c r="K14" i="22"/>
  <c r="K14" i="23"/>
  <c r="K14" i="4"/>
  <c r="P14" i="69"/>
  <c r="N18" i="62"/>
  <c r="T14" i="24"/>
  <c r="O14" i="24"/>
  <c r="R18" i="24"/>
  <c r="Q47" i="38"/>
  <c r="J13" i="72"/>
  <c r="X14" i="24"/>
  <c r="V18" i="24"/>
  <c r="O14" i="50"/>
  <c r="N18" i="50"/>
  <c r="AE13" i="72"/>
  <c r="H14" i="4"/>
  <c r="H14" i="23"/>
  <c r="H14" i="19"/>
  <c r="K14" i="70"/>
  <c r="H14" i="13"/>
  <c r="J14" i="3"/>
  <c r="K14" i="69"/>
  <c r="K14" i="62"/>
  <c r="H14" i="16"/>
  <c r="H14" i="59"/>
  <c r="H14" i="22"/>
  <c r="J14" i="68"/>
  <c r="J18" i="68" s="1"/>
  <c r="L14" i="62"/>
  <c r="J18" i="62"/>
  <c r="L14" i="16" l="1"/>
  <c r="K18" i="16"/>
  <c r="K14" i="3"/>
  <c r="L14" i="3"/>
  <c r="J18" i="3"/>
  <c r="L14" i="59"/>
  <c r="K18" i="59"/>
  <c r="K18" i="69"/>
  <c r="I14" i="13"/>
  <c r="H18" i="13"/>
  <c r="R11" i="71"/>
  <c r="AA11" i="71" s="1"/>
  <c r="O18" i="24"/>
  <c r="Q11" i="71"/>
  <c r="T18" i="24"/>
  <c r="P18" i="70"/>
  <c r="AJ11" i="71"/>
  <c r="L18" i="50"/>
  <c r="S11" i="96"/>
  <c r="O18" i="50"/>
  <c r="U11" i="96"/>
  <c r="X18" i="24"/>
  <c r="I14" i="19"/>
  <c r="H18" i="19"/>
  <c r="L14" i="13"/>
  <c r="K18" i="13"/>
  <c r="O11" i="71"/>
  <c r="Z11" i="71" s="1"/>
  <c r="K18" i="50"/>
  <c r="L14" i="22"/>
  <c r="K18" i="22"/>
  <c r="AC11" i="71"/>
  <c r="L18" i="62"/>
  <c r="N18" i="68"/>
  <c r="S14" i="68"/>
  <c r="K18" i="70"/>
  <c r="I14" i="22"/>
  <c r="H18" i="22"/>
  <c r="I14" i="59"/>
  <c r="H18" i="59"/>
  <c r="P18" i="69"/>
  <c r="L14" i="19"/>
  <c r="K18" i="19"/>
  <c r="I14" i="23"/>
  <c r="H18" i="23"/>
  <c r="I14" i="16"/>
  <c r="H18" i="16"/>
  <c r="I14" i="4"/>
  <c r="H18" i="4"/>
  <c r="R14" i="68"/>
  <c r="L14" i="4"/>
  <c r="K18" i="4"/>
  <c r="F11" i="96"/>
  <c r="O18" i="62"/>
  <c r="D24" i="71"/>
  <c r="F11" i="71"/>
  <c r="K18" i="62"/>
  <c r="L14" i="68"/>
  <c r="L14" i="23"/>
  <c r="K18" i="23"/>
  <c r="O14" i="3"/>
  <c r="N18" i="3"/>
  <c r="AH11" i="72" l="1"/>
  <c r="L18" i="68"/>
  <c r="AG11" i="71"/>
  <c r="P11" i="72" s="1"/>
  <c r="H11" i="96"/>
  <c r="L18" i="4"/>
  <c r="M11" i="71"/>
  <c r="I18" i="22"/>
  <c r="N11" i="96"/>
  <c r="L18" i="22"/>
  <c r="L7" i="62"/>
  <c r="K7" i="70"/>
  <c r="K7" i="62"/>
  <c r="H7" i="13"/>
  <c r="J9" i="62"/>
  <c r="J36" i="62" s="1"/>
  <c r="J40" i="62" s="1"/>
  <c r="H7" i="4"/>
  <c r="H7" i="19"/>
  <c r="K7" i="69"/>
  <c r="H7" i="22"/>
  <c r="J7" i="3"/>
  <c r="J7" i="68"/>
  <c r="J9" i="68" s="1"/>
  <c r="J36" i="68" s="1"/>
  <c r="J40" i="68" s="1"/>
  <c r="H7" i="16"/>
  <c r="H7" i="59"/>
  <c r="H7" i="23"/>
  <c r="P11" i="96"/>
  <c r="AA11" i="96" s="1"/>
  <c r="R18" i="68"/>
  <c r="K11" i="96"/>
  <c r="L18" i="19"/>
  <c r="T11" i="96"/>
  <c r="L18" i="59"/>
  <c r="W11" i="71"/>
  <c r="N11" i="71"/>
  <c r="I18" i="23"/>
  <c r="H11" i="71"/>
  <c r="I18" i="4"/>
  <c r="AF11" i="96"/>
  <c r="AD11" i="71"/>
  <c r="L18" i="3"/>
  <c r="R9" i="24"/>
  <c r="R36" i="24" s="1"/>
  <c r="R40" i="24" s="1"/>
  <c r="O7" i="24"/>
  <c r="T7" i="24"/>
  <c r="D27" i="71"/>
  <c r="N9" i="50"/>
  <c r="N36" i="50" s="1"/>
  <c r="N40" i="50" s="1"/>
  <c r="O7" i="50"/>
  <c r="I11" i="71"/>
  <c r="I18" i="13"/>
  <c r="G11" i="71"/>
  <c r="X11" i="71" s="1"/>
  <c r="K18" i="3"/>
  <c r="K7" i="50"/>
  <c r="J9" i="50"/>
  <c r="J36" i="50" s="1"/>
  <c r="J40" i="50" s="1"/>
  <c r="L7" i="50"/>
  <c r="D11" i="88"/>
  <c r="D23" i="72"/>
  <c r="D40" i="72" s="1"/>
  <c r="I11" i="96"/>
  <c r="L18" i="13"/>
  <c r="D9" i="77"/>
  <c r="D24" i="96"/>
  <c r="D25" i="77" s="1"/>
  <c r="J11" i="71"/>
  <c r="I18" i="16"/>
  <c r="X7" i="24"/>
  <c r="V9" i="24"/>
  <c r="V36" i="24" s="1"/>
  <c r="V40" i="24" s="1"/>
  <c r="G11" i="96"/>
  <c r="O18" i="3"/>
  <c r="O11" i="96"/>
  <c r="L18" i="23"/>
  <c r="K7" i="22"/>
  <c r="N7" i="68"/>
  <c r="K7" i="4"/>
  <c r="K7" i="19"/>
  <c r="N9" i="62"/>
  <c r="N36" i="62" s="1"/>
  <c r="N40" i="62" s="1"/>
  <c r="K7" i="13"/>
  <c r="K7" i="23"/>
  <c r="K7" i="16"/>
  <c r="N7" i="3"/>
  <c r="O7" i="62"/>
  <c r="K7" i="59"/>
  <c r="P7" i="69"/>
  <c r="P7" i="70"/>
  <c r="P11" i="71"/>
  <c r="I18" i="59"/>
  <c r="K11" i="71"/>
  <c r="I18" i="19"/>
  <c r="J11" i="96"/>
  <c r="L18" i="16"/>
  <c r="S31" i="80"/>
  <c r="I26" i="85" s="1"/>
  <c r="R26" i="85" s="1"/>
  <c r="T11" i="71" l="1"/>
  <c r="E11" i="72" s="1"/>
  <c r="L7" i="19"/>
  <c r="K9" i="19"/>
  <c r="K36" i="19" s="1"/>
  <c r="K40" i="19" s="1"/>
  <c r="J11" i="77"/>
  <c r="H9" i="19"/>
  <c r="H36" i="19" s="1"/>
  <c r="H40" i="19" s="1"/>
  <c r="I7" i="19"/>
  <c r="K9" i="69"/>
  <c r="K36" i="69" s="1"/>
  <c r="K40" i="69" s="1"/>
  <c r="L7" i="4"/>
  <c r="K9" i="4"/>
  <c r="K36" i="4" s="1"/>
  <c r="K40" i="4" s="1"/>
  <c r="F9" i="96"/>
  <c r="F24" i="96" s="1"/>
  <c r="O9" i="62"/>
  <c r="O36" i="62" s="1"/>
  <c r="O40" i="62" s="1"/>
  <c r="F26" i="96" s="1"/>
  <c r="F27" i="96" s="1"/>
  <c r="N9" i="68"/>
  <c r="N36" i="68" s="1"/>
  <c r="N40" i="68" s="1"/>
  <c r="S7" i="68"/>
  <c r="U9" i="96"/>
  <c r="U24" i="96" s="1"/>
  <c r="X9" i="24"/>
  <c r="X36" i="24" s="1"/>
  <c r="X40" i="24" s="1"/>
  <c r="U26" i="96" s="1"/>
  <c r="D25" i="88"/>
  <c r="H11" i="88"/>
  <c r="H25" i="88" s="1"/>
  <c r="O9" i="50"/>
  <c r="O36" i="50" s="1"/>
  <c r="O40" i="50" s="1"/>
  <c r="S26" i="96" s="1"/>
  <c r="S9" i="96"/>
  <c r="S24" i="96" s="1"/>
  <c r="I7" i="23"/>
  <c r="H9" i="23"/>
  <c r="H36" i="23" s="1"/>
  <c r="H40" i="23" s="1"/>
  <c r="I7" i="4"/>
  <c r="H9" i="4"/>
  <c r="H36" i="4" s="1"/>
  <c r="H40" i="4" s="1"/>
  <c r="L9" i="50"/>
  <c r="L36" i="50" s="1"/>
  <c r="L40" i="50" s="1"/>
  <c r="AJ26" i="71" s="1"/>
  <c r="AJ9" i="71"/>
  <c r="AJ24" i="71" s="1"/>
  <c r="J11" i="72"/>
  <c r="I7" i="59"/>
  <c r="H9" i="59"/>
  <c r="H36" i="59" s="1"/>
  <c r="H40" i="59" s="1"/>
  <c r="K9" i="22"/>
  <c r="K36" i="22" s="1"/>
  <c r="K40" i="22" s="1"/>
  <c r="L7" i="22"/>
  <c r="L7" i="16"/>
  <c r="K9" i="16"/>
  <c r="K36" i="16" s="1"/>
  <c r="K40" i="16" s="1"/>
  <c r="D26" i="72"/>
  <c r="H9" i="16"/>
  <c r="H36" i="16" s="1"/>
  <c r="H40" i="16" s="1"/>
  <c r="I7" i="16"/>
  <c r="I7" i="13"/>
  <c r="H9" i="13"/>
  <c r="H36" i="13" s="1"/>
  <c r="H40" i="13" s="1"/>
  <c r="N9" i="3"/>
  <c r="N36" i="3" s="1"/>
  <c r="N40" i="3" s="1"/>
  <c r="O7" i="3"/>
  <c r="L7" i="23"/>
  <c r="K9" i="23"/>
  <c r="K36" i="23" s="1"/>
  <c r="K40" i="23" s="1"/>
  <c r="K9" i="50"/>
  <c r="K36" i="50" s="1"/>
  <c r="K40" i="50" s="1"/>
  <c r="O26" i="71" s="1"/>
  <c r="O9" i="71"/>
  <c r="K9" i="62"/>
  <c r="K36" i="62" s="1"/>
  <c r="K40" i="62" s="1"/>
  <c r="F26" i="71" s="1"/>
  <c r="F9" i="71"/>
  <c r="P9" i="69"/>
  <c r="P36" i="69" s="1"/>
  <c r="P40" i="69" s="1"/>
  <c r="L7" i="59"/>
  <c r="K9" i="59"/>
  <c r="K36" i="59" s="1"/>
  <c r="K40" i="59" s="1"/>
  <c r="L7" i="13"/>
  <c r="K9" i="13"/>
  <c r="K36" i="13" s="1"/>
  <c r="K40" i="13" s="1"/>
  <c r="D27" i="96"/>
  <c r="D11" i="89"/>
  <c r="D23" i="77"/>
  <c r="Q9" i="71"/>
  <c r="Q24" i="71" s="1"/>
  <c r="T9" i="24"/>
  <c r="T36" i="24" s="1"/>
  <c r="T40" i="24" s="1"/>
  <c r="Q26" i="71" s="1"/>
  <c r="L7" i="3"/>
  <c r="K7" i="3"/>
  <c r="J9" i="3"/>
  <c r="J36" i="3" s="1"/>
  <c r="J40" i="3" s="1"/>
  <c r="K9" i="70"/>
  <c r="K36" i="70" s="1"/>
  <c r="K40" i="70" s="1"/>
  <c r="S31" i="36"/>
  <c r="R7" i="68"/>
  <c r="L7" i="68"/>
  <c r="P9" i="70"/>
  <c r="P36" i="70" s="1"/>
  <c r="P40" i="70" s="1"/>
  <c r="AE11" i="72"/>
  <c r="O9" i="24"/>
  <c r="O36" i="24" s="1"/>
  <c r="O40" i="24" s="1"/>
  <c r="R26" i="71" s="1"/>
  <c r="R9" i="71"/>
  <c r="H9" i="22"/>
  <c r="H36" i="22" s="1"/>
  <c r="H40" i="22" s="1"/>
  <c r="I7" i="22"/>
  <c r="AC9" i="71"/>
  <c r="AC24" i="71" s="1"/>
  <c r="L9" i="62"/>
  <c r="L36" i="62" s="1"/>
  <c r="L40" i="62" s="1"/>
  <c r="AC26" i="71" s="1"/>
  <c r="D26" i="77" l="1"/>
  <c r="D35" i="77"/>
  <c r="Q27" i="71"/>
  <c r="AC27" i="71"/>
  <c r="H9" i="71"/>
  <c r="H24" i="71" s="1"/>
  <c r="I9" i="4"/>
  <c r="I36" i="4" s="1"/>
  <c r="I40" i="4" s="1"/>
  <c r="H26" i="71" s="1"/>
  <c r="H27" i="71" s="1"/>
  <c r="G9" i="71"/>
  <c r="K9" i="3"/>
  <c r="K36" i="3" s="1"/>
  <c r="K40" i="3" s="1"/>
  <c r="G26" i="71" s="1"/>
  <c r="I9" i="96"/>
  <c r="I24" i="96" s="1"/>
  <c r="L9" i="13"/>
  <c r="L36" i="13" s="1"/>
  <c r="L40" i="13" s="1"/>
  <c r="I26" i="96" s="1"/>
  <c r="I27" i="96" s="1"/>
  <c r="O24" i="71"/>
  <c r="O27" i="71" s="1"/>
  <c r="Z9" i="71"/>
  <c r="I9" i="71"/>
  <c r="I24" i="71" s="1"/>
  <c r="I9" i="13"/>
  <c r="I36" i="13" s="1"/>
  <c r="I40" i="13" s="1"/>
  <c r="I26" i="71" s="1"/>
  <c r="I27" i="71" s="1"/>
  <c r="AF9" i="96"/>
  <c r="S9" i="68"/>
  <c r="K9" i="71"/>
  <c r="K24" i="71" s="1"/>
  <c r="I9" i="19"/>
  <c r="I36" i="19" s="1"/>
  <c r="I40" i="19" s="1"/>
  <c r="K26" i="71" s="1"/>
  <c r="K27" i="71" s="1"/>
  <c r="L9" i="68"/>
  <c r="L36" i="68" s="1"/>
  <c r="L40" i="68" s="1"/>
  <c r="AG9" i="71"/>
  <c r="AD9" i="71"/>
  <c r="AD24" i="71" s="1"/>
  <c r="L9" i="3"/>
  <c r="L36" i="3" s="1"/>
  <c r="L40" i="3" s="1"/>
  <c r="AD26" i="71" s="1"/>
  <c r="AD27" i="71" s="1"/>
  <c r="J9" i="71"/>
  <c r="J24" i="71" s="1"/>
  <c r="I9" i="16"/>
  <c r="I36" i="16" s="1"/>
  <c r="I40" i="16" s="1"/>
  <c r="J26" i="71" s="1"/>
  <c r="J27" i="71" s="1"/>
  <c r="P9" i="71"/>
  <c r="P24" i="71" s="1"/>
  <c r="I9" i="59"/>
  <c r="I36" i="59" s="1"/>
  <c r="I40" i="59" s="1"/>
  <c r="P26" i="71" s="1"/>
  <c r="P27" i="71" s="1"/>
  <c r="I9" i="23"/>
  <c r="I36" i="23" s="1"/>
  <c r="I40" i="23" s="1"/>
  <c r="N26" i="71" s="1"/>
  <c r="N9" i="71"/>
  <c r="N24" i="71" s="1"/>
  <c r="R9" i="68"/>
  <c r="R36" i="68" s="1"/>
  <c r="R40" i="68" s="1"/>
  <c r="P26" i="96" s="1"/>
  <c r="P9" i="96"/>
  <c r="AA9" i="71"/>
  <c r="AA24" i="71" s="1"/>
  <c r="R24" i="71"/>
  <c r="R27" i="71" s="1"/>
  <c r="R26" i="84"/>
  <c r="Q31" i="80"/>
  <c r="L9" i="23"/>
  <c r="L36" i="23" s="1"/>
  <c r="L40" i="23" s="1"/>
  <c r="O26" i="96" s="1"/>
  <c r="O9" i="96"/>
  <c r="O24" i="96" s="1"/>
  <c r="S27" i="96"/>
  <c r="I9" i="22"/>
  <c r="I36" i="22" s="1"/>
  <c r="I40" i="22" s="1"/>
  <c r="M26" i="71" s="1"/>
  <c r="M9" i="71"/>
  <c r="M24" i="71" s="1"/>
  <c r="O9" i="3"/>
  <c r="O36" i="3" s="1"/>
  <c r="O40" i="3" s="1"/>
  <c r="G26" i="96" s="1"/>
  <c r="G9" i="96"/>
  <c r="T9" i="96"/>
  <c r="T24" i="96" s="1"/>
  <c r="L9" i="59"/>
  <c r="L36" i="59" s="1"/>
  <c r="L40" i="59" s="1"/>
  <c r="T26" i="96" s="1"/>
  <c r="H11" i="89"/>
  <c r="H25" i="89" s="1"/>
  <c r="D25" i="89"/>
  <c r="L9" i="16"/>
  <c r="L36" i="16" s="1"/>
  <c r="L40" i="16" s="1"/>
  <c r="J26" i="96" s="1"/>
  <c r="J9" i="96"/>
  <c r="J24" i="96" s="1"/>
  <c r="AJ27" i="71"/>
  <c r="H9" i="96"/>
  <c r="H24" i="96" s="1"/>
  <c r="L9" i="4"/>
  <c r="L36" i="4" s="1"/>
  <c r="L40" i="4" s="1"/>
  <c r="H26" i="96" s="1"/>
  <c r="K9" i="96"/>
  <c r="K24" i="96" s="1"/>
  <c r="L9" i="19"/>
  <c r="L36" i="19" s="1"/>
  <c r="L40" i="19" s="1"/>
  <c r="K26" i="96" s="1"/>
  <c r="W9" i="71"/>
  <c r="F24" i="71"/>
  <c r="F27" i="71" s="1"/>
  <c r="L9" i="22"/>
  <c r="L36" i="22" s="1"/>
  <c r="L40" i="22" s="1"/>
  <c r="N26" i="96" s="1"/>
  <c r="N9" i="96"/>
  <c r="N24" i="96" s="1"/>
  <c r="U27" i="96"/>
  <c r="S32" i="68"/>
  <c r="M27" i="71" l="1"/>
  <c r="K27" i="96"/>
  <c r="O27" i="96"/>
  <c r="N27" i="71"/>
  <c r="AG26" i="71"/>
  <c r="L43" i="68"/>
  <c r="AG24" i="71"/>
  <c r="AG31" i="71" s="1"/>
  <c r="P9" i="72"/>
  <c r="J27" i="96"/>
  <c r="AG26" i="84"/>
  <c r="C26" i="85" s="1"/>
  <c r="R36" i="84"/>
  <c r="S36" i="84" s="1"/>
  <c r="R35" i="84"/>
  <c r="S35" i="84" s="1"/>
  <c r="AH9" i="72"/>
  <c r="Z24" i="71"/>
  <c r="AJ31" i="71" s="1"/>
  <c r="T9" i="71"/>
  <c r="E9" i="72" s="1"/>
  <c r="J9" i="72"/>
  <c r="W24" i="71"/>
  <c r="AC31" i="71" s="1"/>
  <c r="X9" i="71"/>
  <c r="G24" i="71"/>
  <c r="G27" i="71" s="1"/>
  <c r="AF20" i="96"/>
  <c r="J20" i="77" s="1"/>
  <c r="S34" i="68"/>
  <c r="AA9" i="96"/>
  <c r="P24" i="96"/>
  <c r="P27" i="96" s="1"/>
  <c r="N27" i="96"/>
  <c r="G24" i="96"/>
  <c r="G27" i="96" s="1"/>
  <c r="H27" i="96"/>
  <c r="T27" i="96"/>
  <c r="S37" i="84" l="1"/>
  <c r="S39" i="84" s="1"/>
  <c r="S40" i="84" s="1"/>
  <c r="S41" i="84" s="1"/>
  <c r="L26" i="85"/>
  <c r="O26" i="85"/>
  <c r="F26" i="85"/>
  <c r="P23" i="72"/>
  <c r="P40" i="72" s="1"/>
  <c r="T24" i="71"/>
  <c r="E25" i="72" s="1"/>
  <c r="J23" i="72"/>
  <c r="J40" i="72" s="1"/>
  <c r="AH23" i="72"/>
  <c r="AH40" i="72" s="1"/>
  <c r="AG27" i="71"/>
  <c r="AA24" i="96"/>
  <c r="J9" i="77"/>
  <c r="X24" i="71"/>
  <c r="AD31" i="71" s="1"/>
  <c r="AE9" i="72"/>
  <c r="AE23" i="72" l="1"/>
  <c r="AE40" i="72" s="1"/>
  <c r="S30" i="68"/>
  <c r="AF19" i="96" s="1"/>
  <c r="J19" i="77" s="1"/>
  <c r="S15" i="68" l="1"/>
  <c r="S16" i="68"/>
  <c r="AF12" i="96" l="1"/>
  <c r="S18" i="68"/>
  <c r="S36" i="68" s="1"/>
  <c r="S40" i="68" s="1"/>
  <c r="AF26" i="96" l="1"/>
  <c r="S45" i="68"/>
  <c r="S43" i="68"/>
  <c r="J12" i="77"/>
  <c r="AF24" i="96"/>
  <c r="AF27" i="96" s="1"/>
  <c r="J23" i="77" l="1"/>
  <c r="J35" i="77" s="1"/>
  <c r="U14" i="37" l="1"/>
  <c r="V20" i="37"/>
  <c r="D12" i="23" l="1"/>
  <c r="D12" i="4"/>
  <c r="D12" i="16"/>
  <c r="D12" i="13"/>
  <c r="D12" i="3"/>
  <c r="D12" i="22"/>
  <c r="D12" i="59"/>
  <c r="D12" i="69"/>
  <c r="D12" i="68"/>
  <c r="D12" i="70"/>
  <c r="D12" i="24"/>
  <c r="D12" i="62"/>
  <c r="D12" i="50"/>
  <c r="D12" i="19"/>
  <c r="D27" i="37"/>
  <c r="D14" i="37"/>
  <c r="D40" i="37"/>
  <c r="D22" i="37"/>
  <c r="D26" i="37"/>
  <c r="D19" i="37"/>
  <c r="D24" i="37"/>
  <c r="D34" i="37"/>
  <c r="D35" i="37"/>
  <c r="D38" i="37"/>
  <c r="D10" i="37"/>
  <c r="D39" i="37"/>
  <c r="D28" i="37"/>
  <c r="D30" i="37"/>
  <c r="D15" i="37"/>
  <c r="D11" i="37"/>
  <c r="D18" i="37"/>
  <c r="D32" i="37"/>
  <c r="V14" i="37"/>
  <c r="D12" i="37"/>
  <c r="D16" i="37"/>
  <c r="D31" i="37"/>
  <c r="D20" i="37"/>
  <c r="D23" i="37"/>
  <c r="D36" i="37"/>
  <c r="F12" i="22" l="1"/>
  <c r="G12" i="3"/>
  <c r="H12" i="3"/>
  <c r="H12" i="62"/>
  <c r="G12" i="62"/>
  <c r="F12" i="13"/>
  <c r="H12" i="50"/>
  <c r="G12" i="50"/>
  <c r="K12" i="24"/>
  <c r="P12" i="24"/>
  <c r="H12" i="24"/>
  <c r="F12" i="16"/>
  <c r="F12" i="19"/>
  <c r="F16" i="37"/>
  <c r="F28" i="37"/>
  <c r="F22" i="37"/>
  <c r="F14" i="37"/>
  <c r="F31" i="37"/>
  <c r="F39" i="37"/>
  <c r="F18" i="37"/>
  <c r="F36" i="37"/>
  <c r="F26" i="37"/>
  <c r="F23" i="37"/>
  <c r="F11" i="37"/>
  <c r="F34" i="37"/>
  <c r="F40" i="37"/>
  <c r="F24" i="37"/>
  <c r="F35" i="37"/>
  <c r="F20" i="37"/>
  <c r="F19" i="37"/>
  <c r="F30" i="37"/>
  <c r="F32" i="37"/>
  <c r="F38" i="37"/>
  <c r="F15" i="37"/>
  <c r="F27" i="37"/>
  <c r="F12" i="37"/>
  <c r="F10" i="37"/>
  <c r="F12" i="4"/>
  <c r="F12" i="59"/>
  <c r="H12" i="68"/>
  <c r="F12" i="23"/>
  <c r="K10" i="1" l="1"/>
  <c r="O10" i="1"/>
  <c r="AB10" i="1" s="1"/>
  <c r="AF10" i="1"/>
  <c r="N10" i="1"/>
  <c r="J10" i="1"/>
  <c r="G10" i="1"/>
  <c r="P10" i="1"/>
  <c r="Q10" i="1"/>
  <c r="I10" i="1"/>
  <c r="M10" i="1"/>
  <c r="H10" i="1"/>
  <c r="V10" i="96"/>
  <c r="AK10" i="71"/>
  <c r="AK10" i="72" s="1"/>
  <c r="D23" i="3"/>
  <c r="D23" i="16"/>
  <c r="F23" i="16" s="1"/>
  <c r="J16" i="1" s="1"/>
  <c r="D23" i="23"/>
  <c r="F23" i="23" s="1"/>
  <c r="N16" i="1" s="1"/>
  <c r="D23" i="68"/>
  <c r="H23" i="68" s="1"/>
  <c r="AF16" i="1" s="1"/>
  <c r="D23" i="24"/>
  <c r="D23" i="4"/>
  <c r="F23" i="4" s="1"/>
  <c r="H16" i="1" s="1"/>
  <c r="D23" i="50"/>
  <c r="D23" i="19"/>
  <c r="F23" i="19" s="1"/>
  <c r="K16" i="1" s="1"/>
  <c r="D23" i="13"/>
  <c r="F23" i="13" s="1"/>
  <c r="I16" i="1" s="1"/>
  <c r="D23" i="59"/>
  <c r="F23" i="59" s="1"/>
  <c r="P16" i="1" s="1"/>
  <c r="D23" i="62"/>
  <c r="D23" i="70"/>
  <c r="D23" i="69"/>
  <c r="D23" i="22"/>
  <c r="F23" i="22" s="1"/>
  <c r="M16" i="1" s="1"/>
  <c r="R10" i="1"/>
  <c r="AC10" i="1" s="1"/>
  <c r="F10" i="1"/>
  <c r="Y10" i="1" s="1"/>
  <c r="K23" i="24" l="1"/>
  <c r="R16" i="1" s="1"/>
  <c r="AC16" i="1" s="1"/>
  <c r="H23" i="24"/>
  <c r="Q16" i="1" s="1"/>
  <c r="P23" i="24"/>
  <c r="D21" i="70"/>
  <c r="D21" i="68"/>
  <c r="D21" i="69"/>
  <c r="D21" i="24"/>
  <c r="D21" i="62"/>
  <c r="D21" i="16"/>
  <c r="D21" i="4"/>
  <c r="D21" i="50"/>
  <c r="D21" i="13"/>
  <c r="D21" i="23"/>
  <c r="D21" i="19"/>
  <c r="D21" i="3"/>
  <c r="D21" i="22"/>
  <c r="D21" i="59"/>
  <c r="G23" i="62"/>
  <c r="F16" i="1" s="1"/>
  <c r="Y16" i="1" s="1"/>
  <c r="H23" i="62"/>
  <c r="H23" i="50"/>
  <c r="G23" i="50"/>
  <c r="O16" i="1" s="1"/>
  <c r="AB16" i="1" s="1"/>
  <c r="D38" i="19"/>
  <c r="F38" i="19" s="1"/>
  <c r="K22" i="1" s="1"/>
  <c r="D38" i="16"/>
  <c r="F38" i="16" s="1"/>
  <c r="J22" i="1" s="1"/>
  <c r="D38" i="22"/>
  <c r="F38" i="22" s="1"/>
  <c r="M22" i="1" s="1"/>
  <c r="D38" i="23"/>
  <c r="F38" i="23" s="1"/>
  <c r="N22" i="1" s="1"/>
  <c r="D38" i="62"/>
  <c r="D38" i="24"/>
  <c r="D38" i="69"/>
  <c r="D38" i="68"/>
  <c r="H38" i="68" s="1"/>
  <c r="AF22" i="1" s="1"/>
  <c r="D38" i="3"/>
  <c r="D38" i="50"/>
  <c r="D38" i="4"/>
  <c r="F38" i="4" s="1"/>
  <c r="H22" i="1" s="1"/>
  <c r="D38" i="95"/>
  <c r="D38" i="70"/>
  <c r="D38" i="59"/>
  <c r="F38" i="59" s="1"/>
  <c r="P22" i="1" s="1"/>
  <c r="D38" i="13"/>
  <c r="F38" i="13" s="1"/>
  <c r="I22" i="1" s="1"/>
  <c r="T10" i="1"/>
  <c r="Z10" i="1"/>
  <c r="D14" i="4"/>
  <c r="D14" i="19"/>
  <c r="D14" i="68"/>
  <c r="D14" i="3"/>
  <c r="D14" i="23"/>
  <c r="D14" i="50"/>
  <c r="D14" i="13"/>
  <c r="D14" i="62"/>
  <c r="D14" i="69"/>
  <c r="D14" i="59"/>
  <c r="D14" i="22"/>
  <c r="D14" i="70"/>
  <c r="D14" i="16"/>
  <c r="D14" i="24"/>
  <c r="D7" i="4"/>
  <c r="D7" i="50"/>
  <c r="D7" i="3"/>
  <c r="D7" i="24"/>
  <c r="D7" i="69"/>
  <c r="D7" i="13"/>
  <c r="D7" i="19"/>
  <c r="D7" i="62"/>
  <c r="D7" i="70"/>
  <c r="D9" i="70" s="1"/>
  <c r="D24" i="1"/>
  <c r="D7" i="23"/>
  <c r="D7" i="59"/>
  <c r="D7" i="25"/>
  <c r="D7" i="16"/>
  <c r="D7" i="22"/>
  <c r="D7" i="68"/>
  <c r="H23" i="3"/>
  <c r="G23" i="3"/>
  <c r="G16" i="1" s="1"/>
  <c r="D16" i="69"/>
  <c r="D16" i="24"/>
  <c r="D16" i="68"/>
  <c r="H16" i="68" s="1"/>
  <c r="AF12" i="1" s="1"/>
  <c r="D16" i="70"/>
  <c r="D16" i="62"/>
  <c r="D16" i="16"/>
  <c r="F16" i="16" s="1"/>
  <c r="J12" i="1" s="1"/>
  <c r="D16" i="50"/>
  <c r="D16" i="3"/>
  <c r="D16" i="4"/>
  <c r="F16" i="4" s="1"/>
  <c r="H12" i="1" s="1"/>
  <c r="D16" i="13"/>
  <c r="F16" i="13" s="1"/>
  <c r="I12" i="1" s="1"/>
  <c r="D16" i="59"/>
  <c r="F16" i="59" s="1"/>
  <c r="P12" i="1" s="1"/>
  <c r="D16" i="23"/>
  <c r="F16" i="23" s="1"/>
  <c r="N12" i="1" s="1"/>
  <c r="D16" i="19"/>
  <c r="F16" i="19" s="1"/>
  <c r="K12" i="1" s="1"/>
  <c r="D16" i="22"/>
  <c r="F16" i="22" s="1"/>
  <c r="M12" i="1" s="1"/>
  <c r="E24" i="1" l="1"/>
  <c r="F7" i="13"/>
  <c r="D9" i="13"/>
  <c r="F21" i="13"/>
  <c r="D24" i="13"/>
  <c r="F7" i="25"/>
  <c r="D9" i="25"/>
  <c r="D38" i="25" s="1"/>
  <c r="D42" i="25" s="1"/>
  <c r="H14" i="3"/>
  <c r="G14" i="3"/>
  <c r="D18" i="3"/>
  <c r="H38" i="62"/>
  <c r="G38" i="62"/>
  <c r="F22" i="1" s="1"/>
  <c r="Y22" i="1" s="1"/>
  <c r="H21" i="50"/>
  <c r="H24" i="50" s="1"/>
  <c r="G21" i="50"/>
  <c r="D24" i="50"/>
  <c r="F7" i="59"/>
  <c r="D9" i="59"/>
  <c r="P7" i="24"/>
  <c r="K7" i="24"/>
  <c r="D9" i="24"/>
  <c r="H7" i="24"/>
  <c r="F14" i="22"/>
  <c r="D18" i="22"/>
  <c r="H14" i="68"/>
  <c r="D18" i="68"/>
  <c r="D24" i="95"/>
  <c r="D24" i="4"/>
  <c r="F21" i="4"/>
  <c r="F14" i="23"/>
  <c r="D18" i="23"/>
  <c r="P38" i="24"/>
  <c r="V22" i="96" s="1"/>
  <c r="H38" i="24"/>
  <c r="Q22" i="1" s="1"/>
  <c r="K38" i="24"/>
  <c r="R22" i="1" s="1"/>
  <c r="AC22" i="1" s="1"/>
  <c r="D18" i="70"/>
  <c r="T16" i="1"/>
  <c r="Z16" i="1"/>
  <c r="D9" i="23"/>
  <c r="F7" i="23"/>
  <c r="D9" i="3"/>
  <c r="H7" i="3"/>
  <c r="H9" i="3" s="1"/>
  <c r="G7" i="3"/>
  <c r="F14" i="59"/>
  <c r="D18" i="59"/>
  <c r="F14" i="19"/>
  <c r="D18" i="19"/>
  <c r="F21" i="59"/>
  <c r="D24" i="59"/>
  <c r="D24" i="16"/>
  <c r="F21" i="16"/>
  <c r="AK16" i="71"/>
  <c r="AK16" i="72" s="1"/>
  <c r="V16" i="96"/>
  <c r="P16" i="24"/>
  <c r="H16" i="24"/>
  <c r="Q12" i="1" s="1"/>
  <c r="K16" i="24"/>
  <c r="R12" i="1" s="1"/>
  <c r="AC12" i="1" s="1"/>
  <c r="H16" i="50"/>
  <c r="G16" i="50"/>
  <c r="O12" i="1" s="1"/>
  <c r="AB12" i="1" s="1"/>
  <c r="G7" i="50"/>
  <c r="H7" i="50"/>
  <c r="H9" i="50" s="1"/>
  <c r="D9" i="50"/>
  <c r="D18" i="69"/>
  <c r="F14" i="4"/>
  <c r="D18" i="4"/>
  <c r="H38" i="50"/>
  <c r="G38" i="50"/>
  <c r="O22" i="1" s="1"/>
  <c r="AB22" i="1" s="1"/>
  <c r="F21" i="22"/>
  <c r="D24" i="22"/>
  <c r="G21" i="62"/>
  <c r="H21" i="62"/>
  <c r="H24" i="62" s="1"/>
  <c r="D24" i="62"/>
  <c r="F14" i="16"/>
  <c r="D18" i="16"/>
  <c r="D9" i="95"/>
  <c r="D9" i="4"/>
  <c r="F7" i="4"/>
  <c r="G14" i="62"/>
  <c r="H14" i="62"/>
  <c r="D18" i="62"/>
  <c r="G38" i="3"/>
  <c r="G22" i="1" s="1"/>
  <c r="H38" i="3"/>
  <c r="D24" i="3"/>
  <c r="H21" i="3"/>
  <c r="H24" i="3" s="1"/>
  <c r="G21" i="3"/>
  <c r="P21" i="24"/>
  <c r="D24" i="24"/>
  <c r="K21" i="24"/>
  <c r="H21" i="24"/>
  <c r="D24" i="70"/>
  <c r="G16" i="62"/>
  <c r="F12" i="1" s="1"/>
  <c r="Y12" i="1" s="1"/>
  <c r="H16" i="62"/>
  <c r="H7" i="68"/>
  <c r="D9" i="68"/>
  <c r="D9" i="62"/>
  <c r="G7" i="62"/>
  <c r="H7" i="62"/>
  <c r="H9" i="62" s="1"/>
  <c r="D18" i="95"/>
  <c r="F14" i="13"/>
  <c r="D18" i="13"/>
  <c r="X10" i="1"/>
  <c r="U10" i="1"/>
  <c r="F21" i="19"/>
  <c r="D24" i="19"/>
  <c r="D24" i="69"/>
  <c r="D9" i="16"/>
  <c r="F7" i="16"/>
  <c r="D9" i="69"/>
  <c r="H16" i="3"/>
  <c r="G16" i="3"/>
  <c r="G12" i="1" s="1"/>
  <c r="D9" i="22"/>
  <c r="F7" i="22"/>
  <c r="F7" i="19"/>
  <c r="D9" i="19"/>
  <c r="K14" i="24"/>
  <c r="H14" i="24"/>
  <c r="P14" i="24"/>
  <c r="D18" i="24"/>
  <c r="G14" i="50"/>
  <c r="H14" i="50"/>
  <c r="D18" i="50"/>
  <c r="F21" i="23"/>
  <c r="D24" i="23"/>
  <c r="D24" i="68"/>
  <c r="H21" i="68"/>
  <c r="D27" i="1"/>
  <c r="D36" i="95" l="1"/>
  <c r="D40" i="95" s="1"/>
  <c r="D36" i="13"/>
  <c r="D40" i="13" s="1"/>
  <c r="H18" i="3"/>
  <c r="D36" i="16"/>
  <c r="D40" i="16" s="1"/>
  <c r="H36" i="3"/>
  <c r="H40" i="3" s="1"/>
  <c r="D36" i="59"/>
  <c r="D40" i="59" s="1"/>
  <c r="H18" i="62"/>
  <c r="H36" i="62" s="1"/>
  <c r="H40" i="62" s="1"/>
  <c r="O11" i="1"/>
  <c r="AB11" i="1" s="1"/>
  <c r="G18" i="50"/>
  <c r="V12" i="96"/>
  <c r="AK12" i="71"/>
  <c r="AK12" i="72" s="1"/>
  <c r="K11" i="1"/>
  <c r="F18" i="19"/>
  <c r="N11" i="1"/>
  <c r="F18" i="23"/>
  <c r="D36" i="22"/>
  <c r="D40" i="22" s="1"/>
  <c r="G11" i="1"/>
  <c r="G18" i="3"/>
  <c r="F24" i="22"/>
  <c r="M14" i="1"/>
  <c r="F24" i="4"/>
  <c r="H14" i="1"/>
  <c r="P11" i="1"/>
  <c r="F18" i="59"/>
  <c r="H9" i="24"/>
  <c r="Q9" i="1"/>
  <c r="O14" i="1"/>
  <c r="AB14" i="1" s="1"/>
  <c r="G24" i="50"/>
  <c r="AF14" i="1"/>
  <c r="H24" i="68"/>
  <c r="M11" i="1"/>
  <c r="F18" i="22"/>
  <c r="V11" i="96"/>
  <c r="AK11" i="71"/>
  <c r="AK11" i="72" s="1"/>
  <c r="P18" i="24"/>
  <c r="Q14" i="1"/>
  <c r="H24" i="24"/>
  <c r="J14" i="1"/>
  <c r="F24" i="16"/>
  <c r="G9" i="1"/>
  <c r="G9" i="3"/>
  <c r="D36" i="70"/>
  <c r="D40" i="70" s="1"/>
  <c r="D36" i="24"/>
  <c r="D40" i="24" s="1"/>
  <c r="F9" i="25"/>
  <c r="F38" i="25" s="1"/>
  <c r="F42" i="25" s="1"/>
  <c r="S26" i="1" s="1"/>
  <c r="S9" i="1"/>
  <c r="S24" i="1" s="1"/>
  <c r="Q11" i="1"/>
  <c r="H18" i="24"/>
  <c r="D36" i="62"/>
  <c r="D40" i="62" s="1"/>
  <c r="J11" i="1"/>
  <c r="F18" i="16"/>
  <c r="D36" i="4"/>
  <c r="D40" i="4" s="1"/>
  <c r="R9" i="1"/>
  <c r="K9" i="24"/>
  <c r="K14" i="1"/>
  <c r="F24" i="19"/>
  <c r="R11" i="1"/>
  <c r="AC11" i="1" s="1"/>
  <c r="K18" i="24"/>
  <c r="R14" i="1"/>
  <c r="AC14" i="1" s="1"/>
  <c r="K24" i="24"/>
  <c r="H11" i="1"/>
  <c r="F18" i="4"/>
  <c r="D36" i="3"/>
  <c r="D40" i="3" s="1"/>
  <c r="P9" i="24"/>
  <c r="AK9" i="71"/>
  <c r="V9" i="96"/>
  <c r="I14" i="1"/>
  <c r="F24" i="13"/>
  <c r="G9" i="62"/>
  <c r="F9" i="1"/>
  <c r="F24" i="23"/>
  <c r="N14" i="1"/>
  <c r="F9" i="19"/>
  <c r="K9" i="1"/>
  <c r="J9" i="1"/>
  <c r="F9" i="16"/>
  <c r="H9" i="68"/>
  <c r="AF9" i="1"/>
  <c r="V14" i="96"/>
  <c r="AK14" i="71"/>
  <c r="AK14" i="72" s="1"/>
  <c r="P24" i="24"/>
  <c r="F11" i="1"/>
  <c r="Y11" i="1" s="1"/>
  <c r="G18" i="62"/>
  <c r="P14" i="1"/>
  <c r="F24" i="59"/>
  <c r="N9" i="1"/>
  <c r="F9" i="23"/>
  <c r="D36" i="68"/>
  <c r="D40" i="68" s="1"/>
  <c r="U16" i="1"/>
  <c r="X16" i="1"/>
  <c r="T12" i="1"/>
  <c r="Z12" i="1"/>
  <c r="O9" i="1"/>
  <c r="G9" i="50"/>
  <c r="T22" i="1"/>
  <c r="Z22" i="1"/>
  <c r="D36" i="50"/>
  <c r="D40" i="50" s="1"/>
  <c r="H18" i="50"/>
  <c r="H36" i="50" s="1"/>
  <c r="H40" i="50" s="1"/>
  <c r="M9" i="1"/>
  <c r="F9" i="22"/>
  <c r="I11" i="1"/>
  <c r="F18" i="13"/>
  <c r="G24" i="3"/>
  <c r="G14" i="1"/>
  <c r="F9" i="4"/>
  <c r="H9" i="1"/>
  <c r="F14" i="1"/>
  <c r="Y14" i="1" s="1"/>
  <c r="G24" i="62"/>
  <c r="D36" i="69"/>
  <c r="D40" i="69" s="1"/>
  <c r="D36" i="19"/>
  <c r="D40" i="19" s="1"/>
  <c r="D36" i="23"/>
  <c r="D40" i="23" s="1"/>
  <c r="AF11" i="1"/>
  <c r="H18" i="68"/>
  <c r="F9" i="59"/>
  <c r="P9" i="1"/>
  <c r="I9" i="1"/>
  <c r="F9" i="13"/>
  <c r="E27" i="1"/>
  <c r="F36" i="19" l="1"/>
  <c r="F40" i="19" s="1"/>
  <c r="K26" i="1" s="1"/>
  <c r="F36" i="23"/>
  <c r="F40" i="23" s="1"/>
  <c r="N26" i="1" s="1"/>
  <c r="N24" i="1"/>
  <c r="I24" i="1"/>
  <c r="AB9" i="1"/>
  <c r="AB24" i="1" s="1"/>
  <c r="O24" i="1"/>
  <c r="H24" i="1"/>
  <c r="N27" i="1"/>
  <c r="G36" i="62"/>
  <c r="G40" i="62" s="1"/>
  <c r="F26" i="1" s="1"/>
  <c r="AC9" i="1"/>
  <c r="AC24" i="1" s="1"/>
  <c r="R24" i="1"/>
  <c r="S27" i="1"/>
  <c r="P36" i="24"/>
  <c r="P40" i="24" s="1"/>
  <c r="K24" i="1"/>
  <c r="K27" i="1" s="1"/>
  <c r="AK9" i="72"/>
  <c r="AK24" i="71"/>
  <c r="AK31" i="71" s="1"/>
  <c r="K36" i="24"/>
  <c r="K40" i="24" s="1"/>
  <c r="R26" i="1" s="1"/>
  <c r="F36" i="16"/>
  <c r="F40" i="16" s="1"/>
  <c r="J26" i="1" s="1"/>
  <c r="Q24" i="1"/>
  <c r="AF24" i="1"/>
  <c r="T14" i="1"/>
  <c r="Z14" i="1"/>
  <c r="J24" i="1"/>
  <c r="V24" i="96"/>
  <c r="G36" i="3"/>
  <c r="G40" i="3" s="1"/>
  <c r="G26" i="1" s="1"/>
  <c r="U12" i="1"/>
  <c r="X12" i="1"/>
  <c r="X22" i="1"/>
  <c r="U22" i="1"/>
  <c r="T9" i="1"/>
  <c r="Z9" i="1"/>
  <c r="G24" i="1"/>
  <c r="F36" i="22"/>
  <c r="F40" i="22" s="1"/>
  <c r="M26" i="1" s="1"/>
  <c r="F36" i="59"/>
  <c r="F40" i="59" s="1"/>
  <c r="P26" i="1" s="1"/>
  <c r="Z11" i="1"/>
  <c r="T11" i="1"/>
  <c r="G36" i="50"/>
  <c r="G40" i="50" s="1"/>
  <c r="O26" i="1" s="1"/>
  <c r="O27" i="1" s="1"/>
  <c r="H36" i="68"/>
  <c r="H40" i="68" s="1"/>
  <c r="F36" i="13"/>
  <c r="F40" i="13" s="1"/>
  <c r="Y9" i="1"/>
  <c r="F24" i="1"/>
  <c r="F36" i="4"/>
  <c r="F40" i="4" s="1"/>
  <c r="H26" i="1" s="1"/>
  <c r="H36" i="24"/>
  <c r="H40" i="24" s="1"/>
  <c r="Q26" i="1" s="1"/>
  <c r="M24" i="1"/>
  <c r="P24" i="1"/>
  <c r="Q27" i="1" l="1"/>
  <c r="G27" i="1"/>
  <c r="H27" i="1"/>
  <c r="J27" i="1"/>
  <c r="R27" i="1"/>
  <c r="Y24" i="1"/>
  <c r="U9" i="1"/>
  <c r="X9" i="1"/>
  <c r="T24" i="1"/>
  <c r="X11" i="1"/>
  <c r="U11" i="1"/>
  <c r="X14" i="1"/>
  <c r="U14" i="1"/>
  <c r="AK23" i="72"/>
  <c r="AK40" i="72" s="1"/>
  <c r="E40" i="13"/>
  <c r="I26" i="1"/>
  <c r="I27" i="1" s="1"/>
  <c r="Z24" i="1"/>
  <c r="P27" i="1"/>
  <c r="F27" i="1"/>
  <c r="M27" i="1"/>
  <c r="AK26" i="71"/>
  <c r="AK27" i="71" s="1"/>
  <c r="V26" i="96"/>
  <c r="V27" i="96" s="1"/>
  <c r="U24" i="1" l="1"/>
  <c r="X24" i="1"/>
  <c r="I24" i="95" l="1"/>
  <c r="I9" i="95"/>
  <c r="I18" i="95"/>
  <c r="N18" i="95" l="1"/>
  <c r="N24" i="95"/>
  <c r="N9" i="95"/>
  <c r="I28" i="95"/>
  <c r="I36" i="95" s="1"/>
  <c r="I40" i="95" s="1"/>
  <c r="I41" i="95" s="1"/>
  <c r="N28" i="95" l="1"/>
  <c r="N36" i="95" s="1"/>
  <c r="N40" i="95" s="1"/>
  <c r="R38" i="95"/>
  <c r="AH22" i="96" s="1"/>
  <c r="K38" i="95" l="1"/>
  <c r="G38" i="95"/>
  <c r="AE22" i="1" s="1"/>
  <c r="R23" i="95"/>
  <c r="AH16" i="96" s="1"/>
  <c r="R22" i="95"/>
  <c r="AH15" i="96" s="1"/>
  <c r="R16" i="95"/>
  <c r="AH12" i="96" s="1"/>
  <c r="K22" i="95" l="1"/>
  <c r="G22" i="95"/>
  <c r="AE15" i="1" s="1"/>
  <c r="K7" i="95"/>
  <c r="S30" i="36"/>
  <c r="G7" i="95"/>
  <c r="Q35" i="39"/>
  <c r="K16" i="95"/>
  <c r="G16" i="95"/>
  <c r="AE12" i="1" s="1"/>
  <c r="K23" i="95"/>
  <c r="G23" i="95"/>
  <c r="AE16" i="1" s="1"/>
  <c r="S30" i="80"/>
  <c r="F25" i="85" s="1"/>
  <c r="R25" i="85" s="1"/>
  <c r="R7" i="95"/>
  <c r="Q38" i="95"/>
  <c r="M22" i="96" s="1"/>
  <c r="L38" i="95"/>
  <c r="AF22" i="71" s="1"/>
  <c r="R30" i="95"/>
  <c r="AH19" i="96" s="1"/>
  <c r="R12" i="95"/>
  <c r="R27" i="95"/>
  <c r="AH18" i="96" s="1"/>
  <c r="R26" i="95"/>
  <c r="R17" i="95"/>
  <c r="AH13" i="96" s="1"/>
  <c r="R14" i="95"/>
  <c r="AH11" i="96" s="1"/>
  <c r="R33" i="95"/>
  <c r="AH21" i="96" s="1"/>
  <c r="R21" i="95"/>
  <c r="K27" i="95" l="1"/>
  <c r="P27" i="43"/>
  <c r="G27" i="95"/>
  <c r="AE18" i="1" s="1"/>
  <c r="Q51" i="40"/>
  <c r="K17" i="95"/>
  <c r="G17" i="95"/>
  <c r="AE13" i="1" s="1"/>
  <c r="Q16" i="95"/>
  <c r="M12" i="96" s="1"/>
  <c r="L16" i="95"/>
  <c r="AF12" i="71" s="1"/>
  <c r="K32" i="95"/>
  <c r="G32" i="95"/>
  <c r="AH9" i="96"/>
  <c r="R9" i="95"/>
  <c r="G9" i="95"/>
  <c r="AE9" i="1"/>
  <c r="Q46" i="38"/>
  <c r="K14" i="95"/>
  <c r="G14" i="95"/>
  <c r="AE11" i="1" s="1"/>
  <c r="AH14" i="96"/>
  <c r="R24" i="95"/>
  <c r="K33" i="95"/>
  <c r="G33" i="95"/>
  <c r="AE21" i="1" s="1"/>
  <c r="AH17" i="96"/>
  <c r="R28" i="95"/>
  <c r="Q30" i="80"/>
  <c r="O25" i="84"/>
  <c r="Q7" i="95"/>
  <c r="L7" i="95"/>
  <c r="AC22" i="96"/>
  <c r="K21" i="95"/>
  <c r="Q35" i="41"/>
  <c r="G21" i="95"/>
  <c r="K12" i="95"/>
  <c r="Y29" i="37"/>
  <c r="G12" i="95"/>
  <c r="Q23" i="95"/>
  <c r="M16" i="96" s="1"/>
  <c r="L23" i="95"/>
  <c r="AF16" i="71" s="1"/>
  <c r="S22" i="72"/>
  <c r="T22" i="72" s="1"/>
  <c r="K26" i="95"/>
  <c r="P27" i="42"/>
  <c r="G26" i="95"/>
  <c r="AH10" i="96"/>
  <c r="R18" i="95"/>
  <c r="Q22" i="95"/>
  <c r="M15" i="96" s="1"/>
  <c r="L22" i="95"/>
  <c r="AF15" i="71" s="1"/>
  <c r="Q26" i="95" l="1"/>
  <c r="L26" i="95"/>
  <c r="AE14" i="1"/>
  <c r="G24" i="95"/>
  <c r="Q14" i="95"/>
  <c r="M11" i="96" s="1"/>
  <c r="L14" i="95"/>
  <c r="AF11" i="71" s="1"/>
  <c r="S12" i="72"/>
  <c r="AC12" i="96"/>
  <c r="S15" i="72"/>
  <c r="Q21" i="95"/>
  <c r="L21" i="95"/>
  <c r="K30" i="95"/>
  <c r="G30" i="95"/>
  <c r="AE19" i="1" s="1"/>
  <c r="AC15" i="96"/>
  <c r="S16" i="72"/>
  <c r="Q17" i="95"/>
  <c r="M13" i="96" s="1"/>
  <c r="L17" i="95"/>
  <c r="AF13" i="71" s="1"/>
  <c r="AC16" i="96"/>
  <c r="M22" i="77"/>
  <c r="Q33" i="95"/>
  <c r="M21" i="96" s="1"/>
  <c r="L33" i="95"/>
  <c r="AF21" i="71" s="1"/>
  <c r="AE10" i="1"/>
  <c r="G18" i="95"/>
  <c r="L9" i="95"/>
  <c r="AF9" i="71"/>
  <c r="AE17" i="1"/>
  <c r="G28" i="95"/>
  <c r="M9" i="96"/>
  <c r="Q9" i="95"/>
  <c r="G34" i="95"/>
  <c r="AE20" i="1"/>
  <c r="Q12" i="95"/>
  <c r="L12" i="95"/>
  <c r="O35" i="84"/>
  <c r="P35" i="84" s="1"/>
  <c r="O36" i="84"/>
  <c r="P36" i="84" s="1"/>
  <c r="AG25" i="84"/>
  <c r="C25" i="85" s="1"/>
  <c r="Q27" i="95"/>
  <c r="M18" i="96" s="1"/>
  <c r="L27" i="95"/>
  <c r="AF18" i="71" s="1"/>
  <c r="G36" i="95" l="1"/>
  <c r="G40" i="95" s="1"/>
  <c r="P37" i="84"/>
  <c r="P39" i="84" s="1"/>
  <c r="P40" i="84" s="1"/>
  <c r="P41" i="84" s="1"/>
  <c r="S18" i="72"/>
  <c r="T18" i="72" s="1"/>
  <c r="S13" i="72"/>
  <c r="Q30" i="95"/>
  <c r="M19" i="96" s="1"/>
  <c r="L30" i="95"/>
  <c r="AF19" i="71" s="1"/>
  <c r="S21" i="72"/>
  <c r="AF14" i="71"/>
  <c r="L24" i="95"/>
  <c r="S11" i="72"/>
  <c r="AC13" i="96"/>
  <c r="L25" i="85"/>
  <c r="I25" i="85"/>
  <c r="O25" i="85"/>
  <c r="AC9" i="96"/>
  <c r="AC21" i="96"/>
  <c r="Q24" i="95"/>
  <c r="M14" i="96"/>
  <c r="AC11" i="96"/>
  <c r="AF10" i="71"/>
  <c r="L18" i="95"/>
  <c r="S9" i="72"/>
  <c r="M15" i="77"/>
  <c r="L28" i="95"/>
  <c r="AF17" i="71"/>
  <c r="AC18" i="96"/>
  <c r="Q18" i="95"/>
  <c r="M10" i="96"/>
  <c r="M16" i="77"/>
  <c r="AE24" i="1"/>
  <c r="M12" i="77"/>
  <c r="M17" i="96"/>
  <c r="Q28" i="95"/>
  <c r="S19" i="72" l="1"/>
  <c r="T19" i="72" s="1"/>
  <c r="AC19" i="96"/>
  <c r="M9" i="77"/>
  <c r="M21" i="77"/>
  <c r="M18" i="77"/>
  <c r="M11" i="77"/>
  <c r="S14" i="72"/>
  <c r="AC10" i="96"/>
  <c r="M13" i="77"/>
  <c r="AC17" i="96"/>
  <c r="S17" i="72"/>
  <c r="T17" i="72" s="1"/>
  <c r="S10" i="72"/>
  <c r="AC14" i="96"/>
  <c r="M14" i="77" l="1"/>
  <c r="M17" i="77"/>
  <c r="M10" i="77"/>
  <c r="M19" i="77"/>
  <c r="AK20" i="1" l="1"/>
  <c r="AM20" i="1" s="1"/>
  <c r="V30" i="70" l="1"/>
  <c r="AJ19" i="96" s="1"/>
  <c r="N30" i="70" l="1"/>
  <c r="AI19" i="71" s="1"/>
  <c r="Y19" i="72" s="1"/>
  <c r="Z19" i="72" s="1"/>
  <c r="U30" i="70"/>
  <c r="R19" i="96" s="1"/>
  <c r="AE19" i="96" s="1"/>
  <c r="S19" i="77" s="1"/>
  <c r="I30" i="70"/>
  <c r="AH19" i="1" s="1"/>
  <c r="V38" i="70"/>
  <c r="AJ22" i="96" s="1"/>
  <c r="V33" i="70"/>
  <c r="AJ21" i="96" s="1"/>
  <c r="V12" i="70"/>
  <c r="S33" i="80" l="1"/>
  <c r="O28" i="85" s="1"/>
  <c r="R28" i="85" s="1"/>
  <c r="V7" i="70"/>
  <c r="Y32" i="37"/>
  <c r="N12" i="70"/>
  <c r="U12" i="70"/>
  <c r="I12" i="70"/>
  <c r="N22" i="70"/>
  <c r="AI15" i="71" s="1"/>
  <c r="Y15" i="72" s="1"/>
  <c r="I7" i="70"/>
  <c r="S33" i="36"/>
  <c r="U7" i="70"/>
  <c r="N7" i="70"/>
  <c r="U33" i="70"/>
  <c r="R21" i="96" s="1"/>
  <c r="AE21" i="96" s="1"/>
  <c r="S21" i="77" s="1"/>
  <c r="N33" i="70"/>
  <c r="AI21" i="71" s="1"/>
  <c r="Y21" i="72" s="1"/>
  <c r="I33" i="70"/>
  <c r="AH21" i="1" s="1"/>
  <c r="AJ10" i="96"/>
  <c r="N38" i="70"/>
  <c r="AI22" i="71" s="1"/>
  <c r="Y22" i="72" s="1"/>
  <c r="Z22" i="72" s="1"/>
  <c r="V22" i="70"/>
  <c r="AJ15" i="96" s="1"/>
  <c r="U38" i="70" l="1"/>
  <c r="R22" i="96" s="1"/>
  <c r="AE22" i="96" s="1"/>
  <c r="S22" i="77" s="1"/>
  <c r="AH10" i="1"/>
  <c r="I22" i="70"/>
  <c r="AH15" i="1" s="1"/>
  <c r="N9" i="70"/>
  <c r="AI9" i="71"/>
  <c r="R10" i="96"/>
  <c r="AE10" i="96" s="1"/>
  <c r="S10" i="77" s="1"/>
  <c r="U22" i="70"/>
  <c r="R15" i="96" s="1"/>
  <c r="AE15" i="96" s="1"/>
  <c r="S15" i="77" s="1"/>
  <c r="U9" i="70"/>
  <c r="R9" i="96"/>
  <c r="AI10" i="71"/>
  <c r="Y10" i="72" s="1"/>
  <c r="Q33" i="80"/>
  <c r="X28" i="84"/>
  <c r="I38" i="70"/>
  <c r="AH22" i="1" s="1"/>
  <c r="AH9" i="1"/>
  <c r="I9" i="70"/>
  <c r="AJ9" i="96"/>
  <c r="V9" i="70"/>
  <c r="AE9" i="96" l="1"/>
  <c r="Y9" i="72"/>
  <c r="AG28" i="84"/>
  <c r="C28" i="85" s="1"/>
  <c r="X35" i="84"/>
  <c r="Y35" i="84" s="1"/>
  <c r="X36" i="84"/>
  <c r="Y36" i="84" s="1"/>
  <c r="Y37" i="84" l="1"/>
  <c r="Y39" i="84" s="1"/>
  <c r="Y40" i="84" s="1"/>
  <c r="Y41" i="84" s="1"/>
  <c r="I28" i="85"/>
  <c r="L28" i="85"/>
  <c r="F28" i="85"/>
  <c r="S9" i="77"/>
  <c r="AK22" i="1" l="1"/>
  <c r="AM22" i="1" s="1"/>
  <c r="U22" i="71" l="1"/>
  <c r="H22" i="72" l="1"/>
  <c r="L32" i="95" l="1"/>
  <c r="N16" i="72" l="1"/>
  <c r="E18" i="88"/>
  <c r="F18" i="88" s="1"/>
  <c r="AF16" i="72"/>
  <c r="AI16" i="72"/>
  <c r="Q16" i="72"/>
  <c r="K16" i="72"/>
  <c r="AL16" i="72"/>
  <c r="T16" i="72"/>
  <c r="N11" i="72"/>
  <c r="E13" i="88"/>
  <c r="F13" i="88" s="1"/>
  <c r="AI11" i="72"/>
  <c r="Q11" i="72"/>
  <c r="K11" i="72"/>
  <c r="AF11" i="72"/>
  <c r="AL11" i="72"/>
  <c r="T11" i="72"/>
  <c r="E17" i="88"/>
  <c r="F17" i="88" s="1"/>
  <c r="N15" i="72"/>
  <c r="AF15" i="72"/>
  <c r="AI15" i="72"/>
  <c r="Q15" i="72"/>
  <c r="K15" i="72"/>
  <c r="AL15" i="72"/>
  <c r="T15" i="72"/>
  <c r="Z15" i="72"/>
  <c r="R32" i="95"/>
  <c r="Q32" i="95"/>
  <c r="E16" i="88"/>
  <c r="F16" i="88" s="1"/>
  <c r="N14" i="72"/>
  <c r="Q14" i="72"/>
  <c r="AI14" i="72"/>
  <c r="K14" i="72"/>
  <c r="AF14" i="72"/>
  <c r="AL14" i="72"/>
  <c r="T14" i="72"/>
  <c r="L34" i="95"/>
  <c r="L36" i="95" s="1"/>
  <c r="L40" i="95" s="1"/>
  <c r="AF20" i="71"/>
  <c r="N20" i="72"/>
  <c r="E22" i="88"/>
  <c r="F22" i="88" s="1"/>
  <c r="Q20" i="72"/>
  <c r="AF20" i="72"/>
  <c r="AI20" i="72"/>
  <c r="K20" i="72"/>
  <c r="AL20" i="72"/>
  <c r="V32" i="70"/>
  <c r="I32" i="70"/>
  <c r="N32" i="70" l="1"/>
  <c r="AI20" i="71" s="1"/>
  <c r="Y20" i="72" s="1"/>
  <c r="Z20" i="72" s="1"/>
  <c r="Q34" i="95"/>
  <c r="Q36" i="95" s="1"/>
  <c r="Q40" i="95" s="1"/>
  <c r="M26" i="96" s="1"/>
  <c r="M20" i="96"/>
  <c r="N34" i="70"/>
  <c r="U20" i="71"/>
  <c r="AH20" i="96"/>
  <c r="AH24" i="96" s="1"/>
  <c r="R34" i="95"/>
  <c r="R36" i="95" s="1"/>
  <c r="R40" i="95" s="1"/>
  <c r="N12" i="72"/>
  <c r="E14" i="88"/>
  <c r="F14" i="88" s="1"/>
  <c r="AI12" i="72"/>
  <c r="Q12" i="72"/>
  <c r="K12" i="72"/>
  <c r="AF12" i="72"/>
  <c r="AL12" i="72"/>
  <c r="T12" i="72"/>
  <c r="I34" i="70"/>
  <c r="AH20" i="1"/>
  <c r="S20" i="72"/>
  <c r="AF24" i="71"/>
  <c r="AF31" i="71" s="1"/>
  <c r="AF26" i="71"/>
  <c r="L43" i="95"/>
  <c r="U32" i="70"/>
  <c r="V34" i="70"/>
  <c r="AJ20" i="96"/>
  <c r="N21" i="72"/>
  <c r="E23" i="88"/>
  <c r="F23" i="88" s="1"/>
  <c r="AI21" i="72"/>
  <c r="AF21" i="72"/>
  <c r="Q21" i="72"/>
  <c r="K21" i="72"/>
  <c r="AL21" i="72"/>
  <c r="T21" i="72"/>
  <c r="Z21" i="72"/>
  <c r="AF27" i="71" l="1"/>
  <c r="AH26" i="96"/>
  <c r="AH27" i="96" s="1"/>
  <c r="R45" i="95"/>
  <c r="R43" i="95"/>
  <c r="U15" i="71"/>
  <c r="H20" i="72"/>
  <c r="T20" i="72"/>
  <c r="S23" i="72"/>
  <c r="S40" i="72" s="1"/>
  <c r="AC20" i="96"/>
  <c r="M24" i="96"/>
  <c r="M27" i="96" s="1"/>
  <c r="U34" i="70"/>
  <c r="R20" i="96"/>
  <c r="AE20" i="96" s="1"/>
  <c r="S20" i="77" s="1"/>
  <c r="H15" i="72" l="1"/>
  <c r="M20" i="77"/>
  <c r="AC24" i="96"/>
  <c r="AH31" i="96" s="1"/>
  <c r="M23" i="77" l="1"/>
  <c r="M35" i="77" s="1"/>
  <c r="E11" i="88" l="1"/>
  <c r="N9" i="72"/>
  <c r="K9" i="72"/>
  <c r="Q9" i="72"/>
  <c r="AI9" i="72"/>
  <c r="AF9" i="72"/>
  <c r="AL9" i="72"/>
  <c r="T9" i="72"/>
  <c r="Z9" i="72"/>
  <c r="E15" i="88" l="1"/>
  <c r="F15" i="88" s="1"/>
  <c r="N13" i="72"/>
  <c r="AL13" i="72"/>
  <c r="AI13" i="72"/>
  <c r="Q13" i="72"/>
  <c r="K13" i="72"/>
  <c r="AF13" i="72"/>
  <c r="T13" i="72"/>
  <c r="F11" i="88"/>
  <c r="E12" i="88" l="1"/>
  <c r="N10" i="72"/>
  <c r="Q10" i="72"/>
  <c r="AF10" i="72"/>
  <c r="AI10" i="72"/>
  <c r="K10" i="72"/>
  <c r="AL10" i="72"/>
  <c r="T10" i="72"/>
  <c r="Z10" i="72"/>
  <c r="E23" i="72"/>
  <c r="E40" i="72" s="1"/>
  <c r="E26" i="72" l="1"/>
  <c r="N23" i="72"/>
  <c r="N40" i="72" s="1"/>
  <c r="Q23" i="72"/>
  <c r="Q40" i="72" s="1"/>
  <c r="AI23" i="72"/>
  <c r="AI40" i="72" s="1"/>
  <c r="K23" i="72"/>
  <c r="K40" i="72" s="1"/>
  <c r="AF23" i="72"/>
  <c r="AF40" i="72" s="1"/>
  <c r="AL23" i="72"/>
  <c r="AL40" i="72" s="1"/>
  <c r="T23" i="72"/>
  <c r="T40" i="72" s="1"/>
  <c r="F12" i="88"/>
  <c r="E25" i="88"/>
  <c r="F25" i="88" s="1"/>
  <c r="AK21" i="1" l="1"/>
  <c r="AM21" i="1" s="1"/>
  <c r="U21" i="71" l="1"/>
  <c r="H21" i="72" l="1"/>
  <c r="AK19" i="1" l="1"/>
  <c r="AM19" i="1" s="1"/>
  <c r="S22" i="39" l="1"/>
  <c r="F15" i="84" l="1"/>
  <c r="Q18" i="80"/>
  <c r="U18" i="36"/>
  <c r="R18" i="43"/>
  <c r="F16" i="84"/>
  <c r="U19" i="36"/>
  <c r="Q19" i="80"/>
  <c r="AK17" i="1"/>
  <c r="AM17" i="1" s="1"/>
  <c r="AK16" i="1"/>
  <c r="AM16" i="1" s="1"/>
  <c r="AK18" i="1"/>
  <c r="AM18" i="1" s="1"/>
  <c r="AG16" i="84" l="1"/>
  <c r="F36" i="84"/>
  <c r="G36" i="84" s="1"/>
  <c r="R18" i="42"/>
  <c r="S22" i="41"/>
  <c r="S18" i="80"/>
  <c r="S19" i="80"/>
  <c r="F35" i="84"/>
  <c r="G35" i="84" s="1"/>
  <c r="G37" i="84" s="1"/>
  <c r="G39" i="84" s="1"/>
  <c r="G40" i="84" s="1"/>
  <c r="G41" i="84" s="1"/>
  <c r="AG15" i="84"/>
  <c r="AK12" i="1"/>
  <c r="AM12" i="1" s="1"/>
  <c r="V15" i="70"/>
  <c r="Y18" i="37" l="1"/>
  <c r="AB18" i="37" s="1"/>
  <c r="AA18" i="37"/>
  <c r="S29" i="38"/>
  <c r="S31" i="38"/>
  <c r="S34" i="40"/>
  <c r="C15" i="85"/>
  <c r="S33" i="40"/>
  <c r="S28" i="38"/>
  <c r="S30" i="38"/>
  <c r="S35" i="40"/>
  <c r="S36" i="40"/>
  <c r="AA19" i="37"/>
  <c r="Y19" i="37"/>
  <c r="AB19" i="37" s="1"/>
  <c r="U19" i="80"/>
  <c r="S32" i="40"/>
  <c r="N15" i="70"/>
  <c r="U15" i="70"/>
  <c r="I15" i="70"/>
  <c r="S37" i="40"/>
  <c r="AK9" i="1"/>
  <c r="U19" i="71"/>
  <c r="U18" i="80"/>
  <c r="C16" i="85"/>
  <c r="AK14" i="1"/>
  <c r="AM14" i="1" s="1"/>
  <c r="AK13" i="1"/>
  <c r="AM13" i="1" s="1"/>
  <c r="V27" i="70"/>
  <c r="AJ18" i="96" s="1"/>
  <c r="AK11" i="1"/>
  <c r="AM11" i="1" s="1"/>
  <c r="V23" i="70"/>
  <c r="AJ16" i="96" s="1"/>
  <c r="U16" i="71" l="1"/>
  <c r="P30" i="43"/>
  <c r="U27" i="70"/>
  <c r="R18" i="96" s="1"/>
  <c r="AE18" i="96" s="1"/>
  <c r="S18" i="77" s="1"/>
  <c r="N27" i="70"/>
  <c r="AI18" i="71" s="1"/>
  <c r="Y18" i="72" s="1"/>
  <c r="Z18" i="72" s="1"/>
  <c r="I27" i="70"/>
  <c r="AH18" i="1" s="1"/>
  <c r="N23" i="70"/>
  <c r="AI16" i="71" s="1"/>
  <c r="Y16" i="72" s="1"/>
  <c r="Z16" i="72" s="1"/>
  <c r="U23" i="70"/>
  <c r="R16" i="96" s="1"/>
  <c r="AE16" i="96" s="1"/>
  <c r="S16" i="77" s="1"/>
  <c r="I23" i="70"/>
  <c r="AH16" i="1" s="1"/>
  <c r="U18" i="71"/>
  <c r="V16" i="70"/>
  <c r="AJ12" i="96" s="1"/>
  <c r="V20" i="70"/>
  <c r="H19" i="72"/>
  <c r="AA20" i="37"/>
  <c r="Y20" i="37"/>
  <c r="AB20" i="37" s="1"/>
  <c r="AM9" i="1"/>
  <c r="F15" i="85"/>
  <c r="O15" i="85"/>
  <c r="I15" i="85"/>
  <c r="R15" i="85"/>
  <c r="L15" i="85"/>
  <c r="U12" i="71"/>
  <c r="R16" i="85"/>
  <c r="L16" i="85"/>
  <c r="I16" i="85"/>
  <c r="F16" i="85"/>
  <c r="O16" i="85"/>
  <c r="V21" i="70"/>
  <c r="V26" i="70"/>
  <c r="V13" i="70" l="1"/>
  <c r="AJ17" i="96"/>
  <c r="V28" i="70"/>
  <c r="H12" i="72"/>
  <c r="O63" i="40" s="1"/>
  <c r="Q38" i="39"/>
  <c r="U16" i="70"/>
  <c r="R12" i="96" s="1"/>
  <c r="AE12" i="96" s="1"/>
  <c r="S12" i="77" s="1"/>
  <c r="N16" i="70"/>
  <c r="AI12" i="71" s="1"/>
  <c r="Y12" i="72" s="1"/>
  <c r="Z12" i="72" s="1"/>
  <c r="I16" i="70"/>
  <c r="AH12" i="1" s="1"/>
  <c r="H9" i="72"/>
  <c r="AK10" i="1"/>
  <c r="W24" i="1"/>
  <c r="Q38" i="41"/>
  <c r="N21" i="70"/>
  <c r="U21" i="70"/>
  <c r="I21" i="70"/>
  <c r="U9" i="71"/>
  <c r="H18" i="72"/>
  <c r="N37" i="43" s="1"/>
  <c r="U17" i="71"/>
  <c r="U20" i="70"/>
  <c r="N20" i="70"/>
  <c r="I20" i="70"/>
  <c r="H16" i="72"/>
  <c r="U10" i="71"/>
  <c r="E24" i="96"/>
  <c r="P30" i="42"/>
  <c r="U26" i="70"/>
  <c r="N26" i="70"/>
  <c r="I26" i="70"/>
  <c r="U14" i="71"/>
  <c r="AJ14" i="96"/>
  <c r="V24" i="70"/>
  <c r="V14" i="70"/>
  <c r="E27" i="96" l="1"/>
  <c r="V17" i="70"/>
  <c r="AJ13" i="96" s="1"/>
  <c r="AH17" i="1"/>
  <c r="I28" i="70"/>
  <c r="N28" i="70"/>
  <c r="AI17" i="71"/>
  <c r="Y17" i="72" s="1"/>
  <c r="Z17" i="72" s="1"/>
  <c r="H17" i="72"/>
  <c r="N37" i="42" s="1"/>
  <c r="Q40" i="36"/>
  <c r="Q40" i="80"/>
  <c r="U28" i="70"/>
  <c r="R17" i="96"/>
  <c r="AE17" i="96" s="1"/>
  <c r="S17" i="77" s="1"/>
  <c r="AM10" i="1"/>
  <c r="AK24" i="1"/>
  <c r="AM24" i="1" s="1"/>
  <c r="AJ11" i="96"/>
  <c r="AH14" i="1"/>
  <c r="I24" i="70"/>
  <c r="N13" i="70"/>
  <c r="U13" i="70"/>
  <c r="I13" i="70"/>
  <c r="Q54" i="40"/>
  <c r="I17" i="70"/>
  <c r="AH13" i="1" s="1"/>
  <c r="U17" i="70"/>
  <c r="R13" i="96" s="1"/>
  <c r="AE13" i="96" s="1"/>
  <c r="S13" i="77" s="1"/>
  <c r="N17" i="70"/>
  <c r="AI13" i="71" s="1"/>
  <c r="Y13" i="72" s="1"/>
  <c r="Z13" i="72" s="1"/>
  <c r="Q49" i="38"/>
  <c r="U14" i="70"/>
  <c r="N14" i="70"/>
  <c r="I14" i="70"/>
  <c r="AI14" i="71"/>
  <c r="Y14" i="72" s="1"/>
  <c r="Z14" i="72" s="1"/>
  <c r="N24" i="70"/>
  <c r="R14" i="96"/>
  <c r="AE14" i="96" s="1"/>
  <c r="S14" i="77" s="1"/>
  <c r="U24" i="70"/>
  <c r="U11" i="71"/>
  <c r="U13" i="71"/>
  <c r="H14" i="72"/>
  <c r="O47" i="41" s="1"/>
  <c r="H10" i="72"/>
  <c r="U39" i="37" s="1"/>
  <c r="V15" i="69"/>
  <c r="V18" i="70" l="1"/>
  <c r="V36" i="70" s="1"/>
  <c r="V40" i="70" s="1"/>
  <c r="V43" i="70" s="1"/>
  <c r="AJ24" i="96"/>
  <c r="E24" i="71"/>
  <c r="U15" i="69"/>
  <c r="E27" i="71"/>
  <c r="AH11" i="1"/>
  <c r="AH24" i="1" s="1"/>
  <c r="I18" i="70"/>
  <c r="I36" i="70" s="1"/>
  <c r="I40" i="70" s="1"/>
  <c r="R11" i="96"/>
  <c r="U18" i="70"/>
  <c r="U36" i="70" s="1"/>
  <c r="U40" i="70" s="1"/>
  <c r="R26" i="96" s="1"/>
  <c r="AI11" i="71"/>
  <c r="N18" i="70"/>
  <c r="N36" i="70" s="1"/>
  <c r="N40" i="70" s="1"/>
  <c r="S32" i="80"/>
  <c r="V7" i="69"/>
  <c r="N38" i="69"/>
  <c r="AH22" i="71" s="1"/>
  <c r="U38" i="69"/>
  <c r="Q22" i="96" s="1"/>
  <c r="I38" i="69"/>
  <c r="AG22" i="1" s="1"/>
  <c r="AI22" i="1" s="1"/>
  <c r="AJ22" i="1" s="1"/>
  <c r="AL22" i="1" s="1"/>
  <c r="AN22" i="1" s="1"/>
  <c r="U24" i="71"/>
  <c r="V30" i="69"/>
  <c r="AI19" i="96" s="1"/>
  <c r="H13" i="72"/>
  <c r="AJ26" i="96"/>
  <c r="V38" i="69"/>
  <c r="AI22" i="96" s="1"/>
  <c r="S32" i="36"/>
  <c r="N7" i="69"/>
  <c r="U7" i="69"/>
  <c r="I7" i="69"/>
  <c r="H11" i="72"/>
  <c r="G23" i="72"/>
  <c r="G40" i="72" s="1"/>
  <c r="V33" i="69"/>
  <c r="AI21" i="96" s="1"/>
  <c r="V23" i="69"/>
  <c r="AI16" i="96" s="1"/>
  <c r="V12" i="69"/>
  <c r="AJ27" i="96" l="1"/>
  <c r="N15" i="69"/>
  <c r="I15" i="69"/>
  <c r="N9" i="69"/>
  <c r="AH9" i="71"/>
  <c r="V9" i="69"/>
  <c r="AI9" i="96"/>
  <c r="U27" i="84"/>
  <c r="Q32" i="80"/>
  <c r="S12" i="36"/>
  <c r="U12" i="36" s="1"/>
  <c r="S11" i="36"/>
  <c r="L27" i="85"/>
  <c r="S12" i="80"/>
  <c r="S11" i="80"/>
  <c r="V32" i="69"/>
  <c r="V22" i="69"/>
  <c r="AI15" i="96" s="1"/>
  <c r="N43" i="70"/>
  <c r="AI26" i="71"/>
  <c r="Y31" i="37"/>
  <c r="U12" i="69"/>
  <c r="N12" i="69"/>
  <c r="I12" i="69"/>
  <c r="U23" i="69"/>
  <c r="Q16" i="96" s="1"/>
  <c r="N23" i="69"/>
  <c r="AH16" i="71" s="1"/>
  <c r="I23" i="69"/>
  <c r="AG16" i="1" s="1"/>
  <c r="AI16" i="1" s="1"/>
  <c r="AJ16" i="1" s="1"/>
  <c r="AL16" i="1" s="1"/>
  <c r="AN16" i="1" s="1"/>
  <c r="V20" i="69"/>
  <c r="H23" i="72"/>
  <c r="H40" i="72" s="1"/>
  <c r="Y11" i="72"/>
  <c r="AI24" i="71"/>
  <c r="AI31" i="71" s="1"/>
  <c r="V13" i="69"/>
  <c r="U22" i="69"/>
  <c r="Q15" i="96" s="1"/>
  <c r="N22" i="69"/>
  <c r="AH15" i="71" s="1"/>
  <c r="I22" i="69"/>
  <c r="AG15" i="1" s="1"/>
  <c r="AI15" i="1" s="1"/>
  <c r="AJ15" i="1" s="1"/>
  <c r="AL15" i="1" s="1"/>
  <c r="AN15" i="1" s="1"/>
  <c r="V16" i="69"/>
  <c r="AI12" i="96" s="1"/>
  <c r="V45" i="70"/>
  <c r="AE11" i="96"/>
  <c r="R24" i="96"/>
  <c r="R27" i="96" s="1"/>
  <c r="U33" i="69"/>
  <c r="Q21" i="96" s="1"/>
  <c r="N33" i="69"/>
  <c r="AH21" i="71" s="1"/>
  <c r="I33" i="69"/>
  <c r="AG21" i="1" s="1"/>
  <c r="AI21" i="1" s="1"/>
  <c r="AJ21" i="1" s="1"/>
  <c r="AL21" i="1" s="1"/>
  <c r="AN21" i="1" s="1"/>
  <c r="AI10" i="96"/>
  <c r="O55" i="38"/>
  <c r="O47" i="39"/>
  <c r="N30" i="69"/>
  <c r="AH19" i="71" s="1"/>
  <c r="U30" i="69"/>
  <c r="Q19" i="96" s="1"/>
  <c r="I30" i="69"/>
  <c r="AG19" i="1" s="1"/>
  <c r="AI19" i="1" s="1"/>
  <c r="AJ19" i="1" s="1"/>
  <c r="AL19" i="1" s="1"/>
  <c r="AN19" i="1" s="1"/>
  <c r="W27" i="1"/>
  <c r="AG9" i="1"/>
  <c r="I9" i="69"/>
  <c r="AD22" i="96"/>
  <c r="AK22" i="96" s="1"/>
  <c r="X22" i="96"/>
  <c r="Y22" i="96" s="1"/>
  <c r="U9" i="69"/>
  <c r="Q9" i="96"/>
  <c r="V22" i="72"/>
  <c r="AL22" i="71"/>
  <c r="V21" i="69"/>
  <c r="V26" i="69"/>
  <c r="V27" i="69"/>
  <c r="AI18" i="96" s="1"/>
  <c r="V14" i="69"/>
  <c r="V17" i="69" l="1"/>
  <c r="AI13" i="96" s="1"/>
  <c r="AI27" i="71"/>
  <c r="V21" i="72"/>
  <c r="AL21" i="71"/>
  <c r="AD15" i="96"/>
  <c r="X15" i="96"/>
  <c r="Y15" i="96" s="1"/>
  <c r="N13" i="69"/>
  <c r="U13" i="69"/>
  <c r="I13" i="69"/>
  <c r="AL22" i="96"/>
  <c r="E22" i="77"/>
  <c r="AD21" i="96"/>
  <c r="X21" i="96"/>
  <c r="Y21" i="96" s="1"/>
  <c r="AI11" i="96"/>
  <c r="P29" i="42"/>
  <c r="P14" i="42" s="1"/>
  <c r="U26" i="69"/>
  <c r="N26" i="69"/>
  <c r="I26" i="69"/>
  <c r="Q48" i="38"/>
  <c r="N14" i="69"/>
  <c r="U14" i="69"/>
  <c r="I14" i="69"/>
  <c r="AM22" i="96"/>
  <c r="V16" i="72"/>
  <c r="AL16" i="71"/>
  <c r="R27" i="85"/>
  <c r="L35" i="85"/>
  <c r="M35" i="85" s="1"/>
  <c r="L36" i="85"/>
  <c r="M36" i="85" s="1"/>
  <c r="S11" i="77"/>
  <c r="AE24" i="96"/>
  <c r="AJ31" i="96" s="1"/>
  <c r="AI14" i="96"/>
  <c r="V24" i="69"/>
  <c r="AD16" i="96"/>
  <c r="X16" i="96"/>
  <c r="Y16" i="96" s="1"/>
  <c r="J19" i="36"/>
  <c r="J22" i="36"/>
  <c r="J11" i="36"/>
  <c r="J20" i="36"/>
  <c r="J27" i="36"/>
  <c r="J26" i="36"/>
  <c r="J9" i="36"/>
  <c r="J21" i="36"/>
  <c r="J23" i="36"/>
  <c r="J25" i="36"/>
  <c r="U11" i="36"/>
  <c r="J16" i="36"/>
  <c r="J28" i="36"/>
  <c r="J18" i="36"/>
  <c r="J12" i="36"/>
  <c r="J14" i="36"/>
  <c r="J31" i="36"/>
  <c r="J15" i="36"/>
  <c r="J24" i="36"/>
  <c r="J13" i="36"/>
  <c r="J30" i="36"/>
  <c r="J10" i="36"/>
  <c r="J17" i="36"/>
  <c r="J29" i="36"/>
  <c r="J25" i="80"/>
  <c r="J13" i="80"/>
  <c r="J10" i="80"/>
  <c r="J14" i="80"/>
  <c r="J27" i="80"/>
  <c r="J28" i="80"/>
  <c r="J9" i="80"/>
  <c r="J30" i="80"/>
  <c r="J24" i="80"/>
  <c r="J29" i="80"/>
  <c r="J19" i="80"/>
  <c r="J12" i="80"/>
  <c r="J20" i="80"/>
  <c r="J21" i="80"/>
  <c r="J17" i="80"/>
  <c r="J23" i="80"/>
  <c r="J26" i="80"/>
  <c r="J11" i="80"/>
  <c r="J22" i="80"/>
  <c r="J31" i="80"/>
  <c r="J16" i="80"/>
  <c r="J18" i="80"/>
  <c r="J15" i="80"/>
  <c r="Q37" i="41"/>
  <c r="Q12" i="41" s="1"/>
  <c r="N21" i="69"/>
  <c r="U21" i="69"/>
  <c r="I21" i="69"/>
  <c r="P29" i="43"/>
  <c r="P14" i="43" s="1"/>
  <c r="U27" i="69"/>
  <c r="Q18" i="96" s="1"/>
  <c r="N27" i="69"/>
  <c r="AH18" i="71" s="1"/>
  <c r="I27" i="69"/>
  <c r="AG18" i="1" s="1"/>
  <c r="AI18" i="1" s="1"/>
  <c r="AJ18" i="1" s="1"/>
  <c r="AL18" i="1" s="1"/>
  <c r="AN18" i="1" s="1"/>
  <c r="AI9" i="1"/>
  <c r="Q37" i="39"/>
  <c r="Q12" i="39" s="1"/>
  <c r="U16" i="69"/>
  <c r="Q12" i="96" s="1"/>
  <c r="N16" i="69"/>
  <c r="AH12" i="71" s="1"/>
  <c r="I16" i="69"/>
  <c r="AG12" i="1" s="1"/>
  <c r="AI12" i="1" s="1"/>
  <c r="AJ12" i="1" s="1"/>
  <c r="AL12" i="1" s="1"/>
  <c r="AN12" i="1" s="1"/>
  <c r="AG10" i="1"/>
  <c r="AI10" i="1" s="1"/>
  <c r="AJ10" i="1" s="1"/>
  <c r="AL10" i="1" s="1"/>
  <c r="AN10" i="1" s="1"/>
  <c r="P22" i="77"/>
  <c r="Q22" i="77" s="1"/>
  <c r="AN22" i="71"/>
  <c r="AM22" i="71"/>
  <c r="AD19" i="96"/>
  <c r="X19" i="96"/>
  <c r="Y19" i="96" s="1"/>
  <c r="V18" i="69"/>
  <c r="Z11" i="72"/>
  <c r="Y23" i="72"/>
  <c r="U32" i="69"/>
  <c r="N32" i="69"/>
  <c r="I32" i="69"/>
  <c r="AH10" i="71"/>
  <c r="AI20" i="96"/>
  <c r="V34" i="69"/>
  <c r="Q11" i="80"/>
  <c r="U11" i="80" s="1"/>
  <c r="Q12" i="80"/>
  <c r="U12" i="80" s="1"/>
  <c r="V9" i="72"/>
  <c r="AL9" i="71"/>
  <c r="Q53" i="40"/>
  <c r="I17" i="69"/>
  <c r="AG13" i="1" s="1"/>
  <c r="AI13" i="1" s="1"/>
  <c r="AJ13" i="1" s="1"/>
  <c r="AL13" i="1" s="1"/>
  <c r="AN13" i="1" s="1"/>
  <c r="U17" i="69"/>
  <c r="Q13" i="96" s="1"/>
  <c r="N17" i="69"/>
  <c r="AH13" i="71" s="1"/>
  <c r="W22" i="72"/>
  <c r="AB22" i="72"/>
  <c r="V19" i="72"/>
  <c r="AL19" i="71"/>
  <c r="Q10" i="96"/>
  <c r="U36" i="84"/>
  <c r="V36" i="84" s="1"/>
  <c r="AG27" i="84"/>
  <c r="U35" i="84"/>
  <c r="V35" i="84" s="1"/>
  <c r="V37" i="84" s="1"/>
  <c r="V39" i="84" s="1"/>
  <c r="V40" i="84" s="1"/>
  <c r="V41" i="84" s="1"/>
  <c r="V28" i="69"/>
  <c r="AI17" i="96"/>
  <c r="AD9" i="96"/>
  <c r="X9" i="96"/>
  <c r="V15" i="72"/>
  <c r="AL15" i="71"/>
  <c r="U20" i="69"/>
  <c r="N20" i="69"/>
  <c r="I20" i="69"/>
  <c r="X12" i="37"/>
  <c r="X13" i="37"/>
  <c r="X14" i="37"/>
  <c r="Z23" i="72" l="1"/>
  <c r="Z40" i="72" s="1"/>
  <c r="Y40" i="72"/>
  <c r="AI24" i="96"/>
  <c r="I18" i="69"/>
  <c r="I34" i="69"/>
  <c r="AG20" i="1"/>
  <c r="AI20" i="1" s="1"/>
  <c r="AJ20" i="1" s="1"/>
  <c r="AL20" i="1" s="1"/>
  <c r="AN20" i="1" s="1"/>
  <c r="AD12" i="96"/>
  <c r="X12" i="96"/>
  <c r="Y12" i="96" s="1"/>
  <c r="J21" i="82"/>
  <c r="J9" i="82"/>
  <c r="AN15" i="71"/>
  <c r="AM15" i="71"/>
  <c r="W9" i="72"/>
  <c r="AB9" i="72"/>
  <c r="N34" i="69"/>
  <c r="AH20" i="71"/>
  <c r="S12" i="39"/>
  <c r="I11" i="39"/>
  <c r="K11" i="39" s="1"/>
  <c r="I30" i="39"/>
  <c r="K30" i="39" s="1"/>
  <c r="I23" i="39"/>
  <c r="K23" i="39" s="1"/>
  <c r="I34" i="39"/>
  <c r="K34" i="39" s="1"/>
  <c r="I26" i="39"/>
  <c r="K26" i="39" s="1"/>
  <c r="I14" i="39"/>
  <c r="K14" i="39" s="1"/>
  <c r="I10" i="39"/>
  <c r="K10" i="39" s="1"/>
  <c r="I35" i="39"/>
  <c r="K35" i="39" s="1"/>
  <c r="I31" i="39"/>
  <c r="K31" i="39" s="1"/>
  <c r="I15" i="39"/>
  <c r="K15" i="39" s="1"/>
  <c r="I36" i="39"/>
  <c r="K36" i="39" s="1"/>
  <c r="I20" i="39"/>
  <c r="K20" i="39" s="1"/>
  <c r="I32" i="39"/>
  <c r="K32" i="39" s="1"/>
  <c r="I19" i="39"/>
  <c r="K19" i="39" s="1"/>
  <c r="I18" i="39"/>
  <c r="K18" i="39" s="1"/>
  <c r="I24" i="39"/>
  <c r="K24" i="39" s="1"/>
  <c r="I22" i="39"/>
  <c r="K22" i="39" s="1"/>
  <c r="I27" i="39"/>
  <c r="K27" i="39" s="1"/>
  <c r="I28" i="39"/>
  <c r="K28" i="39" s="1"/>
  <c r="I12" i="39"/>
  <c r="K12" i="39" s="1"/>
  <c r="I16" i="39"/>
  <c r="K16" i="39" s="1"/>
  <c r="J10" i="82"/>
  <c r="J28" i="82"/>
  <c r="L13" i="36"/>
  <c r="N13" i="36"/>
  <c r="I12" i="82"/>
  <c r="M12" i="82" s="1"/>
  <c r="Q12" i="82" s="1"/>
  <c r="I15" i="82"/>
  <c r="M15" i="82" s="1"/>
  <c r="Q15" i="82" s="1"/>
  <c r="N16" i="36"/>
  <c r="L16" i="36"/>
  <c r="L20" i="36"/>
  <c r="N20" i="36"/>
  <c r="I19" i="82"/>
  <c r="M19" i="82" s="1"/>
  <c r="Q19" i="82" s="1"/>
  <c r="Q17" i="96"/>
  <c r="U28" i="69"/>
  <c r="AG11" i="1"/>
  <c r="AC22" i="72"/>
  <c r="AN22" i="72"/>
  <c r="J18" i="82"/>
  <c r="W15" i="72"/>
  <c r="AB15" i="72"/>
  <c r="C27" i="85"/>
  <c r="AG36" i="84"/>
  <c r="AH36" i="84" s="1"/>
  <c r="AG35" i="84"/>
  <c r="AH35" i="84" s="1"/>
  <c r="U34" i="69"/>
  <c r="Q20" i="96"/>
  <c r="AJ9" i="1"/>
  <c r="J25" i="82"/>
  <c r="J23" i="82"/>
  <c r="J12" i="82"/>
  <c r="L24" i="36"/>
  <c r="I23" i="82"/>
  <c r="M23" i="82" s="1"/>
  <c r="Q23" i="82" s="1"/>
  <c r="N24" i="36"/>
  <c r="N11" i="36"/>
  <c r="L11" i="36"/>
  <c r="I10" i="82"/>
  <c r="M10" i="82" s="1"/>
  <c r="Q10" i="82" s="1"/>
  <c r="S23" i="77"/>
  <c r="S35" i="77" s="1"/>
  <c r="I19" i="42"/>
  <c r="K19" i="42" s="1"/>
  <c r="I13" i="42"/>
  <c r="K13" i="42" s="1"/>
  <c r="I26" i="42"/>
  <c r="K26" i="42" s="1"/>
  <c r="I31" i="42"/>
  <c r="K31" i="42" s="1"/>
  <c r="I14" i="42"/>
  <c r="K14" i="42" s="1"/>
  <c r="I18" i="42"/>
  <c r="K18" i="42" s="1"/>
  <c r="I23" i="42"/>
  <c r="K23" i="42" s="1"/>
  <c r="I33" i="42"/>
  <c r="K33" i="42" s="1"/>
  <c r="I17" i="42"/>
  <c r="K17" i="42" s="1"/>
  <c r="I15" i="42"/>
  <c r="K15" i="42" s="1"/>
  <c r="I27" i="42"/>
  <c r="K27" i="42" s="1"/>
  <c r="I21" i="42"/>
  <c r="K21" i="42" s="1"/>
  <c r="R14" i="42"/>
  <c r="I22" i="42"/>
  <c r="K22" i="42" s="1"/>
  <c r="I34" i="42"/>
  <c r="K34" i="42" s="1"/>
  <c r="I29" i="42"/>
  <c r="K29" i="42" s="1"/>
  <c r="I30" i="42"/>
  <c r="K30" i="42" s="1"/>
  <c r="I35" i="42"/>
  <c r="K35" i="42" s="1"/>
  <c r="I25" i="42"/>
  <c r="K25" i="42" s="1"/>
  <c r="Q11" i="96"/>
  <c r="I26" i="82"/>
  <c r="M26" i="82" s="1"/>
  <c r="Q26" i="82" s="1"/>
  <c r="L27" i="36"/>
  <c r="N27" i="36"/>
  <c r="H14" i="37"/>
  <c r="H18" i="37"/>
  <c r="H23" i="37"/>
  <c r="H32" i="37"/>
  <c r="H22" i="37"/>
  <c r="H30" i="37"/>
  <c r="H10" i="37"/>
  <c r="H20" i="37"/>
  <c r="H38" i="37"/>
  <c r="H12" i="37"/>
  <c r="AA14" i="37"/>
  <c r="H39" i="37"/>
  <c r="H15" i="37"/>
  <c r="H26" i="37"/>
  <c r="Y14" i="37"/>
  <c r="H34" i="37"/>
  <c r="H40" i="37"/>
  <c r="H24" i="37"/>
  <c r="H36" i="37"/>
  <c r="H11" i="37"/>
  <c r="H16" i="37"/>
  <c r="H28" i="37"/>
  <c r="H31" i="37"/>
  <c r="H19" i="37"/>
  <c r="H35" i="37"/>
  <c r="H27" i="37"/>
  <c r="Y9" i="96"/>
  <c r="V13" i="72"/>
  <c r="AL13" i="71"/>
  <c r="H26" i="80"/>
  <c r="N26" i="80" s="1"/>
  <c r="H24" i="80"/>
  <c r="L24" i="80" s="1"/>
  <c r="H15" i="80"/>
  <c r="L15" i="80" s="1"/>
  <c r="H20" i="80"/>
  <c r="L20" i="80" s="1"/>
  <c r="H10" i="80"/>
  <c r="N10" i="80" s="1"/>
  <c r="H25" i="80"/>
  <c r="N25" i="80" s="1"/>
  <c r="H21" i="80"/>
  <c r="L21" i="80" s="1"/>
  <c r="H22" i="80"/>
  <c r="L22" i="80" s="1"/>
  <c r="H12" i="80"/>
  <c r="N12" i="80" s="1"/>
  <c r="H31" i="80"/>
  <c r="N31" i="80" s="1"/>
  <c r="H16" i="80"/>
  <c r="N16" i="80" s="1"/>
  <c r="H13" i="80"/>
  <c r="N13" i="80" s="1"/>
  <c r="H9" i="80"/>
  <c r="L9" i="80" s="1"/>
  <c r="H11" i="80"/>
  <c r="L11" i="80" s="1"/>
  <c r="H23" i="80"/>
  <c r="N23" i="80" s="1"/>
  <c r="H19" i="80"/>
  <c r="N19" i="80" s="1"/>
  <c r="H17" i="80"/>
  <c r="H28" i="80"/>
  <c r="N28" i="80" s="1"/>
  <c r="H14" i="80"/>
  <c r="N14" i="80" s="1"/>
  <c r="H29" i="80"/>
  <c r="L29" i="80" s="1"/>
  <c r="H27" i="80"/>
  <c r="N27" i="80" s="1"/>
  <c r="H30" i="80"/>
  <c r="N30" i="80" s="1"/>
  <c r="H18" i="80"/>
  <c r="N18" i="80" s="1"/>
  <c r="S12" i="41"/>
  <c r="I18" i="41"/>
  <c r="K18" i="41" s="1"/>
  <c r="I30" i="41"/>
  <c r="K30" i="41" s="1"/>
  <c r="I22" i="41"/>
  <c r="K22" i="41" s="1"/>
  <c r="I14" i="41"/>
  <c r="K14" i="41" s="1"/>
  <c r="I11" i="41"/>
  <c r="K11" i="41" s="1"/>
  <c r="I12" i="41"/>
  <c r="K12" i="41" s="1"/>
  <c r="I28" i="41"/>
  <c r="K28" i="41" s="1"/>
  <c r="I15" i="41"/>
  <c r="K15" i="41" s="1"/>
  <c r="I23" i="41"/>
  <c r="K23" i="41" s="1"/>
  <c r="I31" i="41"/>
  <c r="K31" i="41" s="1"/>
  <c r="I19" i="41"/>
  <c r="K19" i="41" s="1"/>
  <c r="I27" i="41"/>
  <c r="K27" i="41" s="1"/>
  <c r="I10" i="41"/>
  <c r="K10" i="41" s="1"/>
  <c r="I36" i="41"/>
  <c r="K36" i="41" s="1"/>
  <c r="I20" i="41"/>
  <c r="K20" i="41" s="1"/>
  <c r="I16" i="41"/>
  <c r="K16" i="41" s="1"/>
  <c r="I34" i="41"/>
  <c r="K34" i="41" s="1"/>
  <c r="I26" i="41"/>
  <c r="K26" i="41" s="1"/>
  <c r="I24" i="41"/>
  <c r="K24" i="41" s="1"/>
  <c r="I32" i="41"/>
  <c r="K32" i="41" s="1"/>
  <c r="I35" i="41"/>
  <c r="K35" i="41" s="1"/>
  <c r="J22" i="82"/>
  <c r="J29" i="82"/>
  <c r="J24" i="82"/>
  <c r="N15" i="36"/>
  <c r="L15" i="36"/>
  <c r="I14" i="82"/>
  <c r="M14" i="82" s="1"/>
  <c r="Q14" i="82" s="1"/>
  <c r="I24" i="82"/>
  <c r="M24" i="82" s="1"/>
  <c r="Q24" i="82" s="1"/>
  <c r="L25" i="36"/>
  <c r="N25" i="36"/>
  <c r="L22" i="36"/>
  <c r="N22" i="36"/>
  <c r="I21" i="82"/>
  <c r="M21" i="82" s="1"/>
  <c r="Q21" i="82" s="1"/>
  <c r="AH11" i="71"/>
  <c r="Q14" i="96"/>
  <c r="U24" i="69"/>
  <c r="AA13" i="37"/>
  <c r="Y13" i="37"/>
  <c r="AB13" i="37" s="1"/>
  <c r="U18" i="69"/>
  <c r="AD13" i="96"/>
  <c r="X13" i="96"/>
  <c r="Y13" i="96" s="1"/>
  <c r="J14" i="82"/>
  <c r="N17" i="80"/>
  <c r="L17" i="80"/>
  <c r="J16" i="82"/>
  <c r="J8" i="82"/>
  <c r="N31" i="36"/>
  <c r="L31" i="36"/>
  <c r="I30" i="82"/>
  <c r="M30" i="82" s="1"/>
  <c r="Q30" i="82" s="1"/>
  <c r="L23" i="36"/>
  <c r="N23" i="36"/>
  <c r="I22" i="82"/>
  <c r="M22" i="82" s="1"/>
  <c r="Q22" i="82" s="1"/>
  <c r="L19" i="36"/>
  <c r="N19" i="36"/>
  <c r="I18" i="82"/>
  <c r="M18" i="82" s="1"/>
  <c r="Q18" i="82" s="1"/>
  <c r="M37" i="85"/>
  <c r="M39" i="85" s="1"/>
  <c r="E15" i="77"/>
  <c r="N28" i="69"/>
  <c r="AH17" i="71"/>
  <c r="AA12" i="37"/>
  <c r="Y12" i="37"/>
  <c r="AB12" i="37" s="1"/>
  <c r="P9" i="77"/>
  <c r="AK9" i="96"/>
  <c r="AD10" i="96"/>
  <c r="X10" i="96"/>
  <c r="Y10" i="96" s="1"/>
  <c r="V18" i="72"/>
  <c r="AL18" i="71"/>
  <c r="J17" i="82"/>
  <c r="J20" i="82"/>
  <c r="J27" i="82"/>
  <c r="I28" i="82"/>
  <c r="M28" i="82" s="1"/>
  <c r="Q28" i="82" s="1"/>
  <c r="N29" i="36"/>
  <c r="L29" i="36"/>
  <c r="L14" i="36"/>
  <c r="I13" i="82"/>
  <c r="M13" i="82" s="1"/>
  <c r="Q13" i="82" s="1"/>
  <c r="N14" i="36"/>
  <c r="N21" i="36"/>
  <c r="L21" i="36"/>
  <c r="I20" i="82"/>
  <c r="M20" i="82" s="1"/>
  <c r="Q20" i="82" s="1"/>
  <c r="E16" i="77"/>
  <c r="R36" i="85"/>
  <c r="S36" i="85" s="1"/>
  <c r="R35" i="85"/>
  <c r="S35" i="85" s="1"/>
  <c r="Q14" i="38"/>
  <c r="Q13" i="38"/>
  <c r="S13" i="38" s="1"/>
  <c r="Q16" i="38"/>
  <c r="S16" i="38" s="1"/>
  <c r="Q12" i="38"/>
  <c r="S12" i="38" s="1"/>
  <c r="E21" i="77"/>
  <c r="P15" i="77"/>
  <c r="AK15" i="96"/>
  <c r="AM15" i="96" s="1"/>
  <c r="N30" i="36"/>
  <c r="I29" i="82"/>
  <c r="M29" i="82" s="1"/>
  <c r="Q29" i="82" s="1"/>
  <c r="L30" i="36"/>
  <c r="AG14" i="1"/>
  <c r="AI14" i="1" s="1"/>
  <c r="AJ14" i="1" s="1"/>
  <c r="AL14" i="1" s="1"/>
  <c r="AN14" i="1" s="1"/>
  <c r="I24" i="69"/>
  <c r="AN19" i="71"/>
  <c r="AM19" i="71"/>
  <c r="Q15" i="40"/>
  <c r="Q19" i="40"/>
  <c r="S19" i="40" s="1"/>
  <c r="Q17" i="40"/>
  <c r="S17" i="40" s="1"/>
  <c r="Q13" i="40"/>
  <c r="S13" i="40" s="1"/>
  <c r="Q14" i="40"/>
  <c r="S14" i="40" s="1"/>
  <c r="Q18" i="40"/>
  <c r="S18" i="40" s="1"/>
  <c r="N18" i="69"/>
  <c r="E19" i="77"/>
  <c r="AD18" i="96"/>
  <c r="X18" i="96"/>
  <c r="Y18" i="96" s="1"/>
  <c r="J15" i="82"/>
  <c r="J19" i="82"/>
  <c r="J26" i="82"/>
  <c r="N17" i="36"/>
  <c r="L17" i="36"/>
  <c r="I16" i="82"/>
  <c r="M16" i="82" s="1"/>
  <c r="Q16" i="82" s="1"/>
  <c r="N12" i="36"/>
  <c r="L12" i="36"/>
  <c r="I11" i="82"/>
  <c r="M11" i="82" s="1"/>
  <c r="Q11" i="82" s="1"/>
  <c r="I8" i="82"/>
  <c r="M8" i="82" s="1"/>
  <c r="Q8" i="82" s="1"/>
  <c r="L9" i="36"/>
  <c r="N9" i="36"/>
  <c r="P16" i="77"/>
  <c r="AK16" i="96"/>
  <c r="AM16" i="96" s="1"/>
  <c r="AN16" i="71"/>
  <c r="AM16" i="71"/>
  <c r="P21" i="77"/>
  <c r="AK21" i="96"/>
  <c r="AM21" i="96" s="1"/>
  <c r="AN21" i="71"/>
  <c r="AM21" i="71"/>
  <c r="L28" i="36"/>
  <c r="N28" i="36"/>
  <c r="I27" i="82"/>
  <c r="M27" i="82" s="1"/>
  <c r="Q27" i="82" s="1"/>
  <c r="AH14" i="71"/>
  <c r="N24" i="69"/>
  <c r="W19" i="72"/>
  <c r="AB19" i="72"/>
  <c r="AN9" i="71"/>
  <c r="AM9" i="71"/>
  <c r="V10" i="72"/>
  <c r="AL10" i="71"/>
  <c r="P19" i="77"/>
  <c r="AK19" i="96"/>
  <c r="AM19" i="96" s="1"/>
  <c r="V12" i="72"/>
  <c r="AL12" i="71"/>
  <c r="I21" i="43"/>
  <c r="K21" i="43" s="1"/>
  <c r="I22" i="43"/>
  <c r="K22" i="43" s="1"/>
  <c r="I26" i="43"/>
  <c r="K26" i="43" s="1"/>
  <c r="I25" i="43"/>
  <c r="K25" i="43" s="1"/>
  <c r="R14" i="43"/>
  <c r="I33" i="43"/>
  <c r="K33" i="43" s="1"/>
  <c r="I19" i="43"/>
  <c r="K19" i="43" s="1"/>
  <c r="I14" i="43"/>
  <c r="K14" i="43" s="1"/>
  <c r="I35" i="43"/>
  <c r="K35" i="43" s="1"/>
  <c r="I13" i="43"/>
  <c r="K13" i="43" s="1"/>
  <c r="I30" i="43"/>
  <c r="K30" i="43" s="1"/>
  <c r="I29" i="43"/>
  <c r="K29" i="43" s="1"/>
  <c r="I23" i="43"/>
  <c r="K23" i="43" s="1"/>
  <c r="I15" i="43"/>
  <c r="K15" i="43" s="1"/>
  <c r="I34" i="43"/>
  <c r="K34" i="43" s="1"/>
  <c r="I31" i="43"/>
  <c r="K31" i="43" s="1"/>
  <c r="I27" i="43"/>
  <c r="K27" i="43" s="1"/>
  <c r="I17" i="43"/>
  <c r="K17" i="43" s="1"/>
  <c r="I18" i="43"/>
  <c r="K18" i="43" s="1"/>
  <c r="J30" i="82"/>
  <c r="J11" i="82"/>
  <c r="J13" i="82"/>
  <c r="I9" i="82"/>
  <c r="M9" i="82" s="1"/>
  <c r="Q9" i="82" s="1"/>
  <c r="N10" i="36"/>
  <c r="L10" i="36"/>
  <c r="N18" i="36"/>
  <c r="I17" i="82"/>
  <c r="M17" i="82" s="1"/>
  <c r="Q17" i="82" s="1"/>
  <c r="L18" i="36"/>
  <c r="I25" i="82"/>
  <c r="M25" i="82" s="1"/>
  <c r="Q25" i="82" s="1"/>
  <c r="L26" i="36"/>
  <c r="N26" i="36"/>
  <c r="V36" i="69"/>
  <c r="V40" i="69" s="1"/>
  <c r="W16" i="72"/>
  <c r="AB16" i="72"/>
  <c r="AG17" i="1"/>
  <c r="AI17" i="1" s="1"/>
  <c r="AJ17" i="1" s="1"/>
  <c r="AL17" i="1" s="1"/>
  <c r="AN17" i="1" s="1"/>
  <c r="I28" i="69"/>
  <c r="V22" i="77"/>
  <c r="H22" i="77"/>
  <c r="E24" i="89"/>
  <c r="F24" i="89" s="1"/>
  <c r="K22" i="77"/>
  <c r="N22" i="77"/>
  <c r="T22" i="77"/>
  <c r="W21" i="72"/>
  <c r="AB21" i="72"/>
  <c r="L25" i="80" l="1"/>
  <c r="L12" i="80"/>
  <c r="L28" i="80"/>
  <c r="L23" i="80"/>
  <c r="N21" i="80"/>
  <c r="L31" i="80"/>
  <c r="L14" i="80"/>
  <c r="L30" i="80"/>
  <c r="N15" i="80"/>
  <c r="L16" i="80"/>
  <c r="L27" i="80"/>
  <c r="N9" i="80"/>
  <c r="S37" i="85"/>
  <c r="S39" i="85" s="1"/>
  <c r="N20" i="80"/>
  <c r="L18" i="80"/>
  <c r="I36" i="69"/>
  <c r="I40" i="69" s="1"/>
  <c r="N30" i="82"/>
  <c r="R30" i="82" s="1"/>
  <c r="O30" i="82"/>
  <c r="S30" i="82" s="1"/>
  <c r="V19" i="77"/>
  <c r="Q19" i="77"/>
  <c r="E18" i="77"/>
  <c r="O27" i="82"/>
  <c r="S27" i="82" s="1"/>
  <c r="N27" i="82"/>
  <c r="R27" i="82" s="1"/>
  <c r="O17" i="82"/>
  <c r="S17" i="82" s="1"/>
  <c r="N17" i="82"/>
  <c r="R17" i="82" s="1"/>
  <c r="AD14" i="96"/>
  <c r="X14" i="96"/>
  <c r="Y14" i="96" s="1"/>
  <c r="N29" i="82"/>
  <c r="R29" i="82" s="1"/>
  <c r="O29" i="82"/>
  <c r="S29" i="82" s="1"/>
  <c r="P19" i="37"/>
  <c r="L19" i="37"/>
  <c r="P34" i="37"/>
  <c r="L34" i="37"/>
  <c r="P20" i="37"/>
  <c r="L20" i="37"/>
  <c r="N12" i="82"/>
  <c r="R12" i="82" s="1"/>
  <c r="O12" i="82"/>
  <c r="S12" i="82" s="1"/>
  <c r="AL9" i="1"/>
  <c r="N29" i="80"/>
  <c r="N22" i="80"/>
  <c r="O13" i="82"/>
  <c r="S13" i="82" s="1"/>
  <c r="N13" i="82"/>
  <c r="R13" i="82" s="1"/>
  <c r="AN10" i="71"/>
  <c r="AM10" i="71"/>
  <c r="V14" i="72"/>
  <c r="AL14" i="71"/>
  <c r="V21" i="77"/>
  <c r="Q21" i="77"/>
  <c r="N26" i="82"/>
  <c r="R26" i="82" s="1"/>
  <c r="O26" i="82"/>
  <c r="S26" i="82" s="1"/>
  <c r="P18" i="77"/>
  <c r="AK18" i="96"/>
  <c r="AM18" i="96" s="1"/>
  <c r="AN18" i="71"/>
  <c r="AM18" i="71"/>
  <c r="E13" i="77"/>
  <c r="V11" i="72"/>
  <c r="AL11" i="71"/>
  <c r="AH24" i="71"/>
  <c r="AH31" i="71" s="1"/>
  <c r="AL31" i="71" s="1"/>
  <c r="L31" i="37"/>
  <c r="P31" i="37"/>
  <c r="J35" i="37"/>
  <c r="J18" i="37"/>
  <c r="J10" i="37"/>
  <c r="J40" i="37"/>
  <c r="J24" i="37"/>
  <c r="J31" i="37"/>
  <c r="AB14" i="37"/>
  <c r="J32" i="37"/>
  <c r="J14" i="37"/>
  <c r="J16" i="37"/>
  <c r="J38" i="37"/>
  <c r="J19" i="37"/>
  <c r="J39" i="37"/>
  <c r="J12" i="37"/>
  <c r="J34" i="37"/>
  <c r="J15" i="37"/>
  <c r="J26" i="37"/>
  <c r="J30" i="37"/>
  <c r="J23" i="37"/>
  <c r="J22" i="37"/>
  <c r="J28" i="37"/>
  <c r="J36" i="37"/>
  <c r="J20" i="37"/>
  <c r="J11" i="37"/>
  <c r="J27" i="37"/>
  <c r="L10" i="37"/>
  <c r="P10" i="37"/>
  <c r="L13" i="80"/>
  <c r="O28" i="82"/>
  <c r="S28" i="82" s="1"/>
  <c r="N28" i="82"/>
  <c r="R28" i="82" s="1"/>
  <c r="W22" i="77"/>
  <c r="X22" i="77" s="1"/>
  <c r="I24" i="89"/>
  <c r="W10" i="72"/>
  <c r="AB10" i="72"/>
  <c r="AL19" i="96"/>
  <c r="S15" i="40"/>
  <c r="I13" i="40"/>
  <c r="K13" i="40" s="1"/>
  <c r="I11" i="40"/>
  <c r="K11" i="40" s="1"/>
  <c r="I29" i="40"/>
  <c r="K29" i="40" s="1"/>
  <c r="I21" i="40"/>
  <c r="K21" i="40" s="1"/>
  <c r="I37" i="40"/>
  <c r="K37" i="40" s="1"/>
  <c r="I30" i="40"/>
  <c r="K30" i="40" s="1"/>
  <c r="I20" i="40"/>
  <c r="K20" i="40" s="1"/>
  <c r="I38" i="40"/>
  <c r="K38" i="40" s="1"/>
  <c r="I17" i="40"/>
  <c r="K17" i="40" s="1"/>
  <c r="I36" i="40"/>
  <c r="K36" i="40" s="1"/>
  <c r="I33" i="40"/>
  <c r="K33" i="40" s="1"/>
  <c r="I16" i="40"/>
  <c r="K16" i="40" s="1"/>
  <c r="I12" i="40"/>
  <c r="K12" i="40" s="1"/>
  <c r="I26" i="40"/>
  <c r="K26" i="40" s="1"/>
  <c r="I19" i="40"/>
  <c r="K19" i="40" s="1"/>
  <c r="I15" i="40"/>
  <c r="K15" i="40" s="1"/>
  <c r="I25" i="40"/>
  <c r="K25" i="40" s="1"/>
  <c r="I32" i="40"/>
  <c r="K32" i="40" s="1"/>
  <c r="I34" i="40"/>
  <c r="K34" i="40" s="1"/>
  <c r="I24" i="40"/>
  <c r="K24" i="40" s="1"/>
  <c r="I28" i="40"/>
  <c r="K28" i="40" s="1"/>
  <c r="I35" i="38"/>
  <c r="K35" i="38" s="1"/>
  <c r="S14" i="38"/>
  <c r="I23" i="38"/>
  <c r="K23" i="38" s="1"/>
  <c r="I12" i="38"/>
  <c r="K12" i="38" s="1"/>
  <c r="I16" i="38"/>
  <c r="K16" i="38" s="1"/>
  <c r="I30" i="38"/>
  <c r="K30" i="38" s="1"/>
  <c r="I28" i="38"/>
  <c r="K28" i="38" s="1"/>
  <c r="I32" i="38"/>
  <c r="K32" i="38" s="1"/>
  <c r="I18" i="38"/>
  <c r="K18" i="38" s="1"/>
  <c r="I15" i="38"/>
  <c r="K15" i="38" s="1"/>
  <c r="I27" i="38"/>
  <c r="K27" i="38" s="1"/>
  <c r="I19" i="38"/>
  <c r="K19" i="38" s="1"/>
  <c r="I36" i="38"/>
  <c r="K36" i="38" s="1"/>
  <c r="I11" i="38"/>
  <c r="K11" i="38" s="1"/>
  <c r="I20" i="38"/>
  <c r="K20" i="38" s="1"/>
  <c r="I26" i="38"/>
  <c r="K26" i="38" s="1"/>
  <c r="I34" i="38"/>
  <c r="K34" i="38" s="1"/>
  <c r="I22" i="38"/>
  <c r="K22" i="38" s="1"/>
  <c r="I24" i="38"/>
  <c r="K24" i="38" s="1"/>
  <c r="I10" i="38"/>
  <c r="K10" i="38" s="1"/>
  <c r="I14" i="38"/>
  <c r="K14" i="38" s="1"/>
  <c r="I31" i="38"/>
  <c r="K31" i="38" s="1"/>
  <c r="W18" i="72"/>
  <c r="AB18" i="72"/>
  <c r="V17" i="72"/>
  <c r="AL17" i="71"/>
  <c r="N8" i="82"/>
  <c r="R8" i="82" s="1"/>
  <c r="O8" i="82"/>
  <c r="S8" i="82" s="1"/>
  <c r="P13" i="77"/>
  <c r="AK13" i="96"/>
  <c r="AM13" i="96" s="1"/>
  <c r="AN13" i="71"/>
  <c r="AM13" i="71"/>
  <c r="L28" i="37"/>
  <c r="P28" i="37"/>
  <c r="P26" i="37"/>
  <c r="L26" i="37"/>
  <c r="L30" i="37"/>
  <c r="P30" i="37"/>
  <c r="N24" i="80"/>
  <c r="AD20" i="96"/>
  <c r="X20" i="96"/>
  <c r="Y20" i="96" s="1"/>
  <c r="AI11" i="1"/>
  <c r="AG24" i="1"/>
  <c r="N11" i="80"/>
  <c r="N21" i="82"/>
  <c r="R21" i="82" s="1"/>
  <c r="O21" i="82"/>
  <c r="S21" i="82" s="1"/>
  <c r="AC21" i="72"/>
  <c r="AN21" i="72"/>
  <c r="H19" i="77"/>
  <c r="E21" i="89"/>
  <c r="F21" i="89" s="1"/>
  <c r="K19" i="77"/>
  <c r="N19" i="77"/>
  <c r="T19" i="77"/>
  <c r="E10" i="77"/>
  <c r="O16" i="82"/>
  <c r="S16" i="82" s="1"/>
  <c r="N16" i="82"/>
  <c r="R16" i="82" s="1"/>
  <c r="U36" i="69"/>
  <c r="U40" i="69" s="1"/>
  <c r="Q26" i="96" s="1"/>
  <c r="N22" i="82"/>
  <c r="R22" i="82" s="1"/>
  <c r="O22" i="82"/>
  <c r="S22" i="82" s="1"/>
  <c r="W13" i="72"/>
  <c r="AB13" i="72"/>
  <c r="L16" i="37"/>
  <c r="P16" i="37"/>
  <c r="P15" i="37"/>
  <c r="L15" i="37"/>
  <c r="L22" i="37"/>
  <c r="P22" i="37"/>
  <c r="AD11" i="96"/>
  <c r="X11" i="96"/>
  <c r="Y11" i="96" s="1"/>
  <c r="Q24" i="96"/>
  <c r="L19" i="80"/>
  <c r="V20" i="72"/>
  <c r="AL20" i="71"/>
  <c r="E12" i="77"/>
  <c r="O11" i="82"/>
  <c r="S11" i="82" s="1"/>
  <c r="N11" i="82"/>
  <c r="R11" i="82" s="1"/>
  <c r="N19" i="82"/>
  <c r="R19" i="82" s="1"/>
  <c r="O19" i="82"/>
  <c r="S19" i="82" s="1"/>
  <c r="N36" i="69"/>
  <c r="N40" i="69" s="1"/>
  <c r="V15" i="77"/>
  <c r="Q15" i="77"/>
  <c r="P10" i="77"/>
  <c r="AK10" i="96"/>
  <c r="AM10" i="96" s="1"/>
  <c r="AL15" i="96"/>
  <c r="O24" i="82"/>
  <c r="S24" i="82" s="1"/>
  <c r="N24" i="82"/>
  <c r="R24" i="82" s="1"/>
  <c r="L11" i="37"/>
  <c r="P11" i="37"/>
  <c r="P39" i="37"/>
  <c r="L39" i="37"/>
  <c r="P32" i="37"/>
  <c r="L32" i="37"/>
  <c r="N23" i="82"/>
  <c r="R23" i="82" s="1"/>
  <c r="O23" i="82"/>
  <c r="S23" i="82" s="1"/>
  <c r="AH37" i="84"/>
  <c r="AH39" i="84" s="1"/>
  <c r="AH40" i="84" s="1"/>
  <c r="AH41" i="84" s="1"/>
  <c r="AD17" i="96"/>
  <c r="X17" i="96"/>
  <c r="Y17" i="96" s="1"/>
  <c r="N10" i="82"/>
  <c r="R10" i="82" s="1"/>
  <c r="O10" i="82"/>
  <c r="S10" i="82" s="1"/>
  <c r="P12" i="77"/>
  <c r="AK12" i="96"/>
  <c r="AM12" i="96" s="1"/>
  <c r="V43" i="69"/>
  <c r="AC16" i="72"/>
  <c r="AN16" i="72"/>
  <c r="AN12" i="71"/>
  <c r="AM12" i="71"/>
  <c r="V16" i="77"/>
  <c r="Q16" i="77"/>
  <c r="AL21" i="96"/>
  <c r="AL16" i="96"/>
  <c r="O20" i="82"/>
  <c r="S20" i="82" s="1"/>
  <c r="N20" i="82"/>
  <c r="R20" i="82" s="1"/>
  <c r="AM9" i="96"/>
  <c r="E17" i="89"/>
  <c r="F17" i="89" s="1"/>
  <c r="H15" i="77"/>
  <c r="K15" i="77"/>
  <c r="N15" i="77"/>
  <c r="T15" i="77"/>
  <c r="E9" i="77"/>
  <c r="Q9" i="77" s="1"/>
  <c r="AL9" i="96"/>
  <c r="L36" i="37"/>
  <c r="P36" i="37"/>
  <c r="P23" i="37"/>
  <c r="L23" i="37"/>
  <c r="L26" i="80"/>
  <c r="O18" i="82"/>
  <c r="S18" i="82" s="1"/>
  <c r="N18" i="82"/>
  <c r="R18" i="82" s="1"/>
  <c r="AC9" i="72"/>
  <c r="AN9" i="72"/>
  <c r="L10" i="80"/>
  <c r="W12" i="72"/>
  <c r="AB12" i="72"/>
  <c r="AC19" i="72"/>
  <c r="AN19" i="72"/>
  <c r="H21" i="77"/>
  <c r="E23" i="89"/>
  <c r="F23" i="89" s="1"/>
  <c r="K21" i="77"/>
  <c r="N21" i="77"/>
  <c r="T21" i="77"/>
  <c r="H16" i="77"/>
  <c r="E18" i="89"/>
  <c r="F18" i="89" s="1"/>
  <c r="K16" i="77"/>
  <c r="N16" i="77"/>
  <c r="T16" i="77"/>
  <c r="P27" i="37"/>
  <c r="L27" i="37"/>
  <c r="L24" i="37"/>
  <c r="P24" i="37"/>
  <c r="P12" i="37"/>
  <c r="L12" i="37"/>
  <c r="L18" i="37"/>
  <c r="P18" i="37"/>
  <c r="F27" i="85"/>
  <c r="I27" i="85"/>
  <c r="O27" i="85"/>
  <c r="C35" i="85"/>
  <c r="D35" i="85" s="1"/>
  <c r="C36" i="85"/>
  <c r="D36" i="85" s="1"/>
  <c r="AI26" i="96"/>
  <c r="AI27" i="96" s="1"/>
  <c r="O15" i="82"/>
  <c r="S15" i="82" s="1"/>
  <c r="N15" i="82"/>
  <c r="R15" i="82" s="1"/>
  <c r="O14" i="82"/>
  <c r="S14" i="82" s="1"/>
  <c r="N14" i="82"/>
  <c r="R14" i="82" s="1"/>
  <c r="P35" i="37"/>
  <c r="L35" i="37"/>
  <c r="L40" i="37"/>
  <c r="P40" i="37"/>
  <c r="L38" i="37"/>
  <c r="P38" i="37"/>
  <c r="L14" i="37"/>
  <c r="P14" i="37"/>
  <c r="N25" i="82"/>
  <c r="R25" i="82" s="1"/>
  <c r="O25" i="82"/>
  <c r="S25" i="82" s="1"/>
  <c r="AC15" i="72"/>
  <c r="AN15" i="72"/>
  <c r="I24" i="88"/>
  <c r="AO22" i="72"/>
  <c r="AP22" i="72" s="1"/>
  <c r="N9" i="82"/>
  <c r="R9" i="82" s="1"/>
  <c r="O9" i="82"/>
  <c r="S9" i="82" s="1"/>
  <c r="Q27" i="96" l="1"/>
  <c r="V45" i="69"/>
  <c r="V9" i="77"/>
  <c r="W9" i="77" s="1"/>
  <c r="V23" i="72"/>
  <c r="V40" i="72" s="1"/>
  <c r="AL10" i="96"/>
  <c r="W23" i="72"/>
  <c r="W40" i="72" s="1"/>
  <c r="AB23" i="72"/>
  <c r="N22" i="37"/>
  <c r="R22" i="37"/>
  <c r="N40" i="37"/>
  <c r="R40" i="37"/>
  <c r="I17" i="88"/>
  <c r="AO15" i="72"/>
  <c r="AP15" i="72" s="1"/>
  <c r="F36" i="85"/>
  <c r="G36" i="85" s="1"/>
  <c r="F35" i="85"/>
  <c r="G35" i="85" s="1"/>
  <c r="P17" i="77"/>
  <c r="AK17" i="96"/>
  <c r="AM17" i="96" s="1"/>
  <c r="H12" i="77"/>
  <c r="E14" i="89"/>
  <c r="F14" i="89" s="1"/>
  <c r="K12" i="77"/>
  <c r="N12" i="77"/>
  <c r="T12" i="77"/>
  <c r="R28" i="37"/>
  <c r="N28" i="37"/>
  <c r="R39" i="37"/>
  <c r="N39" i="37"/>
  <c r="N24" i="37"/>
  <c r="R24" i="37"/>
  <c r="AN11" i="71"/>
  <c r="AM11" i="71"/>
  <c r="AL24" i="71"/>
  <c r="AN24" i="71" s="1"/>
  <c r="H18" i="77"/>
  <c r="E20" i="89"/>
  <c r="F20" i="89" s="1"/>
  <c r="K18" i="77"/>
  <c r="N18" i="77"/>
  <c r="T18" i="77"/>
  <c r="AC12" i="72"/>
  <c r="AN12" i="72"/>
  <c r="I17" i="89"/>
  <c r="W15" i="77"/>
  <c r="X15" i="77" s="1"/>
  <c r="E14" i="77"/>
  <c r="X24" i="96"/>
  <c r="AH26" i="71"/>
  <c r="AH27" i="71" s="1"/>
  <c r="N43" i="69"/>
  <c r="W20" i="72"/>
  <c r="AB20" i="72"/>
  <c r="AJ11" i="1"/>
  <c r="AI24" i="1"/>
  <c r="AN17" i="71"/>
  <c r="AM17" i="71"/>
  <c r="R23" i="37"/>
  <c r="N23" i="37"/>
  <c r="R38" i="37"/>
  <c r="N38" i="37"/>
  <c r="N10" i="37"/>
  <c r="R10" i="37"/>
  <c r="AL13" i="96"/>
  <c r="P14" i="77"/>
  <c r="AK14" i="96"/>
  <c r="AM14" i="96" s="1"/>
  <c r="W19" i="77"/>
  <c r="X19" i="77" s="1"/>
  <c r="I21" i="89"/>
  <c r="AN20" i="71"/>
  <c r="AM20" i="71"/>
  <c r="E20" i="77"/>
  <c r="W17" i="72"/>
  <c r="AB17" i="72"/>
  <c r="AC10" i="72"/>
  <c r="AN10" i="72"/>
  <c r="R30" i="37"/>
  <c r="N30" i="37"/>
  <c r="N16" i="37"/>
  <c r="R16" i="37"/>
  <c r="N18" i="37"/>
  <c r="R18" i="37"/>
  <c r="E15" i="89"/>
  <c r="F15" i="89" s="1"/>
  <c r="H13" i="77"/>
  <c r="K13" i="77"/>
  <c r="N13" i="77"/>
  <c r="T13" i="77"/>
  <c r="I23" i="89"/>
  <c r="W21" i="77"/>
  <c r="X21" i="77" s="1"/>
  <c r="R19" i="37"/>
  <c r="N19" i="37"/>
  <c r="I11" i="88"/>
  <c r="AO9" i="72"/>
  <c r="W16" i="77"/>
  <c r="X16" i="77" s="1"/>
  <c r="I18" i="89"/>
  <c r="V12" i="77"/>
  <c r="Q12" i="77"/>
  <c r="I23" i="88"/>
  <c r="AO21" i="72"/>
  <c r="AP21" i="72" s="1"/>
  <c r="P20" i="77"/>
  <c r="AK20" i="96"/>
  <c r="AM20" i="96" s="1"/>
  <c r="AC18" i="72"/>
  <c r="AN18" i="72"/>
  <c r="R27" i="37"/>
  <c r="N27" i="37"/>
  <c r="R26" i="37"/>
  <c r="N26" i="37"/>
  <c r="R14" i="37"/>
  <c r="N14" i="37"/>
  <c r="N35" i="37"/>
  <c r="R35" i="37"/>
  <c r="AN14" i="71"/>
  <c r="AM14" i="71"/>
  <c r="W11" i="72"/>
  <c r="AB11" i="72"/>
  <c r="D37" i="85"/>
  <c r="D39" i="85" s="1"/>
  <c r="Y24" i="96"/>
  <c r="E25" i="77" s="1"/>
  <c r="E11" i="77"/>
  <c r="AC13" i="72"/>
  <c r="AN13" i="72"/>
  <c r="E12" i="89"/>
  <c r="F12" i="89" s="1"/>
  <c r="H10" i="77"/>
  <c r="K10" i="77"/>
  <c r="N10" i="77"/>
  <c r="T10" i="77"/>
  <c r="J24" i="89"/>
  <c r="L24" i="89"/>
  <c r="N24" i="89" s="1"/>
  <c r="R11" i="37"/>
  <c r="N11" i="37"/>
  <c r="R15" i="37"/>
  <c r="N15" i="37"/>
  <c r="R32" i="37"/>
  <c r="N32" i="37"/>
  <c r="W14" i="72"/>
  <c r="AB14" i="72"/>
  <c r="O36" i="85"/>
  <c r="P36" i="85" s="1"/>
  <c r="O35" i="85"/>
  <c r="P35" i="85" s="1"/>
  <c r="P11" i="77"/>
  <c r="AK11" i="96"/>
  <c r="AD24" i="96"/>
  <c r="AI31" i="96" s="1"/>
  <c r="AK31" i="96" s="1"/>
  <c r="R20" i="37"/>
  <c r="N20" i="37"/>
  <c r="R34" i="37"/>
  <c r="N34" i="37"/>
  <c r="AN9" i="1"/>
  <c r="L24" i="88"/>
  <c r="N24" i="88" s="1"/>
  <c r="J24" i="88"/>
  <c r="I36" i="85"/>
  <c r="J36" i="85" s="1"/>
  <c r="I35" i="85"/>
  <c r="J35" i="85" s="1"/>
  <c r="AO19" i="72"/>
  <c r="AP19" i="72" s="1"/>
  <c r="I21" i="88"/>
  <c r="K9" i="77"/>
  <c r="H9" i="77"/>
  <c r="E11" i="89"/>
  <c r="N9" i="77"/>
  <c r="T9" i="77"/>
  <c r="AO16" i="72"/>
  <c r="AP16" i="72" s="1"/>
  <c r="I18" i="88"/>
  <c r="E17" i="77"/>
  <c r="V10" i="77"/>
  <c r="Q10" i="77"/>
  <c r="AL12" i="96"/>
  <c r="V13" i="77"/>
  <c r="Q13" i="77"/>
  <c r="N36" i="37"/>
  <c r="R36" i="37"/>
  <c r="N12" i="37"/>
  <c r="R12" i="37"/>
  <c r="R31" i="37"/>
  <c r="N31" i="37"/>
  <c r="V18" i="77"/>
  <c r="Q18" i="77"/>
  <c r="AL18" i="96"/>
  <c r="AC23" i="72" l="1"/>
  <c r="AC40" i="72" s="1"/>
  <c r="AB40" i="72"/>
  <c r="I11" i="89"/>
  <c r="J11" i="89" s="1"/>
  <c r="J37" i="85"/>
  <c r="J39" i="85" s="1"/>
  <c r="J40" i="85" s="1"/>
  <c r="J41" i="85" s="1"/>
  <c r="AM24" i="71"/>
  <c r="G37" i="85"/>
  <c r="G39" i="85" s="1"/>
  <c r="G40" i="85" s="1"/>
  <c r="G41" i="85" s="1"/>
  <c r="P37" i="85"/>
  <c r="P39" i="85" s="1"/>
  <c r="P40" i="85" s="1"/>
  <c r="P41" i="85" s="1"/>
  <c r="AL17" i="96"/>
  <c r="W10" i="77"/>
  <c r="X10" i="77" s="1"/>
  <c r="I12" i="89"/>
  <c r="L17" i="88"/>
  <c r="N17" i="88" s="1"/>
  <c r="J17" i="88"/>
  <c r="V11" i="77"/>
  <c r="Q11" i="77"/>
  <c r="P23" i="77"/>
  <c r="P35" i="77" s="1"/>
  <c r="S40" i="85"/>
  <c r="S41" i="85" s="1"/>
  <c r="M40" i="85"/>
  <c r="M41" i="85" s="1"/>
  <c r="V20" i="77"/>
  <c r="Q20" i="77"/>
  <c r="AP9" i="72"/>
  <c r="Q41" i="36" s="1"/>
  <c r="J23" i="89"/>
  <c r="L23" i="89"/>
  <c r="N23" i="89" s="1"/>
  <c r="AL20" i="96"/>
  <c r="V14" i="77"/>
  <c r="Q14" i="77"/>
  <c r="H17" i="77"/>
  <c r="E19" i="89"/>
  <c r="F19" i="89" s="1"/>
  <c r="K17" i="77"/>
  <c r="N17" i="77"/>
  <c r="T17" i="77"/>
  <c r="AC11" i="72"/>
  <c r="AN11" i="72"/>
  <c r="L11" i="88"/>
  <c r="J11" i="88"/>
  <c r="H20" i="77"/>
  <c r="E22" i="89"/>
  <c r="F22" i="89" s="1"/>
  <c r="K20" i="77"/>
  <c r="T20" i="77"/>
  <c r="N20" i="77"/>
  <c r="AL14" i="96"/>
  <c r="J18" i="88"/>
  <c r="L18" i="88"/>
  <c r="N18" i="88" s="1"/>
  <c r="J21" i="88"/>
  <c r="L21" i="88"/>
  <c r="N21" i="88" s="1"/>
  <c r="L23" i="88"/>
  <c r="N23" i="88" s="1"/>
  <c r="J23" i="88"/>
  <c r="E16" i="89"/>
  <c r="F16" i="89" s="1"/>
  <c r="H14" i="77"/>
  <c r="K14" i="77"/>
  <c r="N14" i="77"/>
  <c r="T14" i="77"/>
  <c r="I15" i="88"/>
  <c r="AO13" i="72"/>
  <c r="AP13" i="72" s="1"/>
  <c r="L11" i="89"/>
  <c r="AL11" i="1"/>
  <c r="AJ24" i="1"/>
  <c r="V17" i="77"/>
  <c r="Q17" i="77"/>
  <c r="W18" i="77"/>
  <c r="X18" i="77" s="1"/>
  <c r="I20" i="89"/>
  <c r="W13" i="77"/>
  <c r="X13" i="77" s="1"/>
  <c r="I15" i="89"/>
  <c r="AC14" i="72"/>
  <c r="AN14" i="72"/>
  <c r="W12" i="77"/>
  <c r="X12" i="77" s="1"/>
  <c r="I14" i="89"/>
  <c r="X9" i="77"/>
  <c r="AO10" i="72"/>
  <c r="AP10" i="72" s="1"/>
  <c r="U40" i="37" s="1"/>
  <c r="I12" i="88"/>
  <c r="AC20" i="72"/>
  <c r="AN20" i="72"/>
  <c r="J17" i="89"/>
  <c r="L17" i="89"/>
  <c r="N17" i="89" s="1"/>
  <c r="AM11" i="96"/>
  <c r="AK24" i="96"/>
  <c r="AM24" i="96" s="1"/>
  <c r="AL11" i="96"/>
  <c r="AO18" i="72"/>
  <c r="AP18" i="72" s="1"/>
  <c r="N38" i="43" s="1"/>
  <c r="I20" i="88"/>
  <c r="L18" i="89"/>
  <c r="N18" i="89" s="1"/>
  <c r="J18" i="89"/>
  <c r="L21" i="89"/>
  <c r="N21" i="89" s="1"/>
  <c r="J21" i="89"/>
  <c r="AO12" i="72"/>
  <c r="AP12" i="72" s="1"/>
  <c r="O64" i="40" s="1"/>
  <c r="I14" i="88"/>
  <c r="F11" i="89"/>
  <c r="E23" i="77"/>
  <c r="H11" i="77"/>
  <c r="E13" i="89"/>
  <c r="F13" i="89" s="1"/>
  <c r="K11" i="77"/>
  <c r="N11" i="77"/>
  <c r="T11" i="77"/>
  <c r="AC17" i="72"/>
  <c r="AN17" i="72"/>
  <c r="E26" i="77" l="1"/>
  <c r="E35" i="77"/>
  <c r="AL24" i="96"/>
  <c r="V25" i="77" s="1"/>
  <c r="E25" i="89"/>
  <c r="F25" i="89" s="1"/>
  <c r="J15" i="88"/>
  <c r="L15" i="88"/>
  <c r="N15" i="88" s="1"/>
  <c r="I19" i="89"/>
  <c r="W17" i="77"/>
  <c r="X17" i="77" s="1"/>
  <c r="Q23" i="77"/>
  <c r="Q35" i="77" s="1"/>
  <c r="I19" i="88"/>
  <c r="AO17" i="72"/>
  <c r="AP17" i="72" s="1"/>
  <c r="N38" i="42" s="1"/>
  <c r="L14" i="88"/>
  <c r="N14" i="88" s="1"/>
  <c r="J14" i="88"/>
  <c r="L12" i="88"/>
  <c r="N12" i="88" s="1"/>
  <c r="J12" i="88"/>
  <c r="L15" i="89"/>
  <c r="N15" i="89" s="1"/>
  <c r="J15" i="89"/>
  <c r="AN11" i="1"/>
  <c r="AL24" i="1"/>
  <c r="AN24" i="1" s="1"/>
  <c r="I13" i="89"/>
  <c r="W11" i="77"/>
  <c r="I16" i="88"/>
  <c r="AO14" i="72"/>
  <c r="AP14" i="72" s="1"/>
  <c r="O48" i="41" s="1"/>
  <c r="I22" i="88"/>
  <c r="AO20" i="72"/>
  <c r="AP20" i="72" s="1"/>
  <c r="L20" i="89"/>
  <c r="N20" i="89" s="1"/>
  <c r="J20" i="89"/>
  <c r="N11" i="89"/>
  <c r="N11" i="88"/>
  <c r="W20" i="77"/>
  <c r="X20" i="77" s="1"/>
  <c r="I22" i="89"/>
  <c r="L12" i="89"/>
  <c r="N12" i="89" s="1"/>
  <c r="J12" i="89"/>
  <c r="H23" i="77"/>
  <c r="H35" i="77" s="1"/>
  <c r="K23" i="77"/>
  <c r="K35" i="77" s="1"/>
  <c r="N23" i="77"/>
  <c r="N35" i="77" s="1"/>
  <c r="T23" i="77"/>
  <c r="T35" i="77" s="1"/>
  <c r="L20" i="88"/>
  <c r="N20" i="88" s="1"/>
  <c r="J20" i="88"/>
  <c r="J14" i="89"/>
  <c r="L14" i="89"/>
  <c r="N14" i="89" s="1"/>
  <c r="V23" i="77"/>
  <c r="I13" i="88"/>
  <c r="AO11" i="72"/>
  <c r="AP11" i="72" s="1"/>
  <c r="AN23" i="72"/>
  <c r="AN40" i="72" s="1"/>
  <c r="I16" i="89"/>
  <c r="W14" i="77"/>
  <c r="X14" i="77" s="1"/>
  <c r="V26" i="77" l="1"/>
  <c r="V35" i="77"/>
  <c r="AO23" i="72"/>
  <c r="L22" i="88"/>
  <c r="N22" i="88" s="1"/>
  <c r="J22" i="88"/>
  <c r="J19" i="88"/>
  <c r="L19" i="88"/>
  <c r="N19" i="88" s="1"/>
  <c r="I25" i="88"/>
  <c r="L22" i="89"/>
  <c r="N22" i="89" s="1"/>
  <c r="J22" i="89"/>
  <c r="J16" i="89"/>
  <c r="L16" i="89"/>
  <c r="N16" i="89" s="1"/>
  <c r="J16" i="88"/>
  <c r="L16" i="88"/>
  <c r="N16" i="88" s="1"/>
  <c r="O48" i="39"/>
  <c r="O56" i="38"/>
  <c r="X11" i="77"/>
  <c r="W23" i="77"/>
  <c r="L19" i="89"/>
  <c r="N19" i="89" s="1"/>
  <c r="J19" i="89"/>
  <c r="L13" i="88"/>
  <c r="N13" i="88" s="1"/>
  <c r="J13" i="88"/>
  <c r="J13" i="89"/>
  <c r="L13" i="89"/>
  <c r="I25" i="89"/>
  <c r="AP23" i="72" l="1"/>
  <c r="AP40" i="72" s="1"/>
  <c r="AO40" i="72"/>
  <c r="X23" i="77"/>
  <c r="X35" i="77" s="1"/>
  <c r="W35" i="77"/>
  <c r="J25" i="89"/>
  <c r="L25" i="89"/>
  <c r="N25" i="89" s="1"/>
  <c r="N13" i="89"/>
  <c r="J25" i="88"/>
  <c r="L25" i="88"/>
  <c r="N25" i="88" s="1"/>
</calcChain>
</file>

<file path=xl/sharedStrings.xml><?xml version="1.0" encoding="utf-8"?>
<sst xmlns="http://schemas.openxmlformats.org/spreadsheetml/2006/main" count="2616" uniqueCount="903">
  <si>
    <t>Puget Sound Energy</t>
  </si>
  <si>
    <t>Remove:</t>
  </si>
  <si>
    <t>Line No.</t>
  </si>
  <si>
    <t>Tariff</t>
  </si>
  <si>
    <t>Schedule 95
PCORC</t>
  </si>
  <si>
    <t>Schedule 95A
Federal Incentive Credit</t>
  </si>
  <si>
    <t>Schedule 120
Conservation</t>
  </si>
  <si>
    <t>Schedule 129
Low Income</t>
  </si>
  <si>
    <t>Schedule 140
Property Tax</t>
  </si>
  <si>
    <t>Schedule 141
ERF</t>
  </si>
  <si>
    <t>7A (Note 1)</t>
  </si>
  <si>
    <t>Residential</t>
  </si>
  <si>
    <t>26 &amp; 26P</t>
  </si>
  <si>
    <t>Total Secondary Voltage</t>
  </si>
  <si>
    <t>Total Primary Voltage</t>
  </si>
  <si>
    <t>Total High Voltage</t>
  </si>
  <si>
    <t>50-59</t>
  </si>
  <si>
    <t>449-459</t>
  </si>
  <si>
    <t>Total</t>
  </si>
  <si>
    <t>All Sales</t>
  </si>
  <si>
    <t xml:space="preserve"> </t>
  </si>
  <si>
    <t>TABLE A. PRESENT AND PROPOSED RATES</t>
  </si>
  <si>
    <t>PUGET SOUND ENERGY</t>
  </si>
  <si>
    <t>ON REVENUES FROM ELECTRIC SALES</t>
  </si>
  <si>
    <t>Present</t>
  </si>
  <si>
    <t>Proposed</t>
  </si>
  <si>
    <t>Current</t>
  </si>
  <si>
    <t>Difference</t>
  </si>
  <si>
    <t>Line</t>
  </si>
  <si>
    <t>Sch.</t>
  </si>
  <si>
    <t>No.</t>
  </si>
  <si>
    <t>Description</t>
  </si>
  <si>
    <t>%</t>
  </si>
  <si>
    <t>(1)</t>
  </si>
  <si>
    <t>(2)</t>
  </si>
  <si>
    <t>(4)</t>
  </si>
  <si>
    <t>Residential Service</t>
  </si>
  <si>
    <t>Total Residential Service</t>
  </si>
  <si>
    <t>Secondary Voltage Service</t>
  </si>
  <si>
    <t>Secondary General Service</t>
  </si>
  <si>
    <t>8, 24</t>
  </si>
  <si>
    <t>Small Secondary General Service</t>
  </si>
  <si>
    <t>7A, 11, 25</t>
  </si>
  <si>
    <t>Large Secondary General Service</t>
  </si>
  <si>
    <t>12, 26, 26P</t>
  </si>
  <si>
    <t>Secondary Irrigation &amp; Pumping Service</t>
  </si>
  <si>
    <t>Total Secondary Voltage Service</t>
  </si>
  <si>
    <t>Primary Voltage Service</t>
  </si>
  <si>
    <t>Primary General Service</t>
  </si>
  <si>
    <t>10, 31</t>
  </si>
  <si>
    <t>Primary Irrigation &amp; Pumping Service</t>
  </si>
  <si>
    <t>Primary All Electric Schools</t>
  </si>
  <si>
    <t>Total Primary Voltage Service</t>
  </si>
  <si>
    <t>High Voltage Service</t>
  </si>
  <si>
    <t>High Voltage Interruptible Service</t>
  </si>
  <si>
    <t>High Voltage General Service</t>
  </si>
  <si>
    <t>449, 459</t>
  </si>
  <si>
    <t>Street and Area Lighting</t>
  </si>
  <si>
    <t>Total Jurisdictional Sales</t>
  </si>
  <si>
    <t>Wholesale for Resale</t>
  </si>
  <si>
    <t xml:space="preserve">Total Sales </t>
  </si>
  <si>
    <t>GRC Rate Impacts</t>
  </si>
  <si>
    <t>24 (8)</t>
  </si>
  <si>
    <t>26 (12,26P)</t>
  </si>
  <si>
    <t>31 (10)</t>
  </si>
  <si>
    <t>Schedule 95 - PCORC Impacts</t>
  </si>
  <si>
    <t>Total Retail Sales</t>
  </si>
  <si>
    <t>Firm Resale</t>
  </si>
  <si>
    <t>Total Sales</t>
  </si>
  <si>
    <t>Schedule 95a - Federal Incentive Impacts</t>
  </si>
  <si>
    <t>CUSTOMER CLASS</t>
  </si>
  <si>
    <t>INCREASE (DECREASE) $</t>
  </si>
  <si>
    <t>INCREASE (DECREASE) %</t>
  </si>
  <si>
    <t>a</t>
  </si>
  <si>
    <t>b</t>
  </si>
  <si>
    <t>c</t>
  </si>
  <si>
    <t>d</t>
  </si>
  <si>
    <t>e = b + (a * c)</t>
  </si>
  <si>
    <t>f = b + (a * d)</t>
  </si>
  <si>
    <t>g = f - e</t>
  </si>
  <si>
    <t>h = g / e</t>
  </si>
  <si>
    <t>Sec Gen Svc - Small</t>
  </si>
  <si>
    <t>8 &amp; 24</t>
  </si>
  <si>
    <t>Sec Gen Svc - Medium</t>
  </si>
  <si>
    <t>11, 25 &amp; 7A</t>
  </si>
  <si>
    <t>Sec Gen Svc - Large</t>
  </si>
  <si>
    <t>12, 26 &amp; 26P</t>
  </si>
  <si>
    <t>Sec Irrigation Svc</t>
  </si>
  <si>
    <t>Secondary Service Total</t>
  </si>
  <si>
    <t>Pri Gen Svc</t>
  </si>
  <si>
    <t>10 &amp; 31</t>
  </si>
  <si>
    <t>Pri Irrigation Svc</t>
  </si>
  <si>
    <t>Pri Interruptible Svc</t>
  </si>
  <si>
    <t>Primary Service Total</t>
  </si>
  <si>
    <t>HV Interruptible Svc</t>
  </si>
  <si>
    <t>HV Gen Svc</t>
  </si>
  <si>
    <t>High Voltage Service Total</t>
  </si>
  <si>
    <t>Lights</t>
  </si>
  <si>
    <t>Subtotal</t>
  </si>
  <si>
    <t>449 / 459</t>
  </si>
  <si>
    <t>`</t>
  </si>
  <si>
    <t>Current vs. Proposed Schedule 120</t>
  </si>
  <si>
    <t>SCHEDULE</t>
  </si>
  <si>
    <t>Settlement Methodology</t>
  </si>
  <si>
    <t>Customer Class</t>
  </si>
  <si>
    <t>Schedule</t>
  </si>
  <si>
    <t>A</t>
  </si>
  <si>
    <t>B</t>
  </si>
  <si>
    <t>8 / 24</t>
  </si>
  <si>
    <t>11 / 25 / 7A</t>
  </si>
  <si>
    <t>12 / 26 / 26P</t>
  </si>
  <si>
    <t>10 / 31</t>
  </si>
  <si>
    <t>Retail Wheeling</t>
  </si>
  <si>
    <t>Electric Schedule 140 Property Tax Rider</t>
  </si>
  <si>
    <t>Voltage Level</t>
  </si>
  <si>
    <t>Schedule 140 Property Tax Revenue Change</t>
  </si>
  <si>
    <t>Schedule 140 Property Tax % Change</t>
  </si>
  <si>
    <t>(a)</t>
  </si>
  <si>
    <t>(b)</t>
  </si>
  <si>
    <t>(c)</t>
  </si>
  <si>
    <t>(d)</t>
  </si>
  <si>
    <t>(e)</t>
  </si>
  <si>
    <t>(f)</t>
  </si>
  <si>
    <t>(g) =
(f - e) * (c)</t>
  </si>
  <si>
    <t>(h) = (g) / 
[(c * e) + (d)]</t>
  </si>
  <si>
    <t>Total Residential</t>
  </si>
  <si>
    <t>Secondary Voltage</t>
  </si>
  <si>
    <t>Demand &lt;= 50 kW</t>
  </si>
  <si>
    <t>Demand &gt; 50 kW but &lt;= 350 kW</t>
  </si>
  <si>
    <t>7A / 11 / 25</t>
  </si>
  <si>
    <t>Demand &gt; 350 kW</t>
  </si>
  <si>
    <t>Seasonal Irrigation &amp; Drainage Pumping</t>
  </si>
  <si>
    <t>Primary Voltage</t>
  </si>
  <si>
    <t>General Service</t>
  </si>
  <si>
    <t>Interruptible Total Electric Schools</t>
  </si>
  <si>
    <t>High Voltage</t>
  </si>
  <si>
    <t>Interruptible</t>
  </si>
  <si>
    <t>Lighting</t>
  </si>
  <si>
    <t>Total Choice /Retail Wheeling</t>
  </si>
  <si>
    <t>Total Jurisdictional Retail Sales</t>
  </si>
  <si>
    <t>Proposed Schedule 194</t>
  </si>
  <si>
    <t>BPA Residential and Farm Energy Exchange Benefits</t>
  </si>
  <si>
    <t>Calculation</t>
  </si>
  <si>
    <t>Total amount to be credited before revenue related expense conversion</t>
  </si>
  <si>
    <t>Revenue Related Expense Conversion Factor</t>
  </si>
  <si>
    <t>Grossed up Total to be Credited</t>
  </si>
  <si>
    <t>Bill Impacts:</t>
  </si>
  <si>
    <t>Increase (Decrease) to average monthly bill</t>
  </si>
  <si>
    <t>Percentage Increase (Decrease) to average bill</t>
  </si>
  <si>
    <t>Statement of Proforma and Proposed Revenues for Federal Incentive Tracker Credit</t>
  </si>
  <si>
    <t>Increase / Decrease 
$</t>
  </si>
  <si>
    <t>Increase / Decrease
%</t>
  </si>
  <si>
    <t>e = 
b + (a * c)</t>
  </si>
  <si>
    <t>f = 
b + (a * d)</t>
  </si>
  <si>
    <t>Small Firm Resale</t>
  </si>
  <si>
    <t>005</t>
  </si>
  <si>
    <t>Excluded Schedules</t>
  </si>
  <si>
    <t>Schedule 120 - DSM</t>
  </si>
  <si>
    <t>Schedule 129 - Low Income</t>
  </si>
  <si>
    <t>e</t>
  </si>
  <si>
    <t>f</t>
  </si>
  <si>
    <t>g</t>
  </si>
  <si>
    <t>Schedule 137 - REC's</t>
  </si>
  <si>
    <t>Statement of Proforma and Proposed Revenues for Renewable Energy Credit</t>
  </si>
  <si>
    <t>12 / 26</t>
  </si>
  <si>
    <t>Schedule 140 - Property Tax</t>
  </si>
  <si>
    <t>25 (11, 7A)</t>
  </si>
  <si>
    <t>Line No</t>
  </si>
  <si>
    <t>Schedule 142 - Decoupling</t>
  </si>
  <si>
    <t>h</t>
  </si>
  <si>
    <t>i</t>
  </si>
  <si>
    <t>j</t>
  </si>
  <si>
    <t>k</t>
  </si>
  <si>
    <t>Subtotal
Rider
Rates</t>
  </si>
  <si>
    <t>$ x 1000</t>
  </si>
  <si>
    <t>Schedule 194 - BPA Residential Credit</t>
  </si>
  <si>
    <t>* Average PSE Customer</t>
  </si>
  <si>
    <t>Notes:</t>
  </si>
  <si>
    <t>&gt;5000</t>
  </si>
  <si>
    <t>Schedule 194 - BPA Exch Credit</t>
  </si>
  <si>
    <t>Schedule 137 - REC</t>
  </si>
  <si>
    <t>*</t>
  </si>
  <si>
    <t>Schedule 120 - Conservation</t>
  </si>
  <si>
    <t>Schedule 95A - Fed Inc Credit</t>
  </si>
  <si>
    <t>Schedule 95 - PCA</t>
  </si>
  <si>
    <t>Energy - Over 600</t>
  </si>
  <si>
    <t>Energy - First 600</t>
  </si>
  <si>
    <t>Basic 1 Phase</t>
  </si>
  <si>
    <t>Proposed Price (Net)</t>
  </si>
  <si>
    <t>Present Price (Net)</t>
  </si>
  <si>
    <t>$</t>
  </si>
  <si>
    <t>kWh</t>
  </si>
  <si>
    <t>Change</t>
  </si>
  <si>
    <t>Monthly Billing Comparison</t>
  </si>
  <si>
    <t>Average kWh</t>
  </si>
  <si>
    <t>Summer kWh</t>
  </si>
  <si>
    <t xml:space="preserve">Winter kWh </t>
  </si>
  <si>
    <t>Basic Charge</t>
  </si>
  <si>
    <t>Three Phase</t>
  </si>
  <si>
    <t>Single Phase</t>
  </si>
  <si>
    <t>Net Proposed Price</t>
  </si>
  <si>
    <t>Net Present Price</t>
  </si>
  <si>
    <t>3 Phase</t>
  </si>
  <si>
    <t>1 Phase</t>
  </si>
  <si>
    <t>Percent</t>
  </si>
  <si>
    <t>Dollar</t>
  </si>
  <si>
    <t>Secondary Voltage General Service, Demand &lt; 50 kW</t>
  </si>
  <si>
    <t>Schedule 24</t>
  </si>
  <si>
    <t>kVarh</t>
  </si>
  <si>
    <t>Average kW - Over 50</t>
  </si>
  <si>
    <t>Summer kW - Over 50</t>
  </si>
  <si>
    <t>Winter kW - Over 50</t>
  </si>
  <si>
    <t>kW - First 50</t>
  </si>
  <si>
    <t>kWh - All Over 20,000</t>
  </si>
  <si>
    <t>Summer kWh - First 20,000</t>
  </si>
  <si>
    <t>Winter kWh - First 20,000</t>
  </si>
  <si>
    <t>Schedule 25</t>
  </si>
  <si>
    <t>(Equiv Hours)</t>
  </si>
  <si>
    <t>Demand</t>
  </si>
  <si>
    <t xml:space="preserve">Present </t>
  </si>
  <si>
    <t>kWh per kW</t>
  </si>
  <si>
    <t>Load Size/</t>
  </si>
  <si>
    <t>kW</t>
  </si>
  <si>
    <t>Secondary Voltage General Service, Small Demand Between 50 &amp; 350 kW</t>
  </si>
  <si>
    <t>Average kW</t>
  </si>
  <si>
    <t>Summer kW</t>
  </si>
  <si>
    <t>Winter kW</t>
  </si>
  <si>
    <t>kWh - All</t>
  </si>
  <si>
    <t>Schedule 26</t>
  </si>
  <si>
    <t>Secondary Voltage General Service, Large Demand Over 350 kW</t>
  </si>
  <si>
    <t>Summer kWh - Over 20,000</t>
  </si>
  <si>
    <t>Winter kWh - Over 20,000</t>
  </si>
  <si>
    <t>Basic Charge (3 Phase)</t>
  </si>
  <si>
    <t>Basic Charge (1 Phase)</t>
  </si>
  <si>
    <t>% Change</t>
  </si>
  <si>
    <t>Schedule 29</t>
  </si>
  <si>
    <t>Secondary Voltage Irrigation &amp; Pumping Service</t>
  </si>
  <si>
    <t>Schedule 31</t>
  </si>
  <si>
    <t>Primary Voltage General Service</t>
  </si>
  <si>
    <t>Energy ($ per kWh)</t>
  </si>
  <si>
    <t>Demand ($ per kVa)</t>
  </si>
  <si>
    <t xml:space="preserve">Proposed </t>
  </si>
  <si>
    <t>kWh per kVa</t>
  </si>
  <si>
    <t>kVa</t>
  </si>
  <si>
    <t>Schedule 46 - Interruptible Service -High Voltage</t>
  </si>
  <si>
    <t>Schedule 49 - Large General Service -High Voltage</t>
  </si>
  <si>
    <t>8/24</t>
  </si>
  <si>
    <t>7A/11/25</t>
  </si>
  <si>
    <t>12/26</t>
  </si>
  <si>
    <t>10/31</t>
  </si>
  <si>
    <t xml:space="preserve">Transportation </t>
  </si>
  <si>
    <t>Average kWh - First 20,000</t>
  </si>
  <si>
    <t>Schedule 142 - Decoupling ($-kW)</t>
  </si>
  <si>
    <t>Average kWh - block 1</t>
  </si>
  <si>
    <t>Average kWh - block 2</t>
  </si>
  <si>
    <t>Schedule 142 - Decoupling ($-kWh)</t>
  </si>
  <si>
    <t>RATE EFFECTS</t>
  </si>
  <si>
    <t xml:space="preserve">Schedule 142
Deferral </t>
  </si>
  <si>
    <t>Schedule 141x
Tax</t>
  </si>
  <si>
    <t>l</t>
  </si>
  <si>
    <t>o</t>
  </si>
  <si>
    <t>Schedule 141 - ERF</t>
  </si>
  <si>
    <t>Special Contract</t>
  </si>
  <si>
    <t>Total Transportation</t>
  </si>
  <si>
    <t>Schedule 137
REC</t>
  </si>
  <si>
    <t>Rider Revenue Change</t>
  </si>
  <si>
    <t>C</t>
  </si>
  <si>
    <t>REVENUE
(Including 5-1-20
Sch 120 revenue)</t>
  </si>
  <si>
    <t>SC</t>
  </si>
  <si>
    <t>2019 Low Income Customer Charge</t>
  </si>
  <si>
    <t>Customer Rate Impacts</t>
  </si>
  <si>
    <t>Change In Rates</t>
  </si>
  <si>
    <t>$ Increase (Decrease) Due To Rate Change</t>
  </si>
  <si>
    <t>% Increase (Decrease) Due To Rate Change</t>
  </si>
  <si>
    <t>D</t>
  </si>
  <si>
    <t>E = D - C</t>
  </si>
  <si>
    <t>F=
B+(A*C)</t>
  </si>
  <si>
    <t>G=
B+(A*D)</t>
  </si>
  <si>
    <t>H=
G - F</t>
  </si>
  <si>
    <t>I=
H / F</t>
  </si>
  <si>
    <t>3, 50 - 59</t>
  </si>
  <si>
    <t>449 / 459 / SC</t>
  </si>
  <si>
    <t>(including Schedules 95, 95a, 120, 129, 132, 133, 137, 140, 141, 141x, 141y, 142 and 194)</t>
  </si>
  <si>
    <t>Residential Base Rate Impact:</t>
  </si>
  <si>
    <t>Base Rate Impact</t>
  </si>
  <si>
    <t>Net Rate Impact</t>
  </si>
  <si>
    <t>Schedule 141z
Tax</t>
  </si>
  <si>
    <t>Normalized Revenue After Riders</t>
  </si>
  <si>
    <t>Revenue Change After Riders</t>
  </si>
  <si>
    <t>Normalized Revenue Before Riders</t>
  </si>
  <si>
    <t>Normalized Revenue After Base Rate Change and Riders</t>
  </si>
  <si>
    <t>Base Revenue Change Before Riders</t>
  </si>
  <si>
    <t>% Base Rate Change</t>
  </si>
  <si>
    <t>% Change After Riders</t>
  </si>
  <si>
    <t xml:space="preserve">Electric Schedule 95 </t>
  </si>
  <si>
    <t>Schedule 95 Rate Change</t>
  </si>
  <si>
    <t>(g) = 
(e) + (f)</t>
  </si>
  <si>
    <t>(i) =
(d) +[(c) * (e)]</t>
  </si>
  <si>
    <t>(j) =
(d) +[(c) * (f)]</t>
  </si>
  <si>
    <t>(k) =
(j) - (i)</t>
  </si>
  <si>
    <t>(l) =
(k) / (i)</t>
  </si>
  <si>
    <t>Firm sales</t>
  </si>
  <si>
    <t>Test Year ended June 2021</t>
  </si>
  <si>
    <t>Proposed Rates Effective January 2023</t>
  </si>
  <si>
    <t>Impacts of Rate Change Effective December 1, 2020</t>
  </si>
  <si>
    <t>F2020 kWh
Dec 2020
to Nov 2021</t>
  </si>
  <si>
    <t>Projected
Base Revenue Excluding
Sch 95 (Note 1)</t>
  </si>
  <si>
    <t>Schedule 95
Effective
10-15-2020</t>
  </si>
  <si>
    <t>Proposed Schedule 95
Effective
12-01-2020</t>
  </si>
  <si>
    <t>Base Revenue
Including
Schedule 95
Effective
10-15-2020</t>
  </si>
  <si>
    <t>Base Revenue
Including
Proposed
Schedule 95
Effective
12-01-2020</t>
  </si>
  <si>
    <t>Revenue
Difference
Effective
12-01-2020</t>
  </si>
  <si>
    <t>%
Difference
Effective
12-01-2020</t>
  </si>
  <si>
    <t>Note 1:  Projected Base Revenue includes Base Tariffs plus Rider / Tracker Schedules 129, 140, 141, 141X, 141Y &amp; 142 Effective on 10/15/2020</t>
  </si>
  <si>
    <t>Calculation of Schedule 95 Rate, Compliance Filing  Docket UE-200980, Rates Effective 7-1-2021</t>
  </si>
  <si>
    <t>Rate Schedule</t>
  </si>
  <si>
    <t>Docket No.
UE-190529
Energy
Allocator
(Note 1)</t>
  </si>
  <si>
    <t>75%
Energy
(Note 2)</t>
  </si>
  <si>
    <t>Docket No.
UE-190529
Demand
Allocator
(Note 3)</t>
  </si>
  <si>
    <t>25%
Demand
(Note 2)</t>
  </si>
  <si>
    <t>Weighted Allocation</t>
  </si>
  <si>
    <t>2020 PCORC Variable Revenue Requirement</t>
  </si>
  <si>
    <t>2020 PCORC Revenue Requirement</t>
  </si>
  <si>
    <t>Proforma Normalized &amp; Delivered kWh
Test Year Ending 
June 2020</t>
  </si>
  <si>
    <t>2020 PCORC $ per kWh Effective July 1, 2021</t>
  </si>
  <si>
    <t>Tariff Sheet No.</t>
  </si>
  <si>
    <t>b = 75% * a / sum(a)</t>
  </si>
  <si>
    <t>d = 25% * c / sum(c)</t>
  </si>
  <si>
    <t>e = b + d</t>
  </si>
  <si>
    <t xml:space="preserve">f </t>
  </si>
  <si>
    <t>g = e * f</t>
  </si>
  <si>
    <t>i = g / h</t>
  </si>
  <si>
    <t>Sheet No. 95</t>
  </si>
  <si>
    <t>High Voltage Interruptible</t>
  </si>
  <si>
    <t>Sheet No. 95-A</t>
  </si>
  <si>
    <t>Note 1 Source:  Docket No. UE-190529 Compliance Cost of Service Workpapers, "Energy 2" Allocator</t>
  </si>
  <si>
    <t>Note 2 Source:  Docket No. UE-190529 Compliance Cost of Service Workpapers, "Fixed Peak Credit %"</t>
  </si>
  <si>
    <t>Note 3 Source:  Docket No. UE-190529 Compliance Cost of Service Workpapers, "DEM-2B" Allocator</t>
  </si>
  <si>
    <t>Transportation &amp; Special Contract</t>
  </si>
  <si>
    <t>Supplemental Rates</t>
  </si>
  <si>
    <t>Normal Deferral</t>
  </si>
  <si>
    <t>F2020
Delivered kWh
05/21 to 04/22</t>
  </si>
  <si>
    <t>Projected
Revenue
05/21 to 04/22
[Note 1]</t>
  </si>
  <si>
    <t>Schedule 120
Effective
5-1-20</t>
  </si>
  <si>
    <t>Proposed
Schedule 120
Effective
5-1-21</t>
  </si>
  <si>
    <t>REVENUE
(Including 5-1-21
Sch 120 revenue)</t>
  </si>
  <si>
    <t>F2021 Forecast Delivered kWh 10/01/21 through 09/30/22</t>
  </si>
  <si>
    <t>Estimated Delivered Revenue October 1, 2021 through September 30, 2022 (Note 1)</t>
  </si>
  <si>
    <t>2020 Low Income Rider Effective 10/01/20</t>
  </si>
  <si>
    <t>Proposed 2021 Low Income Rider</t>
  </si>
  <si>
    <t>$ Including 2020 Low Income Effective
 10/01/20</t>
  </si>
  <si>
    <t>$ Including Proposed 2021 Low Income Effective
 10/01/21</t>
  </si>
  <si>
    <t>Note 1 -  Includes all Rider Revenue and Revenue Credits from Schedules 95, 95a, 120, 132, 137, 140, 141, 141x, 141y, 141z, 142 and 194
           -  Excludes Sch 129 Low Income</t>
  </si>
  <si>
    <t>For the Twelve Months ended September 2021</t>
  </si>
  <si>
    <t>Transportation/Special Contract</t>
  </si>
  <si>
    <t>Impacts of Rate Change Effective May 1, 2021</t>
  </si>
  <si>
    <t>F2020 kWh 
May 2021
to April 2022</t>
  </si>
  <si>
    <t>Projected
Revenue 
(Based on Rates
Effective
4-30-2021)</t>
  </si>
  <si>
    <t>Current
Schedule 140
Property Tax
Effective 5-1-20</t>
  </si>
  <si>
    <t>Proposed
Schedule 140
Property Tax
Effective 5-1-21</t>
  </si>
  <si>
    <t>2019 Electric General Rate Case (GRC), Compliance Filing, Docket No. UE-190529 - Updated for PLR</t>
  </si>
  <si>
    <t>Electric Rates for EDIT IRS Private Letter Ruling (PLR) Revenue, Schedule 141x</t>
  </si>
  <si>
    <t>12 MONTHS ENDED DECEMBER 2018</t>
  </si>
  <si>
    <t>Effective 10/2021 to 12/2022</t>
  </si>
  <si>
    <t>Current Schedule No.</t>
  </si>
  <si>
    <t>F2021
10/21-12/22
(MWH)</t>
  </si>
  <si>
    <t>UE-190529
Ratebase
($)</t>
  </si>
  <si>
    <t>% Ratebase
to Total</t>
  </si>
  <si>
    <t>Sch 141x
Rev Req</t>
  </si>
  <si>
    <t>Sch 141x
Rates 
$-kWh</t>
  </si>
  <si>
    <t>Sch 141x
Rates 
$-Month</t>
  </si>
  <si>
    <t>Tariff Reference</t>
  </si>
  <si>
    <t>Sheet No. 141X</t>
  </si>
  <si>
    <t>Sheet No. 141X-A</t>
  </si>
  <si>
    <t>Sheet No. 141X-B</t>
  </si>
  <si>
    <t>Sheet No. 141X-C</t>
  </si>
  <si>
    <t>Transportation Service</t>
  </si>
  <si>
    <t>Retail Wheeling Transporation</t>
  </si>
  <si>
    <t>Special Contract Service</t>
  </si>
  <si>
    <t>n/a</t>
  </si>
  <si>
    <t>Check</t>
  </si>
  <si>
    <t>ESTIMATED EFFECT OF PROPOSED BASE RATE INCREASE</t>
  </si>
  <si>
    <t>Sch 141z
Rev Req</t>
  </si>
  <si>
    <t>Sch 141z
Rates 
$-kWh</t>
  </si>
  <si>
    <t>Sch 141z
Rates 
$-Month</t>
  </si>
  <si>
    <t>Energy</t>
  </si>
  <si>
    <t>Ratebase</t>
  </si>
  <si>
    <t>(MWH)</t>
  </si>
  <si>
    <t>($)</t>
  </si>
  <si>
    <t xml:space="preserve">2019 GRC Compliance Electric SCH 142 Decoupling Filing Correction </t>
  </si>
  <si>
    <t>Summary of Proposed Rates</t>
  </si>
  <si>
    <t>Proposed Effective Date of January 1, 2021</t>
  </si>
  <si>
    <t xml:space="preserve">SCH 142 Amortization (Supplemental) </t>
  </si>
  <si>
    <t>CURRENT Eff 10-15-2020</t>
  </si>
  <si>
    <t>TOTAL</t>
  </si>
  <si>
    <t>Schedule 142 Rate</t>
  </si>
  <si>
    <t>Schedule 142</t>
  </si>
  <si>
    <t>Delivery Margin</t>
  </si>
  <si>
    <t>Fixed Power Cost</t>
  </si>
  <si>
    <t>Units</t>
  </si>
  <si>
    <t>Adjusting Rates</t>
  </si>
  <si>
    <t>Amortization</t>
  </si>
  <si>
    <t>Schedules 7</t>
  </si>
  <si>
    <t>Energy Charge</t>
  </si>
  <si>
    <t>$/kWh</t>
  </si>
  <si>
    <t>Schedules 8 &amp; 24</t>
  </si>
  <si>
    <t>Schedules 7A, 11, 25, 29, 35 &amp; 43</t>
  </si>
  <si>
    <t>Schedule 40*</t>
  </si>
  <si>
    <t>Schedule SC</t>
  </si>
  <si>
    <t>Schedule 12 &amp; 26</t>
  </si>
  <si>
    <t>Demand Charge</t>
  </si>
  <si>
    <t xml:space="preserve">$/KW </t>
  </si>
  <si>
    <t>$kWh</t>
  </si>
  <si>
    <t>Schedule 10 &amp; 31</t>
  </si>
  <si>
    <t>$/KW</t>
  </si>
  <si>
    <t>Schedules 46 &amp; 49**</t>
  </si>
  <si>
    <t xml:space="preserve">*Note: Includes Special Contracts for Delivery and Excludes for FPC </t>
  </si>
  <si>
    <t xml:space="preserve">**Note: SCH 46 &amp; 49 balances will be written on May 2020 and rates are proposed to be set to zero. </t>
  </si>
  <si>
    <t>2021 Electric Decoupling Filing</t>
  </si>
  <si>
    <t>Proposed Effective May 1, 2021</t>
  </si>
  <si>
    <t>PROPOSED Eff 5-1-2021</t>
  </si>
  <si>
    <t xml:space="preserve">Schedule 142 </t>
  </si>
  <si>
    <t>Annual kW Demand 
YE 06-2021</t>
  </si>
  <si>
    <t>November 1, 2021 through September 30, 2022</t>
  </si>
  <si>
    <t>Forecast Exchange Delivered Sales (MWh)</t>
  </si>
  <si>
    <t xml:space="preserve">Forecast Net REP Benefits to be paid by BPA </t>
  </si>
  <si>
    <t>Rates
Effective
November 1, 2021</t>
  </si>
  <si>
    <t xml:space="preserve"> kWh Rates
Effective
May 1, 2021</t>
  </si>
  <si>
    <t>kW Rates
Effective
May 1, 2021</t>
  </si>
  <si>
    <t>kWh Rates
Effective
October 15, 2020</t>
  </si>
  <si>
    <t>kW Rates
Effective
October 15, 2020</t>
  </si>
  <si>
    <t>Sch 194
BPA Credit
Effective 
November 1, 2021</t>
  </si>
  <si>
    <t>Sch 142 Decoupling
Rider Revenue
Effective 
May 1, 2021</t>
  </si>
  <si>
    <t>Sch 142 Decoupling
Rider Revenue
Effective 
October 15, 2020</t>
  </si>
  <si>
    <t>Rates
Effective
October 15, 2020</t>
  </si>
  <si>
    <t>Rates
Effective
October 1, 2021</t>
  </si>
  <si>
    <t>Sch 129
 Low Income Rider
Effective
October 1, 2021</t>
  </si>
  <si>
    <t>Rates
Effective
September 1, 2021</t>
  </si>
  <si>
    <t>Rates
Effective
January 1, 2021</t>
  </si>
  <si>
    <t>Sch 137
REC Rider
Effective
January 1, 2021</t>
  </si>
  <si>
    <t>Sch 140
Property Tax Rider
Effective
May 1, 2021</t>
  </si>
  <si>
    <t>Rates
Effective
May 1, 2021</t>
  </si>
  <si>
    <t>Sch 141 
ERF
Effective
October 15, 2020</t>
  </si>
  <si>
    <t>Sch 141X 
Deferred Tax Rider
Effective
October 1, 2021</t>
  </si>
  <si>
    <t>Sch 120
Conservation Rider
Effective
May 1, 2021</t>
  </si>
  <si>
    <t>Sch 95A
Fed Incentive Rider
Effective
January 1, 2021</t>
  </si>
  <si>
    <t>Rates
Effective
December 1, 2020</t>
  </si>
  <si>
    <t>Sch 95
PCA Imbalance
Effective
December 1, 2020</t>
  </si>
  <si>
    <t>Rates
Effective
July 1, 2021</t>
  </si>
  <si>
    <t>Sch 95
PCCORC
Effective
July 1, 2021</t>
  </si>
  <si>
    <r>
      <t>BPA FY</t>
    </r>
    <r>
      <rPr>
        <b/>
        <sz val="10"/>
        <color rgb="FF0000FF"/>
        <rFont val="Arial"/>
        <family val="2"/>
      </rPr>
      <t xml:space="preserve"> 2022</t>
    </r>
  </si>
  <si>
    <r>
      <t xml:space="preserve">Residential Exchange Balance </t>
    </r>
    <r>
      <rPr>
        <b/>
        <sz val="10"/>
        <color rgb="FF0000FF"/>
        <rFont val="Arial"/>
        <family val="2"/>
      </rPr>
      <t xml:space="preserve">8-31-21 </t>
    </r>
    <r>
      <rPr>
        <sz val="10"/>
        <rFont val="Arial"/>
        <family val="2"/>
      </rPr>
      <t>to recover over 2 years</t>
    </r>
  </si>
  <si>
    <r>
      <t xml:space="preserve">Proposed Residential and Farm Exchange Benefit Rate Effective </t>
    </r>
    <r>
      <rPr>
        <b/>
        <sz val="10"/>
        <color rgb="FF0000FF"/>
        <rFont val="Arial"/>
        <family val="2"/>
      </rPr>
      <t>11-1-21</t>
    </r>
    <r>
      <rPr>
        <b/>
        <sz val="10"/>
        <rFont val="Arial"/>
        <family val="2"/>
      </rPr>
      <t xml:space="preserve"> ($ / kWh)</t>
    </r>
  </si>
  <si>
    <r>
      <t>Average monthly bill for Residential customer consuming</t>
    </r>
    <r>
      <rPr>
        <b/>
        <sz val="10"/>
        <rFont val="Arial"/>
        <family val="2"/>
      </rPr>
      <t xml:space="preserve"> 900 kWh per month</t>
    </r>
  </si>
  <si>
    <r>
      <t xml:space="preserve">Before proposed change in credit (Based on rates effective </t>
    </r>
    <r>
      <rPr>
        <b/>
        <sz val="10"/>
        <color rgb="FF0000FF"/>
        <rFont val="Arial"/>
        <family val="2"/>
      </rPr>
      <t>10-30-21</t>
    </r>
    <r>
      <rPr>
        <sz val="10"/>
        <rFont val="Arial"/>
        <family val="2"/>
      </rPr>
      <t>)</t>
    </r>
  </si>
  <si>
    <r>
      <t xml:space="preserve">After proposed change in credit (Based on rates effective </t>
    </r>
    <r>
      <rPr>
        <b/>
        <sz val="10"/>
        <color rgb="FF0000FF"/>
        <rFont val="Arial"/>
        <family val="2"/>
      </rPr>
      <t>11-1-21</t>
    </r>
    <r>
      <rPr>
        <sz val="10"/>
        <rFont val="Arial"/>
        <family val="2"/>
      </rPr>
      <t>)</t>
    </r>
  </si>
  <si>
    <t>Schedule 95
PCA Imbalance</t>
  </si>
  <si>
    <t>Schedule
142
Supplemental</t>
  </si>
  <si>
    <t>m</t>
  </si>
  <si>
    <t>n</t>
  </si>
  <si>
    <t>Schedule 139
Green Direct</t>
  </si>
  <si>
    <t>p</t>
  </si>
  <si>
    <t>Resource
13902SW10 
MWh</t>
  </si>
  <si>
    <t>Resource
13902SW15
MWh</t>
  </si>
  <si>
    <t>Resource
13902SW20
MWh</t>
  </si>
  <si>
    <t>Schedule 139 -Green Direct</t>
  </si>
  <si>
    <t>Resource
13902SW10 
2022 Rate</t>
  </si>
  <si>
    <t>Resource
13902SW15
2022 Rate</t>
  </si>
  <si>
    <t>Resource
13902SW20
2022 Rate</t>
  </si>
  <si>
    <t>Schedule
194
BPA Res Exch</t>
  </si>
  <si>
    <t>q = 
∑ (c…p)</t>
  </si>
  <si>
    <t>r = 
b + q</t>
  </si>
  <si>
    <t>s</t>
  </si>
  <si>
    <t>t = r</t>
  </si>
  <si>
    <t>Schedule 95 - PCORC</t>
  </si>
  <si>
    <t>Schedule 142 - Decoupling Supplemental</t>
  </si>
  <si>
    <t>u = -c</t>
  </si>
  <si>
    <t>v = - d</t>
  </si>
  <si>
    <t>aa</t>
  </si>
  <si>
    <t>ab</t>
  </si>
  <si>
    <t>ac</t>
  </si>
  <si>
    <t>Schedule 142 - Decoupling Supplemental ($-kWh)</t>
  </si>
  <si>
    <t>Schedule 142 - Decoupling Supplemental ($-kW)</t>
  </si>
  <si>
    <t>% Customers</t>
  </si>
  <si>
    <t>Annual</t>
  </si>
  <si>
    <t>Summer (Apr-Sep)</t>
  </si>
  <si>
    <t>Winter (Oct-Mar)</t>
  </si>
  <si>
    <t>Phase 1 kWh</t>
  </si>
  <si>
    <t>Phase 2 kWh</t>
  </si>
  <si>
    <t>Schedule 139
Phase 1 
Rate Credit
Effective
December 1, 2021</t>
  </si>
  <si>
    <t>Schedule 139
Phase 2
Rate Credit
Effective
December 1, 2021</t>
  </si>
  <si>
    <t>Sch 139
Green Direct
Effective
Dec 1, 2021</t>
  </si>
  <si>
    <t>Schedule 139
Phase 1 &amp; 2
Rate Credit
Effective January 2023</t>
  </si>
  <si>
    <t>Sch 139
Green Direct
Effective
January 1, 2023</t>
  </si>
  <si>
    <t>Schedule 141N
MYRP 
Non-Refundable</t>
  </si>
  <si>
    <t>Schedule 141R
MYRP 
Refundable</t>
  </si>
  <si>
    <t>w  = -i</t>
  </si>
  <si>
    <t>x = -l</t>
  </si>
  <si>
    <t>Rates
Effective
January 2023</t>
  </si>
  <si>
    <t>Sch 141Z
Tax Rider
Effective
October 15, 2020</t>
  </si>
  <si>
    <t>Add:  Effective January 2023</t>
  </si>
  <si>
    <t>Schedule 141N - Non Refundable MYRP</t>
  </si>
  <si>
    <t>Schedule 141R - Refundable MYRP</t>
  </si>
  <si>
    <t xml:space="preserve">Schedule 141X- Tax Passback </t>
  </si>
  <si>
    <t>Schedule 141Z - Tax</t>
  </si>
  <si>
    <t>Schedule 141N - MYRP - Non-Refundable</t>
  </si>
  <si>
    <t>Sch 141N 
MYRP
Non-Refundable
Effective
January 2023</t>
  </si>
  <si>
    <t>Sch 141R
MYRP
Refundable
Effective
January 2023</t>
  </si>
  <si>
    <t>Schedule 141R - MYRP - Refundable</t>
  </si>
  <si>
    <t>Schedule 141X - Tax</t>
  </si>
  <si>
    <t>Normalized Revenue After Base Rate Change Eff Jan 2023</t>
  </si>
  <si>
    <t>Rates zero effective January 2023</t>
  </si>
  <si>
    <t>MYRP 2023</t>
  </si>
  <si>
    <t>Annual Delivered $</t>
  </si>
  <si>
    <t>MYRP 2025</t>
  </si>
  <si>
    <t>MYRP 2024</t>
  </si>
  <si>
    <t>Resource
13902SW10 
2023 Rate</t>
  </si>
  <si>
    <t>Resource
13902SW15
2023 Rate</t>
  </si>
  <si>
    <t>Resource
13902SW20
2023 Rate</t>
  </si>
  <si>
    <t>Test Year ended December 2023</t>
  </si>
  <si>
    <t>Annual mWh 
Delivered Sales 
YE 2023</t>
  </si>
  <si>
    <t>Annual mWh
Delivered Sales 
YE 06-2021</t>
  </si>
  <si>
    <t>Annual Delivered MWh</t>
  </si>
  <si>
    <t>Annual Delivered $x1000</t>
  </si>
  <si>
    <t>MWh</t>
  </si>
  <si>
    <t>Rates
Effective
January 2024</t>
  </si>
  <si>
    <t>Sch 141N 
MYRP
Non-Refundable
Effective
January 2024</t>
  </si>
  <si>
    <t>Sch 141N 
MYRP
Non-Refundable
Effective
January 2025</t>
  </si>
  <si>
    <t>Rates
Effective
January 2025</t>
  </si>
  <si>
    <t>Sch 141R
MYRP
Refundable
Effective
January 2024</t>
  </si>
  <si>
    <t>Sch 141R
MYRP
Refundable
Effective
January 2025</t>
  </si>
  <si>
    <t>Sch 95
PCCORC
Effective
January 1, 2023</t>
  </si>
  <si>
    <t>Sch 95
PCA Imbalance
Effective
January 1, 2023</t>
  </si>
  <si>
    <t>y = -o</t>
  </si>
  <si>
    <t>z</t>
  </si>
  <si>
    <t>ai = ag / r</t>
  </si>
  <si>
    <t>kWh
Source: F2021 January 2022 to December 2022</t>
  </si>
  <si>
    <t>Estimated Net Revenue @
Rates Effective
10-1-2021
(*Note 1)</t>
  </si>
  <si>
    <t>Sch 137
Effective
Jan 1, 2021
$ per kWh</t>
  </si>
  <si>
    <t>Proposed 
Sch 137
Effective
January 1, 2022
$ per kWh</t>
  </si>
  <si>
    <t>Revenue Including
Sch 137
Eff 1-1-21</t>
  </si>
  <si>
    <t>Revenue
Including
Proposed
Sch 137
Effective 1-1-22</t>
  </si>
  <si>
    <t>Sch 95a
Effective
Jan 1, 2021
$ per kWh</t>
  </si>
  <si>
    <t>Proposed 
Sch 95a
Effective
January 1, 2022
$ per kWh</t>
  </si>
  <si>
    <t>Revenue Including
Sch 95a
Eff 1-1-21</t>
  </si>
  <si>
    <t>Revenue
Including
Proposed
Sch 95a
Effective 1-1-22</t>
  </si>
  <si>
    <t>Rates
Effective
January 1, 2023</t>
  </si>
  <si>
    <t>Sch 141X 
Deferred Tax Rider
Effective
January 1, 2023</t>
  </si>
  <si>
    <t>kWh Rates
Effective
January 1, 2023</t>
  </si>
  <si>
    <t>kW Rates
Effective
January 1, 2023</t>
  </si>
  <si>
    <t>Sch 142 Decoupling
Rider Revenue
Effective 
January 1, 2023</t>
  </si>
  <si>
    <t>Annual Delivered kW</t>
  </si>
  <si>
    <t>t</t>
  </si>
  <si>
    <t>u</t>
  </si>
  <si>
    <t>Add:  Effective January 2024</t>
  </si>
  <si>
    <t>Remove:  Effective January 2023</t>
  </si>
  <si>
    <t>Test Year ended December 2024</t>
  </si>
  <si>
    <t>Proposed Rates Effective January 2024</t>
  </si>
  <si>
    <t>Annual mWh 
Delivered Sales 
YE 2024</t>
  </si>
  <si>
    <t>q</t>
  </si>
  <si>
    <t>r</t>
  </si>
  <si>
    <t>x</t>
  </si>
  <si>
    <t>y</t>
  </si>
  <si>
    <t>Test Year ended December 2025</t>
  </si>
  <si>
    <t>Proposed Rates Effective January 2025</t>
  </si>
  <si>
    <t>Annual mWh 
Delivered Sales 
YE 2025</t>
  </si>
  <si>
    <t>Remove:  Effective January 2024</t>
  </si>
  <si>
    <t>Add:  Effective January 2025</t>
  </si>
  <si>
    <t>Sec Volt Gen Svc</t>
  </si>
  <si>
    <t>Sec Volt Gen Lg Dem Svc</t>
  </si>
  <si>
    <t>Sec Volt Gen Med Dem Svc</t>
  </si>
  <si>
    <t>Sec Volt Irrig &amp; Pump Svc</t>
  </si>
  <si>
    <t>Pri Volt Gen Svc</t>
  </si>
  <si>
    <t>Pri Volt Irrig &amp; Pump Svc</t>
  </si>
  <si>
    <t>Pri Volt Interr Elec Sch</t>
  </si>
  <si>
    <t>High Volt Interr Svc</t>
  </si>
  <si>
    <t>High Volt Gen Svc</t>
  </si>
  <si>
    <t>Area &amp; Street Lighting</t>
  </si>
  <si>
    <t>Total Forecast Revenue at Current Rates (1)</t>
  </si>
  <si>
    <t>Rate Class</t>
  </si>
  <si>
    <t>Base Rate $ Change</t>
  </si>
  <si>
    <t>Base Rate % Change</t>
  </si>
  <si>
    <t>Sch 141N Rate Plan $ Change</t>
  </si>
  <si>
    <t>Sch 141N Rate Plan % Change</t>
  </si>
  <si>
    <t>Sch 141R Rate Plan $ Change</t>
  </si>
  <si>
    <t>Sch 141R Rate Plan % Change</t>
  </si>
  <si>
    <t>Sch 141X Rate Plan $ Change</t>
  </si>
  <si>
    <t>Sch 141X Rate Plan % Change</t>
  </si>
  <si>
    <t>Supplemental Rates MYRP 2023</t>
  </si>
  <si>
    <t>Sch 95 PCORC Rate Plan $ Change</t>
  </si>
  <si>
    <t>Sch 95 PCORC Rate Plan % Change</t>
  </si>
  <si>
    <t>Sch 95 PCAM Rate Plan $ Change</t>
  </si>
  <si>
    <t>Sch 95 PCAM Rate Plan % Change</t>
  </si>
  <si>
    <t>Sch 139 Rate Plan $ Change</t>
  </si>
  <si>
    <t>Sch 139 Rate Plan % Change</t>
  </si>
  <si>
    <t>(1)  Rates Effective October 1, 2021</t>
  </si>
  <si>
    <t>Sch 142 Supp Rate Plan $ Change</t>
  </si>
  <si>
    <t>Total $ Change</t>
  </si>
  <si>
    <t>Total % Change</t>
  </si>
  <si>
    <t>Revenue Change</t>
  </si>
  <si>
    <t>Total Forecast Revenue at RY#1 Rates (1)</t>
  </si>
  <si>
    <t>(1)  Proposed Rates Effective January 1, 2023</t>
  </si>
  <si>
    <t>(1)  Proposed Rates Effective January 1, 2024</t>
  </si>
  <si>
    <t>Total Forecast Revenue at RY#2 Rates (1)</t>
  </si>
  <si>
    <t>2022 Electric General Rate Case Filing</t>
  </si>
  <si>
    <t>Schedule 7 Residential Monthly Billing Comparison of Proposed Rate Year #1 Rates</t>
  </si>
  <si>
    <t>Proposed Rates Effective January 1, 2023</t>
  </si>
  <si>
    <t>Proposed Rates Effective January 1, 2024</t>
  </si>
  <si>
    <t>Proposed Rates Effective January 1, 2025</t>
  </si>
  <si>
    <t>Winter
(Oct-Mar)</t>
  </si>
  <si>
    <t>Change in Bill $</t>
  </si>
  <si>
    <t>Change in Bill %</t>
  </si>
  <si>
    <t>Schedule 7 Residential Monthly Billing Comparison of Proposed Rate Plan Rates</t>
  </si>
  <si>
    <t>Proposed
Bill
Effective
Jan. 1, 2023</t>
  </si>
  <si>
    <t>Proposed
Bill
Effective
Jan. 1, 2024</t>
  </si>
  <si>
    <t>Proposed
Bill
Effective
Jan. 1, 2025</t>
  </si>
  <si>
    <t>12 ME
Dec 2023
Total Forecast
Revenue @ 
Proposed 
Rates</t>
  </si>
  <si>
    <t>12 ME
Dec 2024
Total Forecast
Revenue @ 
Proposed 
Rates</t>
  </si>
  <si>
    <t>12 ME
Dec 2025
Total Forecast
Revenue @ 
Proposed 
Rates</t>
  </si>
  <si>
    <t>F = E/D</t>
  </si>
  <si>
    <t>E</t>
  </si>
  <si>
    <t>G</t>
  </si>
  <si>
    <t>H = G/D</t>
  </si>
  <si>
    <t>I</t>
  </si>
  <si>
    <t>J = I/D</t>
  </si>
  <si>
    <t>K</t>
  </si>
  <si>
    <t>L = K/D</t>
  </si>
  <si>
    <t>M</t>
  </si>
  <si>
    <t>N = M/D</t>
  </si>
  <si>
    <t>O</t>
  </si>
  <si>
    <t>P = O/D</t>
  </si>
  <si>
    <t>R = Q/D</t>
  </si>
  <si>
    <t>T = S/D</t>
  </si>
  <si>
    <t>U</t>
  </si>
  <si>
    <t>V = U/D</t>
  </si>
  <si>
    <t>Current Rates</t>
  </si>
  <si>
    <t>Base Rate Change</t>
  </si>
  <si>
    <t>Sch. 141N Rate Change</t>
  </si>
  <si>
    <t>Sch. 141R Rate Change</t>
  </si>
  <si>
    <t>Sch. 141X Rate Change</t>
  </si>
  <si>
    <t>Total Rate Change</t>
  </si>
  <si>
    <t>Charges</t>
  </si>
  <si>
    <t>Rates</t>
  </si>
  <si>
    <t>Typical Sch. 7  Residential Bill Impacts of Proposed Rate Year #1 Rates</t>
  </si>
  <si>
    <t>Customer charge ($/month)</t>
  </si>
  <si>
    <t>Total monthly bill</t>
  </si>
  <si>
    <t>Change from bill under current rates</t>
  </si>
  <si>
    <t>Percent change from bill under current rates</t>
  </si>
  <si>
    <t>Volume (kWh)</t>
  </si>
  <si>
    <t>Basic Charge (Sch. 7)</t>
  </si>
  <si>
    <t>Energy Charge (Sch. 7) First 600 kWh</t>
  </si>
  <si>
    <t>Energy Charge (Sch. 7) Over 600 kWh</t>
  </si>
  <si>
    <t>Total volumetric charges First 600 kWh</t>
  </si>
  <si>
    <t>Total volumetric charges Over 600 kWh</t>
  </si>
  <si>
    <t>Total Volumetric Charges</t>
  </si>
  <si>
    <t>Volumetric charges ($/kWh)</t>
  </si>
  <si>
    <t>Sch. 142 Supp Rate Change</t>
  </si>
  <si>
    <t>Sch. 95  PCORC Rate Change</t>
  </si>
  <si>
    <t>Sch. 95  PCAM Rate Change</t>
  </si>
  <si>
    <t>Typical Sch. 7  Residential Bill Impacts of Proposed Rate Year #2 Rates</t>
  </si>
  <si>
    <t>Typical Sch. 7  Residential Bill Impacts of Proposed Rate Year #3 Rates</t>
  </si>
  <si>
    <t>Current Rates (1)</t>
  </si>
  <si>
    <t>Proposed Rates</t>
  </si>
  <si>
    <t>Forecasted</t>
  </si>
  <si>
    <t>Rate</t>
  </si>
  <si>
    <t>Volume (Therms)</t>
  </si>
  <si>
    <t>Revenue</t>
  </si>
  <si>
    <t>Average Rate</t>
  </si>
  <si>
    <t>12ME Dec. 2023</t>
  </si>
  <si>
    <t>E = D/C</t>
  </si>
  <si>
    <t>F</t>
  </si>
  <si>
    <t>H = G/F</t>
  </si>
  <si>
    <t>I = (G-D)/D</t>
  </si>
  <si>
    <t>Average Rate Per kWh Impacts by Rate Schedule of Proposed Rate Year #1 Rates</t>
  </si>
  <si>
    <t>(1) Rates effective October 1, 2021</t>
  </si>
  <si>
    <t>Per kWh</t>
  </si>
  <si>
    <t>check</t>
  </si>
  <si>
    <t>12ME Dec. 2024</t>
  </si>
  <si>
    <t>Average Rate Per kWh Impacts by Rate Schedule of Proposed Rate Year #2 Rates</t>
  </si>
  <si>
    <t>(1) Current Rates effective January 1, 2023</t>
  </si>
  <si>
    <t>Average Rate Per kWh Impacts by Rate Schedule of Proposed Rate Year #3 Rates</t>
  </si>
  <si>
    <t>(1) Current Rates effective January 1, 2024</t>
  </si>
  <si>
    <t>12ME Dec. 2025</t>
  </si>
  <si>
    <t>Delivered at 2023 Rates</t>
  </si>
  <si>
    <t>Delivered at 2024 Rates</t>
  </si>
  <si>
    <t>Estimated Rates
Effective
January 2025</t>
  </si>
  <si>
    <t>Delivered at 2025 Rates</t>
  </si>
  <si>
    <t>v</t>
  </si>
  <si>
    <t>w</t>
  </si>
  <si>
    <t>ad</t>
  </si>
  <si>
    <t>ae</t>
  </si>
  <si>
    <t>Schedule 139 Current</t>
  </si>
  <si>
    <t>Schedule 139 Proposed</t>
  </si>
  <si>
    <t>Total Impact</t>
  </si>
  <si>
    <t>Sch 142 Supp Rate Plan % Change</t>
  </si>
  <si>
    <t>GRC Revenue Change ($)</t>
  </si>
  <si>
    <t>GRC Revenue Change (%)</t>
  </si>
  <si>
    <t>Resource
13902SW10 
2024 Rate</t>
  </si>
  <si>
    <t>Resource
13902SW15
2024 Rate</t>
  </si>
  <si>
    <t>Resource
13902SW20
2024 Rate</t>
  </si>
  <si>
    <t>Schedule 139
Phase 1 &amp; 2
Rate Credit
Effective January 2024</t>
  </si>
  <si>
    <t>Sch 139
Green Direct
Effective
January 1, 2024</t>
  </si>
  <si>
    <t>Resource
13902SW10 
2025 Rate</t>
  </si>
  <si>
    <t>Resource
13902SW15
2025 Rate</t>
  </si>
  <si>
    <t>Resource
13902SW20
2025 Rate</t>
  </si>
  <si>
    <t>Schedule 139
Phase 1 &amp; 2
Rate Credit
Effective January 2025</t>
  </si>
  <si>
    <t>Sch 139
Green Direct
Effective
January 1, 2025</t>
  </si>
  <si>
    <t>Other Revenue Changes Impacting Customers</t>
  </si>
  <si>
    <t>W</t>
  </si>
  <si>
    <t>X = W/D</t>
  </si>
  <si>
    <t>2022 Electric General Rate Case (GRC)</t>
  </si>
  <si>
    <t>Table of Contents</t>
  </si>
  <si>
    <t>Tab</t>
  </si>
  <si>
    <t xml:space="preserve">Category </t>
  </si>
  <si>
    <t>Links from Other Spreadsheets</t>
  </si>
  <si>
    <t>Exhibit</t>
  </si>
  <si>
    <t>Work Papers</t>
  </si>
  <si>
    <t>Bill Impacts</t>
  </si>
  <si>
    <t>Exhibit BDJ-7, Page 3</t>
  </si>
  <si>
    <t>Exhibit BDJ-7, Page 4</t>
  </si>
  <si>
    <t>Exhibit BDJ-7, Page 5</t>
  </si>
  <si>
    <t>Exhibit BDJ-7, Page 6</t>
  </si>
  <si>
    <t>Exhibit BDJ-7, Page 7</t>
  </si>
  <si>
    <t>Exhibit BDJ-7, Page 8</t>
  </si>
  <si>
    <t>Exhibit BDJ-7, Page 9</t>
  </si>
  <si>
    <t>Exhibit BDJ-7, Page 10</t>
  </si>
  <si>
    <t>Exhibit BDJ-7, Page 11</t>
  </si>
  <si>
    <t>Exhibit BDJ-7, Page 12</t>
  </si>
  <si>
    <t>Rate Impacts_RY#1</t>
  </si>
  <si>
    <t>Rate Impacts_RY#2</t>
  </si>
  <si>
    <t>Rate Impacts_RY#3</t>
  </si>
  <si>
    <t>Res Bill Summary</t>
  </si>
  <si>
    <t>Res Bill RY#1</t>
  </si>
  <si>
    <t>Res Bill RY#2</t>
  </si>
  <si>
    <t>Res Bill RY#3</t>
  </si>
  <si>
    <t>Typical Res Bill RY#1</t>
  </si>
  <si>
    <t>Typical Res Bill RY#2</t>
  </si>
  <si>
    <t>Typical Res Bill RY#3</t>
  </si>
  <si>
    <t>Schedule 24 Impacts</t>
  </si>
  <si>
    <t>Schedule 25 Impacts</t>
  </si>
  <si>
    <t>Schedule 26 Impacts</t>
  </si>
  <si>
    <t>Schedule 29 Impacts</t>
  </si>
  <si>
    <t>Schedule 31 Impacts</t>
  </si>
  <si>
    <t>Schedule 46 Impacts</t>
  </si>
  <si>
    <t>Schedule 49 Impacts</t>
  </si>
  <si>
    <t>Other Workpapers</t>
  </si>
  <si>
    <t>Exhibit BDJ-7, Page 13</t>
  </si>
  <si>
    <t>Exhibit BDJ-7, Page 14</t>
  </si>
  <si>
    <t>Exhibit BDJ-7, Page 15</t>
  </si>
  <si>
    <t>Exhibit BDJ-7, Page 16</t>
  </si>
  <si>
    <t>Exhibit BDJ-7, Page 17</t>
  </si>
  <si>
    <t>Avg Per kWh RY#1</t>
  </si>
  <si>
    <t>Avg Per kWh RY#2</t>
  </si>
  <si>
    <t>Avg Per kWh RY#3</t>
  </si>
  <si>
    <t>Revenue By Sch TY</t>
  </si>
  <si>
    <t>Revenue by Sch RY#1</t>
  </si>
  <si>
    <t>Revenue by Sch RY#2</t>
  </si>
  <si>
    <t>Revenue by Sch RY#3</t>
  </si>
  <si>
    <t>Rider Impacts</t>
  </si>
  <si>
    <t>Sch 95 PCORC</t>
  </si>
  <si>
    <t>Sch 95 Imbalance</t>
  </si>
  <si>
    <t>Sch 95a</t>
  </si>
  <si>
    <t>Sch 120</t>
  </si>
  <si>
    <t>Sch 129</t>
  </si>
  <si>
    <t>Sch 140</t>
  </si>
  <si>
    <t>Sch 141</t>
  </si>
  <si>
    <t>Sch 141N</t>
  </si>
  <si>
    <t>Sch 141R</t>
  </si>
  <si>
    <t>Sch 141X</t>
  </si>
  <si>
    <t>Sch 141Z</t>
  </si>
  <si>
    <t>Sch 142</t>
  </si>
  <si>
    <t>Sch 194</t>
  </si>
  <si>
    <t>Rider Rates</t>
  </si>
  <si>
    <t>UE-200890 Sch 95 PCORC</t>
  </si>
  <si>
    <t>UE-200893 Sch 95 Imb</t>
  </si>
  <si>
    <t>UE-210821 Sch 95A</t>
  </si>
  <si>
    <t>UE-210140 Sch 120</t>
  </si>
  <si>
    <t>UE-210674 Sch 129</t>
  </si>
  <si>
    <t>UE-210924 Sch 137</t>
  </si>
  <si>
    <t>UE-210217 Sch 140</t>
  </si>
  <si>
    <t>UE-190529 (PLR) 141x</t>
  </si>
  <si>
    <t>UE-190529 Sch 141Z</t>
  </si>
  <si>
    <t>UE-210214 Sch 142</t>
  </si>
  <si>
    <t>UE-200965 Sch 142 Supplemental</t>
  </si>
  <si>
    <t>UE-210757 Sch 194</t>
  </si>
  <si>
    <t xml:space="preserve">NEW-PSE-WP-BDJ-3-ELEC-F2021-BILL-DETERMINANTS-22GRC-01-2022.xlsx
NEW-PSE-WP-BDJ-3-ELEC-NORM-MO-REV-22GRC-01-2022.xlsx
NEW-PSE-WP-BDJ-5-ELEC-RATE-DESIGN-(SC-DIST)-22GRC-01-2022(C).xlsx
NEW-PSE-WP-BDJ-7-ELEC-BILL-IMPACTS-RESBLOCK-SUM-22GRC-01-2022.xlsx
NEW-PSE-WP-BDJ-7-ELEC-BILL-IMPACTS-SCH139-LOADS-22GRC-01-2022.xlsx
NEW-PSE-WP-JAP-5-GD-SCH139-CR-22GRC-01-2022.xlsx
</t>
  </si>
  <si>
    <t>Exhibit BDJ-7, Page 1-2</t>
  </si>
  <si>
    <t>Exhibit BDJ-7, Page 18</t>
  </si>
  <si>
    <t>Note:  Schedule 141X rates are effective October 1, 2021 through December 31, 2022 and will go to zero on January 1, 2023</t>
  </si>
  <si>
    <t>u = 
∑ (c…t)</t>
  </si>
  <si>
    <t>v = 
b + u</t>
  </si>
  <si>
    <t>w = -l</t>
  </si>
  <si>
    <t>x = -j</t>
  </si>
  <si>
    <t>y = -m</t>
  </si>
  <si>
    <t>z = -n</t>
  </si>
  <si>
    <t>ae = ∑(v…ad)</t>
  </si>
  <si>
    <t>af =
v + ae</t>
  </si>
  <si>
    <t>ag = ae / v</t>
  </si>
  <si>
    <t>af</t>
  </si>
  <si>
    <t>ag = ∑(s…af)</t>
  </si>
  <si>
    <t>ah =
r + ag</t>
  </si>
  <si>
    <t>ae = ∑(u…ad)</t>
  </si>
  <si>
    <t>af =
s + t + ae</t>
  </si>
  <si>
    <t>ag = s - b</t>
  </si>
  <si>
    <t>ah =af - r</t>
  </si>
  <si>
    <t>ai = ag / b</t>
  </si>
  <si>
    <t>aj = ah / r</t>
  </si>
  <si>
    <t>Q</t>
  </si>
  <si>
    <t>S = E+G+I+K+M+O+Q</t>
  </si>
  <si>
    <t>L = I/D</t>
  </si>
  <si>
    <t>M = D+E+G+I+K</t>
  </si>
  <si>
    <t>N = M-D</t>
  </si>
  <si>
    <t>O = N/D</t>
  </si>
  <si>
    <t>Y</t>
  </si>
  <si>
    <t>Z = Y/D</t>
  </si>
  <si>
    <t>AA = D+Q+S+U+W+Y</t>
  </si>
  <si>
    <t>AB = AA-D</t>
  </si>
  <si>
    <t>AC = AB/D</t>
  </si>
  <si>
    <t>Sch 141A Rate Plan $ Change</t>
  </si>
  <si>
    <t>Sch 141A Rate Plan % Change</t>
  </si>
  <si>
    <t xml:space="preserve">NOTE 1: Excludes Green Direct Loads </t>
  </si>
  <si>
    <t>Annual mWh
Delivered Sales 
YE 06-2021 (Note 1)</t>
  </si>
  <si>
    <t>MWh (Note 1)</t>
  </si>
  <si>
    <t>cross check</t>
  </si>
  <si>
    <t>Sch. 141A Rate Change</t>
  </si>
  <si>
    <t>Schedule 141A -  Sch 139 Energy Charge Credit Recovery</t>
  </si>
  <si>
    <t>Schedule 141A
 Sch 139 Energy Charge Credit Recovery</t>
  </si>
  <si>
    <t>Schedule 141A  Sch 139 Energy Charge Credit Recovery</t>
  </si>
  <si>
    <t>Annual Demand
(MW or MVa)
YE 06-2021</t>
  </si>
  <si>
    <t>Demand
(MW or MVa)</t>
  </si>
  <si>
    <t>kWh Rates
Effective
January 1, 2024</t>
  </si>
  <si>
    <t>kW/kV Rates
Effective
January 1, 2023</t>
  </si>
  <si>
    <t>kW/kV Rates
Effective
January 1, 2024</t>
  </si>
  <si>
    <r>
      <t xml:space="preserve">Monthly Billing </t>
    </r>
    <r>
      <rPr>
        <vertAlign val="superscript"/>
        <sz val="8"/>
        <rFont val="Arial"/>
        <family val="2"/>
      </rPr>
      <t>1</t>
    </r>
  </si>
  <si>
    <r>
      <t xml:space="preserve">Schedule 49 </t>
    </r>
    <r>
      <rPr>
        <vertAlign val="superscript"/>
        <sz val="8"/>
        <rFont val="Arial"/>
        <family val="2"/>
      </rPr>
      <t>2</t>
    </r>
  </si>
  <si>
    <r>
      <t xml:space="preserve">Schedule 49 </t>
    </r>
    <r>
      <rPr>
        <vertAlign val="superscript"/>
        <sz val="8"/>
        <rFont val="Arial"/>
        <family val="2"/>
      </rPr>
      <t>3</t>
    </r>
  </si>
  <si>
    <r>
      <t xml:space="preserve">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Base Rates Effective 10/1/2021</t>
    </r>
  </si>
  <si>
    <r>
      <t xml:space="preserve"> 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Base Rates Effective January 2023</t>
    </r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</si>
  <si>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Rates for Schedule 7 customers in effect January 1, 2025</t>
    </r>
  </si>
  <si>
    <r>
      <t>Rates</t>
    </r>
    <r>
      <rPr>
        <b/>
        <vertAlign val="superscript"/>
        <sz val="8"/>
        <rFont val="Arial"/>
        <family val="2"/>
      </rPr>
      <t xml:space="preserve"> (1)</t>
    </r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</si>
  <si>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Rates for Schedule 7 customers in effect January 1, 2024</t>
    </r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</si>
  <si>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Rates for Schedule 7 customers in effect October 1, 2021</t>
    </r>
  </si>
  <si>
    <r>
      <t xml:space="preserve">Monthly Bill Amounts </t>
    </r>
    <r>
      <rPr>
        <vertAlign val="superscript"/>
        <sz val="8"/>
        <rFont val="Arial"/>
        <family val="2"/>
      </rPr>
      <t>1</t>
    </r>
  </si>
  <si>
    <r>
      <t xml:space="preserve">Present </t>
    </r>
    <r>
      <rPr>
        <vertAlign val="superscript"/>
        <sz val="8"/>
        <rFont val="Arial"/>
        <family val="2"/>
      </rPr>
      <t>2</t>
    </r>
  </si>
  <si>
    <r>
      <t xml:space="preserve">Proposed </t>
    </r>
    <r>
      <rPr>
        <vertAlign val="superscript"/>
        <sz val="8"/>
        <rFont val="Arial"/>
        <family val="2"/>
      </rPr>
      <t>2,3</t>
    </r>
  </si>
  <si>
    <r>
      <t xml:space="preserve">   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Base Rates Effective 1/1/2024</t>
    </r>
  </si>
  <si>
    <r>
      <t xml:space="preserve">   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Rider Rates Effective January 2025</t>
    </r>
  </si>
  <si>
    <r>
      <t xml:space="preserve">Proposed </t>
    </r>
    <r>
      <rPr>
        <vertAlign val="superscript"/>
        <sz val="8"/>
        <rFont val="Arial"/>
        <family val="2"/>
      </rPr>
      <t>3</t>
    </r>
  </si>
  <si>
    <r>
      <t xml:space="preserve">   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Base Rates Effective 10/1/2021</t>
    </r>
  </si>
  <si>
    <r>
      <t xml:space="preserve">   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Base + Rider Rates Effective January 2023</t>
    </r>
  </si>
  <si>
    <r>
      <t xml:space="preserve">Monthly Bill Amounts $ </t>
    </r>
    <r>
      <rPr>
        <vertAlign val="superscript"/>
        <sz val="8"/>
        <rFont val="Arial"/>
        <family val="2"/>
      </rPr>
      <t>1</t>
    </r>
  </si>
  <si>
    <r>
      <t xml:space="preserve">Current
Bill </t>
    </r>
    <r>
      <rPr>
        <vertAlign val="superscript"/>
        <sz val="8"/>
        <rFont val="Arial"/>
        <family val="2"/>
      </rPr>
      <t>2</t>
    </r>
  </si>
  <si>
    <r>
      <t xml:space="preserve">Monthly Billing </t>
    </r>
    <r>
      <rPr>
        <vertAlign val="superscript"/>
        <sz val="8"/>
        <rFont val="Arial"/>
        <family val="2"/>
      </rPr>
      <t>1, 2</t>
    </r>
  </si>
  <si>
    <r>
      <t xml:space="preserve">Present Price Schedule 24 </t>
    </r>
    <r>
      <rPr>
        <vertAlign val="superscript"/>
        <sz val="8"/>
        <rFont val="Arial"/>
        <family val="2"/>
      </rPr>
      <t>3</t>
    </r>
  </si>
  <si>
    <r>
      <t xml:space="preserve">Proposed Price Schedule 24 </t>
    </r>
    <r>
      <rPr>
        <vertAlign val="superscript"/>
        <sz val="8"/>
        <rFont val="Arial"/>
        <family val="2"/>
      </rPr>
      <t>4</t>
    </r>
  </si>
  <si>
    <r>
      <t xml:space="preserve">      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Average Non-Seasonal Energy Rate</t>
    </r>
  </si>
  <si>
    <r>
      <t xml:space="preserve">       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Base Rates Effective 10/1/2021</t>
    </r>
  </si>
  <si>
    <r>
      <t xml:space="preserve">       </t>
    </r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Base Rates Effective January 2023</t>
    </r>
  </si>
  <si>
    <r>
      <t xml:space="preserve">Schedule 25 </t>
    </r>
    <r>
      <rPr>
        <vertAlign val="superscript"/>
        <sz val="8"/>
        <rFont val="Arial"/>
        <family val="2"/>
      </rPr>
      <t>3</t>
    </r>
  </si>
  <si>
    <r>
      <t xml:space="preserve">Schedule 25 </t>
    </r>
    <r>
      <rPr>
        <vertAlign val="superscript"/>
        <sz val="8"/>
        <rFont val="Arial"/>
        <family val="2"/>
      </rPr>
      <t>4</t>
    </r>
  </si>
  <si>
    <r>
      <t xml:space="preserve"> 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Average Non-Seasonal Energy and Demand Rates</t>
    </r>
  </si>
  <si>
    <r>
      <t xml:space="preserve"> 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Base Rates Effective 10/1/2021</t>
    </r>
  </si>
  <si>
    <r>
      <t xml:space="preserve"> </t>
    </r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Base Rates Effective January 2023</t>
    </r>
  </si>
  <si>
    <r>
      <t xml:space="preserve">Schedule 26 </t>
    </r>
    <r>
      <rPr>
        <vertAlign val="superscript"/>
        <sz val="8"/>
        <rFont val="Arial"/>
        <family val="2"/>
      </rPr>
      <t>3</t>
    </r>
  </si>
  <si>
    <r>
      <t xml:space="preserve">Schedule 26 </t>
    </r>
    <r>
      <rPr>
        <vertAlign val="superscript"/>
        <sz val="8"/>
        <rFont val="Arial"/>
        <family val="2"/>
      </rPr>
      <t>4</t>
    </r>
  </si>
  <si>
    <r>
      <t xml:space="preserve">Schedule 29 </t>
    </r>
    <r>
      <rPr>
        <vertAlign val="superscript"/>
        <sz val="8"/>
        <rFont val="Arial"/>
        <family val="2"/>
      </rPr>
      <t>3</t>
    </r>
  </si>
  <si>
    <r>
      <t xml:space="preserve">Schedule 29 </t>
    </r>
    <r>
      <rPr>
        <vertAlign val="superscript"/>
        <sz val="8"/>
        <rFont val="Arial"/>
        <family val="2"/>
      </rPr>
      <t>4</t>
    </r>
  </si>
  <si>
    <r>
      <t xml:space="preserve">Schedule 31 </t>
    </r>
    <r>
      <rPr>
        <vertAlign val="superscript"/>
        <sz val="8"/>
        <rFont val="Arial"/>
        <family val="2"/>
      </rPr>
      <t>3</t>
    </r>
  </si>
  <si>
    <r>
      <t xml:space="preserve">Schedule 31 </t>
    </r>
    <r>
      <rPr>
        <vertAlign val="superscript"/>
        <sz val="8"/>
        <rFont val="Arial"/>
        <family val="2"/>
      </rPr>
      <t>4</t>
    </r>
  </si>
  <si>
    <r>
      <t xml:space="preserve">Schedule 46 </t>
    </r>
    <r>
      <rPr>
        <vertAlign val="superscript"/>
        <sz val="8"/>
        <rFont val="Arial"/>
        <family val="2"/>
      </rPr>
      <t>2</t>
    </r>
  </si>
  <si>
    <r>
      <t xml:space="preserve">Schedule 46 </t>
    </r>
    <r>
      <rPr>
        <vertAlign val="superscript"/>
        <sz val="8"/>
        <rFont val="Arial"/>
        <family val="2"/>
      </rPr>
      <t>3</t>
    </r>
  </si>
  <si>
    <t>Note 1: Formula to calculate base rate revenue change for each rate schedule was modified from initial filing in order to incorporate the pro forma revenue adjustment in the Settlement.</t>
  </si>
  <si>
    <t>See Note 1</t>
  </si>
  <si>
    <t xml:space="preserve">GRC Revenue Changes            </t>
  </si>
  <si>
    <t>Note:  Amounts in bold and italics are different from the October 18, 2022 PSE Response to WUTC Bench Request 002.</t>
  </si>
  <si>
    <t>z = -q</t>
  </si>
  <si>
    <t>aa = -r</t>
  </si>
  <si>
    <t>af = ∑(w…ae)</t>
  </si>
  <si>
    <t>ag =
v + af</t>
  </si>
  <si>
    <t>ah = af / v</t>
  </si>
  <si>
    <t>O = D+E+G+I+K+M</t>
  </si>
  <si>
    <t>P = O-D</t>
  </si>
  <si>
    <t>Q = P/D</t>
  </si>
  <si>
    <t>Sch 141A
Effective
January 2023</t>
  </si>
  <si>
    <t>Sch 141A
Effective
January 2024</t>
  </si>
  <si>
    <t>Sch 141A
Effective
January 2025</t>
  </si>
  <si>
    <t>Sch 141COL</t>
  </si>
  <si>
    <t>Sch 141COL Rate Plan $ Change</t>
  </si>
  <si>
    <t>Sch 141COL Rate Plan % Change</t>
  </si>
  <si>
    <t xml:space="preserve">   1 Includes Rider &amp; Tracker Schedules 95 PCORC, 95 PCA, 95A, 120, 129, 137, 140, 141, 141COL, 141N, 141R, 141x, 141z, 142, 142 Supplemental, 194</t>
  </si>
  <si>
    <t>Schedule 141COL - Colstrip</t>
  </si>
  <si>
    <t xml:space="preserve">   1 Includes Rider Schedules 95 PCORC, 95 PCA, 95A, 120, 129, 137, 140, 141, 141COL, 141N, 141R, 141x, 141z, 142, 142 Supplemental, 194</t>
  </si>
  <si>
    <t>Sch. 141COL Rate Change</t>
  </si>
  <si>
    <t xml:space="preserve">       1 Includes Rider Schedules 95 PCORC, 95 PCA, 95A, 120, 129, 137, 140, 141, 141COL, 141N, 141R, 141x, 141z, 142, 142 Supplemental</t>
  </si>
  <si>
    <t xml:space="preserve"> 1 Includes Rider Schedules 95 PCORC, 95 PCA, 95A, 120, 129, 137, 140, 141, 141COL, 141N, 141R, 141x, 141z, 142, 142 Supplemental</t>
  </si>
  <si>
    <t xml:space="preserve"> 1 Includes Rider Schedules 95 PCORC, 95 PCA, 95A, 120, 129, 137, 140, 141, 141COL, 141N, 141R, 141x, 141z, 142, 142 Supplemental, 194</t>
  </si>
  <si>
    <t>Schedule 141COL
Colstrip</t>
  </si>
  <si>
    <t>Sch 141COL 
Colstrip
Effective
January 2023</t>
  </si>
  <si>
    <t>Presentational purpose ONLY, rates will only be set for 2023 in 2022 GRC</t>
  </si>
  <si>
    <t xml:space="preserve">Difference </t>
  </si>
  <si>
    <t>PSE's 2022 GRC Compliance Filing</t>
  </si>
  <si>
    <t>24 (8, 324)</t>
  </si>
  <si>
    <t>7 (307, 317, 327)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</si>
</sst>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* #,##0.000_);_(* \(#,##0.000\);_(* &quot;-&quot;??_);_(@_)"/>
    <numFmt numFmtId="168" formatCode="0.00_)"/>
    <numFmt numFmtId="169" formatCode="0.000%"/>
    <numFmt numFmtId="170" formatCode="&quot;$&quot;#,##0"/>
    <numFmt numFmtId="171" formatCode="_(&quot;$&quot;* #,##0.000000_);_(&quot;$&quot;* \(#,##0.000000\);_(&quot;$&quot;* &quot;-&quot;??_);_(@_)"/>
    <numFmt numFmtId="172" formatCode="0.0000\ \¢"/>
    <numFmt numFmtId="173" formatCode="0.00000\ \¢"/>
    <numFmt numFmtId="174" formatCode="_(* #,##0.0000000_);_(* \(#,##0.0000000\);_(* &quot;-&quot;??_);_(@_)"/>
    <numFmt numFmtId="175" formatCode="_(&quot;$&quot;* #,##0.00000_);_(&quot;$&quot;* \(#,##0.00000\);_(&quot;$&quot;* &quot;-&quot;??_);_(@_)"/>
    <numFmt numFmtId="176" formatCode="0.000"/>
    <numFmt numFmtId="177" formatCode="_(* #,##0.0000_);_(* \(#,##0.0000\);_(* &quot;-&quot;??_);_(@_)"/>
    <numFmt numFmtId="178" formatCode="_(&quot;$&quot;* #,##0.00000000000_);_(&quot;$&quot;* \(#,##0.00000000000\);_(&quot;$&quot;* &quot;-&quot;??_);_(@_)"/>
    <numFmt numFmtId="179" formatCode="_(* #,##0.000000_);_(* \(#,##0.000000\);_(* &quot;-&quot;??_);_(@_)"/>
    <numFmt numFmtId="180" formatCode="_(&quot;$&quot;* #,##0.00_);_(&quot;$&quot;* \(#,##0.00\);_(&quot;$&quot;* &quot;-&quot;_);_(@_)"/>
    <numFmt numFmtId="181" formatCode="_(&quot;$&quot;* #,##0.00000_);_(&quot;$&quot;* \(#,##0.00000\);_(&quot;$&quot;* &quot;-&quot;?????_);_(@_)"/>
    <numFmt numFmtId="182" formatCode="0.0000%"/>
  </numFmts>
  <fonts count="47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rgb="FF008080"/>
      <name val="Arial"/>
      <family val="2"/>
    </font>
    <font>
      <sz val="10"/>
      <color rgb="FF0000FF"/>
      <name val="Arial"/>
      <family val="2"/>
    </font>
    <font>
      <sz val="10"/>
      <color rgb="FF0033CC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name val="TimesNewRomanPS"/>
    </font>
    <font>
      <b/>
      <sz val="10"/>
      <name val="Times New Roman"/>
      <family val="1"/>
    </font>
    <font>
      <b/>
      <u/>
      <sz val="10"/>
      <name val="TimesNewRomanPS"/>
    </font>
    <font>
      <b/>
      <sz val="10"/>
      <color rgb="FF00808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rgb="FF0000FF"/>
      <name val="Arial"/>
      <family val="2"/>
    </font>
    <font>
      <sz val="10"/>
      <color rgb="FF008080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  <font>
      <b/>
      <i/>
      <sz val="8"/>
      <color rgb="FF0033CC"/>
      <name val="Arial"/>
      <family val="2"/>
    </font>
    <font>
      <b/>
      <sz val="8"/>
      <name val="Arial"/>
      <family val="2"/>
    </font>
    <font>
      <b/>
      <i/>
      <sz val="8"/>
      <color rgb="FF0000FF"/>
      <name val="Arial"/>
      <family val="2"/>
    </font>
    <font>
      <b/>
      <i/>
      <sz val="10"/>
      <color rgb="FF0000FF"/>
      <name val="Times New Roman"/>
      <family val="1"/>
    </font>
    <font>
      <b/>
      <i/>
      <sz val="8"/>
      <name val="Arial"/>
      <family val="2"/>
    </font>
    <font>
      <b/>
      <sz val="8"/>
      <color rgb="FF0000FF"/>
      <name val="Arial"/>
      <family val="2"/>
    </font>
    <font>
      <sz val="8"/>
      <color rgb="FF008080"/>
      <name val="Arial"/>
      <family val="2"/>
    </font>
    <font>
      <sz val="8"/>
      <name val="Calibri"/>
      <family val="2"/>
      <scheme val="minor"/>
    </font>
    <font>
      <sz val="8"/>
      <color rgb="FF00808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  <scheme val="minor"/>
    </font>
    <font>
      <b/>
      <sz val="8"/>
      <color rgb="FF0000FF"/>
      <name val="Calibri"/>
      <family val="2"/>
      <scheme val="minor"/>
    </font>
    <font>
      <vertAlign val="superscript"/>
      <sz val="8"/>
      <name val="Arial"/>
      <family val="2"/>
    </font>
    <font>
      <u/>
      <sz val="8"/>
      <name val="Arial"/>
      <family val="2"/>
    </font>
    <font>
      <sz val="8"/>
      <color indexed="12"/>
      <name val="Arial"/>
      <family val="2"/>
    </font>
    <font>
      <sz val="8"/>
      <color rgb="FF0070C0"/>
      <name val="Arial"/>
      <family val="2"/>
    </font>
    <font>
      <b/>
      <vertAlign val="superscript"/>
      <sz val="8"/>
      <name val="Arial"/>
      <family val="2"/>
    </font>
    <font>
      <sz val="8"/>
      <color rgb="FF006666"/>
      <name val="Arial"/>
      <family val="2"/>
    </font>
    <font>
      <sz val="8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52">
    <xf numFmtId="0" fontId="0" fillId="0" borderId="0" xfId="0"/>
    <xf numFmtId="0" fontId="0" fillId="0" borderId="0" xfId="0" applyFill="1"/>
    <xf numFmtId="0" fontId="1" fillId="0" borderId="0" xfId="0" quotePrefix="1" applyFont="1" applyFill="1" applyAlignment="1">
      <alignment horizontal="left"/>
    </xf>
    <xf numFmtId="164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indent="1"/>
    </xf>
    <xf numFmtId="165" fontId="3" fillId="0" borderId="0" xfId="0" quotePrefix="1" applyNumberFormat="1" applyFont="1" applyFill="1" applyAlignment="1">
      <alignment horizontal="left"/>
    </xf>
    <xf numFmtId="10" fontId="3" fillId="0" borderId="0" xfId="0" quotePrefix="1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164" fontId="3" fillId="0" borderId="2" xfId="0" applyNumberFormat="1" applyFont="1" applyFill="1" applyBorder="1"/>
    <xf numFmtId="165" fontId="3" fillId="0" borderId="2" xfId="0" applyNumberFormat="1" applyFont="1" applyFill="1" applyBorder="1"/>
    <xf numFmtId="171" fontId="3" fillId="0" borderId="2" xfId="0" applyNumberFormat="1" applyFont="1" applyFill="1" applyBorder="1"/>
    <xf numFmtId="10" fontId="3" fillId="0" borderId="2" xfId="0" applyNumberFormat="1" applyFont="1" applyFill="1" applyBorder="1" applyAlignment="1">
      <alignment horizontal="center"/>
    </xf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171" fontId="3" fillId="0" borderId="0" xfId="0" applyNumberFormat="1" applyFont="1" applyFill="1" applyBorder="1"/>
    <xf numFmtId="10" fontId="3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left" indent="1"/>
    </xf>
    <xf numFmtId="0" fontId="3" fillId="0" borderId="0" xfId="0" quotePrefix="1" applyFont="1" applyFill="1" applyAlignment="1">
      <alignment horizontal="left"/>
    </xf>
    <xf numFmtId="164" fontId="3" fillId="0" borderId="0" xfId="0" applyNumberFormat="1" applyFont="1" applyFill="1"/>
    <xf numFmtId="165" fontId="3" fillId="0" borderId="0" xfId="0" applyNumberFormat="1" applyFont="1" applyFill="1"/>
    <xf numFmtId="171" fontId="3" fillId="0" borderId="0" xfId="0" applyNumberFormat="1" applyFont="1" applyFill="1"/>
    <xf numFmtId="10" fontId="3" fillId="0" borderId="0" xfId="0" applyNumberFormat="1" applyFont="1" applyFill="1" applyAlignment="1">
      <alignment horizontal="center"/>
    </xf>
    <xf numFmtId="164" fontId="3" fillId="0" borderId="3" xfId="0" applyNumberFormat="1" applyFont="1" applyFill="1" applyBorder="1"/>
    <xf numFmtId="165" fontId="3" fillId="0" borderId="3" xfId="0" applyNumberFormat="1" applyFont="1" applyFill="1" applyBorder="1"/>
    <xf numFmtId="171" fontId="3" fillId="0" borderId="3" xfId="0" applyNumberFormat="1" applyFont="1" applyFill="1" applyBorder="1"/>
    <xf numFmtId="10" fontId="3" fillId="0" borderId="3" xfId="0" applyNumberFormat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Continuous"/>
    </xf>
    <xf numFmtId="0" fontId="1" fillId="0" borderId="9" xfId="0" applyFont="1" applyFill="1" applyBorder="1" applyAlignment="1">
      <alignment horizontal="centerContinuous"/>
    </xf>
    <xf numFmtId="0" fontId="1" fillId="0" borderId="10" xfId="0" applyFont="1" applyFill="1" applyBorder="1" applyAlignment="1">
      <alignment horizontal="centerContinuous"/>
    </xf>
    <xf numFmtId="0" fontId="1" fillId="0" borderId="11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" fillId="0" borderId="12" xfId="0" applyFont="1" applyFill="1" applyBorder="1" applyAlignment="1">
      <alignment horizontal="centerContinuous"/>
    </xf>
    <xf numFmtId="0" fontId="1" fillId="0" borderId="11" xfId="0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top" wrapText="1"/>
    </xf>
    <xf numFmtId="164" fontId="1" fillId="0" borderId="0" xfId="0" quotePrefix="1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0" fontId="1" fillId="0" borderId="12" xfId="0" quotePrefix="1" applyFont="1" applyFill="1" applyBorder="1" applyAlignment="1">
      <alignment horizontal="center" vertical="top" wrapText="1"/>
    </xf>
    <xf numFmtId="0" fontId="1" fillId="0" borderId="0" xfId="0" quotePrefix="1" applyFont="1" applyFill="1" applyBorder="1" applyAlignment="1"/>
    <xf numFmtId="0" fontId="1" fillId="0" borderId="13" xfId="0" applyFont="1" applyFill="1" applyBorder="1" applyAlignment="1">
      <alignment horizontal="center"/>
    </xf>
    <xf numFmtId="171" fontId="1" fillId="0" borderId="0" xfId="0" applyNumberFormat="1" applyFont="1" applyFill="1"/>
    <xf numFmtId="171" fontId="1" fillId="0" borderId="2" xfId="0" applyNumberFormat="1" applyFont="1" applyFill="1" applyBorder="1"/>
    <xf numFmtId="164" fontId="1" fillId="0" borderId="9" xfId="0" applyNumberFormat="1" applyFont="1" applyFill="1" applyBorder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165" fontId="1" fillId="0" borderId="4" xfId="0" applyNumberFormat="1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" fillId="0" borderId="12" xfId="0" applyFont="1" applyFill="1" applyBorder="1"/>
    <xf numFmtId="164" fontId="1" fillId="0" borderId="0" xfId="0" quotePrefix="1" applyNumberFormat="1" applyFont="1" applyFill="1" applyBorder="1" applyAlignment="1">
      <alignment horizontal="center" wrapText="1"/>
    </xf>
    <xf numFmtId="0" fontId="1" fillId="0" borderId="12" xfId="0" quotePrefix="1" applyFont="1" applyFill="1" applyBorder="1" applyAlignment="1">
      <alignment horizontal="center" wrapText="1"/>
    </xf>
    <xf numFmtId="171" fontId="1" fillId="0" borderId="0" xfId="0" applyNumberFormat="1" applyFont="1" applyFill="1" applyBorder="1"/>
    <xf numFmtId="172" fontId="1" fillId="0" borderId="0" xfId="0" applyNumberFormat="1" applyFont="1" applyFill="1" applyBorder="1"/>
    <xf numFmtId="0" fontId="1" fillId="0" borderId="0" xfId="0" quotePrefix="1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164" fontId="1" fillId="0" borderId="4" xfId="0" applyNumberFormat="1" applyFont="1" applyFill="1" applyBorder="1"/>
    <xf numFmtId="0" fontId="1" fillId="0" borderId="14" xfId="0" applyFont="1" applyFill="1" applyBorder="1"/>
    <xf numFmtId="165" fontId="1" fillId="0" borderId="0" xfId="0" applyNumberFormat="1" applyFont="1" applyFill="1" applyBorder="1"/>
    <xf numFmtId="10" fontId="1" fillId="0" borderId="12" xfId="0" applyNumberFormat="1" applyFont="1" applyFill="1" applyBorder="1"/>
    <xf numFmtId="0" fontId="1" fillId="0" borderId="0" xfId="0" applyFont="1" applyFill="1" applyBorder="1" applyAlignment="1">
      <alignment horizontal="center" vertical="top" wrapText="1"/>
    </xf>
    <xf numFmtId="0" fontId="1" fillId="0" borderId="0" xfId="0" quotePrefix="1" applyFont="1" applyFill="1" applyBorder="1" applyAlignment="1">
      <alignment horizontal="center" vertical="top" wrapText="1"/>
    </xf>
    <xf numFmtId="0" fontId="4" fillId="0" borderId="0" xfId="0" applyFont="1"/>
    <xf numFmtId="0" fontId="3" fillId="0" borderId="0" xfId="0" applyFont="1" applyFill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left"/>
    </xf>
    <xf numFmtId="0" fontId="1" fillId="0" borderId="8" xfId="0" applyFont="1" applyFill="1" applyBorder="1"/>
    <xf numFmtId="0" fontId="1" fillId="0" borderId="11" xfId="0" applyFont="1" applyFill="1" applyBorder="1"/>
    <xf numFmtId="0" fontId="1" fillId="0" borderId="12" xfId="0" applyFont="1" applyFill="1" applyBorder="1" applyAlignment="1">
      <alignment horizontal="center" wrapText="1"/>
    </xf>
    <xf numFmtId="10" fontId="1" fillId="0" borderId="12" xfId="0" applyNumberFormat="1" applyFont="1" applyFill="1" applyBorder="1" applyAlignment="1">
      <alignment horizontal="right"/>
    </xf>
    <xf numFmtId="173" fontId="1" fillId="0" borderId="4" xfId="0" applyNumberFormat="1" applyFont="1" applyFill="1" applyBorder="1"/>
    <xf numFmtId="171" fontId="5" fillId="0" borderId="0" xfId="0" applyNumberFormat="1" applyFont="1" applyFill="1" applyBorder="1"/>
    <xf numFmtId="164" fontId="6" fillId="0" borderId="4" xfId="0" quotePrefix="1" applyNumberFormat="1" applyFont="1" applyBorder="1" applyAlignment="1">
      <alignment horizontal="center" wrapText="1"/>
    </xf>
    <xf numFmtId="164" fontId="1" fillId="0" borderId="4" xfId="0" quotePrefix="1" applyNumberFormat="1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 wrapText="1"/>
    </xf>
    <xf numFmtId="164" fontId="7" fillId="0" borderId="0" xfId="0" applyNumberFormat="1" applyFont="1" applyBorder="1"/>
    <xf numFmtId="0" fontId="7" fillId="0" borderId="0" xfId="0" applyFont="1" applyBorder="1"/>
    <xf numFmtId="0" fontId="7" fillId="0" borderId="12" xfId="0" applyFont="1" applyBorder="1"/>
    <xf numFmtId="164" fontId="5" fillId="0" borderId="0" xfId="0" applyNumberFormat="1" applyFont="1" applyBorder="1"/>
    <xf numFmtId="165" fontId="5" fillId="0" borderId="0" xfId="0" applyNumberFormat="1" applyFont="1" applyBorder="1"/>
    <xf numFmtId="171" fontId="5" fillId="0" borderId="0" xfId="0" applyNumberFormat="1" applyFont="1" applyBorder="1"/>
    <xf numFmtId="10" fontId="5" fillId="0" borderId="12" xfId="0" applyNumberFormat="1" applyFont="1" applyBorder="1"/>
    <xf numFmtId="165" fontId="7" fillId="0" borderId="0" xfId="0" applyNumberFormat="1" applyFont="1" applyBorder="1"/>
    <xf numFmtId="172" fontId="7" fillId="0" borderId="0" xfId="0" applyNumberFormat="1" applyFont="1" applyBorder="1"/>
    <xf numFmtId="171" fontId="7" fillId="0" borderId="0" xfId="0" applyNumberFormat="1" applyFont="1" applyBorder="1"/>
    <xf numFmtId="10" fontId="7" fillId="0" borderId="12" xfId="0" applyNumberFormat="1" applyFont="1" applyBorder="1"/>
    <xf numFmtId="169" fontId="7" fillId="0" borderId="12" xfId="0" applyNumberFormat="1" applyFont="1" applyBorder="1"/>
    <xf numFmtId="164" fontId="5" fillId="0" borderId="4" xfId="0" applyNumberFormat="1" applyFont="1" applyBorder="1"/>
    <xf numFmtId="165" fontId="5" fillId="0" borderId="4" xfId="0" applyNumberFormat="1" applyFont="1" applyBorder="1"/>
    <xf numFmtId="171" fontId="7" fillId="0" borderId="4" xfId="0" applyNumberFormat="1" applyFont="1" applyBorder="1"/>
    <xf numFmtId="165" fontId="7" fillId="0" borderId="4" xfId="0" applyNumberFormat="1" applyFont="1" applyBorder="1"/>
    <xf numFmtId="169" fontId="7" fillId="0" borderId="14" xfId="0" applyNumberFormat="1" applyFont="1" applyBorder="1"/>
    <xf numFmtId="0" fontId="1" fillId="0" borderId="0" xfId="0" applyFont="1" applyFill="1" applyAlignment="1">
      <alignment horizontal="center" wrapText="1"/>
    </xf>
    <xf numFmtId="164" fontId="1" fillId="0" borderId="2" xfId="0" applyNumberFormat="1" applyFont="1" applyFill="1" applyBorder="1"/>
    <xf numFmtId="171" fontId="6" fillId="0" borderId="0" xfId="0" applyNumberFormat="1" applyFont="1" applyFill="1" applyBorder="1"/>
    <xf numFmtId="165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1" fillId="0" borderId="0" xfId="0" applyFont="1"/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0" fontId="11" fillId="0" borderId="5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horizontal="left" wrapText="1"/>
    </xf>
    <xf numFmtId="0" fontId="11" fillId="0" borderId="5" xfId="0" quotePrefix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1" xfId="0" quotePrefix="1" applyFont="1" applyFill="1" applyBorder="1" applyAlignment="1">
      <alignment horizontal="center" wrapText="1"/>
    </xf>
    <xf numFmtId="0" fontId="3" fillId="0" borderId="0" xfId="0" quotePrefix="1" applyFont="1" applyFill="1"/>
    <xf numFmtId="165" fontId="3" fillId="0" borderId="0" xfId="0" applyNumberFormat="1" applyFont="1" applyFill="1"/>
    <xf numFmtId="0" fontId="12" fillId="0" borderId="0" xfId="0" quotePrefix="1" applyFont="1" applyFill="1" applyAlignment="1">
      <alignment horizontal="left"/>
    </xf>
    <xf numFmtId="164" fontId="3" fillId="0" borderId="0" xfId="0" applyNumberFormat="1" applyFont="1" applyFill="1" applyProtection="1">
      <protection locked="0"/>
    </xf>
    <xf numFmtId="165" fontId="3" fillId="0" borderId="0" xfId="0" applyNumberFormat="1" applyFont="1" applyFill="1" applyProtection="1"/>
    <xf numFmtId="170" fontId="3" fillId="0" borderId="0" xfId="0" applyNumberFormat="1" applyFont="1" applyFill="1" applyProtection="1">
      <protection locked="0"/>
    </xf>
    <xf numFmtId="10" fontId="3" fillId="0" borderId="0" xfId="0" applyNumberFormat="1" applyFont="1" applyFill="1"/>
    <xf numFmtId="165" fontId="3" fillId="0" borderId="0" xfId="0" applyNumberFormat="1" applyFont="1" applyFill="1" applyProtection="1">
      <protection locked="0"/>
    </xf>
    <xf numFmtId="171" fontId="3" fillId="0" borderId="0" xfId="0" applyNumberFormat="1" applyFont="1" applyFill="1"/>
    <xf numFmtId="0" fontId="10" fillId="0" borderId="0" xfId="0" quotePrefix="1" applyFont="1" applyFill="1" applyAlignment="1">
      <alignment horizontal="left" indent="1"/>
    </xf>
    <xf numFmtId="164" fontId="3" fillId="0" borderId="2" xfId="0" applyNumberFormat="1" applyFont="1" applyFill="1" applyBorder="1" applyProtection="1">
      <protection locked="0"/>
    </xf>
    <xf numFmtId="165" fontId="3" fillId="0" borderId="2" xfId="0" applyNumberFormat="1" applyFont="1" applyFill="1" applyBorder="1" applyProtection="1"/>
    <xf numFmtId="165" fontId="3" fillId="0" borderId="2" xfId="0" applyNumberFormat="1" applyFont="1" applyFill="1" applyBorder="1" applyProtection="1">
      <protection locked="0"/>
    </xf>
    <xf numFmtId="164" fontId="3" fillId="0" borderId="0" xfId="0" applyNumberFormat="1" applyFont="1" applyFill="1"/>
    <xf numFmtId="170" fontId="3" fillId="0" borderId="0" xfId="0" applyNumberFormat="1" applyFont="1" applyFill="1"/>
    <xf numFmtId="0" fontId="10" fillId="0" borderId="0" xfId="0" applyFont="1" applyFill="1"/>
    <xf numFmtId="0" fontId="10" fillId="0" borderId="0" xfId="0" quotePrefix="1" applyFont="1" applyFill="1" applyAlignment="1">
      <alignment horizontal="left"/>
    </xf>
    <xf numFmtId="44" fontId="3" fillId="0" borderId="0" xfId="0" applyNumberFormat="1" applyFont="1" applyFill="1"/>
    <xf numFmtId="0" fontId="11" fillId="0" borderId="0" xfId="0" quotePrefix="1" applyFont="1" applyFill="1" applyAlignment="1">
      <alignment horizontal="left"/>
    </xf>
    <xf numFmtId="164" fontId="3" fillId="0" borderId="7" xfId="0" applyNumberFormat="1" applyFont="1" applyFill="1" applyBorder="1"/>
    <xf numFmtId="165" fontId="3" fillId="0" borderId="7" xfId="0" applyNumberFormat="1" applyFont="1" applyFill="1" applyBorder="1"/>
    <xf numFmtId="170" fontId="3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/>
    <xf numFmtId="165" fontId="3" fillId="0" borderId="0" xfId="0" applyNumberFormat="1" applyFont="1" applyFill="1" applyBorder="1"/>
    <xf numFmtId="10" fontId="3" fillId="0" borderId="0" xfId="0" applyNumberFormat="1" applyFont="1" applyFill="1" applyBorder="1" applyProtection="1">
      <protection locked="0"/>
    </xf>
    <xf numFmtId="165" fontId="3" fillId="4" borderId="0" xfId="0" applyNumberFormat="1" applyFont="1" applyFill="1"/>
    <xf numFmtId="37" fontId="3" fillId="0" borderId="7" xfId="0" applyNumberFormat="1" applyFont="1" applyFill="1" applyBorder="1"/>
    <xf numFmtId="0" fontId="3" fillId="0" borderId="0" xfId="0" applyFont="1" applyFill="1" applyBorder="1"/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center" wrapText="1"/>
    </xf>
    <xf numFmtId="0" fontId="8" fillId="0" borderId="0" xfId="0" quotePrefix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quotePrefix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" xfId="0" quotePrefix="1" applyFont="1" applyFill="1" applyBorder="1" applyAlignment="1">
      <alignment horizontal="center"/>
    </xf>
    <xf numFmtId="0" fontId="1" fillId="0" borderId="0" xfId="0" quotePrefix="1" applyFont="1" applyFill="1"/>
    <xf numFmtId="165" fontId="1" fillId="0" borderId="0" xfId="0" applyNumberFormat="1" applyFont="1" applyFill="1"/>
    <xf numFmtId="0" fontId="1" fillId="3" borderId="0" xfId="0" applyFont="1" applyFill="1"/>
    <xf numFmtId="0" fontId="14" fillId="0" borderId="0" xfId="0" quotePrefix="1" applyFont="1" applyFill="1" applyAlignment="1">
      <alignment horizontal="left"/>
    </xf>
    <xf numFmtId="164" fontId="5" fillId="0" borderId="0" xfId="0" applyNumberFormat="1" applyFont="1" applyFill="1" applyProtection="1">
      <protection locked="0"/>
    </xf>
    <xf numFmtId="165" fontId="5" fillId="0" borderId="0" xfId="0" applyNumberFormat="1" applyFont="1" applyFill="1" applyProtection="1"/>
    <xf numFmtId="170" fontId="1" fillId="0" borderId="0" xfId="0" applyNumberFormat="1" applyFont="1" applyFill="1" applyProtection="1">
      <protection locked="0"/>
    </xf>
    <xf numFmtId="10" fontId="1" fillId="0" borderId="0" xfId="0" applyNumberFormat="1" applyFont="1" applyFill="1"/>
    <xf numFmtId="165" fontId="1" fillId="0" borderId="0" xfId="0" applyNumberFormat="1" applyFont="1" applyFill="1" applyProtection="1">
      <protection locked="0"/>
    </xf>
    <xf numFmtId="171" fontId="1" fillId="3" borderId="0" xfId="0" applyNumberFormat="1" applyFont="1" applyFill="1"/>
    <xf numFmtId="0" fontId="8" fillId="0" borderId="0" xfId="0" quotePrefix="1" applyFont="1" applyFill="1" applyAlignment="1">
      <alignment horizontal="left" indent="1"/>
    </xf>
    <xf numFmtId="164" fontId="1" fillId="0" borderId="2" xfId="0" applyNumberFormat="1" applyFont="1" applyFill="1" applyBorder="1" applyProtection="1">
      <protection locked="0"/>
    </xf>
    <xf numFmtId="37" fontId="1" fillId="0" borderId="2" xfId="0" applyNumberFormat="1" applyFont="1" applyFill="1" applyBorder="1" applyProtection="1"/>
    <xf numFmtId="165" fontId="1" fillId="0" borderId="2" xfId="0" applyNumberFormat="1" applyFont="1" applyFill="1" applyBorder="1" applyProtection="1">
      <protection locked="0"/>
    </xf>
    <xf numFmtId="164" fontId="1" fillId="0" borderId="0" xfId="0" applyNumberFormat="1" applyFont="1" applyFill="1"/>
    <xf numFmtId="170" fontId="1" fillId="0" borderId="0" xfId="0" applyNumberFormat="1" applyFont="1" applyFill="1"/>
    <xf numFmtId="164" fontId="1" fillId="0" borderId="0" xfId="0" applyNumberFormat="1" applyFont="1" applyFill="1" applyProtection="1">
      <protection locked="0"/>
    </xf>
    <xf numFmtId="37" fontId="1" fillId="0" borderId="0" xfId="0" applyNumberFormat="1" applyFont="1" applyFill="1" applyProtection="1"/>
    <xf numFmtId="0" fontId="8" fillId="0" borderId="0" xfId="0" quotePrefix="1" applyFont="1" applyFill="1" applyAlignment="1">
      <alignment horizontal="left"/>
    </xf>
    <xf numFmtId="44" fontId="5" fillId="0" borderId="0" xfId="0" applyNumberFormat="1" applyFont="1" applyFill="1"/>
    <xf numFmtId="164" fontId="1" fillId="0" borderId="7" xfId="0" applyNumberFormat="1" applyFont="1" applyFill="1" applyBorder="1"/>
    <xf numFmtId="37" fontId="1" fillId="0" borderId="7" xfId="0" applyNumberFormat="1" applyFont="1" applyFill="1" applyBorder="1"/>
    <xf numFmtId="170" fontId="1" fillId="0" borderId="0" xfId="0" applyNumberFormat="1" applyFont="1" applyFill="1" applyBorder="1" applyProtection="1">
      <protection locked="0"/>
    </xf>
    <xf numFmtId="165" fontId="1" fillId="0" borderId="7" xfId="0" applyNumberFormat="1" applyFont="1" applyFill="1" applyBorder="1"/>
    <xf numFmtId="0" fontId="8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15" fillId="0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41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1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8" fillId="0" borderId="0" xfId="0" applyFont="1" applyBorder="1" applyProtection="1">
      <protection locked="0"/>
    </xf>
    <xf numFmtId="0" fontId="1" fillId="3" borderId="0" xfId="0" applyFont="1" applyFill="1" applyAlignment="1"/>
    <xf numFmtId="0" fontId="1" fillId="0" borderId="0" xfId="0" applyFont="1" applyBorder="1"/>
    <xf numFmtId="171" fontId="9" fillId="0" borderId="0" xfId="0" applyNumberFormat="1" applyFont="1" applyFill="1" applyAlignment="1"/>
    <xf numFmtId="171" fontId="5" fillId="0" borderId="0" xfId="0" applyNumberFormat="1" applyFont="1" applyFill="1" applyAlignment="1"/>
    <xf numFmtId="171" fontId="9" fillId="3" borderId="0" xfId="0" applyNumberFormat="1" applyFont="1" applyFill="1" applyAlignment="1"/>
    <xf numFmtId="171" fontId="5" fillId="3" borderId="0" xfId="0" applyNumberFormat="1" applyFont="1" applyFill="1" applyAlignment="1"/>
    <xf numFmtId="171" fontId="5" fillId="3" borderId="0" xfId="0" applyNumberFormat="1" applyFont="1" applyFill="1"/>
    <xf numFmtId="171" fontId="1" fillId="3" borderId="0" xfId="0" applyNumberFormat="1" applyFont="1" applyFill="1" applyBorder="1"/>
    <xf numFmtId="171" fontId="1" fillId="3" borderId="0" xfId="0" applyNumberFormat="1" applyFont="1" applyFill="1"/>
    <xf numFmtId="0" fontId="8" fillId="0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44" fontId="9" fillId="0" borderId="0" xfId="0" applyNumberFormat="1" applyFont="1" applyFill="1" applyAlignment="1"/>
    <xf numFmtId="44" fontId="9" fillId="3" borderId="0" xfId="0" applyNumberFormat="1" applyFont="1" applyFill="1" applyAlignment="1"/>
    <xf numFmtId="44" fontId="5" fillId="3" borderId="0" xfId="0" applyNumberFormat="1" applyFont="1" applyFill="1" applyAlignment="1"/>
    <xf numFmtId="171" fontId="6" fillId="0" borderId="0" xfId="0" applyNumberFormat="1" applyFont="1" applyFill="1" applyAlignment="1"/>
    <xf numFmtId="44" fontId="9" fillId="3" borderId="0" xfId="0" applyNumberFormat="1" applyFont="1" applyFill="1" applyAlignment="1"/>
    <xf numFmtId="44" fontId="5" fillId="0" borderId="0" xfId="0" applyNumberFormat="1" applyFont="1" applyFill="1" applyAlignment="1"/>
    <xf numFmtId="0" fontId="9" fillId="0" borderId="0" xfId="0" applyFont="1" applyFill="1"/>
    <xf numFmtId="0" fontId="1" fillId="0" borderId="1" xfId="0" applyFont="1" applyFill="1" applyBorder="1" applyAlignment="1">
      <alignment horizontal="right"/>
    </xf>
    <xf numFmtId="0" fontId="8" fillId="0" borderId="0" xfId="0" quotePrefix="1" applyFont="1" applyFill="1" applyBorder="1" applyAlignment="1">
      <alignment horizontal="left"/>
    </xf>
    <xf numFmtId="164" fontId="13" fillId="0" borderId="0" xfId="0" applyNumberFormat="1" applyFont="1" applyFill="1" applyBorder="1"/>
    <xf numFmtId="165" fontId="13" fillId="0" borderId="2" xfId="0" applyNumberFormat="1" applyFont="1" applyFill="1" applyBorder="1"/>
    <xf numFmtId="165" fontId="1" fillId="0" borderId="0" xfId="0" applyNumberFormat="1" applyFont="1" applyFill="1" applyBorder="1"/>
    <xf numFmtId="165" fontId="5" fillId="0" borderId="0" xfId="0" applyNumberFormat="1" applyFont="1" applyFill="1" applyBorder="1"/>
    <xf numFmtId="0" fontId="1" fillId="0" borderId="0" xfId="0" applyFont="1" applyFill="1" applyBorder="1" applyAlignment="1">
      <alignment horizontal="left" indent="2"/>
    </xf>
    <xf numFmtId="165" fontId="1" fillId="0" borderId="2" xfId="0" applyNumberFormat="1" applyFont="1" applyFill="1" applyBorder="1"/>
    <xf numFmtId="0" fontId="1" fillId="0" borderId="0" xfId="0" quotePrefix="1" applyFont="1" applyFill="1" applyBorder="1" applyAlignment="1">
      <alignment horizontal="left" indent="3"/>
    </xf>
    <xf numFmtId="174" fontId="5" fillId="0" borderId="0" xfId="0" applyNumberFormat="1" applyFont="1" applyFill="1" applyBorder="1"/>
    <xf numFmtId="0" fontId="8" fillId="0" borderId="0" xfId="0" quotePrefix="1" applyFont="1" applyFill="1" applyBorder="1" applyAlignment="1">
      <alignment horizontal="left" indent="4"/>
    </xf>
    <xf numFmtId="165" fontId="8" fillId="0" borderId="3" xfId="0" applyNumberFormat="1" applyFont="1" applyFill="1" applyBorder="1"/>
    <xf numFmtId="171" fontId="8" fillId="0" borderId="3" xfId="0" applyNumberFormat="1" applyFont="1" applyFill="1" applyBorder="1"/>
    <xf numFmtId="0" fontId="14" fillId="0" borderId="0" xfId="0" applyFont="1" applyFill="1" applyBorder="1"/>
    <xf numFmtId="44" fontId="5" fillId="0" borderId="0" xfId="0" applyNumberFormat="1" applyFont="1" applyFill="1" applyBorder="1"/>
    <xf numFmtId="44" fontId="1" fillId="0" borderId="2" xfId="0" applyNumberFormat="1" applyFont="1" applyFill="1" applyBorder="1"/>
    <xf numFmtId="0" fontId="8" fillId="0" borderId="0" xfId="0" quotePrefix="1" applyFont="1" applyFill="1" applyBorder="1" applyAlignment="1">
      <alignment horizontal="left" indent="1"/>
    </xf>
    <xf numFmtId="10" fontId="8" fillId="0" borderId="3" xfId="0" applyNumberFormat="1" applyFont="1" applyFill="1" applyBorder="1"/>
    <xf numFmtId="0" fontId="11" fillId="0" borderId="1" xfId="0" applyFont="1" applyFill="1" applyBorder="1" applyAlignment="1">
      <alignment horizontal="center" wrapText="1"/>
    </xf>
    <xf numFmtId="0" fontId="11" fillId="3" borderId="1" xfId="0" quotePrefix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quotePrefix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wrapText="1"/>
    </xf>
    <xf numFmtId="0" fontId="3" fillId="0" borderId="0" xfId="0" quotePrefix="1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164" fontId="17" fillId="0" borderId="0" xfId="0" quotePrefix="1" applyNumberFormat="1" applyFont="1" applyFill="1" applyAlignment="1">
      <alignment horizontal="left"/>
    </xf>
    <xf numFmtId="171" fontId="17" fillId="0" borderId="0" xfId="0" quotePrefix="1" applyNumberFormat="1" applyFont="1" applyFill="1" applyAlignment="1">
      <alignment horizontal="left"/>
    </xf>
    <xf numFmtId="171" fontId="17" fillId="3" borderId="0" xfId="0" quotePrefix="1" applyNumberFormat="1" applyFont="1" applyFill="1" applyAlignment="1">
      <alignment horizontal="left"/>
    </xf>
    <xf numFmtId="171" fontId="3" fillId="3" borderId="2" xfId="0" applyNumberFormat="1" applyFont="1" applyFill="1" applyBorder="1"/>
    <xf numFmtId="171" fontId="3" fillId="3" borderId="0" xfId="0" applyNumberFormat="1" applyFont="1" applyFill="1" applyBorder="1"/>
    <xf numFmtId="164" fontId="17" fillId="0" borderId="0" xfId="0" applyNumberFormat="1" applyFont="1" applyFill="1" applyBorder="1"/>
    <xf numFmtId="165" fontId="17" fillId="0" borderId="0" xfId="0" applyNumberFormat="1" applyFont="1" applyFill="1" applyBorder="1"/>
    <xf numFmtId="171" fontId="3" fillId="3" borderId="0" xfId="0" applyNumberFormat="1" applyFont="1" applyFill="1"/>
    <xf numFmtId="164" fontId="17" fillId="0" borderId="2" xfId="0" applyNumberFormat="1" applyFont="1" applyFill="1" applyBorder="1"/>
    <xf numFmtId="165" fontId="17" fillId="0" borderId="2" xfId="0" applyNumberFormat="1" applyFont="1" applyFill="1" applyBorder="1"/>
    <xf numFmtId="171" fontId="17" fillId="0" borderId="2" xfId="0" applyNumberFormat="1" applyFont="1" applyFill="1" applyBorder="1"/>
    <xf numFmtId="171" fontId="17" fillId="3" borderId="2" xfId="0" applyNumberFormat="1" applyFont="1" applyFill="1" applyBorder="1"/>
    <xf numFmtId="171" fontId="17" fillId="0" borderId="0" xfId="0" applyNumberFormat="1" applyFont="1" applyFill="1" applyBorder="1"/>
    <xf numFmtId="171" fontId="17" fillId="3" borderId="0" xfId="0" applyNumberFormat="1" applyFont="1" applyFill="1" applyBorder="1"/>
    <xf numFmtId="171" fontId="3" fillId="3" borderId="3" xfId="0" applyNumberFormat="1" applyFont="1" applyFill="1" applyBorder="1"/>
    <xf numFmtId="43" fontId="1" fillId="0" borderId="0" xfId="0" applyNumberFormat="1" applyFont="1" applyFill="1"/>
    <xf numFmtId="0" fontId="8" fillId="0" borderId="1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4" xfId="0" quotePrefix="1" applyFont="1" applyFill="1" applyBorder="1" applyAlignment="1">
      <alignment horizontal="center" wrapText="1"/>
    </xf>
    <xf numFmtId="164" fontId="8" fillId="0" borderId="4" xfId="0" quotePrefix="1" applyNumberFormat="1" applyFont="1" applyFill="1" applyBorder="1" applyAlignment="1">
      <alignment horizontal="center" wrapText="1"/>
    </xf>
    <xf numFmtId="164" fontId="8" fillId="3" borderId="4" xfId="0" quotePrefix="1" applyNumberFormat="1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vertical="top" wrapText="1"/>
    </xf>
    <xf numFmtId="0" fontId="8" fillId="0" borderId="12" xfId="0" quotePrefix="1" applyFont="1" applyFill="1" applyBorder="1" applyAlignment="1">
      <alignment horizontal="center" vertical="top" wrapText="1"/>
    </xf>
    <xf numFmtId="0" fontId="8" fillId="3" borderId="0" xfId="0" applyFont="1" applyFill="1" applyBorder="1"/>
    <xf numFmtId="0" fontId="8" fillId="0" borderId="12" xfId="0" applyFont="1" applyFill="1" applyBorder="1"/>
    <xf numFmtId="164" fontId="5" fillId="0" borderId="0" xfId="0" applyNumberFormat="1" applyFont="1" applyFill="1" applyBorder="1"/>
    <xf numFmtId="171" fontId="13" fillId="3" borderId="0" xfId="0" applyNumberFormat="1" applyFont="1" applyFill="1" applyBorder="1"/>
    <xf numFmtId="10" fontId="8" fillId="0" borderId="12" xfId="0" applyNumberFormat="1" applyFont="1" applyFill="1" applyBorder="1"/>
    <xf numFmtId="165" fontId="5" fillId="0" borderId="0" xfId="0" applyNumberFormat="1" applyFont="1" applyFill="1" applyBorder="1"/>
    <xf numFmtId="171" fontId="8" fillId="3" borderId="0" xfId="0" applyNumberFormat="1" applyFont="1" applyFill="1" applyBorder="1"/>
    <xf numFmtId="172" fontId="8" fillId="3" borderId="0" xfId="0" applyNumberFormat="1" applyFont="1" applyFill="1" applyBorder="1"/>
    <xf numFmtId="164" fontId="8" fillId="0" borderId="3" xfId="0" applyNumberFormat="1" applyFont="1" applyFill="1" applyBorder="1"/>
    <xf numFmtId="165" fontId="8" fillId="0" borderId="3" xfId="0" applyNumberFormat="1" applyFont="1" applyFill="1" applyBorder="1"/>
    <xf numFmtId="172" fontId="8" fillId="3" borderId="3" xfId="0" applyNumberFormat="1" applyFont="1" applyFill="1" applyBorder="1"/>
    <xf numFmtId="0" fontId="1" fillId="3" borderId="4" xfId="0" applyFont="1" applyFill="1" applyBorder="1"/>
    <xf numFmtId="165" fontId="1" fillId="0" borderId="0" xfId="0" applyNumberFormat="1" applyFont="1"/>
    <xf numFmtId="43" fontId="1" fillId="0" borderId="0" xfId="0" applyNumberFormat="1" applyFont="1"/>
    <xf numFmtId="0" fontId="1" fillId="0" borderId="8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1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1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4" xfId="0" quotePrefix="1" applyFont="1" applyBorder="1" applyAlignment="1">
      <alignment horizontal="center" wrapText="1"/>
    </xf>
    <xf numFmtId="0" fontId="1" fillId="0" borderId="14" xfId="0" quotePrefix="1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center"/>
    </xf>
    <xf numFmtId="0" fontId="1" fillId="0" borderId="0" xfId="0" quotePrefix="1" applyFont="1" applyBorder="1" applyAlignment="1">
      <alignment horizontal="left" indent="1"/>
    </xf>
    <xf numFmtId="0" fontId="1" fillId="0" borderId="0" xfId="0" quotePrefix="1" applyNumberFormat="1" applyFont="1" applyBorder="1" applyAlignment="1">
      <alignment horizontal="center"/>
    </xf>
    <xf numFmtId="16" fontId="1" fillId="0" borderId="0" xfId="0" quotePrefix="1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5" fontId="1" fillId="0" borderId="0" xfId="0" applyNumberFormat="1" applyFont="1" applyFill="1"/>
    <xf numFmtId="0" fontId="8" fillId="0" borderId="16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164" fontId="8" fillId="0" borderId="1" xfId="0" quotePrefix="1" applyNumberFormat="1" applyFont="1" applyFill="1" applyBorder="1" applyAlignment="1">
      <alignment horizontal="center" wrapText="1"/>
    </xf>
    <xf numFmtId="0" fontId="8" fillId="0" borderId="1" xfId="0" quotePrefix="1" applyFont="1" applyFill="1" applyBorder="1" applyAlignment="1">
      <alignment horizontal="center" wrapText="1"/>
    </xf>
    <xf numFmtId="0" fontId="8" fillId="3" borderId="1" xfId="0" quotePrefix="1" applyFont="1" applyFill="1" applyBorder="1" applyAlignment="1">
      <alignment horizontal="center" wrapText="1"/>
    </xf>
    <xf numFmtId="0" fontId="8" fillId="0" borderId="17" xfId="0" quotePrefix="1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/>
    <xf numFmtId="171" fontId="5" fillId="3" borderId="0" xfId="0" applyNumberFormat="1" applyFont="1" applyFill="1" applyBorder="1"/>
    <xf numFmtId="171" fontId="8" fillId="0" borderId="3" xfId="0" applyNumberFormat="1" applyFont="1" applyFill="1" applyBorder="1"/>
    <xf numFmtId="171" fontId="8" fillId="3" borderId="3" xfId="0" applyNumberFormat="1" applyFont="1" applyFill="1" applyBorder="1"/>
    <xf numFmtId="10" fontId="8" fillId="0" borderId="20" xfId="0" applyNumberFormat="1" applyFont="1" applyFill="1" applyBorder="1" applyAlignment="1">
      <alignment horizontal="right"/>
    </xf>
    <xf numFmtId="0" fontId="1" fillId="3" borderId="0" xfId="0" applyFont="1" applyFill="1" applyBorder="1" applyAlignment="1">
      <alignment horizontal="center" vertical="top" wrapText="1"/>
    </xf>
    <xf numFmtId="165" fontId="1" fillId="3" borderId="0" xfId="0" applyNumberFormat="1" applyFont="1" applyFill="1" applyBorder="1"/>
    <xf numFmtId="172" fontId="1" fillId="3" borderId="0" xfId="0" applyNumberFormat="1" applyFont="1" applyFill="1" applyBorder="1"/>
    <xf numFmtId="0" fontId="8" fillId="0" borderId="0" xfId="0" quotePrefix="1" applyFont="1" applyFill="1" applyAlignment="1">
      <alignment wrapText="1"/>
    </xf>
    <xf numFmtId="0" fontId="1" fillId="3" borderId="0" xfId="0" quotePrefix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wrapText="1"/>
    </xf>
    <xf numFmtId="164" fontId="1" fillId="0" borderId="0" xfId="0" applyNumberFormat="1" applyFont="1" applyFill="1"/>
    <xf numFmtId="171" fontId="1" fillId="0" borderId="0" xfId="0" applyNumberFormat="1" applyFont="1"/>
    <xf numFmtId="166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 indent="1"/>
    </xf>
    <xf numFmtId="164" fontId="5" fillId="0" borderId="0" xfId="0" quotePrefix="1" applyNumberFormat="1" applyFont="1" applyFill="1" applyAlignment="1">
      <alignment horizontal="left"/>
    </xf>
    <xf numFmtId="165" fontId="5" fillId="0" borderId="0" xfId="0" quotePrefix="1" applyNumberFormat="1" applyFont="1" applyFill="1" applyAlignment="1">
      <alignment horizontal="left"/>
    </xf>
    <xf numFmtId="0" fontId="5" fillId="0" borderId="0" xfId="0" quotePrefix="1" applyFont="1" applyFill="1" applyBorder="1" applyAlignment="1">
      <alignment horizontal="center" wrapText="1"/>
    </xf>
    <xf numFmtId="171" fontId="5" fillId="0" borderId="0" xfId="0" applyNumberFormat="1" applyFont="1" applyFill="1"/>
    <xf numFmtId="171" fontId="5" fillId="3" borderId="0" xfId="0" applyNumberFormat="1" applyFont="1" applyFill="1"/>
    <xf numFmtId="171" fontId="1" fillId="0" borderId="0" xfId="0" applyNumberFormat="1" applyFont="1" applyFill="1"/>
    <xf numFmtId="165" fontId="1" fillId="0" borderId="0" xfId="0" quotePrefix="1" applyNumberFormat="1" applyFont="1" applyFill="1" applyAlignment="1">
      <alignment horizontal="left"/>
    </xf>
    <xf numFmtId="166" fontId="1" fillId="0" borderId="0" xfId="0" quotePrefix="1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164" fontId="1" fillId="0" borderId="2" xfId="0" applyNumberFormat="1" applyFont="1" applyFill="1" applyBorder="1"/>
    <xf numFmtId="165" fontId="1" fillId="0" borderId="2" xfId="0" applyNumberFormat="1" applyFont="1" applyFill="1" applyBorder="1"/>
    <xf numFmtId="171" fontId="1" fillId="3" borderId="2" xfId="0" applyNumberFormat="1" applyFont="1" applyFill="1" applyBorder="1"/>
    <xf numFmtId="166" fontId="1" fillId="0" borderId="2" xfId="0" applyNumberFormat="1" applyFont="1" applyFill="1" applyBorder="1" applyAlignment="1">
      <alignment horizontal="center"/>
    </xf>
    <xf numFmtId="0" fontId="1" fillId="0" borderId="0" xfId="0" quotePrefix="1" applyFont="1" applyFill="1" applyAlignment="1">
      <alignment horizontal="left" indent="1"/>
    </xf>
    <xf numFmtId="166" fontId="1" fillId="0" borderId="0" xfId="0" applyNumberFormat="1" applyFont="1" applyFill="1" applyBorder="1" applyAlignment="1">
      <alignment horizontal="center"/>
    </xf>
    <xf numFmtId="164" fontId="5" fillId="0" borderId="2" xfId="0" applyNumberFormat="1" applyFont="1" applyFill="1" applyBorder="1"/>
    <xf numFmtId="165" fontId="5" fillId="0" borderId="2" xfId="0" applyNumberFormat="1" applyFont="1" applyFill="1" applyBorder="1"/>
    <xf numFmtId="171" fontId="5" fillId="0" borderId="2" xfId="0" applyNumberFormat="1" applyFont="1" applyFill="1" applyBorder="1"/>
    <xf numFmtId="171" fontId="5" fillId="3" borderId="2" xfId="0" applyNumberFormat="1" applyFont="1" applyFill="1" applyBorder="1"/>
    <xf numFmtId="171" fontId="1" fillId="0" borderId="2" xfId="0" applyNumberFormat="1" applyFont="1" applyFill="1" applyBorder="1"/>
    <xf numFmtId="164" fontId="8" fillId="0" borderId="3" xfId="0" applyNumberFormat="1" applyFont="1" applyFill="1" applyBorder="1"/>
    <xf numFmtId="0" fontId="8" fillId="0" borderId="0" xfId="0" quotePrefix="1" applyFont="1" applyFill="1" applyBorder="1" applyAlignment="1">
      <alignment horizontal="center" wrapText="1"/>
    </xf>
    <xf numFmtId="171" fontId="8" fillId="0" borderId="0" xfId="0" applyNumberFormat="1" applyFont="1"/>
    <xf numFmtId="166" fontId="8" fillId="0" borderId="3" xfId="0" applyNumberFormat="1" applyFont="1" applyFill="1" applyBorder="1" applyAlignment="1">
      <alignment horizontal="center"/>
    </xf>
    <xf numFmtId="178" fontId="1" fillId="0" borderId="0" xfId="0" applyNumberFormat="1" applyFont="1"/>
    <xf numFmtId="165" fontId="1" fillId="0" borderId="0" xfId="0" applyNumberFormat="1" applyFont="1"/>
    <xf numFmtId="0" fontId="8" fillId="0" borderId="0" xfId="0" applyFont="1" applyBorder="1"/>
    <xf numFmtId="0" fontId="8" fillId="0" borderId="11" xfId="0" applyFont="1" applyFill="1" applyBorder="1"/>
    <xf numFmtId="0" fontId="8" fillId="0" borderId="0" xfId="0" applyFont="1" applyFill="1" applyBorder="1"/>
    <xf numFmtId="164" fontId="8" fillId="0" borderId="0" xfId="0" applyNumberFormat="1" applyFont="1" applyFill="1" applyBorder="1"/>
    <xf numFmtId="0" fontId="8" fillId="0" borderId="0" xfId="0" applyFont="1" applyBorder="1" applyAlignment="1">
      <alignment horizontal="center" wrapText="1"/>
    </xf>
    <xf numFmtId="0" fontId="14" fillId="3" borderId="14" xfId="0" quotePrefix="1" applyFont="1" applyFill="1" applyBorder="1" applyAlignment="1">
      <alignment horizontal="center" wrapText="1"/>
    </xf>
    <xf numFmtId="0" fontId="14" fillId="0" borderId="0" xfId="0" quotePrefix="1" applyFont="1" applyBorder="1" applyAlignment="1">
      <alignment horizontal="center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164" fontId="1" fillId="0" borderId="9" xfId="0" applyNumberFormat="1" applyFont="1" applyFill="1" applyBorder="1" applyAlignment="1">
      <alignment horizontal="center" vertical="top" wrapText="1"/>
    </xf>
    <xf numFmtId="164" fontId="1" fillId="0" borderId="9" xfId="0" quotePrefix="1" applyNumberFormat="1" applyFont="1" applyFill="1" applyBorder="1" applyAlignment="1">
      <alignment horizontal="center" vertical="top" wrapText="1"/>
    </xf>
    <xf numFmtId="0" fontId="1" fillId="0" borderId="9" xfId="0" quotePrefix="1" applyFont="1" applyFill="1" applyBorder="1" applyAlignment="1">
      <alignment horizontal="center" vertical="top" wrapText="1"/>
    </xf>
    <xf numFmtId="0" fontId="1" fillId="3" borderId="10" xfId="0" quotePrefix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9" fontId="1" fillId="0" borderId="0" xfId="0" applyNumberFormat="1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179" fontId="1" fillId="0" borderId="0" xfId="0" applyNumberFormat="1" applyFont="1" applyFill="1" applyBorder="1"/>
    <xf numFmtId="164" fontId="5" fillId="0" borderId="0" xfId="0" applyNumberFormat="1" applyFont="1" applyFill="1" applyBorder="1"/>
    <xf numFmtId="171" fontId="1" fillId="3" borderId="12" xfId="0" applyNumberFormat="1" applyFont="1" applyFill="1" applyBorder="1" applyAlignment="1">
      <alignment horizontal="center"/>
    </xf>
    <xf numFmtId="172" fontId="1" fillId="3" borderId="12" xfId="0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172" fontId="7" fillId="0" borderId="0" xfId="0" quotePrefix="1" applyNumberFormat="1" applyFont="1" applyBorder="1" applyAlignment="1">
      <alignment horizontal="left"/>
    </xf>
    <xf numFmtId="172" fontId="1" fillId="0" borderId="0" xfId="0" applyNumberFormat="1" applyFont="1" applyBorder="1"/>
    <xf numFmtId="164" fontId="1" fillId="0" borderId="0" xfId="0" applyNumberFormat="1" applyFont="1" applyFill="1" applyBorder="1"/>
    <xf numFmtId="179" fontId="1" fillId="0" borderId="2" xfId="0" applyNumberFormat="1" applyFont="1" applyFill="1" applyBorder="1"/>
    <xf numFmtId="171" fontId="1" fillId="3" borderId="19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5" fontId="1" fillId="0" borderId="0" xfId="0" applyNumberFormat="1" applyFont="1" applyBorder="1"/>
    <xf numFmtId="172" fontId="1" fillId="0" borderId="12" xfId="0" applyNumberFormat="1" applyFont="1" applyFill="1" applyBorder="1" applyAlignment="1">
      <alignment horizontal="center"/>
    </xf>
    <xf numFmtId="179" fontId="8" fillId="0" borderId="3" xfId="0" applyNumberFormat="1" applyFont="1" applyFill="1" applyBorder="1"/>
    <xf numFmtId="0" fontId="18" fillId="0" borderId="0" xfId="0" applyFont="1" applyFill="1"/>
    <xf numFmtId="0" fontId="19" fillId="0" borderId="0" xfId="0" applyFont="1" applyFill="1"/>
    <xf numFmtId="0" fontId="18" fillId="0" borderId="0" xfId="0" quotePrefix="1" applyFont="1" applyFill="1" applyAlignment="1">
      <alignment horizontal="left"/>
    </xf>
    <xf numFmtId="0" fontId="20" fillId="0" borderId="0" xfId="0" applyFont="1" applyFill="1"/>
    <xf numFmtId="0" fontId="19" fillId="0" borderId="0" xfId="0" applyFont="1" applyAlignment="1">
      <alignment vertical="top"/>
    </xf>
    <xf numFmtId="0" fontId="0" fillId="0" borderId="0" xfId="0" applyAlignment="1">
      <alignment vertical="top"/>
    </xf>
    <xf numFmtId="0" fontId="21" fillId="0" borderId="0" xfId="0" quotePrefix="1" applyFont="1" applyFill="1" applyAlignment="1">
      <alignment horizontal="left" vertical="top"/>
    </xf>
    <xf numFmtId="0" fontId="19" fillId="0" borderId="0" xfId="0" quotePrefix="1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indent="2"/>
    </xf>
    <xf numFmtId="0" fontId="22" fillId="0" borderId="0" xfId="0" applyFont="1" applyFill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/>
    <xf numFmtId="164" fontId="22" fillId="0" borderId="0" xfId="0" applyNumberFormat="1" applyFont="1" applyFill="1"/>
    <xf numFmtId="0" fontId="22" fillId="0" borderId="0" xfId="0" quotePrefix="1" applyFont="1" applyFill="1" applyAlignment="1">
      <alignment horizontal="center"/>
    </xf>
    <xf numFmtId="164" fontId="22" fillId="0" borderId="2" xfId="0" applyNumberFormat="1" applyFont="1" applyFill="1" applyBorder="1"/>
    <xf numFmtId="0" fontId="22" fillId="0" borderId="0" xfId="0" quotePrefix="1" applyFont="1" applyFill="1" applyAlignment="1">
      <alignment horizontal="left"/>
    </xf>
    <xf numFmtId="0" fontId="22" fillId="0" borderId="0" xfId="0" applyFont="1"/>
    <xf numFmtId="164" fontId="22" fillId="0" borderId="3" xfId="0" applyNumberFormat="1" applyFont="1" applyFill="1" applyBorder="1"/>
    <xf numFmtId="164" fontId="22" fillId="0" borderId="0" xfId="0" applyNumberFormat="1" applyFont="1" applyFill="1" applyBorder="1"/>
    <xf numFmtId="0" fontId="24" fillId="0" borderId="0" xfId="0" applyFont="1"/>
    <xf numFmtId="165" fontId="25" fillId="0" borderId="0" xfId="0" applyNumberFormat="1" applyFont="1"/>
    <xf numFmtId="0" fontId="26" fillId="0" borderId="0" xfId="1" applyFont="1" applyFill="1"/>
    <xf numFmtId="0" fontId="27" fillId="0" borderId="0" xfId="0" applyFont="1" applyFill="1" applyAlignment="1">
      <alignment horizontal="center"/>
    </xf>
    <xf numFmtId="0" fontId="27" fillId="0" borderId="1" xfId="0" applyFont="1" applyFill="1" applyBorder="1" applyAlignment="1">
      <alignment horizontal="center" wrapText="1"/>
    </xf>
    <xf numFmtId="0" fontId="27" fillId="0" borderId="1" xfId="0" quotePrefix="1" applyFont="1" applyFill="1" applyBorder="1" applyAlignment="1">
      <alignment horizontal="center" wrapText="1"/>
    </xf>
    <xf numFmtId="0" fontId="27" fillId="0" borderId="0" xfId="0" applyFont="1" applyFill="1" applyAlignment="1">
      <alignment horizontal="center"/>
    </xf>
    <xf numFmtId="171" fontId="22" fillId="0" borderId="0" xfId="0" applyNumberFormat="1" applyFont="1" applyFill="1"/>
    <xf numFmtId="165" fontId="22" fillId="0" borderId="0" xfId="0" applyNumberFormat="1" applyFont="1" applyFill="1"/>
    <xf numFmtId="171" fontId="22" fillId="0" borderId="2" xfId="0" applyNumberFormat="1" applyFont="1" applyFill="1" applyBorder="1"/>
    <xf numFmtId="165" fontId="22" fillId="0" borderId="2" xfId="0" applyNumberFormat="1" applyFont="1" applyFill="1" applyBorder="1"/>
    <xf numFmtId="171" fontId="22" fillId="0" borderId="3" xfId="0" applyNumberFormat="1" applyFont="1" applyFill="1" applyBorder="1"/>
    <xf numFmtId="165" fontId="22" fillId="0" borderId="3" xfId="0" applyNumberFormat="1" applyFont="1" applyFill="1" applyBorder="1"/>
    <xf numFmtId="164" fontId="22" fillId="0" borderId="0" xfId="0" applyNumberFormat="1" applyFont="1"/>
    <xf numFmtId="0" fontId="27" fillId="0" borderId="0" xfId="0" applyFont="1" applyFill="1"/>
    <xf numFmtId="0" fontId="27" fillId="0" borderId="0" xfId="0" applyFont="1"/>
    <xf numFmtId="0" fontId="27" fillId="0" borderId="0" xfId="0" quotePrefix="1" applyFont="1" applyFill="1" applyAlignment="1">
      <alignment horizontal="center"/>
    </xf>
    <xf numFmtId="165" fontId="22" fillId="0" borderId="0" xfId="0" applyNumberFormat="1" applyFont="1" applyFill="1" applyBorder="1"/>
    <xf numFmtId="0" fontId="27" fillId="0" borderId="13" xfId="0" quotePrefix="1" applyFont="1" applyFill="1" applyBorder="1" applyAlignment="1">
      <alignment horizontal="center" wrapText="1"/>
    </xf>
    <xf numFmtId="0" fontId="27" fillId="0" borderId="4" xfId="0" quotePrefix="1" applyFont="1" applyFill="1" applyBorder="1" applyAlignment="1">
      <alignment horizontal="center" wrapText="1"/>
    </xf>
    <xf numFmtId="0" fontId="27" fillId="0" borderId="14" xfId="0" quotePrefix="1" applyFont="1" applyFill="1" applyBorder="1" applyAlignment="1">
      <alignment horizontal="center" wrapText="1"/>
    </xf>
    <xf numFmtId="165" fontId="23" fillId="0" borderId="0" xfId="0" applyNumberFormat="1" applyFont="1"/>
    <xf numFmtId="0" fontId="29" fillId="0" borderId="0" xfId="0" applyFont="1" applyFill="1"/>
    <xf numFmtId="44" fontId="22" fillId="0" borderId="0" xfId="0" applyNumberFormat="1" applyFont="1" applyFill="1"/>
    <xf numFmtId="165" fontId="28" fillId="0" borderId="0" xfId="0" applyNumberFormat="1" applyFont="1" applyFill="1"/>
    <xf numFmtId="165" fontId="22" fillId="0" borderId="0" xfId="0" applyNumberFormat="1" applyFont="1"/>
    <xf numFmtId="0" fontId="24" fillId="0" borderId="0" xfId="0" applyFont="1" applyAlignment="1"/>
    <xf numFmtId="171" fontId="28" fillId="0" borderId="0" xfId="0" applyNumberFormat="1" applyFont="1" applyFill="1"/>
    <xf numFmtId="0" fontId="23" fillId="0" borderId="0" xfId="0" applyFont="1" applyFill="1"/>
    <xf numFmtId="165" fontId="28" fillId="0" borderId="3" xfId="0" applyNumberFormat="1" applyFont="1" applyFill="1" applyBorder="1"/>
    <xf numFmtId="0" fontId="25" fillId="0" borderId="0" xfId="0" applyFont="1" applyFill="1"/>
    <xf numFmtId="164" fontId="25" fillId="0" borderId="0" xfId="0" applyNumberFormat="1" applyFont="1" applyFill="1"/>
    <xf numFmtId="165" fontId="25" fillId="0" borderId="0" xfId="0" applyNumberFormat="1" applyFont="1" applyFill="1"/>
    <xf numFmtId="0" fontId="27" fillId="0" borderId="1" xfId="0" quotePrefix="1" applyFont="1" applyFill="1" applyBorder="1" applyAlignment="1">
      <alignment horizontal="left" wrapText="1"/>
    </xf>
    <xf numFmtId="0" fontId="22" fillId="0" borderId="0" xfId="0" applyFont="1" applyFill="1" applyAlignment="1"/>
    <xf numFmtId="0" fontId="22" fillId="0" borderId="0" xfId="0" applyFont="1" applyFill="1" applyBorder="1" applyAlignment="1">
      <alignment horizontal="center" vertical="top" wrapText="1"/>
    </xf>
    <xf numFmtId="0" fontId="22" fillId="0" borderId="0" xfId="0" quotePrefix="1" applyFont="1" applyFill="1" applyBorder="1" applyAlignment="1">
      <alignment horizontal="center" vertical="top" wrapText="1"/>
    </xf>
    <xf numFmtId="17" fontId="22" fillId="0" borderId="0" xfId="0" quotePrefix="1" applyNumberFormat="1" applyFont="1" applyFill="1" applyBorder="1" applyAlignment="1">
      <alignment horizontal="center" vertical="top" wrapText="1"/>
    </xf>
    <xf numFmtId="0" fontId="22" fillId="0" borderId="0" xfId="0" applyFont="1" applyFill="1" applyAlignment="1">
      <alignment vertical="top" wrapText="1"/>
    </xf>
    <xf numFmtId="0" fontId="22" fillId="0" borderId="0" xfId="0" applyFont="1" applyFill="1" applyAlignment="1">
      <alignment horizontal="left"/>
    </xf>
    <xf numFmtId="166" fontId="22" fillId="0" borderId="0" xfId="0" applyNumberFormat="1" applyFont="1" applyFill="1"/>
    <xf numFmtId="0" fontId="27" fillId="0" borderId="0" xfId="0" applyFont="1" applyFill="1" applyAlignment="1"/>
    <xf numFmtId="14" fontId="27" fillId="0" borderId="0" xfId="0" applyNumberFormat="1" applyFont="1" applyFill="1"/>
    <xf numFmtId="17" fontId="27" fillId="0" borderId="1" xfId="0" quotePrefix="1" applyNumberFormat="1" applyFont="1" applyFill="1" applyBorder="1" applyAlignment="1">
      <alignment horizontal="center" wrapText="1"/>
    </xf>
    <xf numFmtId="17" fontId="27" fillId="0" borderId="0" xfId="0" quotePrefix="1" applyNumberFormat="1" applyFont="1" applyFill="1" applyBorder="1" applyAlignment="1">
      <alignment horizontal="center" wrapText="1"/>
    </xf>
    <xf numFmtId="0" fontId="22" fillId="0" borderId="0" xfId="0" applyFont="1" applyFill="1" applyAlignment="1">
      <alignment horizontal="center" vertical="top" wrapText="1"/>
    </xf>
    <xf numFmtId="0" fontId="22" fillId="0" borderId="0" xfId="0" quotePrefix="1" applyFont="1" applyFill="1" applyAlignment="1">
      <alignment horizontal="center" vertical="top" wrapText="1"/>
    </xf>
    <xf numFmtId="166" fontId="28" fillId="0" borderId="0" xfId="0" applyNumberFormat="1" applyFont="1" applyFill="1"/>
    <xf numFmtId="165" fontId="28" fillId="0" borderId="0" xfId="0" applyNumberFormat="1" applyFont="1" applyFill="1" applyBorder="1"/>
    <xf numFmtId="166" fontId="28" fillId="0" borderId="0" xfId="0" applyNumberFormat="1" applyFont="1" applyFill="1" applyBorder="1"/>
    <xf numFmtId="166" fontId="28" fillId="0" borderId="3" xfId="0" applyNumberFormat="1" applyFont="1" applyFill="1" applyBorder="1"/>
    <xf numFmtId="0" fontId="28" fillId="0" borderId="0" xfId="0" applyFont="1" applyFill="1"/>
    <xf numFmtId="166" fontId="22" fillId="0" borderId="0" xfId="0" applyNumberFormat="1" applyFont="1" applyFill="1" applyBorder="1"/>
    <xf numFmtId="166" fontId="22" fillId="0" borderId="3" xfId="0" applyNumberFormat="1" applyFont="1" applyFill="1" applyBorder="1"/>
    <xf numFmtId="0" fontId="22" fillId="0" borderId="0" xfId="1" applyFont="1" applyFill="1"/>
    <xf numFmtId="0" fontId="27" fillId="0" borderId="0" xfId="0" applyFont="1" applyFill="1" applyAlignment="1">
      <alignment horizontal="left"/>
    </xf>
    <xf numFmtId="171" fontId="25" fillId="0" borderId="0" xfId="0" applyNumberFormat="1" applyFont="1" applyFill="1"/>
    <xf numFmtId="0" fontId="22" fillId="0" borderId="0" xfId="0" applyFont="1" applyFill="1" applyBorder="1" applyAlignment="1">
      <alignment horizontal="center"/>
    </xf>
    <xf numFmtId="10" fontId="22" fillId="0" borderId="0" xfId="0" applyNumberFormat="1" applyFont="1" applyFill="1"/>
    <xf numFmtId="10" fontId="22" fillId="0" borderId="3" xfId="0" applyNumberFormat="1" applyFont="1" applyFill="1" applyBorder="1"/>
    <xf numFmtId="10" fontId="28" fillId="0" borderId="0" xfId="0" applyNumberFormat="1" applyFont="1" applyFill="1"/>
    <xf numFmtId="10" fontId="28" fillId="0" borderId="3" xfId="0" applyNumberFormat="1" applyFont="1" applyFill="1" applyBorder="1"/>
    <xf numFmtId="0" fontId="27" fillId="0" borderId="0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/>
    </xf>
    <xf numFmtId="42" fontId="22" fillId="0" borderId="0" xfId="0" applyNumberFormat="1" applyFont="1" applyBorder="1" applyAlignment="1">
      <alignment horizontal="center"/>
    </xf>
    <xf numFmtId="164" fontId="32" fillId="0" borderId="0" xfId="0" applyNumberFormat="1" applyFont="1" applyAlignment="1">
      <alignment horizontal="left"/>
    </xf>
    <xf numFmtId="42" fontId="32" fillId="0" borderId="0" xfId="0" applyNumberFormat="1" applyFont="1" applyAlignment="1">
      <alignment horizontal="left"/>
    </xf>
    <xf numFmtId="171" fontId="19" fillId="0" borderId="0" xfId="0" applyNumberFormat="1" applyFont="1"/>
    <xf numFmtId="175" fontId="22" fillId="0" borderId="0" xfId="0" applyNumberFormat="1" applyFont="1"/>
    <xf numFmtId="164" fontId="22" fillId="0" borderId="0" xfId="0" applyNumberFormat="1" applyFont="1" applyAlignment="1">
      <alignment horizontal="left"/>
    </xf>
    <xf numFmtId="165" fontId="32" fillId="0" borderId="0" xfId="0" applyNumberFormat="1" applyFont="1" applyBorder="1"/>
    <xf numFmtId="10" fontId="22" fillId="0" borderId="0" xfId="0" applyNumberFormat="1" applyFont="1"/>
    <xf numFmtId="182" fontId="25" fillId="0" borderId="0" xfId="0" applyNumberFormat="1" applyFont="1"/>
    <xf numFmtId="175" fontId="22" fillId="0" borderId="0" xfId="0" applyNumberFormat="1" applyFont="1" applyBorder="1"/>
    <xf numFmtId="0" fontId="22" fillId="0" borderId="0" xfId="0" applyFont="1" applyBorder="1"/>
    <xf numFmtId="165" fontId="22" fillId="0" borderId="0" xfId="0" applyNumberFormat="1" applyFont="1" applyBorder="1"/>
    <xf numFmtId="42" fontId="22" fillId="0" borderId="0" xfId="0" applyNumberFormat="1" applyFont="1" applyBorder="1"/>
    <xf numFmtId="164" fontId="22" fillId="0" borderId="6" xfId="0" applyNumberFormat="1" applyFont="1" applyBorder="1"/>
    <xf numFmtId="42" fontId="22" fillId="0" borderId="6" xfId="0" applyNumberFormat="1" applyFont="1" applyBorder="1"/>
    <xf numFmtId="171" fontId="19" fillId="0" borderId="6" xfId="0" applyNumberFormat="1" applyFont="1" applyBorder="1"/>
    <xf numFmtId="181" fontId="22" fillId="0" borderId="0" xfId="0" applyNumberFormat="1" applyFont="1" applyFill="1" applyBorder="1"/>
    <xf numFmtId="10" fontId="22" fillId="0" borderId="6" xfId="0" applyNumberFormat="1" applyFont="1" applyBorder="1"/>
    <xf numFmtId="0" fontId="22" fillId="0" borderId="0" xfId="0" quotePrefix="1" applyFont="1" applyAlignment="1">
      <alignment horizontal="left"/>
    </xf>
    <xf numFmtId="3" fontId="22" fillId="0" borderId="0" xfId="0" applyNumberFormat="1" applyFont="1"/>
    <xf numFmtId="0" fontId="22" fillId="0" borderId="0" xfId="0" quotePrefix="1" applyFont="1"/>
    <xf numFmtId="0" fontId="27" fillId="0" borderId="0" xfId="0" applyFont="1" applyAlignment="1">
      <alignment horizontal="centerContinuous"/>
    </xf>
    <xf numFmtId="0" fontId="27" fillId="0" borderId="0" xfId="0" applyFont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quotePrefix="1" applyFont="1" applyBorder="1" applyAlignment="1">
      <alignment horizontal="center"/>
    </xf>
    <xf numFmtId="0" fontId="31" fillId="0" borderId="1" xfId="0" quotePrefix="1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7" fillId="0" borderId="1" xfId="0" quotePrefix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3" fillId="0" borderId="0" xfId="0" applyFont="1" applyFill="1" applyBorder="1" applyAlignment="1">
      <alignment horizontal="center" vertical="top" wrapText="1"/>
    </xf>
    <xf numFmtId="0" fontId="33" fillId="0" borderId="0" xfId="0" applyFont="1" applyFill="1" applyAlignment="1">
      <alignment horizontal="center"/>
    </xf>
    <xf numFmtId="0" fontId="33" fillId="0" borderId="0" xfId="0" applyFont="1" applyFill="1" applyAlignment="1">
      <alignment horizontal="left"/>
    </xf>
    <xf numFmtId="164" fontId="34" fillId="0" borderId="0" xfId="0" applyNumberFormat="1" applyFont="1" applyAlignment="1">
      <alignment horizontal="left"/>
    </xf>
    <xf numFmtId="42" fontId="34" fillId="0" borderId="0" xfId="0" applyNumberFormat="1" applyFont="1" applyAlignment="1">
      <alignment horizontal="left"/>
    </xf>
    <xf numFmtId="171" fontId="35" fillId="0" borderId="0" xfId="0" applyNumberFormat="1" applyFont="1"/>
    <xf numFmtId="165" fontId="34" fillId="0" borderId="0" xfId="0" applyNumberFormat="1" applyFont="1" applyBorder="1"/>
    <xf numFmtId="182" fontId="36" fillId="0" borderId="0" xfId="0" applyNumberFormat="1" applyFont="1"/>
    <xf numFmtId="0" fontId="33" fillId="0" borderId="0" xfId="0" quotePrefix="1" applyFont="1" applyFill="1" applyAlignment="1">
      <alignment horizontal="left"/>
    </xf>
    <xf numFmtId="171" fontId="35" fillId="0" borderId="6" xfId="0" applyNumberFormat="1" applyFont="1" applyBorder="1"/>
    <xf numFmtId="181" fontId="37" fillId="0" borderId="0" xfId="0" applyNumberFormat="1" applyFont="1" applyFill="1" applyBorder="1"/>
    <xf numFmtId="165" fontId="37" fillId="0" borderId="0" xfId="0" applyNumberFormat="1" applyFont="1" applyFill="1" applyBorder="1"/>
    <xf numFmtId="0" fontId="37" fillId="0" borderId="0" xfId="0" applyFont="1" applyBorder="1"/>
    <xf numFmtId="0" fontId="37" fillId="0" borderId="0" xfId="0" quotePrefix="1" applyFont="1" applyAlignment="1">
      <alignment horizontal="left"/>
    </xf>
    <xf numFmtId="0" fontId="38" fillId="0" borderId="0" xfId="0" applyFont="1" applyAlignment="1">
      <alignment horizontal="centerContinuous"/>
    </xf>
    <xf numFmtId="0" fontId="38" fillId="0" borderId="1" xfId="0" applyFont="1" applyFill="1" applyBorder="1" applyAlignment="1">
      <alignment horizontal="center" wrapText="1"/>
    </xf>
    <xf numFmtId="0" fontId="39" fillId="0" borderId="1" xfId="0" applyFont="1" applyFill="1" applyBorder="1" applyAlignment="1">
      <alignment horizontal="center"/>
    </xf>
    <xf numFmtId="0" fontId="27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Continuous"/>
    </xf>
    <xf numFmtId="0" fontId="22" fillId="0" borderId="0" xfId="0" quotePrefix="1" applyFont="1" applyFill="1" applyAlignment="1" applyProtection="1">
      <alignment horizontal="center"/>
    </xf>
    <xf numFmtId="0" fontId="22" fillId="0" borderId="5" xfId="0" quotePrefix="1" applyFont="1" applyFill="1" applyBorder="1" applyAlignment="1" applyProtection="1">
      <alignment horizontal="center"/>
    </xf>
    <xf numFmtId="0" fontId="22" fillId="0" borderId="5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22" fillId="0" borderId="1" xfId="0" applyFont="1" applyFill="1" applyBorder="1" applyAlignment="1" applyProtection="1">
      <alignment horizontal="center"/>
    </xf>
    <xf numFmtId="0" fontId="41" fillId="0" borderId="0" xfId="0" applyFont="1" applyFill="1" applyAlignment="1">
      <alignment horizontal="center"/>
    </xf>
    <xf numFmtId="0" fontId="41" fillId="0" borderId="0" xfId="0" applyFont="1" applyFill="1"/>
    <xf numFmtId="0" fontId="22" fillId="0" borderId="1" xfId="0" quotePrefix="1" applyFont="1" applyFill="1" applyBorder="1" applyAlignment="1" applyProtection="1">
      <alignment horizontal="center"/>
    </xf>
    <xf numFmtId="0" fontId="22" fillId="0" borderId="1" xfId="0" applyFont="1" applyFill="1" applyBorder="1" applyAlignment="1">
      <alignment horizontal="centerContinuous"/>
    </xf>
    <xf numFmtId="0" fontId="22" fillId="0" borderId="8" xfId="0" quotePrefix="1" applyFont="1" applyFill="1" applyBorder="1" applyAlignment="1">
      <alignment horizontal="left"/>
    </xf>
    <xf numFmtId="0" fontId="22" fillId="0" borderId="9" xfId="0" applyFont="1" applyFill="1" applyBorder="1" applyAlignment="1"/>
    <xf numFmtId="0" fontId="22" fillId="0" borderId="9" xfId="0" applyFont="1" applyFill="1" applyBorder="1"/>
    <xf numFmtId="0" fontId="22" fillId="0" borderId="10" xfId="0" applyFont="1" applyFill="1" applyBorder="1" applyAlignment="1">
      <alignment horizontal="center"/>
    </xf>
    <xf numFmtId="0" fontId="22" fillId="0" borderId="11" xfId="0" applyFont="1" applyFill="1" applyBorder="1"/>
    <xf numFmtId="0" fontId="22" fillId="0" borderId="0" xfId="0" applyFont="1" applyFill="1" applyBorder="1"/>
    <xf numFmtId="0" fontId="22" fillId="0" borderId="12" xfId="0" applyFont="1" applyFill="1" applyBorder="1"/>
    <xf numFmtId="37" fontId="22" fillId="0" borderId="0" xfId="0" applyNumberFormat="1" applyFont="1" applyFill="1" applyProtection="1"/>
    <xf numFmtId="5" fontId="22" fillId="0" borderId="0" xfId="0" applyNumberFormat="1" applyFont="1" applyFill="1" applyProtection="1"/>
    <xf numFmtId="0" fontId="22" fillId="0" borderId="11" xfId="0" quotePrefix="1" applyFont="1" applyFill="1" applyBorder="1" applyAlignment="1">
      <alignment horizontal="left"/>
    </xf>
    <xf numFmtId="44" fontId="42" fillId="0" borderId="0" xfId="0" applyNumberFormat="1" applyFont="1" applyFill="1" applyBorder="1"/>
    <xf numFmtId="0" fontId="42" fillId="0" borderId="0" xfId="0" applyFont="1" applyFill="1" applyBorder="1"/>
    <xf numFmtId="44" fontId="42" fillId="0" borderId="12" xfId="0" applyNumberFormat="1" applyFont="1" applyFill="1" applyBorder="1"/>
    <xf numFmtId="171" fontId="42" fillId="0" borderId="0" xfId="0" applyNumberFormat="1" applyFont="1" applyFill="1" applyBorder="1"/>
    <xf numFmtId="0" fontId="22" fillId="0" borderId="13" xfId="0" applyFont="1" applyFill="1" applyBorder="1"/>
    <xf numFmtId="167" fontId="23" fillId="0" borderId="4" xfId="0" applyNumberFormat="1" applyFont="1" applyFill="1" applyBorder="1"/>
    <xf numFmtId="0" fontId="23" fillId="0" borderId="4" xfId="0" applyFont="1" applyFill="1" applyBorder="1"/>
    <xf numFmtId="167" fontId="23" fillId="0" borderId="14" xfId="0" applyNumberFormat="1" applyFont="1" applyFill="1" applyBorder="1"/>
    <xf numFmtId="44" fontId="22" fillId="3" borderId="0" xfId="0" applyNumberFormat="1" applyFont="1" applyFill="1"/>
    <xf numFmtId="171" fontId="23" fillId="0" borderId="0" xfId="0" applyNumberFormat="1" applyFont="1" applyFill="1"/>
    <xf numFmtId="171" fontId="23" fillId="3" borderId="0" xfId="0" applyNumberFormat="1" applyFont="1" applyFill="1"/>
    <xf numFmtId="0" fontId="23" fillId="0" borderId="0" xfId="0" quotePrefix="1" applyFont="1" applyFill="1" applyAlignment="1">
      <alignment horizontal="left"/>
    </xf>
    <xf numFmtId="171" fontId="23" fillId="2" borderId="0" xfId="0" applyNumberFormat="1" applyFont="1" applyFill="1"/>
    <xf numFmtId="0" fontId="22" fillId="0" borderId="1" xfId="0" applyFont="1" applyFill="1" applyBorder="1"/>
    <xf numFmtId="0" fontId="22" fillId="0" borderId="0" xfId="0" quotePrefix="1" applyFont="1" applyFill="1" applyAlignment="1">
      <alignment horizontal="right"/>
    </xf>
    <xf numFmtId="5" fontId="22" fillId="0" borderId="0" xfId="0" applyNumberFormat="1" applyFont="1" applyFill="1"/>
    <xf numFmtId="10" fontId="28" fillId="0" borderId="0" xfId="0" applyNumberFormat="1" applyFont="1" applyFill="1" applyProtection="1"/>
    <xf numFmtId="44" fontId="22" fillId="0" borderId="0" xfId="0" applyNumberFormat="1" applyFont="1" applyFill="1" applyBorder="1"/>
    <xf numFmtId="0" fontId="23" fillId="0" borderId="0" xfId="0" quotePrefix="1" applyFont="1" applyFill="1" applyAlignment="1">
      <alignment horizontal="left" indent="1"/>
    </xf>
    <xf numFmtId="0" fontId="23" fillId="0" borderId="0" xfId="0" applyFont="1" applyFill="1" applyAlignment="1">
      <alignment horizontal="left" indent="1"/>
    </xf>
    <xf numFmtId="0" fontId="22" fillId="0" borderId="0" xfId="0" applyFont="1" applyFill="1" applyAlignment="1">
      <alignment horizontal="left" indent="1"/>
    </xf>
    <xf numFmtId="0" fontId="22" fillId="0" borderId="0" xfId="0" quotePrefix="1" applyFont="1" applyFill="1" applyAlignment="1">
      <alignment horizontal="left" indent="1"/>
    </xf>
    <xf numFmtId="171" fontId="32" fillId="0" borderId="0" xfId="0" applyNumberFormat="1" applyFont="1" applyFill="1"/>
    <xf numFmtId="180" fontId="22" fillId="0" borderId="0" xfId="0" applyNumberFormat="1" applyFont="1" applyFill="1"/>
    <xf numFmtId="0" fontId="42" fillId="0" borderId="0" xfId="0" applyFont="1" applyFill="1"/>
    <xf numFmtId="0" fontId="22" fillId="0" borderId="0" xfId="0" applyFont="1" applyFill="1" applyAlignment="1">
      <alignment horizontal="left" indent="2"/>
    </xf>
    <xf numFmtId="44" fontId="22" fillId="0" borderId="6" xfId="0" applyNumberFormat="1" applyFont="1" applyFill="1" applyBorder="1"/>
    <xf numFmtId="181" fontId="42" fillId="0" borderId="0" xfId="0" applyNumberFormat="1" applyFont="1" applyFill="1" applyBorder="1"/>
    <xf numFmtId="181" fontId="22" fillId="0" borderId="0" xfId="0" applyNumberFormat="1" applyFont="1" applyFill="1"/>
    <xf numFmtId="180" fontId="28" fillId="0" borderId="0" xfId="0" applyNumberFormat="1" applyFont="1" applyFill="1"/>
    <xf numFmtId="181" fontId="28" fillId="0" borderId="0" xfId="0" applyNumberFormat="1" applyFont="1" applyFill="1" applyBorder="1"/>
    <xf numFmtId="171" fontId="43" fillId="0" borderId="0" xfId="0" applyNumberFormat="1" applyFont="1" applyFill="1"/>
    <xf numFmtId="0" fontId="22" fillId="0" borderId="0" xfId="0" quotePrefix="1" applyFont="1" applyFill="1" applyAlignment="1">
      <alignment horizontal="left" indent="2"/>
    </xf>
    <xf numFmtId="180" fontId="22" fillId="0" borderId="0" xfId="0" applyNumberFormat="1" applyFont="1" applyFill="1" applyBorder="1"/>
    <xf numFmtId="180" fontId="28" fillId="0" borderId="0" xfId="0" applyNumberFormat="1" applyFont="1" applyFill="1" applyBorder="1"/>
    <xf numFmtId="44" fontId="28" fillId="0" borderId="6" xfId="0" applyNumberFormat="1" applyFont="1" applyFill="1" applyBorder="1"/>
    <xf numFmtId="44" fontId="28" fillId="0" borderId="0" xfId="0" applyNumberFormat="1" applyFont="1" applyFill="1"/>
    <xf numFmtId="0" fontId="27" fillId="0" borderId="1" xfId="0" applyFont="1" applyFill="1" applyBorder="1" applyAlignment="1">
      <alignment horizontal="centerContinuous"/>
    </xf>
    <xf numFmtId="0" fontId="27" fillId="0" borderId="0" xfId="0" applyFont="1" applyFill="1" applyBorder="1"/>
    <xf numFmtId="0" fontId="27" fillId="0" borderId="0" xfId="0" applyFont="1" applyFill="1" applyAlignment="1">
      <alignment wrapText="1"/>
    </xf>
    <xf numFmtId="0" fontId="27" fillId="0" borderId="1" xfId="0" applyFont="1" applyFill="1" applyBorder="1" applyAlignment="1">
      <alignment horizontal="center" wrapText="1"/>
    </xf>
    <xf numFmtId="164" fontId="43" fillId="0" borderId="0" xfId="0" applyNumberFormat="1" applyFont="1" applyFill="1"/>
    <xf numFmtId="44" fontId="43" fillId="0" borderId="0" xfId="0" applyNumberFormat="1" applyFont="1" applyFill="1" applyBorder="1"/>
    <xf numFmtId="44" fontId="42" fillId="0" borderId="0" xfId="0" applyNumberFormat="1" applyFont="1" applyFill="1"/>
    <xf numFmtId="0" fontId="22" fillId="0" borderId="0" xfId="0" applyFont="1" applyFill="1" applyBorder="1" applyAlignment="1">
      <alignment horizontal="centerContinuous"/>
    </xf>
    <xf numFmtId="0" fontId="22" fillId="0" borderId="5" xfId="0" applyFont="1" applyFill="1" applyBorder="1" applyAlignment="1">
      <alignment horizontal="centerContinuous"/>
    </xf>
    <xf numFmtId="0" fontId="40" fillId="0" borderId="0" xfId="0" applyFont="1" applyFill="1"/>
    <xf numFmtId="0" fontId="22" fillId="0" borderId="5" xfId="0" applyFont="1" applyFill="1" applyBorder="1" applyAlignment="1">
      <alignment horizontal="center"/>
    </xf>
    <xf numFmtId="0" fontId="23" fillId="0" borderId="8" xfId="0" quotePrefix="1" applyFont="1" applyFill="1" applyBorder="1" applyAlignment="1">
      <alignment horizontal="left"/>
    </xf>
    <xf numFmtId="0" fontId="23" fillId="0" borderId="9" xfId="0" applyFont="1" applyFill="1" applyBorder="1" applyAlignment="1">
      <alignment horizontal="right"/>
    </xf>
    <xf numFmtId="0" fontId="23" fillId="0" borderId="9" xfId="0" quotePrefix="1" applyFont="1" applyFill="1" applyBorder="1" applyAlignment="1">
      <alignment horizontal="left"/>
    </xf>
    <xf numFmtId="0" fontId="23" fillId="0" borderId="10" xfId="0" applyFont="1" applyFill="1" applyBorder="1" applyAlignment="1">
      <alignment horizontal="right"/>
    </xf>
    <xf numFmtId="10" fontId="22" fillId="3" borderId="0" xfId="0" applyNumberFormat="1" applyFont="1" applyFill="1" applyAlignment="1">
      <alignment horizontal="center"/>
    </xf>
    <xf numFmtId="0" fontId="23" fillId="0" borderId="11" xfId="0" quotePrefix="1" applyFont="1" applyFill="1" applyBorder="1" applyAlignment="1">
      <alignment horizontal="left"/>
    </xf>
    <xf numFmtId="0" fontId="23" fillId="0" borderId="0" xfId="0" applyFont="1" applyFill="1" applyBorder="1"/>
    <xf numFmtId="43" fontId="22" fillId="0" borderId="0" xfId="0" applyNumberFormat="1" applyFont="1" applyFill="1"/>
    <xf numFmtId="171" fontId="42" fillId="0" borderId="12" xfId="0" applyNumberFormat="1" applyFont="1" applyFill="1" applyBorder="1"/>
    <xf numFmtId="0" fontId="23" fillId="0" borderId="13" xfId="0" quotePrefix="1" applyFont="1" applyFill="1" applyBorder="1" applyAlignment="1">
      <alignment horizontal="left"/>
    </xf>
    <xf numFmtId="44" fontId="42" fillId="0" borderId="4" xfId="0" applyNumberFormat="1" applyFont="1" applyFill="1" applyBorder="1"/>
    <xf numFmtId="44" fontId="42" fillId="0" borderId="14" xfId="0" applyNumberFormat="1" applyFont="1" applyFill="1" applyBorder="1"/>
    <xf numFmtId="44" fontId="32" fillId="0" borderId="0" xfId="0" applyNumberFormat="1" applyFont="1" applyFill="1"/>
    <xf numFmtId="44" fontId="23" fillId="0" borderId="0" xfId="0" applyNumberFormat="1" applyFont="1" applyFill="1"/>
    <xf numFmtId="176" fontId="23" fillId="0" borderId="0" xfId="0" applyNumberFormat="1" applyFont="1" applyFill="1"/>
    <xf numFmtId="7" fontId="22" fillId="0" borderId="0" xfId="0" applyNumberFormat="1" applyFont="1" applyFill="1"/>
    <xf numFmtId="10" fontId="22" fillId="0" borderId="0" xfId="0" applyNumberFormat="1" applyFont="1" applyFill="1" applyProtection="1"/>
    <xf numFmtId="37" fontId="22" fillId="0" borderId="1" xfId="0" applyNumberFormat="1" applyFont="1" applyFill="1" applyBorder="1" applyProtection="1"/>
    <xf numFmtId="7" fontId="22" fillId="0" borderId="1" xfId="0" applyNumberFormat="1" applyFont="1" applyFill="1" applyBorder="1" applyProtection="1"/>
    <xf numFmtId="168" fontId="22" fillId="0" borderId="1" xfId="0" applyNumberFormat="1" applyFont="1" applyFill="1" applyBorder="1" applyProtection="1"/>
    <xf numFmtId="0" fontId="22" fillId="0" borderId="0" xfId="0" quotePrefix="1" applyFont="1" applyFill="1" applyAlignment="1"/>
    <xf numFmtId="0" fontId="22" fillId="0" borderId="0" xfId="0" quotePrefix="1" applyFont="1" applyFill="1" applyBorder="1" applyAlignment="1">
      <alignment horizontal="left"/>
    </xf>
    <xf numFmtId="0" fontId="22" fillId="0" borderId="0" xfId="0" quotePrefix="1" applyFont="1" applyFill="1" applyBorder="1" applyAlignment="1"/>
    <xf numFmtId="10" fontId="22" fillId="0" borderId="0" xfId="0" applyNumberFormat="1" applyFont="1" applyFill="1" applyAlignment="1">
      <alignment horizontal="right"/>
    </xf>
    <xf numFmtId="10" fontId="22" fillId="0" borderId="0" xfId="0" applyNumberFormat="1" applyFont="1" applyFill="1" applyAlignment="1">
      <alignment horizontal="center"/>
    </xf>
    <xf numFmtId="7" fontId="28" fillId="0" borderId="0" xfId="0" applyNumberFormat="1" applyFont="1" applyFill="1"/>
    <xf numFmtId="171" fontId="28" fillId="0" borderId="0" xfId="0" applyNumberFormat="1" applyFont="1" applyFill="1" applyBorder="1"/>
    <xf numFmtId="0" fontId="28" fillId="0" borderId="0" xfId="0" applyFont="1" applyFill="1" applyBorder="1"/>
    <xf numFmtId="171" fontId="28" fillId="0" borderId="12" xfId="0" applyNumberFormat="1" applyFont="1" applyFill="1" applyBorder="1"/>
    <xf numFmtId="10" fontId="28" fillId="0" borderId="0" xfId="0" applyNumberFormat="1" applyFont="1" applyFill="1" applyAlignment="1">
      <alignment horizontal="right"/>
    </xf>
    <xf numFmtId="44" fontId="45" fillId="3" borderId="0" xfId="0" applyNumberFormat="1" applyFont="1" applyFill="1"/>
    <xf numFmtId="171" fontId="45" fillId="3" borderId="0" xfId="0" applyNumberFormat="1" applyFont="1" applyFill="1"/>
    <xf numFmtId="0" fontId="27" fillId="0" borderId="0" xfId="0" quotePrefix="1" applyFont="1" applyFill="1" applyAlignment="1">
      <alignment horizontal="center" wrapText="1"/>
    </xf>
    <xf numFmtId="10" fontId="22" fillId="0" borderId="0" xfId="0" applyNumberFormat="1" applyFont="1" applyFill="1" applyBorder="1"/>
    <xf numFmtId="0" fontId="25" fillId="0" borderId="0" xfId="0" applyFont="1" applyFill="1" applyAlignment="1">
      <alignment horizontal="right"/>
    </xf>
    <xf numFmtId="0" fontId="27" fillId="0" borderId="0" xfId="0" applyFont="1" applyFill="1" applyAlignment="1">
      <alignment horizontal="right"/>
    </xf>
    <xf numFmtId="165" fontId="22" fillId="0" borderId="0" xfId="0" applyNumberFormat="1" applyFont="1" applyFill="1" applyAlignment="1">
      <alignment horizontal="right"/>
    </xf>
    <xf numFmtId="164" fontId="22" fillId="0" borderId="0" xfId="0" applyNumberFormat="1" applyFont="1" applyFill="1" applyAlignment="1">
      <alignment horizontal="right"/>
    </xf>
    <xf numFmtId="166" fontId="22" fillId="0" borderId="0" xfId="0" applyNumberFormat="1" applyFont="1" applyFill="1" applyAlignment="1">
      <alignment horizontal="right"/>
    </xf>
    <xf numFmtId="164" fontId="22" fillId="0" borderId="3" xfId="0" applyNumberFormat="1" applyFont="1" applyFill="1" applyBorder="1" applyAlignment="1">
      <alignment horizontal="right"/>
    </xf>
    <xf numFmtId="165" fontId="22" fillId="0" borderId="3" xfId="0" applyNumberFormat="1" applyFont="1" applyFill="1" applyBorder="1" applyAlignment="1">
      <alignment horizontal="right"/>
    </xf>
    <xf numFmtId="10" fontId="22" fillId="0" borderId="3" xfId="0" applyNumberFormat="1" applyFont="1" applyFill="1" applyBorder="1" applyAlignment="1">
      <alignment horizontal="right"/>
    </xf>
    <xf numFmtId="10" fontId="22" fillId="0" borderId="0" xfId="0" applyNumberFormat="1" applyFont="1" applyFill="1" applyBorder="1" applyAlignment="1">
      <alignment horizontal="right"/>
    </xf>
    <xf numFmtId="165" fontId="27" fillId="0" borderId="0" xfId="0" applyNumberFormat="1" applyFont="1" applyFill="1" applyAlignment="1">
      <alignment horizontal="right"/>
    </xf>
    <xf numFmtId="0" fontId="27" fillId="0" borderId="1" xfId="0" applyFont="1" applyFill="1" applyBorder="1"/>
    <xf numFmtId="0" fontId="29" fillId="0" borderId="0" xfId="1" applyFont="1" applyFill="1"/>
    <xf numFmtId="42" fontId="22" fillId="0" borderId="0" xfId="0" applyNumberFormat="1" applyFont="1" applyFill="1"/>
    <xf numFmtId="0" fontId="22" fillId="0" borderId="0" xfId="2" applyFont="1" applyFill="1"/>
    <xf numFmtId="165" fontId="22" fillId="0" borderId="0" xfId="2" applyNumberFormat="1" applyFont="1" applyFill="1"/>
    <xf numFmtId="0" fontId="29" fillId="0" borderId="0" xfId="2" applyFont="1" applyFill="1"/>
    <xf numFmtId="171" fontId="22" fillId="0" borderId="0" xfId="2" applyNumberFormat="1" applyFont="1" applyFill="1"/>
    <xf numFmtId="0" fontId="25" fillId="0" borderId="0" xfId="2" applyFont="1" applyFill="1"/>
    <xf numFmtId="171" fontId="25" fillId="0" borderId="0" xfId="2" applyNumberFormat="1" applyFont="1" applyFill="1"/>
    <xf numFmtId="165" fontId="25" fillId="0" borderId="0" xfId="2" applyNumberFormat="1" applyFont="1" applyFill="1"/>
    <xf numFmtId="164" fontId="25" fillId="0" borderId="0" xfId="2" applyNumberFormat="1" applyFont="1" applyFill="1"/>
    <xf numFmtId="164" fontId="22" fillId="0" borderId="0" xfId="2" applyNumberFormat="1" applyFont="1" applyFill="1"/>
    <xf numFmtId="165" fontId="22" fillId="0" borderId="0" xfId="2" applyNumberFormat="1" applyFont="1" applyFill="1" applyBorder="1"/>
    <xf numFmtId="166" fontId="22" fillId="0" borderId="3" xfId="2" applyNumberFormat="1" applyFont="1" applyFill="1" applyBorder="1"/>
    <xf numFmtId="165" fontId="22" fillId="0" borderId="3" xfId="2" applyNumberFormat="1" applyFont="1" applyFill="1" applyBorder="1"/>
    <xf numFmtId="164" fontId="22" fillId="0" borderId="3" xfId="2" applyNumberFormat="1" applyFont="1" applyFill="1" applyBorder="1"/>
    <xf numFmtId="0" fontId="22" fillId="0" borderId="0" xfId="2" applyFont="1" applyFill="1" applyAlignment="1">
      <alignment horizontal="center"/>
    </xf>
    <xf numFmtId="166" fontId="22" fillId="0" borderId="0" xfId="2" applyNumberFormat="1" applyFont="1" applyFill="1" applyBorder="1"/>
    <xf numFmtId="164" fontId="22" fillId="0" borderId="0" xfId="2" applyNumberFormat="1" applyFont="1" applyFill="1" applyBorder="1"/>
    <xf numFmtId="166" fontId="22" fillId="0" borderId="0" xfId="2" applyNumberFormat="1" applyFont="1" applyFill="1"/>
    <xf numFmtId="0" fontId="22" fillId="0" borderId="0" xfId="2" applyFont="1" applyFill="1" applyAlignment="1">
      <alignment horizontal="left"/>
    </xf>
    <xf numFmtId="0" fontId="22" fillId="0" borderId="0" xfId="2" applyFont="1" applyFill="1" applyAlignment="1">
      <alignment vertical="top" wrapText="1"/>
    </xf>
    <xf numFmtId="0" fontId="22" fillId="0" borderId="0" xfId="2" quotePrefix="1" applyFont="1" applyFill="1" applyBorder="1" applyAlignment="1">
      <alignment horizontal="center" vertical="top" wrapText="1"/>
    </xf>
    <xf numFmtId="17" fontId="22" fillId="0" borderId="0" xfId="2" quotePrefix="1" applyNumberFormat="1" applyFont="1" applyFill="1" applyBorder="1" applyAlignment="1">
      <alignment horizontal="center" vertical="top" wrapText="1"/>
    </xf>
    <xf numFmtId="0" fontId="22" fillId="0" borderId="0" xfId="2" quotePrefix="1" applyFont="1" applyFill="1" applyAlignment="1">
      <alignment horizontal="center" vertical="top" wrapText="1"/>
    </xf>
    <xf numFmtId="0" fontId="22" fillId="0" borderId="0" xfId="2" applyFont="1" applyFill="1" applyAlignment="1">
      <alignment horizontal="center" vertical="top" wrapText="1"/>
    </xf>
    <xf numFmtId="0" fontId="22" fillId="0" borderId="0" xfId="2" applyFont="1" applyFill="1" applyBorder="1" applyAlignment="1">
      <alignment horizontal="center" vertical="top" wrapText="1"/>
    </xf>
    <xf numFmtId="0" fontId="27" fillId="0" borderId="0" xfId="2" applyFont="1" applyFill="1"/>
    <xf numFmtId="0" fontId="27" fillId="0" borderId="1" xfId="2" quotePrefix="1" applyFont="1" applyFill="1" applyBorder="1" applyAlignment="1">
      <alignment horizontal="center" wrapText="1"/>
    </xf>
    <xf numFmtId="17" fontId="27" fillId="0" borderId="1" xfId="2" quotePrefix="1" applyNumberFormat="1" applyFont="1" applyFill="1" applyBorder="1" applyAlignment="1">
      <alignment horizontal="center" wrapText="1"/>
    </xf>
    <xf numFmtId="17" fontId="27" fillId="0" borderId="0" xfId="2" quotePrefix="1" applyNumberFormat="1" applyFont="1" applyFill="1" applyBorder="1" applyAlignment="1">
      <alignment horizontal="center" wrapText="1"/>
    </xf>
    <xf numFmtId="0" fontId="27" fillId="0" borderId="1" xfId="2" applyFont="1" applyFill="1" applyBorder="1" applyAlignment="1">
      <alignment horizontal="center" wrapText="1"/>
    </xf>
    <xf numFmtId="14" fontId="27" fillId="0" borderId="0" xfId="2" applyNumberFormat="1" applyFont="1" applyFill="1"/>
    <xf numFmtId="0" fontId="27" fillId="0" borderId="0" xfId="2" applyFont="1" applyFill="1" applyAlignment="1">
      <alignment horizontal="center"/>
    </xf>
    <xf numFmtId="0" fontId="27" fillId="0" borderId="0" xfId="2" quotePrefix="1" applyFont="1" applyFill="1" applyAlignment="1">
      <alignment horizontal="center"/>
    </xf>
    <xf numFmtId="0" fontId="27" fillId="0" borderId="0" xfId="2" applyFont="1" applyFill="1" applyAlignment="1"/>
    <xf numFmtId="0" fontId="22" fillId="0" borderId="2" xfId="0" applyFont="1" applyFill="1" applyBorder="1"/>
    <xf numFmtId="0" fontId="22" fillId="0" borderId="5" xfId="0" applyFont="1" applyFill="1" applyBorder="1" applyAlignment="1">
      <alignment horizontal="centerContinuous" wrapText="1"/>
    </xf>
    <xf numFmtId="0" fontId="22" fillId="0" borderId="0" xfId="0" applyFont="1" applyFill="1" applyBorder="1" applyAlignment="1">
      <alignment horizontal="centerContinuous" wrapText="1"/>
    </xf>
    <xf numFmtId="0" fontId="22" fillId="0" borderId="5" xfId="0" quotePrefix="1" applyFont="1" applyFill="1" applyBorder="1" applyAlignment="1">
      <alignment horizontal="center" wrapText="1"/>
    </xf>
    <xf numFmtId="0" fontId="22" fillId="0" borderId="5" xfId="0" applyFont="1" applyFill="1" applyBorder="1" applyAlignment="1">
      <alignment horizontal="center" wrapText="1"/>
    </xf>
    <xf numFmtId="7" fontId="22" fillId="0" borderId="0" xfId="0" applyNumberFormat="1" applyFont="1" applyFill="1" applyProtection="1"/>
    <xf numFmtId="0" fontId="46" fillId="0" borderId="0" xfId="0" applyFont="1" applyFill="1"/>
    <xf numFmtId="171" fontId="46" fillId="0" borderId="12" xfId="0" applyNumberFormat="1" applyFont="1" applyFill="1" applyBorder="1"/>
    <xf numFmtId="166" fontId="46" fillId="0" borderId="0" xfId="0" applyNumberFormat="1" applyFont="1" applyFill="1"/>
    <xf numFmtId="171" fontId="46" fillId="0" borderId="0" xfId="0" applyNumberFormat="1" applyFont="1" applyFill="1" applyBorder="1"/>
    <xf numFmtId="0" fontId="46" fillId="0" borderId="0" xfId="0" applyFont="1" applyFill="1" applyBorder="1"/>
    <xf numFmtId="10" fontId="27" fillId="0" borderId="0" xfId="0" applyNumberFormat="1" applyFont="1" applyFill="1" applyAlignment="1">
      <alignment horizontal="right"/>
    </xf>
    <xf numFmtId="44" fontId="46" fillId="0" borderId="0" xfId="0" applyNumberFormat="1" applyFont="1" applyFill="1"/>
    <xf numFmtId="0" fontId="27" fillId="0" borderId="0" xfId="0" applyFont="1" applyFill="1" applyAlignment="1" applyProtection="1">
      <alignment horizontal="centerContinuous"/>
    </xf>
    <xf numFmtId="0" fontId="22" fillId="0" borderId="0" xfId="0" applyFont="1" applyFill="1" applyProtection="1"/>
    <xf numFmtId="0" fontId="22" fillId="0" borderId="5" xfId="0" applyFont="1" applyFill="1" applyBorder="1" applyAlignment="1" applyProtection="1">
      <alignment horizontal="centerContinuous"/>
    </xf>
    <xf numFmtId="0" fontId="22" fillId="0" borderId="0" xfId="0" applyFont="1" applyFill="1" applyAlignment="1" applyProtection="1">
      <alignment horizontal="centerContinuous"/>
    </xf>
    <xf numFmtId="0" fontId="22" fillId="0" borderId="1" xfId="0" applyFont="1" applyFill="1" applyBorder="1" applyAlignment="1" applyProtection="1">
      <alignment horizontal="centerContinuous"/>
    </xf>
    <xf numFmtId="0" fontId="22" fillId="0" borderId="0" xfId="0" applyFont="1" applyFill="1" applyAlignment="1" applyProtection="1"/>
    <xf numFmtId="0" fontId="22" fillId="0" borderId="0" xfId="0" applyFont="1" applyFill="1" applyBorder="1" applyProtection="1"/>
    <xf numFmtId="0" fontId="41" fillId="0" borderId="0" xfId="0" applyFont="1" applyFill="1" applyProtection="1"/>
    <xf numFmtId="0" fontId="22" fillId="0" borderId="12" xfId="0" quotePrefix="1" applyFont="1" applyFill="1" applyBorder="1" applyAlignment="1">
      <alignment horizontal="left"/>
    </xf>
    <xf numFmtId="166" fontId="22" fillId="0" borderId="0" xfId="0" applyNumberFormat="1" applyFont="1" applyFill="1" applyProtection="1"/>
    <xf numFmtId="7" fontId="42" fillId="0" borderId="0" xfId="0" applyNumberFormat="1" applyFont="1" applyFill="1" applyBorder="1"/>
    <xf numFmtId="7" fontId="42" fillId="0" borderId="12" xfId="0" applyNumberFormat="1" applyFont="1" applyFill="1" applyBorder="1"/>
    <xf numFmtId="0" fontId="42" fillId="0" borderId="11" xfId="0" applyFont="1" applyFill="1" applyBorder="1"/>
    <xf numFmtId="0" fontId="23" fillId="0" borderId="13" xfId="0" applyFont="1" applyFill="1" applyBorder="1"/>
    <xf numFmtId="0" fontId="23" fillId="0" borderId="14" xfId="0" applyFont="1" applyFill="1" applyBorder="1"/>
    <xf numFmtId="177" fontId="22" fillId="0" borderId="0" xfId="0" applyNumberFormat="1" applyFont="1" applyFill="1" applyProtection="1"/>
    <xf numFmtId="166" fontId="22" fillId="0" borderId="0" xfId="0" applyNumberFormat="1" applyFont="1" applyFill="1" applyBorder="1" applyProtection="1"/>
    <xf numFmtId="0" fontId="22" fillId="0" borderId="0" xfId="0" applyFont="1" applyFill="1" applyAlignment="1" applyProtection="1">
      <alignment horizontal="left"/>
    </xf>
    <xf numFmtId="0" fontId="22" fillId="0" borderId="0" xfId="0" applyFont="1" applyFill="1" applyAlignment="1" applyProtection="1">
      <alignment horizontal="center"/>
    </xf>
    <xf numFmtId="0" fontId="41" fillId="0" borderId="0" xfId="0" applyFont="1" applyFill="1" applyAlignment="1" applyProtection="1">
      <alignment horizontal="center"/>
    </xf>
    <xf numFmtId="175" fontId="42" fillId="0" borderId="12" xfId="0" applyNumberFormat="1" applyFont="1" applyFill="1" applyBorder="1"/>
    <xf numFmtId="44" fontId="23" fillId="3" borderId="0" xfId="0" applyNumberFormat="1" applyFont="1" applyFill="1"/>
    <xf numFmtId="175" fontId="23" fillId="0" borderId="0" xfId="0" applyNumberFormat="1" applyFont="1" applyFill="1"/>
    <xf numFmtId="175" fontId="23" fillId="3" borderId="0" xfId="0" applyNumberFormat="1" applyFont="1" applyFill="1"/>
    <xf numFmtId="0" fontId="22" fillId="0" borderId="1" xfId="0" applyFont="1" applyFill="1" applyBorder="1" applyProtection="1"/>
    <xf numFmtId="44" fontId="23" fillId="2" borderId="0" xfId="0" applyNumberFormat="1" applyFont="1" applyFill="1"/>
    <xf numFmtId="0" fontId="41" fillId="0" borderId="0" xfId="0" applyFont="1" applyFill="1" applyBorder="1"/>
    <xf numFmtId="171" fontId="22" fillId="3" borderId="0" xfId="0" applyNumberFormat="1" applyFont="1" applyFill="1"/>
    <xf numFmtId="175" fontId="22" fillId="0" borderId="0" xfId="0" applyNumberFormat="1" applyFont="1" applyFill="1"/>
    <xf numFmtId="175" fontId="22" fillId="3" borderId="0" xfId="0" applyNumberFormat="1" applyFont="1" applyFill="1"/>
    <xf numFmtId="0" fontId="24" fillId="0" borderId="0" xfId="0" applyFont="1" applyFill="1"/>
    <xf numFmtId="0" fontId="30" fillId="0" borderId="1" xfId="0" quotePrefix="1" applyFont="1" applyFill="1" applyBorder="1" applyAlignment="1">
      <alignment horizontal="center" wrapText="1"/>
    </xf>
    <xf numFmtId="165" fontId="22" fillId="2" borderId="0" xfId="0" applyNumberFormat="1" applyFont="1" applyFill="1" applyAlignment="1">
      <alignment horizontal="right"/>
    </xf>
    <xf numFmtId="0" fontId="27" fillId="2" borderId="0" xfId="0" applyFont="1" applyFill="1"/>
    <xf numFmtId="0" fontId="27" fillId="0" borderId="0" xfId="0" applyFont="1" applyFill="1" applyAlignment="1">
      <alignment horizontal="center"/>
    </xf>
    <xf numFmtId="0" fontId="27" fillId="0" borderId="0" xfId="0" applyFont="1" applyAlignment="1">
      <alignment horizontal="left"/>
    </xf>
    <xf numFmtId="0" fontId="26" fillId="0" borderId="0" xfId="0" applyFont="1" applyFill="1"/>
    <xf numFmtId="165" fontId="26" fillId="0" borderId="0" xfId="0" applyNumberFormat="1" applyFont="1" applyFill="1" applyAlignment="1">
      <alignment horizontal="right"/>
    </xf>
    <xf numFmtId="165" fontId="26" fillId="0" borderId="3" xfId="0" applyNumberFormat="1" applyFont="1" applyFill="1" applyBorder="1" applyAlignment="1">
      <alignment horizontal="right"/>
    </xf>
    <xf numFmtId="171" fontId="26" fillId="0" borderId="0" xfId="0" applyNumberFormat="1" applyFont="1" applyFill="1"/>
    <xf numFmtId="171" fontId="26" fillId="0" borderId="2" xfId="0" applyNumberFormat="1" applyFont="1" applyFill="1" applyBorder="1"/>
    <xf numFmtId="171" fontId="26" fillId="0" borderId="3" xfId="0" applyNumberFormat="1" applyFont="1" applyFill="1" applyBorder="1"/>
    <xf numFmtId="0" fontId="28" fillId="0" borderId="0" xfId="0" applyFont="1" applyAlignment="1">
      <alignment vertical="center"/>
    </xf>
    <xf numFmtId="171" fontId="28" fillId="0" borderId="2" xfId="0" applyNumberFormat="1" applyFont="1" applyFill="1" applyBorder="1"/>
    <xf numFmtId="44" fontId="28" fillId="0" borderId="2" xfId="0" applyNumberFormat="1" applyFont="1" applyFill="1" applyBorder="1"/>
    <xf numFmtId="44" fontId="26" fillId="0" borderId="2" xfId="0" applyNumberFormat="1" applyFont="1" applyFill="1" applyBorder="1"/>
    <xf numFmtId="44" fontId="22" fillId="0" borderId="2" xfId="0" applyNumberFormat="1" applyFont="1" applyFill="1" applyBorder="1"/>
    <xf numFmtId="44" fontId="26" fillId="0" borderId="0" xfId="0" applyNumberFormat="1" applyFont="1" applyFill="1"/>
    <xf numFmtId="164" fontId="23" fillId="0" borderId="0" xfId="0" applyNumberFormat="1" applyFont="1"/>
    <xf numFmtId="165" fontId="26" fillId="0" borderId="0" xfId="0" applyNumberFormat="1" applyFont="1" applyFill="1"/>
    <xf numFmtId="165" fontId="26" fillId="0" borderId="0" xfId="0" applyNumberFormat="1" applyFont="1" applyFill="1" applyBorder="1"/>
    <xf numFmtId="165" fontId="26" fillId="0" borderId="3" xfId="0" applyNumberFormat="1" applyFont="1" applyFill="1" applyBorder="1"/>
    <xf numFmtId="165" fontId="19" fillId="0" borderId="0" xfId="0" applyNumberFormat="1" applyFont="1" applyFill="1"/>
    <xf numFmtId="165" fontId="19" fillId="0" borderId="3" xfId="0" applyNumberFormat="1" applyFont="1" applyFill="1" applyBorder="1"/>
    <xf numFmtId="165" fontId="26" fillId="0" borderId="0" xfId="2" applyNumberFormat="1" applyFont="1" applyFill="1"/>
    <xf numFmtId="165" fontId="26" fillId="0" borderId="0" xfId="2" applyNumberFormat="1" applyFont="1" applyFill="1" applyBorder="1"/>
    <xf numFmtId="165" fontId="26" fillId="0" borderId="3" xfId="2" applyNumberFormat="1" applyFont="1" applyFill="1" applyBorder="1"/>
    <xf numFmtId="0" fontId="26" fillId="0" borderId="0" xfId="2" applyFont="1" applyFill="1"/>
    <xf numFmtId="10" fontId="26" fillId="0" borderId="0" xfId="0" applyNumberFormat="1" applyFont="1" applyFill="1"/>
    <xf numFmtId="10" fontId="26" fillId="0" borderId="3" xfId="0" applyNumberFormat="1" applyFont="1" applyFill="1" applyBorder="1"/>
    <xf numFmtId="0" fontId="22" fillId="0" borderId="0" xfId="0" quotePrefix="1" applyFont="1" applyFill="1" applyBorder="1" applyAlignment="1">
      <alignment horizontal="left"/>
    </xf>
    <xf numFmtId="0" fontId="27" fillId="4" borderId="9" xfId="0" applyFont="1" applyFill="1" applyBorder="1" applyAlignment="1">
      <alignment horizontal="right"/>
    </xf>
    <xf numFmtId="0" fontId="27" fillId="4" borderId="4" xfId="0" applyFont="1" applyFill="1" applyBorder="1" applyAlignment="1">
      <alignment horizontal="right"/>
    </xf>
    <xf numFmtId="17" fontId="27" fillId="4" borderId="1" xfId="0" quotePrefix="1" applyNumberFormat="1" applyFont="1" applyFill="1" applyBorder="1" applyAlignment="1">
      <alignment horizontal="center" wrapText="1"/>
    </xf>
    <xf numFmtId="0" fontId="22" fillId="4" borderId="0" xfId="0" applyFont="1" applyFill="1" applyAlignment="1">
      <alignment horizontal="center" vertical="top" wrapText="1"/>
    </xf>
    <xf numFmtId="10" fontId="22" fillId="4" borderId="0" xfId="0" applyNumberFormat="1" applyFont="1" applyFill="1" applyAlignment="1">
      <alignment horizontal="right"/>
    </xf>
    <xf numFmtId="10" fontId="22" fillId="4" borderId="3" xfId="0" applyNumberFormat="1" applyFont="1" applyFill="1" applyBorder="1" applyAlignment="1">
      <alignment horizontal="right"/>
    </xf>
    <xf numFmtId="165" fontId="22" fillId="4" borderId="0" xfId="0" applyNumberFormat="1" applyFont="1" applyFill="1" applyAlignment="1">
      <alignment horizontal="right"/>
    </xf>
    <xf numFmtId="165" fontId="22" fillId="4" borderId="3" xfId="0" applyNumberFormat="1" applyFont="1" applyFill="1" applyBorder="1" applyAlignment="1">
      <alignment horizontal="right"/>
    </xf>
    <xf numFmtId="17" fontId="27" fillId="4" borderId="0" xfId="0" quotePrefix="1" applyNumberFormat="1" applyFont="1" applyFill="1" applyBorder="1" applyAlignment="1">
      <alignment horizontal="center" wrapText="1"/>
    </xf>
    <xf numFmtId="0" fontId="22" fillId="4" borderId="0" xfId="0" quotePrefix="1" applyFont="1" applyFill="1" applyAlignment="1">
      <alignment horizontal="center" vertical="top" wrapText="1"/>
    </xf>
    <xf numFmtId="10" fontId="22" fillId="4" borderId="0" xfId="0" applyNumberFormat="1" applyFont="1" applyFill="1"/>
    <xf numFmtId="10" fontId="22" fillId="4" borderId="3" xfId="0" applyNumberFormat="1" applyFont="1" applyFill="1" applyBorder="1"/>
    <xf numFmtId="165" fontId="22" fillId="4" borderId="0" xfId="0" applyNumberFormat="1" applyFont="1" applyFill="1"/>
    <xf numFmtId="165" fontId="22" fillId="4" borderId="3" xfId="0" applyNumberFormat="1" applyFont="1" applyFill="1" applyBorder="1"/>
    <xf numFmtId="0" fontId="27" fillId="4" borderId="8" xfId="0" applyFont="1" applyFill="1" applyBorder="1"/>
    <xf numFmtId="0" fontId="27" fillId="4" borderId="13" xfId="0" applyFont="1" applyFill="1" applyBorder="1"/>
    <xf numFmtId="164" fontId="27" fillId="4" borderId="4" xfId="0" applyNumberFormat="1" applyFont="1" applyFill="1" applyBorder="1"/>
    <xf numFmtId="165" fontId="27" fillId="4" borderId="4" xfId="0" applyNumberFormat="1" applyFont="1" applyFill="1" applyBorder="1"/>
    <xf numFmtId="10" fontId="27" fillId="4" borderId="4" xfId="0" applyNumberFormat="1" applyFont="1" applyFill="1" applyBorder="1"/>
    <xf numFmtId="0" fontId="27" fillId="4" borderId="4" xfId="0" applyFont="1" applyFill="1" applyBorder="1"/>
    <xf numFmtId="10" fontId="27" fillId="4" borderId="14" xfId="0" applyNumberFormat="1" applyFont="1" applyFill="1" applyBorder="1"/>
    <xf numFmtId="164" fontId="27" fillId="4" borderId="9" xfId="0" applyNumberFormat="1" applyFont="1" applyFill="1" applyBorder="1"/>
    <xf numFmtId="165" fontId="27" fillId="4" borderId="9" xfId="0" applyNumberFormat="1" applyFont="1" applyFill="1" applyBorder="1"/>
    <xf numFmtId="10" fontId="27" fillId="4" borderId="9" xfId="0" applyNumberFormat="1" applyFont="1" applyFill="1" applyBorder="1"/>
    <xf numFmtId="0" fontId="27" fillId="4" borderId="9" xfId="0" applyFont="1" applyFill="1" applyBorder="1"/>
    <xf numFmtId="10" fontId="27" fillId="4" borderId="10" xfId="0" applyNumberFormat="1" applyFont="1" applyFill="1" applyBorder="1"/>
    <xf numFmtId="164" fontId="27" fillId="4" borderId="9" xfId="0" applyNumberFormat="1" applyFont="1" applyFill="1" applyBorder="1" applyAlignment="1">
      <alignment horizontal="right"/>
    </xf>
    <xf numFmtId="165" fontId="27" fillId="4" borderId="9" xfId="0" applyNumberFormat="1" applyFont="1" applyFill="1" applyBorder="1" applyAlignment="1">
      <alignment horizontal="right"/>
    </xf>
    <xf numFmtId="10" fontId="27" fillId="4" borderId="9" xfId="0" applyNumberFormat="1" applyFont="1" applyFill="1" applyBorder="1" applyAlignment="1">
      <alignment horizontal="right"/>
    </xf>
    <xf numFmtId="10" fontId="27" fillId="4" borderId="10" xfId="0" applyNumberFormat="1" applyFont="1" applyFill="1" applyBorder="1" applyAlignment="1">
      <alignment horizontal="right"/>
    </xf>
    <xf numFmtId="164" fontId="27" fillId="4" borderId="4" xfId="0" applyNumberFormat="1" applyFont="1" applyFill="1" applyBorder="1" applyAlignment="1">
      <alignment horizontal="right"/>
    </xf>
    <xf numFmtId="165" fontId="27" fillId="4" borderId="4" xfId="0" applyNumberFormat="1" applyFont="1" applyFill="1" applyBorder="1" applyAlignment="1">
      <alignment horizontal="right"/>
    </xf>
    <xf numFmtId="10" fontId="27" fillId="4" borderId="4" xfId="0" applyNumberFormat="1" applyFont="1" applyFill="1" applyBorder="1" applyAlignment="1">
      <alignment horizontal="right"/>
    </xf>
    <xf numFmtId="165" fontId="30" fillId="4" borderId="4" xfId="0" applyNumberFormat="1" applyFont="1" applyFill="1" applyBorder="1" applyAlignment="1">
      <alignment horizontal="right"/>
    </xf>
    <xf numFmtId="10" fontId="27" fillId="4" borderId="14" xfId="0" applyNumberFormat="1" applyFont="1" applyFill="1" applyBorder="1" applyAlignment="1">
      <alignment horizontal="right"/>
    </xf>
    <xf numFmtId="0" fontId="0" fillId="0" borderId="0" xfId="0" quotePrefix="1" applyAlignment="1">
      <alignment horizontal="left" vertical="top" wrapText="1"/>
    </xf>
    <xf numFmtId="0" fontId="27" fillId="0" borderId="15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5" xfId="0" quotePrefix="1" applyFont="1" applyFill="1" applyBorder="1" applyAlignment="1">
      <alignment horizontal="center"/>
    </xf>
    <xf numFmtId="0" fontId="27" fillId="0" borderId="2" xfId="0" quotePrefix="1" applyFont="1" applyFill="1" applyBorder="1" applyAlignment="1">
      <alignment horizontal="center"/>
    </xf>
    <xf numFmtId="0" fontId="27" fillId="0" borderId="18" xfId="0" quotePrefix="1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0" xfId="0" quotePrefix="1" applyFont="1" applyFill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1" xfId="0" quotePrefix="1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wrapText="1"/>
    </xf>
    <xf numFmtId="0" fontId="22" fillId="0" borderId="0" xfId="0" quotePrefix="1" applyFont="1" applyFill="1" applyBorder="1" applyAlignment="1">
      <alignment horizontal="left"/>
    </xf>
    <xf numFmtId="0" fontId="22" fillId="0" borderId="8" xfId="0" quotePrefix="1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22" fillId="0" borderId="5" xfId="0" quotePrefix="1" applyFont="1" applyFill="1" applyBorder="1" applyAlignment="1" applyProtection="1">
      <alignment horizontal="center"/>
    </xf>
    <xf numFmtId="0" fontId="22" fillId="0" borderId="5" xfId="0" applyFont="1" applyFill="1" applyBorder="1" applyAlignment="1" applyProtection="1">
      <alignment horizontal="center"/>
    </xf>
    <xf numFmtId="0" fontId="27" fillId="0" borderId="1" xfId="0" applyFont="1" applyBorder="1" applyAlignment="1">
      <alignment horizontal="center"/>
    </xf>
    <xf numFmtId="0" fontId="27" fillId="0" borderId="21" xfId="0" quotePrefix="1" applyFont="1" applyFill="1" applyBorder="1" applyAlignment="1">
      <alignment horizontal="center"/>
    </xf>
    <xf numFmtId="0" fontId="27" fillId="0" borderId="22" xfId="0" quotePrefix="1" applyFont="1" applyFill="1" applyBorder="1" applyAlignment="1">
      <alignment horizontal="center"/>
    </xf>
    <xf numFmtId="0" fontId="27" fillId="0" borderId="22" xfId="0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0" fontId="27" fillId="0" borderId="23" xfId="0" quotePrefix="1" applyFont="1" applyFill="1" applyBorder="1" applyAlignment="1">
      <alignment horizontal="center"/>
    </xf>
    <xf numFmtId="14" fontId="27" fillId="0" borderId="21" xfId="2" quotePrefix="1" applyNumberFormat="1" applyFont="1" applyFill="1" applyBorder="1" applyAlignment="1">
      <alignment horizontal="center"/>
    </xf>
    <xf numFmtId="14" fontId="27" fillId="0" borderId="22" xfId="2" quotePrefix="1" applyNumberFormat="1" applyFont="1" applyFill="1" applyBorder="1" applyAlignment="1">
      <alignment horizontal="center"/>
    </xf>
    <xf numFmtId="14" fontId="27" fillId="0" borderId="23" xfId="2" applyNumberFormat="1" applyFont="1" applyFill="1" applyBorder="1" applyAlignment="1">
      <alignment horizontal="center"/>
    </xf>
    <xf numFmtId="0" fontId="27" fillId="0" borderId="21" xfId="2" quotePrefix="1" applyFont="1" applyFill="1" applyBorder="1" applyAlignment="1">
      <alignment horizontal="center"/>
    </xf>
    <xf numFmtId="0" fontId="27" fillId="0" borderId="22" xfId="2" quotePrefix="1" applyFont="1" applyFill="1" applyBorder="1" applyAlignment="1">
      <alignment horizontal="center"/>
    </xf>
    <xf numFmtId="0" fontId="27" fillId="0" borderId="23" xfId="2" quotePrefix="1" applyFont="1" applyFill="1" applyBorder="1" applyAlignment="1">
      <alignment horizontal="center"/>
    </xf>
    <xf numFmtId="0" fontId="27" fillId="0" borderId="0" xfId="2" applyFont="1" applyFill="1" applyAlignment="1">
      <alignment horizontal="center"/>
    </xf>
    <xf numFmtId="0" fontId="27" fillId="0" borderId="0" xfId="2" quotePrefix="1" applyFont="1" applyFill="1" applyAlignment="1">
      <alignment horizontal="center"/>
    </xf>
    <xf numFmtId="14" fontId="27" fillId="0" borderId="21" xfId="0" quotePrefix="1" applyNumberFormat="1" applyFont="1" applyFill="1" applyBorder="1" applyAlignment="1">
      <alignment horizontal="center"/>
    </xf>
    <xf numFmtId="14" fontId="27" fillId="0" borderId="22" xfId="0" quotePrefix="1" applyNumberFormat="1" applyFont="1" applyFill="1" applyBorder="1" applyAlignment="1">
      <alignment horizontal="center"/>
    </xf>
    <xf numFmtId="14" fontId="27" fillId="0" borderId="23" xfId="0" applyNumberFormat="1" applyFont="1" applyFill="1" applyBorder="1" applyAlignment="1">
      <alignment horizontal="center"/>
    </xf>
    <xf numFmtId="0" fontId="27" fillId="0" borderId="1" xfId="0" quotePrefix="1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24" fillId="0" borderId="1" xfId="0" quotePrefix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9" xfId="0" quotePrefix="1" applyFont="1" applyFill="1" applyBorder="1" applyAlignment="1">
      <alignment horizontal="center"/>
    </xf>
    <xf numFmtId="0" fontId="13" fillId="0" borderId="10" xfId="0" quotePrefix="1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quotePrefix="1" applyFont="1" applyFill="1" applyBorder="1" applyAlignment="1">
      <alignment horizontal="center"/>
    </xf>
    <xf numFmtId="0" fontId="13" fillId="0" borderId="12" xfId="0" quotePrefix="1" applyFont="1" applyFill="1" applyBorder="1" applyAlignment="1">
      <alignment horizontal="center"/>
    </xf>
    <xf numFmtId="0" fontId="7" fillId="0" borderId="11" xfId="0" quotePrefix="1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left"/>
    </xf>
    <xf numFmtId="0" fontId="7" fillId="0" borderId="12" xfId="0" quotePrefix="1" applyFont="1" applyFill="1" applyBorder="1" applyAlignment="1">
      <alignment horizontal="left"/>
    </xf>
    <xf numFmtId="0" fontId="7" fillId="0" borderId="13" xfId="0" quotePrefix="1" applyFont="1" applyFill="1" applyBorder="1" applyAlignment="1">
      <alignment horizontal="left"/>
    </xf>
    <xf numFmtId="0" fontId="7" fillId="0" borderId="4" xfId="0" quotePrefix="1" applyFont="1" applyFill="1" applyBorder="1" applyAlignment="1">
      <alignment horizontal="left"/>
    </xf>
    <xf numFmtId="0" fontId="7" fillId="0" borderId="14" xfId="0" quotePrefix="1" applyFont="1" applyFill="1" applyBorder="1" applyAlignment="1">
      <alignment horizontal="left"/>
    </xf>
    <xf numFmtId="0" fontId="1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10" fillId="0" borderId="0" xfId="0" quotePrefix="1" applyFont="1" applyFill="1" applyAlignment="1">
      <alignment horizontal="center"/>
    </xf>
    <xf numFmtId="0" fontId="11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8" fillId="0" borderId="0" xfId="0" quotePrefix="1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3" fillId="0" borderId="0" xfId="0" quotePrefix="1" applyFont="1" applyFill="1" applyAlignment="1">
      <alignment horizontal="center" wrapText="1"/>
    </xf>
    <xf numFmtId="0" fontId="5" fillId="0" borderId="0" xfId="0" applyFont="1" applyAlignment="1">
      <alignment wrapText="1"/>
    </xf>
    <xf numFmtId="0" fontId="8" fillId="3" borderId="0" xfId="0" quotePrefix="1" applyFont="1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15" fillId="3" borderId="1" xfId="0" quotePrefix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8" fillId="3" borderId="15" xfId="0" quotePrefix="1" applyFont="1" applyFill="1" applyBorder="1" applyAlignment="1">
      <alignment horizontal="center" wrapText="1"/>
    </xf>
    <xf numFmtId="0" fontId="1" fillId="3" borderId="2" xfId="0" applyFont="1" applyFill="1" applyBorder="1" applyAlignment="1">
      <alignment wrapText="1"/>
    </xf>
    <xf numFmtId="0" fontId="1" fillId="3" borderId="18" xfId="0" applyFont="1" applyFill="1" applyBorder="1" applyAlignment="1">
      <alignment wrapText="1"/>
    </xf>
    <xf numFmtId="0" fontId="8" fillId="0" borderId="15" xfId="0" applyFont="1" applyFill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5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center"/>
    </xf>
    <xf numFmtId="0" fontId="16" fillId="0" borderId="0" xfId="0" quotePrefix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0033CC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externalLink" Target="externalLinks/externalLink1.xml"/><Relationship Id="rId6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73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43</xdr:row>
      <xdr:rowOff>47625</xdr:rowOff>
    </xdr:from>
    <xdr:to>
      <xdr:col>12</xdr:col>
      <xdr:colOff>503971</xdr:colOff>
      <xdr:row>66</xdr:row>
      <xdr:rowOff>56738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3625" y="6943725"/>
          <a:ext cx="6828571" cy="3295238"/>
        </a:xfrm>
        <a:prstGeom prst="rect">
          <a:avLst/>
        </a:prstGeom>
      </xdr:spPr>
    </xdr:pic>
    <xdr:clientData/>
  </xdr:twoCellAnchor>
  <xdr:twoCellAnchor editAs="oneCell">
    <xdr:from>
      <xdr:col>11</xdr:col>
      <xdr:colOff>361950</xdr:colOff>
      <xdr:row>43</xdr:row>
      <xdr:rowOff>9525</xdr:rowOff>
    </xdr:from>
    <xdr:to>
      <xdr:col>21</xdr:col>
      <xdr:colOff>256349</xdr:colOff>
      <xdr:row>83</xdr:row>
      <xdr:rowOff>75477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86750" y="6905625"/>
          <a:ext cx="6609524" cy="5780952"/>
        </a:xfrm>
        <a:prstGeom prst="rect">
          <a:avLst/>
        </a:prstGeom>
      </xdr:spPr>
    </xdr:pic>
    <xdr:clientData/>
  </xdr:twoCellAnchor>
  <xdr:twoCellAnchor editAs="oneCell">
    <xdr:from>
      <xdr:col>21</xdr:col>
      <xdr:colOff>295275</xdr:colOff>
      <xdr:row>43</xdr:row>
      <xdr:rowOff>47625</xdr:rowOff>
    </xdr:from>
    <xdr:to>
      <xdr:col>31</xdr:col>
      <xdr:colOff>113495</xdr:colOff>
      <xdr:row>79</xdr:row>
      <xdr:rowOff>142220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935200" y="6943725"/>
          <a:ext cx="6438095" cy="52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28575</xdr:colOff>
      <xdr:row>12</xdr:row>
      <xdr:rowOff>28575</xdr:rowOff>
    </xdr:from>
    <xdr:ext cx="3530902" cy="2628220"/>
    <xdr:sp macro="" textlink="">
      <xdr:nvSpPr>
        <xdr:cNvPr id="2" name="Rectangle 1"/>
        <xdr:cNvSpPr/>
      </xdr:nvSpPr>
      <xdr:spPr>
        <a:xfrm>
          <a:off x="8782050" y="1971675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UE-190529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141Z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266700</xdr:colOff>
      <xdr:row>13</xdr:row>
      <xdr:rowOff>9525</xdr:rowOff>
    </xdr:from>
    <xdr:ext cx="3530902" cy="2628220"/>
    <xdr:sp macro="" textlink="">
      <xdr:nvSpPr>
        <xdr:cNvPr id="2" name="Rectangle 1"/>
        <xdr:cNvSpPr/>
      </xdr:nvSpPr>
      <xdr:spPr>
        <a:xfrm>
          <a:off x="8201025" y="2276475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UE-210214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142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172303</xdr:colOff>
      <xdr:row>10</xdr:row>
      <xdr:rowOff>0</xdr:rowOff>
    </xdr:from>
    <xdr:ext cx="3643497" cy="2628220"/>
    <xdr:sp macro="" textlink="">
      <xdr:nvSpPr>
        <xdr:cNvPr id="2" name="Rectangle 1"/>
        <xdr:cNvSpPr/>
      </xdr:nvSpPr>
      <xdr:spPr>
        <a:xfrm>
          <a:off x="7963753" y="1781175"/>
          <a:ext cx="3643497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UE-200965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142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406253</xdr:colOff>
      <xdr:row>3</xdr:row>
      <xdr:rowOff>37915</xdr:rowOff>
    </xdr:from>
    <xdr:ext cx="3530902" cy="2628220"/>
    <xdr:sp macro="" textlink="">
      <xdr:nvSpPr>
        <xdr:cNvPr id="2" name="Rectangle 1"/>
        <xdr:cNvSpPr/>
      </xdr:nvSpPr>
      <xdr:spPr>
        <a:xfrm>
          <a:off x="7515713" y="540835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UE-210757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 194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418248</xdr:colOff>
      <xdr:row>5</xdr:row>
      <xdr:rowOff>104775</xdr:rowOff>
    </xdr:from>
    <xdr:ext cx="3530903" cy="3473515"/>
    <xdr:sp macro="" textlink="">
      <xdr:nvSpPr>
        <xdr:cNvPr id="2" name="Rectangle 1"/>
        <xdr:cNvSpPr/>
      </xdr:nvSpPr>
      <xdr:spPr>
        <a:xfrm>
          <a:off x="11391048" y="2381250"/>
          <a:ext cx="3530903" cy="34735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UE-200890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PCORC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95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56299</xdr:colOff>
      <xdr:row>7</xdr:row>
      <xdr:rowOff>0</xdr:rowOff>
    </xdr:from>
    <xdr:ext cx="3530902" cy="3473515"/>
    <xdr:sp macro="" textlink="">
      <xdr:nvSpPr>
        <xdr:cNvPr id="2" name="Rectangle 1"/>
        <xdr:cNvSpPr/>
      </xdr:nvSpPr>
      <xdr:spPr>
        <a:xfrm>
          <a:off x="11181499" y="2381250"/>
          <a:ext cx="3530902" cy="34735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UE-200893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95 PCA</a:t>
          </a:r>
        </a:p>
        <a:p>
          <a:pPr algn="ctr"/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Imbalance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607218</xdr:colOff>
      <xdr:row>7</xdr:row>
      <xdr:rowOff>9525</xdr:rowOff>
    </xdr:from>
    <xdr:ext cx="3530903" cy="2628220"/>
    <xdr:sp macro="" textlink="">
      <xdr:nvSpPr>
        <xdr:cNvPr id="2" name="Rectangle 1"/>
        <xdr:cNvSpPr/>
      </xdr:nvSpPr>
      <xdr:spPr>
        <a:xfrm>
          <a:off x="10617993" y="2124075"/>
          <a:ext cx="3530903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UE-210821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95a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</xdr:colOff>
      <xdr:row>8</xdr:row>
      <xdr:rowOff>0</xdr:rowOff>
    </xdr:from>
    <xdr:ext cx="3530902" cy="2628220"/>
    <xdr:sp macro="" textlink="">
      <xdr:nvSpPr>
        <xdr:cNvPr id="2" name="Rectangle 1"/>
        <xdr:cNvSpPr/>
      </xdr:nvSpPr>
      <xdr:spPr>
        <a:xfrm>
          <a:off x="11112501" y="1756833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UE-210140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120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310415</xdr:colOff>
      <xdr:row>6</xdr:row>
      <xdr:rowOff>314325</xdr:rowOff>
    </xdr:from>
    <xdr:ext cx="3643497" cy="2628220"/>
    <xdr:sp macro="" textlink="">
      <xdr:nvSpPr>
        <xdr:cNvPr id="2" name="Rectangle 1"/>
        <xdr:cNvSpPr/>
      </xdr:nvSpPr>
      <xdr:spPr>
        <a:xfrm>
          <a:off x="12816740" y="1943100"/>
          <a:ext cx="3643497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UE-210674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129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58003</xdr:colOff>
      <xdr:row>12</xdr:row>
      <xdr:rowOff>9525</xdr:rowOff>
    </xdr:from>
    <xdr:ext cx="3643497" cy="2628220"/>
    <xdr:sp macro="" textlink="">
      <xdr:nvSpPr>
        <xdr:cNvPr id="2" name="Rectangle 1"/>
        <xdr:cNvSpPr/>
      </xdr:nvSpPr>
      <xdr:spPr>
        <a:xfrm>
          <a:off x="11833284" y="3140869"/>
          <a:ext cx="3643497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UE-210924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137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83344</xdr:colOff>
      <xdr:row>7</xdr:row>
      <xdr:rowOff>78580</xdr:rowOff>
    </xdr:from>
    <xdr:ext cx="3530902" cy="2628220"/>
    <xdr:sp macro="" textlink="">
      <xdr:nvSpPr>
        <xdr:cNvPr id="2" name="Rectangle 1"/>
        <xdr:cNvSpPr/>
      </xdr:nvSpPr>
      <xdr:spPr>
        <a:xfrm>
          <a:off x="9679782" y="1876424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UE-210217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140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152400</xdr:colOff>
      <xdr:row>8</xdr:row>
      <xdr:rowOff>38100</xdr:rowOff>
    </xdr:from>
    <xdr:ext cx="3530902" cy="2628220"/>
    <xdr:sp macro="" textlink="">
      <xdr:nvSpPr>
        <xdr:cNvPr id="2" name="Rectangle 1"/>
        <xdr:cNvSpPr/>
      </xdr:nvSpPr>
      <xdr:spPr>
        <a:xfrm>
          <a:off x="10420350" y="1657350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UE-190529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141X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dvice-2023-20-PSE-WP-Annual-MYRP-Sch141N-Sch141R-Rate-Design-(04-28-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ariff Charge Summary===&gt;"/>
      <sheetName val="Exhibit No.__(BDJ-Tariff)"/>
      <sheetName val="Rate Spread-Design====&gt;"/>
      <sheetName val="Exhibit No.__(BDJ-Rate Spread)"/>
      <sheetName val="Exhibit No.__(BDJ-Rate Des Sum)"/>
      <sheetName val="Exhibit No.__(BDJ-Prof-Prop)"/>
      <sheetName val="Exhibit No.__(BDJ-MYRP-SUM)"/>
      <sheetName val="Exhibit No.__(BDJ-141A)"/>
      <sheetName val="Exhibit No.__(BDJ-MYRP)"/>
      <sheetName val="Exhibit No.__(BDJ-141C)"/>
      <sheetName val="Exhibit No.__(BDJ-Res RD)"/>
      <sheetName val="Exhibit No.__(BDJ-SV RD)"/>
      <sheetName val="Exhibit No.__(BDJ-PV RD)"/>
      <sheetName val="Exhibit No.__(BDJ-CONJ  DEM)"/>
      <sheetName val="Exhibit No.__(BDJ-HV RD)"/>
      <sheetName val="Exhibit No.__(BDJ-TRANSP RD)"/>
      <sheetName val="Exhibit No.__(BDJ-LIGHT RD) "/>
      <sheetName val="RevReq&gt;&gt;&gt;"/>
      <sheetName val="Subject to Refund"/>
      <sheetName val="Adj RR Summary"/>
    </sheetNames>
    <sheetDataSet>
      <sheetData sheetId="0"/>
      <sheetData sheetId="1"/>
      <sheetData sheetId="2">
        <row r="8">
          <cell r="D8">
            <v>7.49</v>
          </cell>
          <cell r="E8">
            <v>7.49</v>
          </cell>
        </row>
        <row r="11">
          <cell r="D11">
            <v>9.1343999999999995E-2</v>
          </cell>
          <cell r="E11">
            <v>8.9437000000000003E-2</v>
          </cell>
          <cell r="J11">
            <v>2.6689999999999999E-3</v>
          </cell>
          <cell r="N11">
            <v>1.2668E-2</v>
          </cell>
          <cell r="O11">
            <v>8.5280000000000009E-3</v>
          </cell>
          <cell r="T11">
            <v>2.3679999999999999E-3</v>
          </cell>
          <cell r="U11">
            <v>8.1049999999999994E-3</v>
          </cell>
        </row>
        <row r="12">
          <cell r="D12">
            <v>0.111175</v>
          </cell>
          <cell r="E12">
            <v>0.10885400000000001</v>
          </cell>
        </row>
        <row r="15">
          <cell r="D15">
            <v>10.210000000000001</v>
          </cell>
          <cell r="E15">
            <v>10.210000000000001</v>
          </cell>
        </row>
        <row r="16">
          <cell r="D16">
            <v>25.95</v>
          </cell>
          <cell r="E16">
            <v>25.95</v>
          </cell>
        </row>
        <row r="18">
          <cell r="D18">
            <v>9.4531000000000004E-2</v>
          </cell>
          <cell r="E18">
            <v>9.2536999999999994E-2</v>
          </cell>
          <cell r="J18">
            <v>2.346E-3</v>
          </cell>
          <cell r="N18">
            <v>9.8779999999999996E-3</v>
          </cell>
          <cell r="O18">
            <v>6.6309999999999997E-3</v>
          </cell>
          <cell r="T18">
            <v>1.8469999999999999E-3</v>
          </cell>
          <cell r="U18">
            <v>6.3020000000000003E-3</v>
          </cell>
        </row>
        <row r="19">
          <cell r="D19">
            <v>9.1261999999999996E-2</v>
          </cell>
          <cell r="E19">
            <v>8.9337E-2</v>
          </cell>
        </row>
        <row r="22">
          <cell r="D22">
            <v>53.95</v>
          </cell>
          <cell r="E22">
            <v>53.95</v>
          </cell>
        </row>
        <row r="24">
          <cell r="D24">
            <v>9.2719999999999997E-2</v>
          </cell>
          <cell r="E24">
            <v>9.0594999999999995E-2</v>
          </cell>
          <cell r="J24">
            <v>4.6700000000000002E-4</v>
          </cell>
          <cell r="N24">
            <v>8.7340000000000004E-3</v>
          </cell>
          <cell r="O24">
            <v>5.8609999999999999E-3</v>
          </cell>
          <cell r="T24">
            <v>1.6329999999999999E-3</v>
          </cell>
          <cell r="U24">
            <v>5.5700000000000003E-3</v>
          </cell>
        </row>
        <row r="25">
          <cell r="D25">
            <v>8.3563999999999999E-2</v>
          </cell>
          <cell r="E25">
            <v>8.1648999999999999E-2</v>
          </cell>
        </row>
        <row r="26">
          <cell r="D26">
            <v>6.6092999999999999E-2</v>
          </cell>
          <cell r="E26">
            <v>6.4577999999999997E-2</v>
          </cell>
        </row>
        <row r="28">
          <cell r="D28">
            <v>0</v>
          </cell>
          <cell r="E28">
            <v>0</v>
          </cell>
        </row>
        <row r="29">
          <cell r="D29">
            <v>10.119999999999999</v>
          </cell>
          <cell r="E29">
            <v>10.119999999999999</v>
          </cell>
          <cell r="J29">
            <v>1.2</v>
          </cell>
          <cell r="N29">
            <v>0.97</v>
          </cell>
          <cell r="O29">
            <v>0.65</v>
          </cell>
          <cell r="T29">
            <v>0.18</v>
          </cell>
          <cell r="U29">
            <v>0.62</v>
          </cell>
        </row>
        <row r="30">
          <cell r="D30">
            <v>6.75</v>
          </cell>
          <cell r="E30">
            <v>6.75</v>
          </cell>
        </row>
        <row r="32">
          <cell r="D32">
            <v>3.1800000000000001E-3</v>
          </cell>
          <cell r="E32">
            <v>3.1800000000000001E-3</v>
          </cell>
        </row>
        <row r="35">
          <cell r="D35">
            <v>109.08</v>
          </cell>
          <cell r="E35">
            <v>109.08</v>
          </cell>
        </row>
        <row r="37">
          <cell r="D37">
            <v>5.9096000000000003E-2</v>
          </cell>
          <cell r="E37">
            <v>5.7457000000000001E-2</v>
          </cell>
          <cell r="J37">
            <v>4.2900000000000002E-4</v>
          </cell>
          <cell r="N37">
            <v>6.2940000000000001E-3</v>
          </cell>
          <cell r="O37">
            <v>4.2240000000000003E-3</v>
          </cell>
          <cell r="T37">
            <v>1.1770000000000001E-3</v>
          </cell>
          <cell r="U37">
            <v>4.0140000000000002E-3</v>
          </cell>
        </row>
        <row r="39">
          <cell r="D39">
            <v>12.23</v>
          </cell>
          <cell r="E39">
            <v>12.23</v>
          </cell>
          <cell r="J39">
            <v>0.71</v>
          </cell>
          <cell r="N39">
            <v>1.1100000000000001</v>
          </cell>
          <cell r="O39">
            <v>0.75</v>
          </cell>
          <cell r="T39">
            <v>0.21</v>
          </cell>
          <cell r="U39">
            <v>0.72</v>
          </cell>
        </row>
        <row r="42">
          <cell r="D42">
            <v>8.15</v>
          </cell>
          <cell r="E42">
            <v>8.15</v>
          </cell>
        </row>
        <row r="46">
          <cell r="D46">
            <v>1.2999999999999999E-3</v>
          </cell>
          <cell r="E46">
            <v>1.2999999999999999E-3</v>
          </cell>
        </row>
        <row r="59">
          <cell r="D59">
            <v>9.99</v>
          </cell>
          <cell r="E59">
            <v>9.99</v>
          </cell>
        </row>
        <row r="60">
          <cell r="D60">
            <v>25.36</v>
          </cell>
          <cell r="E60">
            <v>25.36</v>
          </cell>
        </row>
        <row r="62">
          <cell r="D62">
            <v>9.3538999999999997E-2</v>
          </cell>
          <cell r="E62">
            <v>9.1401999999999997E-2</v>
          </cell>
          <cell r="J62">
            <v>4.8299999999999998E-4</v>
          </cell>
          <cell r="N62">
            <v>9.8949999999999993E-3</v>
          </cell>
          <cell r="O62">
            <v>6.6400000000000001E-3</v>
          </cell>
          <cell r="T62">
            <v>1.8500000000000001E-3</v>
          </cell>
          <cell r="U62">
            <v>6.3109999999999998E-3</v>
          </cell>
        </row>
        <row r="63">
          <cell r="D63">
            <v>7.1040000000000006E-2</v>
          </cell>
          <cell r="E63">
            <v>6.9417000000000006E-2</v>
          </cell>
        </row>
        <row r="64">
          <cell r="D64">
            <v>6.4817E-2</v>
          </cell>
          <cell r="E64">
            <v>6.3336000000000003E-2</v>
          </cell>
        </row>
        <row r="65">
          <cell r="D65">
            <v>5.5537000000000003E-2</v>
          </cell>
          <cell r="E65">
            <v>5.4267999999999997E-2</v>
          </cell>
        </row>
        <row r="67">
          <cell r="D67">
            <v>0</v>
          </cell>
          <cell r="E67">
            <v>0</v>
          </cell>
        </row>
        <row r="68">
          <cell r="D68">
            <v>9.2200000000000006</v>
          </cell>
          <cell r="E68">
            <v>9.2200000000000006</v>
          </cell>
          <cell r="J68">
            <v>4.67</v>
          </cell>
          <cell r="N68">
            <v>0.84</v>
          </cell>
          <cell r="O68">
            <v>0.56000000000000005</v>
          </cell>
          <cell r="T68">
            <v>0.16</v>
          </cell>
          <cell r="U68">
            <v>0.53</v>
          </cell>
        </row>
        <row r="69">
          <cell r="D69">
            <v>4.54</v>
          </cell>
          <cell r="E69">
            <v>4.54</v>
          </cell>
        </row>
        <row r="71">
          <cell r="D71">
            <v>2.9299999999999999E-3</v>
          </cell>
          <cell r="E71">
            <v>2.9299999999999999E-3</v>
          </cell>
        </row>
        <row r="74">
          <cell r="D74">
            <v>358.11</v>
          </cell>
          <cell r="E74">
            <v>358.11</v>
          </cell>
        </row>
        <row r="76">
          <cell r="D76">
            <v>5.7328999999999998E-2</v>
          </cell>
          <cell r="E76">
            <v>5.5718999999999998E-2</v>
          </cell>
          <cell r="J76">
            <v>4.1199999999999999E-4</v>
          </cell>
          <cell r="N76">
            <v>6.0460000000000002E-3</v>
          </cell>
          <cell r="O76">
            <v>4.0969999999999999E-3</v>
          </cell>
          <cell r="T76">
            <v>1.1299999999999999E-3</v>
          </cell>
          <cell r="U76">
            <v>3.8939999999999999E-3</v>
          </cell>
        </row>
        <row r="78">
          <cell r="D78">
            <v>11.94</v>
          </cell>
          <cell r="E78">
            <v>11.94</v>
          </cell>
          <cell r="J78">
            <v>0.67</v>
          </cell>
          <cell r="N78">
            <v>1.08</v>
          </cell>
          <cell r="O78">
            <v>0.73</v>
          </cell>
          <cell r="T78">
            <v>0.2</v>
          </cell>
          <cell r="U78">
            <v>0.7</v>
          </cell>
        </row>
        <row r="81">
          <cell r="D81">
            <v>7.96</v>
          </cell>
          <cell r="E81">
            <v>7.96</v>
          </cell>
        </row>
        <row r="85">
          <cell r="D85">
            <v>1.1199999999999999E-3</v>
          </cell>
          <cell r="E85">
            <v>1.1199999999999999E-3</v>
          </cell>
        </row>
        <row r="90">
          <cell r="J90">
            <v>2.8299999999999999E-4</v>
          </cell>
          <cell r="N90">
            <v>1.0874E-2</v>
          </cell>
          <cell r="O90">
            <v>7.3379999999999999E-3</v>
          </cell>
          <cell r="T90">
            <v>2.0330000000000001E-3</v>
          </cell>
          <cell r="U90">
            <v>6.9740000000000002E-3</v>
          </cell>
        </row>
        <row r="92">
          <cell r="J92">
            <v>0.62</v>
          </cell>
          <cell r="N92">
            <v>0.76</v>
          </cell>
          <cell r="O92">
            <v>0.51</v>
          </cell>
          <cell r="T92">
            <v>0.14000000000000001</v>
          </cell>
          <cell r="U92">
            <v>0.48</v>
          </cell>
        </row>
        <row r="100">
          <cell r="J100">
            <v>8.7999999999999998E-5</v>
          </cell>
          <cell r="N100">
            <v>5.4590000000000003E-3</v>
          </cell>
          <cell r="O100">
            <v>3.6600000000000001E-3</v>
          </cell>
          <cell r="T100">
            <v>1.0200000000000001E-3</v>
          </cell>
          <cell r="U100">
            <v>3.4780000000000002E-3</v>
          </cell>
        </row>
        <row r="102">
          <cell r="J102">
            <v>7.0000000000000007E-2</v>
          </cell>
          <cell r="N102">
            <v>0.48</v>
          </cell>
          <cell r="O102">
            <v>0.32</v>
          </cell>
          <cell r="T102">
            <v>0.09</v>
          </cell>
          <cell r="U102">
            <v>0.3</v>
          </cell>
        </row>
        <row r="110">
          <cell r="N110">
            <v>2.2829999999999999E-3</v>
          </cell>
          <cell r="O110">
            <v>1.5510000000000001E-3</v>
          </cell>
          <cell r="T110">
            <v>4.2700000000000002E-4</v>
          </cell>
          <cell r="U110">
            <v>1.474E-3</v>
          </cell>
        </row>
        <row r="125">
          <cell r="D125">
            <v>5.2347999999999999E-2</v>
          </cell>
          <cell r="E125">
            <v>5.0422000000000002E-2</v>
          </cell>
          <cell r="J125">
            <v>1.02E-4</v>
          </cell>
          <cell r="N125">
            <v>3.777E-3</v>
          </cell>
          <cell r="O125">
            <v>2.5899999999999999E-3</v>
          </cell>
          <cell r="T125">
            <v>7.0600000000000003E-4</v>
          </cell>
          <cell r="U125">
            <v>2.4610000000000001E-3</v>
          </cell>
        </row>
        <row r="127">
          <cell r="D127">
            <v>3.04</v>
          </cell>
          <cell r="E127">
            <v>3.04</v>
          </cell>
          <cell r="J127">
            <v>0.1</v>
          </cell>
          <cell r="N127">
            <v>0.23</v>
          </cell>
          <cell r="O127">
            <v>0.16</v>
          </cell>
          <cell r="T127">
            <v>0.04</v>
          </cell>
          <cell r="U127">
            <v>0.15</v>
          </cell>
        </row>
        <row r="133">
          <cell r="D133">
            <v>5.2347999999999999E-2</v>
          </cell>
          <cell r="E133">
            <v>5.0422000000000002E-2</v>
          </cell>
          <cell r="J133">
            <v>3.8400000000000001E-4</v>
          </cell>
          <cell r="N133">
            <v>3.705E-3</v>
          </cell>
          <cell r="O133">
            <v>2.5400000000000002E-3</v>
          </cell>
          <cell r="T133">
            <v>6.9300000000000004E-4</v>
          </cell>
          <cell r="U133">
            <v>2.4139999999999999E-3</v>
          </cell>
        </row>
        <row r="135">
          <cell r="D135">
            <v>5.65</v>
          </cell>
          <cell r="E135">
            <v>5.65</v>
          </cell>
          <cell r="J135">
            <v>0.62</v>
          </cell>
          <cell r="N135">
            <v>0.42</v>
          </cell>
          <cell r="O135">
            <v>0.28000000000000003</v>
          </cell>
          <cell r="T135">
            <v>0.08</v>
          </cell>
          <cell r="U135">
            <v>0.27</v>
          </cell>
        </row>
        <row r="138">
          <cell r="N138">
            <v>613</v>
          </cell>
          <cell r="O138">
            <v>416</v>
          </cell>
          <cell r="T138">
            <v>115</v>
          </cell>
          <cell r="U138">
            <v>396</v>
          </cell>
        </row>
      </sheetData>
      <sheetData sheetId="3"/>
      <sheetData sheetId="4"/>
      <sheetData sheetId="5"/>
      <sheetData sheetId="6">
        <row r="17">
          <cell r="I17">
            <v>11355354.571603522</v>
          </cell>
          <cell r="L17">
            <v>1231055.182</v>
          </cell>
          <cell r="N17">
            <v>1207350</v>
          </cell>
        </row>
        <row r="21">
          <cell r="I21">
            <v>2658833.1030243803</v>
          </cell>
          <cell r="L21">
            <v>271509.06</v>
          </cell>
          <cell r="N21">
            <v>266283</v>
          </cell>
        </row>
        <row r="22">
          <cell r="I22">
            <v>2856045.8325844579</v>
          </cell>
          <cell r="J22">
            <v>4173.7510000000002</v>
          </cell>
          <cell r="L22">
            <v>266281.60100000002</v>
          </cell>
          <cell r="N22">
            <v>261154</v>
          </cell>
        </row>
        <row r="23">
          <cell r="I23">
            <v>1761911.047761543</v>
          </cell>
          <cell r="J23">
            <v>4340.1580000000004</v>
          </cell>
          <cell r="L23">
            <v>151320.842</v>
          </cell>
          <cell r="N23">
            <v>148407.04199999999</v>
          </cell>
        </row>
        <row r="24">
          <cell r="I24">
            <v>15293.727999999999</v>
          </cell>
          <cell r="J24">
            <v>7.0830000000000002</v>
          </cell>
          <cell r="L24">
            <v>1332.0119999999999</v>
          </cell>
          <cell r="N24">
            <v>1306.3699999999999</v>
          </cell>
        </row>
        <row r="28">
          <cell r="I28">
            <v>1307770.0591754341</v>
          </cell>
          <cell r="J28">
            <v>3207.4389999999999</v>
          </cell>
          <cell r="L28">
            <v>110792.823</v>
          </cell>
          <cell r="N28">
            <v>108660.724</v>
          </cell>
        </row>
        <row r="29">
          <cell r="I29">
            <v>4387.6440000000002</v>
          </cell>
          <cell r="J29">
            <v>8.6059999999999999</v>
          </cell>
          <cell r="L29">
            <v>275.553</v>
          </cell>
          <cell r="N29">
            <v>275.553</v>
          </cell>
        </row>
        <row r="30">
          <cell r="I30">
            <v>114099.11728442684</v>
          </cell>
          <cell r="J30">
            <v>541.88</v>
          </cell>
          <cell r="L30">
            <v>10372.369000000001</v>
          </cell>
          <cell r="N30">
            <v>10122.748</v>
          </cell>
        </row>
        <row r="34">
          <cell r="I34">
            <v>100810.05100000001</v>
          </cell>
          <cell r="J34">
            <v>410.25</v>
          </cell>
          <cell r="L34">
            <v>6647.8249999999998</v>
          </cell>
          <cell r="N34">
            <v>6449.1220000000003</v>
          </cell>
        </row>
        <row r="35">
          <cell r="I35">
            <v>513293.73700000002</v>
          </cell>
          <cell r="J35">
            <v>1338.1780000000001</v>
          </cell>
          <cell r="L35">
            <v>34295.991999999998</v>
          </cell>
          <cell r="N35">
            <v>33312.345000000001</v>
          </cell>
        </row>
        <row r="39">
          <cell r="G39">
            <v>20</v>
          </cell>
          <cell r="I39">
            <v>1945214.1669999999</v>
          </cell>
          <cell r="L39">
            <v>9528.5470000000005</v>
          </cell>
          <cell r="N39">
            <v>9411.8940000000002</v>
          </cell>
        </row>
        <row r="40">
          <cell r="I40">
            <v>278070.311162</v>
          </cell>
          <cell r="L40">
            <v>3788.1259300000002</v>
          </cell>
          <cell r="N40">
            <v>3014.6379900000002</v>
          </cell>
        </row>
        <row r="43">
          <cell r="I43">
            <v>69892.887000000002</v>
          </cell>
          <cell r="L43">
            <v>17783.762999999999</v>
          </cell>
          <cell r="N43">
            <v>17441.391006648999</v>
          </cell>
        </row>
        <row r="47">
          <cell r="I47">
            <v>7372.3372879022108</v>
          </cell>
          <cell r="J47">
            <v>14.507</v>
          </cell>
          <cell r="L47">
            <v>345.54538000000002</v>
          </cell>
          <cell r="N47">
            <v>573.82263999999998</v>
          </cell>
        </row>
        <row r="49">
          <cell r="I49">
            <v>22988348.593883667</v>
          </cell>
          <cell r="L49">
            <v>2115329.2403100003</v>
          </cell>
          <cell r="N49">
            <v>2073762.6496366491</v>
          </cell>
        </row>
      </sheetData>
      <sheetData sheetId="7">
        <row r="14">
          <cell r="K14">
            <v>10963050.375499999</v>
          </cell>
          <cell r="L14">
            <v>1193090.8622809658</v>
          </cell>
          <cell r="M14">
            <v>1170245.5949912549</v>
          </cell>
          <cell r="Q14">
            <v>11064440.8695</v>
          </cell>
          <cell r="S14">
            <v>1181435.0741398777</v>
          </cell>
        </row>
        <row r="15">
          <cell r="K15">
            <v>2697633</v>
          </cell>
          <cell r="L15">
            <v>275357.06554000004</v>
          </cell>
          <cell r="M15">
            <v>270066.25062100001</v>
          </cell>
          <cell r="Q15">
            <v>2730372</v>
          </cell>
          <cell r="S15">
            <v>273367.43306399998</v>
          </cell>
        </row>
        <row r="16">
          <cell r="K16">
            <v>2911699.0000000005</v>
          </cell>
          <cell r="L16">
            <v>272361.63184349728</v>
          </cell>
          <cell r="M16">
            <v>267164.65089066606</v>
          </cell>
          <cell r="Q16">
            <v>2948172</v>
          </cell>
          <cell r="S16">
            <v>270550.85321436683</v>
          </cell>
        </row>
        <row r="17">
          <cell r="K17">
            <v>1831289</v>
          </cell>
          <cell r="L17">
            <v>155302.94462513478</v>
          </cell>
          <cell r="M17">
            <v>152301.46195413478</v>
          </cell>
          <cell r="Q17">
            <v>1853862</v>
          </cell>
          <cell r="S17">
            <v>153781.74323055093</v>
          </cell>
        </row>
        <row r="18">
          <cell r="K18">
            <v>15100.966499999999</v>
          </cell>
          <cell r="L18">
            <v>1314.6643270637867</v>
          </cell>
          <cell r="M18">
            <v>1289.3176238074652</v>
          </cell>
          <cell r="Q18">
            <v>15233.452499999999</v>
          </cell>
          <cell r="S18">
            <v>1301.0961887460082</v>
          </cell>
        </row>
        <row r="19">
          <cell r="K19">
            <v>1332008</v>
          </cell>
          <cell r="L19">
            <v>111930.52055578442</v>
          </cell>
          <cell r="M19">
            <v>109785.98767578442</v>
          </cell>
          <cell r="Q19">
            <v>1335448</v>
          </cell>
          <cell r="S19">
            <v>109804.93449360329</v>
          </cell>
        </row>
        <row r="20">
          <cell r="K20">
            <v>4663</v>
          </cell>
          <cell r="L20">
            <v>291.0139698738783</v>
          </cell>
          <cell r="M20">
            <v>291.0139698738783</v>
          </cell>
          <cell r="Q20">
            <v>4695</v>
          </cell>
          <cell r="S20">
            <v>293.08723693641753</v>
          </cell>
        </row>
        <row r="21">
          <cell r="K21">
            <v>118190</v>
          </cell>
          <cell r="L21">
            <v>10804.279326430144</v>
          </cell>
          <cell r="M21">
            <v>10549.343496430141</v>
          </cell>
          <cell r="Q21">
            <v>119782</v>
          </cell>
          <cell r="S21">
            <v>10687.074082303612</v>
          </cell>
        </row>
        <row r="22">
          <cell r="K22">
            <v>89530.525500000018</v>
          </cell>
          <cell r="L22">
            <v>5823.6978688740001</v>
          </cell>
          <cell r="M22">
            <v>5651.2620767610006</v>
          </cell>
          <cell r="Q22">
            <v>89210.525500000018</v>
          </cell>
          <cell r="S22">
            <v>5629.3069567610009</v>
          </cell>
        </row>
        <row r="23">
          <cell r="K23">
            <v>504715</v>
          </cell>
          <cell r="L23">
            <v>33455.047725176562</v>
          </cell>
          <cell r="M23">
            <v>32482.966635176566</v>
          </cell>
          <cell r="Q23">
            <v>499683</v>
          </cell>
          <cell r="S23">
            <v>32177.934112939227</v>
          </cell>
        </row>
        <row r="24">
          <cell r="K24">
            <v>62703</v>
          </cell>
          <cell r="L24">
            <v>15954.345846223234</v>
          </cell>
          <cell r="M24">
            <v>15647.193687819938</v>
          </cell>
          <cell r="Q24">
            <v>61382</v>
          </cell>
          <cell r="S24">
            <v>15317.545299997821</v>
          </cell>
        </row>
        <row r="25">
          <cell r="K25">
            <v>1895530</v>
          </cell>
          <cell r="L25">
            <v>9340.98</v>
          </cell>
          <cell r="M25">
            <v>9224.3709999999992</v>
          </cell>
          <cell r="Q25">
            <v>1895104</v>
          </cell>
          <cell r="S25">
            <v>9224.3709999999992</v>
          </cell>
        </row>
        <row r="26">
          <cell r="K26">
            <v>289426</v>
          </cell>
          <cell r="L26">
            <v>4500.3731384850562</v>
          </cell>
          <cell r="M26">
            <v>3569.3370262478393</v>
          </cell>
          <cell r="Q26">
            <v>289426</v>
          </cell>
          <cell r="S26">
            <v>3558.1232504366458</v>
          </cell>
        </row>
        <row r="27">
          <cell r="K27">
            <v>7521</v>
          </cell>
          <cell r="L27">
            <v>343.26370234227704</v>
          </cell>
          <cell r="M27">
            <v>571.54096234227688</v>
          </cell>
          <cell r="Q27">
            <v>7552</v>
          </cell>
          <cell r="S27">
            <v>572.5834219176636</v>
          </cell>
        </row>
        <row r="29">
          <cell r="K29">
            <v>22723058.8675</v>
          </cell>
          <cell r="L29">
            <v>2089870.6907498513</v>
          </cell>
          <cell r="M29">
            <v>2048840.2926112991</v>
          </cell>
          <cell r="N29">
            <v>231008.90961571052</v>
          </cell>
          <cell r="O29">
            <v>43185.398517527879</v>
          </cell>
          <cell r="Q29">
            <v>22914362.8475</v>
          </cell>
          <cell r="S29">
            <v>2067701.1596924372</v>
          </cell>
          <cell r="T29">
            <v>156900.79234681456</v>
          </cell>
          <cell r="U29">
            <v>149180.68178905433</v>
          </cell>
        </row>
      </sheetData>
      <sheetData sheetId="8">
        <row r="16">
          <cell r="D16">
            <v>10963050375.5</v>
          </cell>
          <cell r="E16">
            <v>1.828E-3</v>
          </cell>
          <cell r="G16">
            <v>11064440869.5</v>
          </cell>
          <cell r="H16">
            <v>1.848E-3</v>
          </cell>
        </row>
        <row r="25">
          <cell r="D25">
            <v>2605455556.4578385</v>
          </cell>
          <cell r="E25">
            <v>1.748E-3</v>
          </cell>
          <cell r="G25">
            <v>2638194556.4578385</v>
          </cell>
          <cell r="H25">
            <v>1.761E-3</v>
          </cell>
        </row>
        <row r="34">
          <cell r="D34">
            <v>2774359412.553515</v>
          </cell>
          <cell r="E34">
            <v>1.7420000000000001E-3</v>
          </cell>
          <cell r="G34">
            <v>2810832412.5535145</v>
          </cell>
          <cell r="H34">
            <v>1.7539999999999999E-3</v>
          </cell>
        </row>
        <row r="39">
          <cell r="E39">
            <v>1.72E-3</v>
          </cell>
          <cell r="H39">
            <v>1.73E-3</v>
          </cell>
        </row>
        <row r="41">
          <cell r="D41">
            <v>1588458291.6862752</v>
          </cell>
          <cell r="G41">
            <v>1611031291.6862752</v>
          </cell>
        </row>
        <row r="50">
          <cell r="D50">
            <v>15100966.499999998</v>
          </cell>
          <cell r="E50">
            <v>1.7420000000000001E-3</v>
          </cell>
          <cell r="G50">
            <v>15233452.5</v>
          </cell>
          <cell r="H50">
            <v>1.7539999999999999E-3</v>
          </cell>
        </row>
        <row r="56">
          <cell r="E56">
            <v>1.6620000000000001E-3</v>
          </cell>
          <cell r="H56">
            <v>1.691E-3</v>
          </cell>
        </row>
        <row r="58">
          <cell r="D58">
            <v>1221730469.384901</v>
          </cell>
          <cell r="G58">
            <v>1225170469.384901</v>
          </cell>
        </row>
        <row r="62">
          <cell r="E62">
            <v>1.5900000000000001E-3</v>
          </cell>
          <cell r="H62">
            <v>1.6100000000000001E-3</v>
          </cell>
        </row>
        <row r="64">
          <cell r="D64">
            <v>4663000</v>
          </cell>
          <cell r="G64">
            <v>4695000</v>
          </cell>
        </row>
        <row r="68">
          <cell r="E68">
            <v>1.5989999999999999E-3</v>
          </cell>
          <cell r="H68">
            <v>1.6080000000000001E-3</v>
          </cell>
        </row>
        <row r="70">
          <cell r="D70">
            <v>110798235.06660904</v>
          </cell>
          <cell r="G70">
            <v>112390235.06660904</v>
          </cell>
        </row>
        <row r="75">
          <cell r="E75">
            <v>1.7340000000000001E-3</v>
          </cell>
          <cell r="H75">
            <v>1.7899999999999999E-3</v>
          </cell>
        </row>
        <row r="77">
          <cell r="D77">
            <v>67171460.187001631</v>
          </cell>
          <cell r="G77">
            <v>66728897.914566793</v>
          </cell>
        </row>
        <row r="81">
          <cell r="E81">
            <v>1.7340000000000001E-3</v>
          </cell>
          <cell r="H81">
            <v>1.7899999999999999E-3</v>
          </cell>
        </row>
        <row r="83">
          <cell r="D83">
            <v>378669100.16386002</v>
          </cell>
          <cell r="G83">
            <v>373759662.43629485</v>
          </cell>
        </row>
        <row r="86">
          <cell r="E86">
            <v>1.98E-3</v>
          </cell>
          <cell r="H86">
            <v>2.0630000000000002E-3</v>
          </cell>
        </row>
        <row r="88">
          <cell r="D88">
            <v>62703000</v>
          </cell>
          <cell r="G88">
            <v>61382000</v>
          </cell>
        </row>
        <row r="91">
          <cell r="E91">
            <v>0</v>
          </cell>
          <cell r="H91">
            <v>0</v>
          </cell>
        </row>
        <row r="95">
          <cell r="E95">
            <v>0</v>
          </cell>
          <cell r="H95">
            <v>0</v>
          </cell>
        </row>
        <row r="99">
          <cell r="E99">
            <v>1.6360000000000001E-3</v>
          </cell>
          <cell r="H99">
            <v>1.6620000000000001E-3</v>
          </cell>
        </row>
        <row r="104">
          <cell r="D104">
            <v>21984636867.5</v>
          </cell>
          <cell r="E104">
            <v>35310821.056751519</v>
          </cell>
          <cell r="H104">
            <v>36024653.727424391</v>
          </cell>
        </row>
      </sheetData>
      <sheetData sheetId="9">
        <row r="48">
          <cell r="I48">
            <v>4517476.3347322866</v>
          </cell>
          <cell r="O48">
            <v>4573600.5929537248</v>
          </cell>
        </row>
        <row r="61">
          <cell r="I61">
            <v>4426846.4048776105</v>
          </cell>
          <cell r="O61">
            <v>4435559.87969926</v>
          </cell>
        </row>
        <row r="81">
          <cell r="I81">
            <v>6253.5</v>
          </cell>
          <cell r="O81">
            <v>6321</v>
          </cell>
        </row>
        <row r="95">
          <cell r="I95">
            <v>3292032.2143539358</v>
          </cell>
          <cell r="O95">
            <v>3273574.4614315722</v>
          </cell>
        </row>
        <row r="108">
          <cell r="I108">
            <v>8496.3697717667001</v>
          </cell>
          <cell r="O108">
            <v>8591.077422783088</v>
          </cell>
        </row>
        <row r="119">
          <cell r="I119">
            <v>593190.97908409662</v>
          </cell>
          <cell r="O119">
            <v>600868.62342584261</v>
          </cell>
        </row>
        <row r="130">
          <cell r="I130">
            <v>373997.99999999994</v>
          </cell>
          <cell r="O130">
            <v>372083.5</v>
          </cell>
        </row>
        <row r="138">
          <cell r="I138">
            <v>1244995.9124206307</v>
          </cell>
          <cell r="O138">
            <v>1235914.6702547306</v>
          </cell>
        </row>
        <row r="143">
          <cell r="L143">
            <v>4.4534999999999998E-2</v>
          </cell>
          <cell r="M143">
            <v>8.3250000000000008E-3</v>
          </cell>
          <cell r="R143">
            <v>3.0908999999999999E-2</v>
          </cell>
          <cell r="S143">
            <v>2.9375999999999999E-2</v>
          </cell>
        </row>
        <row r="148">
          <cell r="I148">
            <v>240</v>
          </cell>
          <cell r="O148">
            <v>240</v>
          </cell>
        </row>
        <row r="162">
          <cell r="L162">
            <v>6.2709999999999997E-3</v>
          </cell>
          <cell r="R162">
            <v>4.2430000000000002E-3</v>
          </cell>
          <cell r="S162">
            <v>4.0330000000000001E-3</v>
          </cell>
        </row>
        <row r="163">
          <cell r="I163">
            <v>14950.857165103656</v>
          </cell>
          <cell r="L163">
            <v>0.94</v>
          </cell>
          <cell r="M163">
            <v>0.18</v>
          </cell>
          <cell r="O163">
            <v>14941.592782693015</v>
          </cell>
          <cell r="R163">
            <v>0.64</v>
          </cell>
          <cell r="S163">
            <v>0.61</v>
          </cell>
        </row>
      </sheetData>
      <sheetData sheetId="10">
        <row r="7">
          <cell r="P7">
            <v>2.8430764798698877E-3</v>
          </cell>
        </row>
        <row r="9">
          <cell r="P9">
            <v>2.4913572255819707E-3</v>
          </cell>
        </row>
        <row r="11">
          <cell r="P11">
            <v>4.9589897454567413E-4</v>
          </cell>
        </row>
        <row r="12">
          <cell r="P12">
            <v>1.2786385184895059</v>
          </cell>
        </row>
        <row r="15">
          <cell r="P15">
            <v>4.5545946635950724E-4</v>
          </cell>
        </row>
        <row r="16">
          <cell r="P16">
            <v>0.76144524716137352</v>
          </cell>
        </row>
        <row r="19">
          <cell r="P19">
            <v>5.1490351553421117E-4</v>
          </cell>
        </row>
        <row r="20">
          <cell r="P20">
            <v>4.9636185704625326</v>
          </cell>
        </row>
        <row r="23">
          <cell r="P23">
            <v>4.4153467050166243E-4</v>
          </cell>
        </row>
        <row r="24">
          <cell r="P24">
            <v>0.72049265975058319</v>
          </cell>
        </row>
        <row r="27">
          <cell r="P27">
            <v>3.0244483554587204E-4</v>
          </cell>
        </row>
        <row r="28">
          <cell r="P28">
            <v>0.66114105740551721</v>
          </cell>
        </row>
        <row r="31">
          <cell r="P31">
            <v>9.3467465325133478E-5</v>
          </cell>
        </row>
        <row r="32">
          <cell r="P32">
            <v>7.4530235030366043E-2</v>
          </cell>
        </row>
        <row r="35">
          <cell r="P35">
            <v>1.1048985995438028E-4</v>
          </cell>
        </row>
        <row r="36">
          <cell r="P36">
            <v>0.10596394055583408</v>
          </cell>
        </row>
        <row r="39">
          <cell r="P39">
            <v>4.1727413820574381E-4</v>
          </cell>
        </row>
        <row r="40">
          <cell r="P40">
            <v>0.67481938104379446</v>
          </cell>
        </row>
        <row r="43">
          <cell r="L43">
            <v>1.2231064355224773E-3</v>
          </cell>
          <cell r="P43">
            <v>1.343181230356813E-3</v>
          </cell>
        </row>
        <row r="45">
          <cell r="L45">
            <v>1.9017880605256552E-3</v>
          </cell>
          <cell r="P45">
            <v>2.0360985841253862E-3</v>
          </cell>
        </row>
        <row r="47">
          <cell r="I47">
            <v>50260000.129733883</v>
          </cell>
        </row>
        <row r="49">
          <cell r="L49">
            <v>0</v>
          </cell>
          <cell r="P49">
            <v>0</v>
          </cell>
        </row>
        <row r="51">
          <cell r="L51">
            <v>0</v>
          </cell>
          <cell r="P51">
            <v>0</v>
          </cell>
        </row>
        <row r="53">
          <cell r="N53">
            <v>54031318.225557312</v>
          </cell>
        </row>
      </sheetData>
      <sheetData sheetId="11"/>
      <sheetData sheetId="12">
        <row r="28">
          <cell r="D28">
            <v>9.3182000000000001E-2</v>
          </cell>
          <cell r="G28">
            <v>9.1216000000000005E-2</v>
          </cell>
        </row>
        <row r="80">
          <cell r="D80">
            <v>8.8278999999999996E-2</v>
          </cell>
          <cell r="G80">
            <v>8.6255999999999999E-2</v>
          </cell>
        </row>
        <row r="81">
          <cell r="D81">
            <v>8.51</v>
          </cell>
          <cell r="G81">
            <v>8.51</v>
          </cell>
        </row>
        <row r="102">
          <cell r="D102">
            <v>10.19</v>
          </cell>
          <cell r="G102">
            <v>10.19</v>
          </cell>
        </row>
        <row r="172">
          <cell r="D172">
            <v>6.9463999999999998E-2</v>
          </cell>
          <cell r="G172">
            <v>6.7877000000000007E-2</v>
          </cell>
        </row>
        <row r="173">
          <cell r="D173">
            <v>5.8875999999999998E-2</v>
          </cell>
          <cell r="G173">
            <v>5.7530999999999999E-2</v>
          </cell>
        </row>
        <row r="174">
          <cell r="D174">
            <v>6.35</v>
          </cell>
          <cell r="G174">
            <v>6.35</v>
          </cell>
        </row>
      </sheetData>
      <sheetData sheetId="13">
        <row r="31">
          <cell r="D31">
            <v>9.99</v>
          </cell>
          <cell r="G31">
            <v>9.99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4.bin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6.bin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7.bin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8.bin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9.bin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0.bin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1.bin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2.bin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3.bin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4.bin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5.bin"/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6.bin"/><Relationship Id="rId1" Type="http://schemas.openxmlformats.org/officeDocument/2006/relationships/printerSettings" Target="../printerSettings/printerSettings42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7.bin"/><Relationship Id="rId1" Type="http://schemas.openxmlformats.org/officeDocument/2006/relationships/printerSettings" Target="../printerSettings/printerSettings43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8.bin"/><Relationship Id="rId1" Type="http://schemas.openxmlformats.org/officeDocument/2006/relationships/printerSettings" Target="../printerSettings/printerSettings44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9.bin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0.bin"/><Relationship Id="rId1" Type="http://schemas.openxmlformats.org/officeDocument/2006/relationships/printerSettings" Target="../printerSettings/printerSettings46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1.bin"/><Relationship Id="rId1" Type="http://schemas.openxmlformats.org/officeDocument/2006/relationships/printerSettings" Target="../printerSettings/printerSettings47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53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54.bin"/><Relationship Id="rId1" Type="http://schemas.openxmlformats.org/officeDocument/2006/relationships/printerSettings" Target="../printerSettings/printerSettings48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5.bin"/><Relationship Id="rId1" Type="http://schemas.openxmlformats.org/officeDocument/2006/relationships/printerSettings" Target="../printerSettings/printerSettings49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56.bin"/><Relationship Id="rId1" Type="http://schemas.openxmlformats.org/officeDocument/2006/relationships/printerSettings" Target="../printerSettings/printerSettings50.bin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7.bin"/><Relationship Id="rId1" Type="http://schemas.openxmlformats.org/officeDocument/2006/relationships/printerSettings" Target="../printerSettings/printerSettings51.bin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58.bin"/><Relationship Id="rId1" Type="http://schemas.openxmlformats.org/officeDocument/2006/relationships/printerSettings" Target="../printerSettings/printerSettings52.bin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59.bin"/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customProperty" Target="../customProperty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customProperty" Target="../customProperty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customProperty" Target="../customProperty62.bin"/></Relationships>
</file>

<file path=xl/worksheets/_rels/sheet6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63.bin"/><Relationship Id="rId1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6" workbookViewId="0">
      <selection activeCell="C43" sqref="C43"/>
    </sheetView>
  </sheetViews>
  <sheetFormatPr defaultRowHeight="13.2"/>
  <cols>
    <col min="2" max="2" width="20.44140625" bestFit="1" customWidth="1"/>
    <col min="3" max="3" width="28.33203125" bestFit="1" customWidth="1"/>
    <col min="4" max="4" width="12.109375" bestFit="1" customWidth="1"/>
    <col min="6" max="6" width="72.88671875" bestFit="1" customWidth="1"/>
  </cols>
  <sheetData>
    <row r="1" spans="1:6">
      <c r="A1" s="373" t="s">
        <v>0</v>
      </c>
      <c r="B1" s="373"/>
      <c r="C1" s="373"/>
      <c r="D1" s="374"/>
    </row>
    <row r="2" spans="1:6">
      <c r="A2" s="375" t="s">
        <v>710</v>
      </c>
      <c r="B2" s="373"/>
      <c r="C2" s="373"/>
      <c r="D2" s="374"/>
    </row>
    <row r="3" spans="1:6">
      <c r="A3" s="373" t="s">
        <v>717</v>
      </c>
      <c r="B3" s="373"/>
      <c r="C3" s="373"/>
      <c r="D3" s="374"/>
    </row>
    <row r="4" spans="1:6">
      <c r="A4" s="374"/>
      <c r="B4" s="376"/>
      <c r="C4" s="376"/>
      <c r="D4" s="374"/>
    </row>
    <row r="5" spans="1:6">
      <c r="A5" s="374"/>
      <c r="B5" s="373" t="s">
        <v>711</v>
      </c>
      <c r="C5" s="373" t="s">
        <v>712</v>
      </c>
      <c r="D5" s="373" t="s">
        <v>713</v>
      </c>
      <c r="F5" s="375" t="s">
        <v>714</v>
      </c>
    </row>
    <row r="6" spans="1:6">
      <c r="A6" s="374"/>
      <c r="B6" s="373"/>
      <c r="C6" s="373"/>
      <c r="D6" s="373"/>
    </row>
    <row r="7" spans="1:6" ht="12.75" customHeight="1">
      <c r="A7" s="377"/>
      <c r="C7" s="380"/>
      <c r="D7" s="377"/>
      <c r="E7" s="378"/>
      <c r="F7" s="765" t="s">
        <v>785</v>
      </c>
    </row>
    <row r="8" spans="1:6">
      <c r="A8" s="377"/>
      <c r="C8" s="377"/>
      <c r="E8" s="378"/>
      <c r="F8" s="765"/>
    </row>
    <row r="9" spans="1:6" ht="14.4">
      <c r="A9" s="377"/>
      <c r="B9" s="379" t="s">
        <v>786</v>
      </c>
      <c r="C9" s="377" t="s">
        <v>728</v>
      </c>
      <c r="D9" s="377" t="s">
        <v>715</v>
      </c>
      <c r="E9" s="378"/>
      <c r="F9" s="765"/>
    </row>
    <row r="10" spans="1:6" ht="14.4">
      <c r="A10" s="377"/>
      <c r="B10" s="379" t="s">
        <v>718</v>
      </c>
      <c r="C10" s="377" t="s">
        <v>729</v>
      </c>
      <c r="D10" s="377" t="s">
        <v>715</v>
      </c>
      <c r="E10" s="378"/>
      <c r="F10" s="765"/>
    </row>
    <row r="11" spans="1:6" ht="14.4">
      <c r="A11" s="377"/>
      <c r="B11" s="379" t="s">
        <v>719</v>
      </c>
      <c r="C11" s="377" t="s">
        <v>730</v>
      </c>
      <c r="D11" s="377" t="s">
        <v>715</v>
      </c>
      <c r="E11" s="378"/>
      <c r="F11" s="765"/>
    </row>
    <row r="12" spans="1:6" ht="14.4">
      <c r="A12" s="378"/>
      <c r="B12" s="379" t="s">
        <v>720</v>
      </c>
      <c r="C12" s="377" t="s">
        <v>732</v>
      </c>
      <c r="D12" s="377" t="s">
        <v>715</v>
      </c>
      <c r="E12" s="378"/>
      <c r="F12" s="765"/>
    </row>
    <row r="13" spans="1:6" ht="14.4">
      <c r="A13" s="378"/>
      <c r="B13" s="379" t="s">
        <v>721</v>
      </c>
      <c r="C13" s="377" t="s">
        <v>733</v>
      </c>
      <c r="D13" s="377" t="s">
        <v>715</v>
      </c>
      <c r="E13" s="378"/>
      <c r="F13" s="765"/>
    </row>
    <row r="14" spans="1:6" ht="14.4">
      <c r="A14" s="378"/>
      <c r="B14" s="379" t="s">
        <v>722</v>
      </c>
      <c r="C14" s="377" t="s">
        <v>734</v>
      </c>
      <c r="D14" s="377" t="s">
        <v>715</v>
      </c>
      <c r="E14" s="378"/>
      <c r="F14" s="765"/>
    </row>
    <row r="15" spans="1:6" ht="14.4">
      <c r="A15" s="378"/>
      <c r="B15" s="379" t="s">
        <v>723</v>
      </c>
      <c r="C15" s="377" t="s">
        <v>731</v>
      </c>
      <c r="D15" s="377" t="s">
        <v>715</v>
      </c>
      <c r="E15" s="378"/>
      <c r="F15" s="765"/>
    </row>
    <row r="16" spans="1:6" ht="14.4">
      <c r="A16" s="378"/>
      <c r="B16" s="379" t="s">
        <v>724</v>
      </c>
      <c r="C16" s="377" t="s">
        <v>735</v>
      </c>
      <c r="D16" s="377" t="s">
        <v>715</v>
      </c>
      <c r="E16" s="378"/>
      <c r="F16" s="765"/>
    </row>
    <row r="17" spans="1:6" ht="14.4">
      <c r="A17" s="378"/>
      <c r="B17" s="379" t="s">
        <v>725</v>
      </c>
      <c r="C17" s="377" t="s">
        <v>736</v>
      </c>
      <c r="D17" s="377" t="s">
        <v>715</v>
      </c>
      <c r="E17" s="378"/>
      <c r="F17" s="765"/>
    </row>
    <row r="18" spans="1:6" ht="14.4">
      <c r="A18" s="378"/>
      <c r="B18" s="379" t="s">
        <v>726</v>
      </c>
      <c r="C18" s="377" t="s">
        <v>737</v>
      </c>
      <c r="D18" s="377" t="s">
        <v>715</v>
      </c>
      <c r="E18" s="378"/>
      <c r="F18" s="765"/>
    </row>
    <row r="19" spans="1:6" ht="14.4">
      <c r="A19" s="378"/>
      <c r="B19" s="379" t="s">
        <v>727</v>
      </c>
      <c r="C19" s="377" t="s">
        <v>738</v>
      </c>
      <c r="D19" s="377" t="s">
        <v>715</v>
      </c>
      <c r="E19" s="378"/>
      <c r="F19" s="765"/>
    </row>
    <row r="20" spans="1:6" ht="14.4">
      <c r="A20" s="378"/>
      <c r="B20" s="379" t="s">
        <v>746</v>
      </c>
      <c r="C20" s="377" t="s">
        <v>739</v>
      </c>
      <c r="D20" s="377" t="s">
        <v>715</v>
      </c>
      <c r="E20" s="378"/>
      <c r="F20" s="765"/>
    </row>
    <row r="21" spans="1:6" ht="14.4">
      <c r="A21" s="378"/>
      <c r="B21" s="379" t="s">
        <v>747</v>
      </c>
      <c r="C21" s="377" t="s">
        <v>740</v>
      </c>
      <c r="D21" s="377" t="s">
        <v>715</v>
      </c>
      <c r="E21" s="378"/>
      <c r="F21" s="765"/>
    </row>
    <row r="22" spans="1:6" ht="14.4">
      <c r="A22" s="378"/>
      <c r="B22" s="379" t="s">
        <v>748</v>
      </c>
      <c r="C22" s="377" t="s">
        <v>741</v>
      </c>
      <c r="D22" s="377" t="s">
        <v>715</v>
      </c>
      <c r="E22" s="378"/>
      <c r="F22" s="765"/>
    </row>
    <row r="23" spans="1:6" ht="14.4">
      <c r="A23" s="378"/>
      <c r="B23" s="379" t="s">
        <v>749</v>
      </c>
      <c r="C23" s="377" t="s">
        <v>742</v>
      </c>
      <c r="D23" s="377" t="s">
        <v>715</v>
      </c>
      <c r="E23" s="378"/>
      <c r="F23" s="765"/>
    </row>
    <row r="24" spans="1:6" ht="14.4">
      <c r="A24" s="378"/>
      <c r="B24" s="379" t="s">
        <v>750</v>
      </c>
      <c r="C24" s="377" t="s">
        <v>743</v>
      </c>
      <c r="D24" s="377" t="s">
        <v>715</v>
      </c>
      <c r="E24" s="378"/>
      <c r="F24" s="765"/>
    </row>
    <row r="25" spans="1:6" ht="14.4">
      <c r="A25" s="378"/>
      <c r="B25" s="379" t="s">
        <v>787</v>
      </c>
      <c r="C25" s="377" t="s">
        <v>744</v>
      </c>
      <c r="D25" s="377" t="s">
        <v>715</v>
      </c>
      <c r="E25" s="378"/>
      <c r="F25" s="765"/>
    </row>
    <row r="26" spans="1:6">
      <c r="A26" s="378"/>
      <c r="B26" s="378"/>
      <c r="E26" s="378"/>
      <c r="F26" s="765"/>
    </row>
    <row r="27" spans="1:6">
      <c r="A27" s="378"/>
      <c r="B27" s="378"/>
      <c r="C27" s="377" t="s">
        <v>745</v>
      </c>
      <c r="D27" s="377" t="s">
        <v>716</v>
      </c>
      <c r="E27" s="378"/>
      <c r="F27" s="765"/>
    </row>
    <row r="28" spans="1:6" ht="14.4">
      <c r="A28" s="378"/>
      <c r="B28" s="378"/>
      <c r="C28" s="382" t="s">
        <v>751</v>
      </c>
      <c r="D28" s="377" t="s">
        <v>716</v>
      </c>
      <c r="E28" s="378"/>
      <c r="F28" s="765"/>
    </row>
    <row r="29" spans="1:6" ht="14.4">
      <c r="A29" s="378"/>
      <c r="B29" s="378"/>
      <c r="C29" s="382" t="s">
        <v>752</v>
      </c>
      <c r="D29" s="377" t="s">
        <v>716</v>
      </c>
      <c r="E29" s="378"/>
      <c r="F29" s="765"/>
    </row>
    <row r="30" spans="1:6" ht="14.4">
      <c r="A30" s="378"/>
      <c r="B30" s="378"/>
      <c r="C30" s="382" t="s">
        <v>753</v>
      </c>
      <c r="D30" s="377" t="s">
        <v>716</v>
      </c>
      <c r="E30" s="378"/>
      <c r="F30" s="765"/>
    </row>
    <row r="31" spans="1:6" ht="14.4">
      <c r="A31" s="378"/>
      <c r="B31" s="378"/>
      <c r="C31" s="382" t="s">
        <v>754</v>
      </c>
      <c r="D31" s="377" t="s">
        <v>716</v>
      </c>
      <c r="E31" s="378"/>
      <c r="F31" s="765"/>
    </row>
    <row r="32" spans="1:6" ht="14.4">
      <c r="A32" s="378"/>
      <c r="B32" s="378"/>
      <c r="C32" s="382" t="s">
        <v>755</v>
      </c>
      <c r="D32" s="377" t="s">
        <v>716</v>
      </c>
      <c r="E32" s="378"/>
      <c r="F32" s="765"/>
    </row>
    <row r="33" spans="1:6" ht="14.4">
      <c r="A33" s="378"/>
      <c r="B33" s="378"/>
      <c r="C33" s="382" t="s">
        <v>756</v>
      </c>
      <c r="D33" s="377" t="s">
        <v>716</v>
      </c>
      <c r="E33" s="378"/>
      <c r="F33" s="765"/>
    </row>
    <row r="34" spans="1:6" ht="14.4">
      <c r="A34" s="378"/>
      <c r="B34" s="378"/>
      <c r="C34" s="382" t="s">
        <v>757</v>
      </c>
      <c r="D34" s="377" t="s">
        <v>716</v>
      </c>
      <c r="E34" s="378"/>
      <c r="F34" s="765"/>
    </row>
    <row r="35" spans="1:6">
      <c r="A35" s="378"/>
      <c r="B35" s="378"/>
      <c r="C35" s="381" t="s">
        <v>758</v>
      </c>
      <c r="D35" s="377" t="s">
        <v>716</v>
      </c>
      <c r="E35" s="378"/>
      <c r="F35" s="765"/>
    </row>
    <row r="36" spans="1:6" ht="14.4">
      <c r="A36" s="378"/>
      <c r="B36" s="378"/>
      <c r="C36" s="382" t="s">
        <v>759</v>
      </c>
      <c r="D36" s="377" t="s">
        <v>716</v>
      </c>
      <c r="E36" s="378"/>
      <c r="F36" s="765"/>
    </row>
    <row r="37" spans="1:6" ht="14.4">
      <c r="A37" s="378"/>
      <c r="B37" s="378"/>
      <c r="C37" s="382" t="s">
        <v>760</v>
      </c>
      <c r="D37" s="377" t="s">
        <v>716</v>
      </c>
      <c r="E37" s="378"/>
      <c r="F37" s="765"/>
    </row>
    <row r="38" spans="1:6" ht="14.4">
      <c r="A38" s="378"/>
      <c r="B38" s="378"/>
      <c r="C38" s="382" t="s">
        <v>761</v>
      </c>
      <c r="D38" s="377" t="s">
        <v>716</v>
      </c>
      <c r="E38" s="378"/>
      <c r="F38" s="765"/>
    </row>
    <row r="39" spans="1:6" ht="14.4">
      <c r="A39" s="378"/>
      <c r="B39" s="378"/>
      <c r="C39" s="382" t="s">
        <v>762</v>
      </c>
      <c r="D39" s="377" t="s">
        <v>716</v>
      </c>
      <c r="E39" s="378"/>
      <c r="F39" s="765"/>
    </row>
    <row r="40" spans="1:6" ht="14.4">
      <c r="A40" s="378"/>
      <c r="B40" s="378"/>
      <c r="C40" s="382" t="s">
        <v>763</v>
      </c>
      <c r="D40" s="377" t="s">
        <v>716</v>
      </c>
      <c r="E40" s="378"/>
      <c r="F40" s="765"/>
    </row>
    <row r="41" spans="1:6" ht="14.4">
      <c r="A41" s="378"/>
      <c r="B41" s="378"/>
      <c r="C41" s="382" t="s">
        <v>764</v>
      </c>
      <c r="D41" s="377" t="s">
        <v>716</v>
      </c>
      <c r="E41" s="378"/>
      <c r="F41" s="765"/>
    </row>
    <row r="42" spans="1:6" ht="14.4">
      <c r="A42" s="378"/>
      <c r="B42" s="378"/>
      <c r="C42" s="382" t="s">
        <v>765</v>
      </c>
      <c r="D42" s="377" t="s">
        <v>716</v>
      </c>
      <c r="E42" s="378"/>
      <c r="F42" s="765"/>
    </row>
    <row r="43" spans="1:6" ht="14.4">
      <c r="A43" s="378"/>
      <c r="B43" s="378"/>
      <c r="C43" s="382" t="s">
        <v>886</v>
      </c>
      <c r="D43" s="377" t="s">
        <v>716</v>
      </c>
      <c r="E43" s="378"/>
      <c r="F43" s="765"/>
    </row>
    <row r="44" spans="1:6" ht="14.4">
      <c r="A44" s="378"/>
      <c r="B44" s="378"/>
      <c r="C44" s="382" t="s">
        <v>766</v>
      </c>
      <c r="D44" s="377" t="s">
        <v>716</v>
      </c>
      <c r="E44" s="378"/>
      <c r="F44" s="765"/>
    </row>
    <row r="45" spans="1:6" ht="14.4">
      <c r="A45" s="378"/>
      <c r="B45" s="378"/>
      <c r="C45" s="382" t="s">
        <v>767</v>
      </c>
      <c r="D45" s="377" t="s">
        <v>716</v>
      </c>
      <c r="E45" s="378"/>
      <c r="F45" s="765"/>
    </row>
    <row r="46" spans="1:6" ht="14.4">
      <c r="A46" s="378"/>
      <c r="B46" s="378"/>
      <c r="C46" s="382" t="s">
        <v>768</v>
      </c>
      <c r="D46" s="377" t="s">
        <v>716</v>
      </c>
      <c r="E46" s="378"/>
      <c r="F46" s="765"/>
    </row>
    <row r="47" spans="1:6" ht="14.4">
      <c r="A47" s="378"/>
      <c r="B47" s="378"/>
      <c r="C47" s="382" t="s">
        <v>769</v>
      </c>
      <c r="D47" s="377" t="s">
        <v>716</v>
      </c>
      <c r="E47" s="378"/>
      <c r="F47" s="765"/>
    </row>
    <row r="48" spans="1:6" ht="14.4">
      <c r="A48" s="378"/>
      <c r="B48" s="378"/>
      <c r="C48" s="382" t="s">
        <v>770</v>
      </c>
      <c r="D48" s="377" t="s">
        <v>716</v>
      </c>
      <c r="E48" s="378"/>
      <c r="F48" s="765"/>
    </row>
    <row r="49" spans="1:6" ht="14.4">
      <c r="A49" s="378"/>
      <c r="B49" s="378"/>
      <c r="C49" s="382" t="s">
        <v>771</v>
      </c>
      <c r="D49" s="377" t="s">
        <v>716</v>
      </c>
      <c r="E49" s="378"/>
      <c r="F49" s="765"/>
    </row>
    <row r="50" spans="1:6">
      <c r="A50" s="378"/>
      <c r="B50" s="378"/>
      <c r="C50" s="381" t="s">
        <v>772</v>
      </c>
      <c r="D50" s="377"/>
      <c r="E50" s="378"/>
      <c r="F50" s="765"/>
    </row>
    <row r="51" spans="1:6" ht="14.4">
      <c r="A51" s="378"/>
      <c r="B51" s="378"/>
      <c r="C51" s="382" t="s">
        <v>773</v>
      </c>
      <c r="D51" s="377" t="s">
        <v>716</v>
      </c>
      <c r="E51" s="378"/>
      <c r="F51" s="765"/>
    </row>
    <row r="52" spans="1:6" ht="14.4">
      <c r="A52" s="378"/>
      <c r="B52" s="378"/>
      <c r="C52" s="382" t="s">
        <v>774</v>
      </c>
      <c r="D52" s="377" t="s">
        <v>716</v>
      </c>
      <c r="E52" s="378"/>
      <c r="F52" s="765"/>
    </row>
    <row r="53" spans="1:6" ht="14.4">
      <c r="A53" s="378"/>
      <c r="B53" s="378"/>
      <c r="C53" s="382" t="s">
        <v>775</v>
      </c>
      <c r="D53" s="377" t="s">
        <v>716</v>
      </c>
      <c r="E53" s="378"/>
      <c r="F53" s="765"/>
    </row>
    <row r="54" spans="1:6" ht="14.4">
      <c r="A54" s="378"/>
      <c r="B54" s="378"/>
      <c r="C54" s="382" t="s">
        <v>776</v>
      </c>
      <c r="D54" s="377" t="s">
        <v>716</v>
      </c>
      <c r="E54" s="378"/>
      <c r="F54" s="765"/>
    </row>
    <row r="55" spans="1:6" ht="14.4">
      <c r="C55" s="382" t="s">
        <v>777</v>
      </c>
      <c r="D55" s="377" t="s">
        <v>716</v>
      </c>
      <c r="F55" s="765"/>
    </row>
    <row r="56" spans="1:6" ht="14.4">
      <c r="C56" s="382" t="s">
        <v>778</v>
      </c>
      <c r="D56" s="377" t="s">
        <v>716</v>
      </c>
      <c r="F56" s="765"/>
    </row>
    <row r="57" spans="1:6" ht="14.4">
      <c r="C57" s="382" t="s">
        <v>779</v>
      </c>
      <c r="D57" s="377" t="s">
        <v>716</v>
      </c>
      <c r="F57" s="765"/>
    </row>
    <row r="58" spans="1:6" ht="14.4">
      <c r="C58" s="382" t="s">
        <v>780</v>
      </c>
      <c r="D58" s="377" t="s">
        <v>716</v>
      </c>
      <c r="F58" s="765"/>
    </row>
    <row r="59" spans="1:6" ht="14.4">
      <c r="C59" s="382" t="s">
        <v>781</v>
      </c>
      <c r="D59" s="377" t="s">
        <v>716</v>
      </c>
      <c r="F59" s="765"/>
    </row>
    <row r="60" spans="1:6" ht="14.4">
      <c r="C60" s="382" t="s">
        <v>782</v>
      </c>
      <c r="D60" s="377" t="s">
        <v>716</v>
      </c>
      <c r="F60" s="765"/>
    </row>
    <row r="61" spans="1:6" ht="14.4">
      <c r="C61" s="382" t="s">
        <v>783</v>
      </c>
      <c r="D61" s="377" t="s">
        <v>716</v>
      </c>
      <c r="F61" s="765"/>
    </row>
    <row r="62" spans="1:6" ht="14.4">
      <c r="C62" s="382" t="s">
        <v>784</v>
      </c>
      <c r="D62" s="377" t="s">
        <v>716</v>
      </c>
      <c r="F62" s="765"/>
    </row>
  </sheetData>
  <mergeCells count="1">
    <mergeCell ref="F7:F62"/>
  </mergeCells>
  <hyperlinks>
    <hyperlink ref="B9" location="'Rev Req Summary'!A1" display="Exhibit BDJ-3, Page 1"/>
    <hyperlink ref="B10:B20" location="'Rev Req Summary'!A1" display="Exhibit BDJ-3, Page 1"/>
    <hyperlink ref="B11:B25" location="'Rev Req Summary'!A1" display="Exhibit BDJ-3, Page 1"/>
    <hyperlink ref="C28" location="'Avg Per kWh RY#1'!A1" display="Avg Per kWh RY#1"/>
    <hyperlink ref="C29" location="'Avg Per kWh RY#2'!A1" display="Avg Per kWh RY#2"/>
    <hyperlink ref="C30" location="'Avg Per kWh RY#3'!A1" display="Avg Per kWh RY#3"/>
    <hyperlink ref="C31" location="'Revenue By Sch TY'!A1" display="Revenue By Sch TY"/>
    <hyperlink ref="C32" location="'Revenue by Sch RY#1'!A1" display="Revenue by Sch RY#1"/>
    <hyperlink ref="C33" location="'Revenue by Sch RY#2'!A1" display="Revenue by Sch RY#2"/>
    <hyperlink ref="C34" location="'Revenue by Sch RY#3'!A1" display="Revenue by Sch RY#3"/>
    <hyperlink ref="C36" location="'Sch 95 PCORC'!A1" display="Sch 95 PCORC"/>
    <hyperlink ref="C37" location="'Sch 95 Imbalance'!A1" display="Sch 95 Imbalance"/>
    <hyperlink ref="C38" location="'Sch 95a'!A1" display="Sch 95a"/>
    <hyperlink ref="C39" location="'Sch 120'!A1" display="Sch 120"/>
    <hyperlink ref="C40" location="'Sch 129'!A1" display="Sch 129"/>
    <hyperlink ref="C41" location="'Sch 140'!A1" display="Sch 140"/>
    <hyperlink ref="C42" location="'Sch 141'!A1" display="Sch 141"/>
    <hyperlink ref="C43" location="'Sch 141C'!A1" display="Sch 141C"/>
    <hyperlink ref="C44" location="'Sch 141N'!A1" display="Sch 141N"/>
    <hyperlink ref="C45" location="'Sch 141R'!A1" display="Sch 141R"/>
    <hyperlink ref="C46" location="'Sch 141X'!A1" display="Sch 141X"/>
    <hyperlink ref="C47" location="'Sch 141Z'!A1" display="Sch 141Z"/>
    <hyperlink ref="C48" location="'Sch 142'!A1" display="Sch 142"/>
    <hyperlink ref="C49" location="'Sch 194'!A1" display="Sch 194"/>
    <hyperlink ref="C51" location="'UE-200890 Sch 95 PCORC'!A1" display="UE-200890 Sch 95 PCORC"/>
    <hyperlink ref="C52" location="'UE-200893 Sch 95 Imb'!A1" display="UE-200893 Sch 95 Imb"/>
    <hyperlink ref="C53" location="'UE-210821 Sch 95A'!A1" display="UE-210821 Sch 95A"/>
    <hyperlink ref="C54" location="'UE-210140 Sch 120'!A1" display="UE-210140 Sch 120"/>
    <hyperlink ref="C55" location="'UE-210674 Sch 129'!A1" display="UE-210674 Sch 129"/>
    <hyperlink ref="C56" location="'UE-210924 Sch 137'!A1" display="UE-210924 Sch 137"/>
    <hyperlink ref="C57" location="'UE-210217 Sch 140'!A1" display="UE-210217 Sch 140"/>
    <hyperlink ref="C58" location="'UE-190529 (PLR) 141x'!A1" display="UE-190529 (PLR) 141x"/>
    <hyperlink ref="C59" location="'UE-190529 Sch 141Z'!A1" display="UE-190529 Sch 141Z"/>
    <hyperlink ref="C60" location="'UE-210214 Sch 142'!A1" display="UE-210214 Sch 142"/>
    <hyperlink ref="C61" location="'UE-200965 Sch 142 Supplemental'!A1" display="UE-200965 Sch 142 Supplemental"/>
    <hyperlink ref="C62" location="'UE-210757 Sch 194'!A1" display="UE-210757 Sch 194"/>
  </hyperlinks>
  <pageMargins left="0.7" right="0.7" top="0.75" bottom="0.75" header="0.3" footer="0.3"/>
  <customProperties>
    <customPr name="_pios_i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V42"/>
  <sheetViews>
    <sheetView zoomScaleNormal="100" zoomScaleSheetLayoutView="75" workbookViewId="0">
      <pane xSplit="3" ySplit="8" topLeftCell="D9" activePane="bottomRight" state="frozen"/>
      <selection activeCell="F7" sqref="F7:F62"/>
      <selection pane="topRight" activeCell="F7" sqref="F7:F62"/>
      <selection pane="bottomLeft" activeCell="F7" sqref="F7:F62"/>
      <selection pane="bottomRight" activeCell="A37" sqref="A37"/>
    </sheetView>
  </sheetViews>
  <sheetFormatPr defaultColWidth="9.44140625" defaultRowHeight="10.199999999999999"/>
  <cols>
    <col min="1" max="1" width="3.33203125" style="387" customWidth="1"/>
    <col min="2" max="2" width="6.88671875" style="387" bestFit="1" customWidth="1"/>
    <col min="3" max="3" width="2" style="387" bestFit="1" customWidth="1"/>
    <col min="4" max="4" width="7" style="387" bestFit="1" customWidth="1"/>
    <col min="5" max="5" width="16.33203125" style="387" bestFit="1" customWidth="1"/>
    <col min="6" max="6" width="17.44140625" style="387" bestFit="1" customWidth="1"/>
    <col min="7" max="7" width="1.33203125" style="387" customWidth="1"/>
    <col min="8" max="8" width="8.88671875" style="387" bestFit="1" customWidth="1"/>
    <col min="9" max="9" width="1.33203125" style="387" bestFit="1" customWidth="1"/>
    <col min="10" max="10" width="11.44140625" style="387" bestFit="1" customWidth="1"/>
    <col min="11" max="11" width="1.44140625" style="387" bestFit="1" customWidth="1"/>
    <col min="12" max="12" width="8.109375" style="387" bestFit="1" customWidth="1"/>
    <col min="13" max="13" width="2" style="387" customWidth="1"/>
    <col min="14" max="14" width="7.33203125" style="387" bestFit="1" customWidth="1"/>
    <col min="15" max="15" width="9.44140625" style="387"/>
    <col min="16" max="16" width="53" style="387" customWidth="1"/>
    <col min="17" max="17" width="14.33203125" style="387" bestFit="1" customWidth="1"/>
    <col min="18" max="18" width="1.5546875" style="387" bestFit="1" customWidth="1"/>
    <col min="19" max="19" width="15.6640625" style="387" bestFit="1" customWidth="1"/>
    <col min="20" max="20" width="1.5546875" style="387" bestFit="1" customWidth="1"/>
    <col min="21" max="21" width="6.109375" style="387" bestFit="1" customWidth="1"/>
    <col min="22" max="22" width="5.109375" style="387" customWidth="1"/>
    <col min="23" max="16384" width="9.44140625" style="387"/>
  </cols>
  <sheetData>
    <row r="1" spans="1:22">
      <c r="A1" s="772" t="s">
        <v>0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</row>
    <row r="2" spans="1:22">
      <c r="A2" s="772" t="s">
        <v>604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</row>
    <row r="3" spans="1:22">
      <c r="A3" s="773" t="s">
        <v>605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  <c r="V3" s="508"/>
    </row>
    <row r="4" spans="1:22">
      <c r="A4" s="773" t="s">
        <v>608</v>
      </c>
      <c r="B4" s="772"/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2"/>
      <c r="N4" s="772"/>
      <c r="V4" s="508"/>
    </row>
    <row r="6" spans="1:22" ht="11.4">
      <c r="H6" s="775" t="s">
        <v>842</v>
      </c>
      <c r="I6" s="774"/>
      <c r="J6" s="774"/>
      <c r="K6" s="774"/>
      <c r="L6" s="774"/>
      <c r="M6" s="774"/>
      <c r="N6" s="774"/>
      <c r="O6" s="508"/>
    </row>
    <row r="7" spans="1:22" ht="10.8" thickBot="1">
      <c r="D7" s="517" t="s">
        <v>483</v>
      </c>
      <c r="E7" s="517"/>
      <c r="F7" s="517"/>
      <c r="H7" s="452" t="s">
        <v>20</v>
      </c>
      <c r="I7" s="572"/>
      <c r="J7" s="572" t="s">
        <v>20</v>
      </c>
      <c r="L7" s="774" t="s">
        <v>192</v>
      </c>
      <c r="M7" s="774"/>
      <c r="N7" s="774"/>
      <c r="O7" s="572"/>
    </row>
    <row r="8" spans="1:22" ht="11.4">
      <c r="B8" s="459" t="s">
        <v>191</v>
      </c>
      <c r="D8" s="573" t="s">
        <v>484</v>
      </c>
      <c r="E8" s="572" t="s">
        <v>486</v>
      </c>
      <c r="F8" s="572" t="s">
        <v>485</v>
      </c>
      <c r="H8" s="573" t="s">
        <v>843</v>
      </c>
      <c r="I8" s="573"/>
      <c r="J8" s="573" t="s">
        <v>844</v>
      </c>
      <c r="K8" s="574" t="s">
        <v>20</v>
      </c>
      <c r="L8" s="459" t="s">
        <v>190</v>
      </c>
      <c r="N8" s="575" t="s">
        <v>32</v>
      </c>
      <c r="P8" s="576"/>
      <c r="Q8" s="577" t="s">
        <v>189</v>
      </c>
      <c r="R8" s="578"/>
      <c r="S8" s="579" t="s">
        <v>188</v>
      </c>
      <c r="U8" s="435"/>
    </row>
    <row r="9" spans="1:22">
      <c r="B9" s="525">
        <v>0</v>
      </c>
      <c r="D9" s="600"/>
      <c r="E9" s="600"/>
      <c r="F9" s="600"/>
      <c r="H9" s="601"/>
      <c r="I9" s="446"/>
      <c r="J9" s="601"/>
      <c r="K9" s="446"/>
      <c r="L9" s="601"/>
      <c r="M9" s="446"/>
      <c r="N9" s="544"/>
      <c r="P9" s="581" t="s">
        <v>187</v>
      </c>
      <c r="Q9" s="528"/>
      <c r="R9" s="582"/>
      <c r="S9" s="530"/>
      <c r="T9" s="583"/>
      <c r="U9" s="435"/>
    </row>
    <row r="10" spans="1:22">
      <c r="B10" s="525">
        <v>50</v>
      </c>
      <c r="D10" s="600"/>
      <c r="E10" s="600"/>
      <c r="F10" s="600"/>
      <c r="H10" s="601"/>
      <c r="I10" s="446"/>
      <c r="J10" s="601"/>
      <c r="K10" s="446"/>
      <c r="L10" s="601"/>
      <c r="M10" s="446"/>
      <c r="N10" s="544"/>
      <c r="P10" s="581"/>
      <c r="Q10" s="531"/>
      <c r="R10" s="582"/>
      <c r="S10" s="584"/>
      <c r="U10" s="435"/>
    </row>
    <row r="11" spans="1:22">
      <c r="B11" s="525">
        <v>100</v>
      </c>
      <c r="D11" s="600"/>
      <c r="E11" s="600"/>
      <c r="F11" s="600"/>
      <c r="H11" s="601"/>
      <c r="I11" s="446"/>
      <c r="J11" s="601"/>
      <c r="K11" s="446"/>
      <c r="L11" s="601"/>
      <c r="M11" s="446"/>
      <c r="N11" s="544"/>
      <c r="P11" s="581" t="s">
        <v>186</v>
      </c>
      <c r="Q11" s="602"/>
      <c r="R11" s="603"/>
      <c r="S11" s="604"/>
      <c r="T11" s="446"/>
      <c r="U11" s="442"/>
    </row>
    <row r="12" spans="1:22">
      <c r="B12" s="525">
        <v>150</v>
      </c>
      <c r="D12" s="600"/>
      <c r="E12" s="600"/>
      <c r="F12" s="600"/>
      <c r="H12" s="601"/>
      <c r="I12" s="446"/>
      <c r="J12" s="601"/>
      <c r="K12" s="446"/>
      <c r="L12" s="601"/>
      <c r="M12" s="446"/>
      <c r="N12" s="544"/>
      <c r="P12" s="581" t="s">
        <v>185</v>
      </c>
      <c r="Q12" s="602"/>
      <c r="R12" s="603"/>
      <c r="S12" s="604"/>
      <c r="T12" s="446"/>
      <c r="U12" s="442"/>
    </row>
    <row r="13" spans="1:22" ht="10.8" thickBot="1">
      <c r="B13" s="525">
        <v>200</v>
      </c>
      <c r="D13" s="600"/>
      <c r="E13" s="600"/>
      <c r="F13" s="600"/>
      <c r="H13" s="601"/>
      <c r="I13" s="446"/>
      <c r="J13" s="601"/>
      <c r="K13" s="446"/>
      <c r="L13" s="601"/>
      <c r="M13" s="446"/>
      <c r="N13" s="544"/>
      <c r="P13" s="585"/>
      <c r="Q13" s="586"/>
      <c r="R13" s="534"/>
      <c r="S13" s="587"/>
      <c r="U13" s="435"/>
    </row>
    <row r="14" spans="1:22">
      <c r="B14" s="525">
        <v>300</v>
      </c>
      <c r="D14" s="600"/>
      <c r="E14" s="600"/>
      <c r="F14" s="600"/>
      <c r="H14" s="601"/>
      <c r="I14" s="446"/>
      <c r="J14" s="601"/>
      <c r="K14" s="446"/>
      <c r="L14" s="601"/>
      <c r="M14" s="446"/>
      <c r="N14" s="544"/>
      <c r="T14" s="523"/>
      <c r="U14" s="435"/>
    </row>
    <row r="15" spans="1:22">
      <c r="B15" s="525">
        <v>400</v>
      </c>
      <c r="D15" s="600"/>
      <c r="E15" s="600"/>
      <c r="F15" s="600"/>
      <c r="H15" s="601"/>
      <c r="I15" s="446"/>
      <c r="J15" s="601"/>
      <c r="K15" s="446"/>
      <c r="L15" s="601"/>
      <c r="M15" s="446"/>
      <c r="N15" s="544"/>
    </row>
    <row r="16" spans="1:22">
      <c r="B16" s="525">
        <v>500</v>
      </c>
      <c r="D16" s="600"/>
      <c r="E16" s="600"/>
      <c r="F16" s="600"/>
      <c r="H16" s="601"/>
      <c r="I16" s="446"/>
      <c r="J16" s="601"/>
      <c r="K16" s="446"/>
      <c r="L16" s="601"/>
      <c r="M16" s="446"/>
      <c r="N16" s="544"/>
    </row>
    <row r="17" spans="2:21">
      <c r="B17" s="525">
        <v>600</v>
      </c>
      <c r="D17" s="600"/>
      <c r="E17" s="600"/>
      <c r="F17" s="600"/>
      <c r="H17" s="601"/>
      <c r="I17" s="446"/>
      <c r="J17" s="601"/>
      <c r="K17" s="446"/>
      <c r="L17" s="601"/>
      <c r="M17" s="446"/>
      <c r="N17" s="544"/>
      <c r="P17" s="387" t="str">
        <f>+P9</f>
        <v>Basic 1 Phase</v>
      </c>
      <c r="Q17" s="588"/>
      <c r="R17" s="589"/>
      <c r="S17" s="588"/>
      <c r="U17" s="435"/>
    </row>
    <row r="18" spans="2:21">
      <c r="B18" s="525">
        <v>700</v>
      </c>
      <c r="D18" s="600"/>
      <c r="E18" s="600"/>
      <c r="F18" s="600"/>
      <c r="H18" s="601"/>
      <c r="I18" s="446"/>
      <c r="J18" s="601"/>
      <c r="K18" s="446"/>
      <c r="L18" s="601"/>
      <c r="M18" s="446"/>
      <c r="N18" s="544"/>
      <c r="P18" s="387" t="str">
        <f>+P11</f>
        <v>Energy - First 600</v>
      </c>
      <c r="Q18" s="550"/>
      <c r="R18" s="537"/>
      <c r="S18" s="550"/>
      <c r="U18" s="435"/>
    </row>
    <row r="19" spans="2:21">
      <c r="B19" s="525">
        <v>800</v>
      </c>
      <c r="C19" s="387" t="s">
        <v>181</v>
      </c>
      <c r="D19" s="600"/>
      <c r="E19" s="600"/>
      <c r="F19" s="600"/>
      <c r="H19" s="601"/>
      <c r="I19" s="446"/>
      <c r="J19" s="601"/>
      <c r="K19" s="446"/>
      <c r="L19" s="601"/>
      <c r="M19" s="446"/>
      <c r="N19" s="544"/>
      <c r="P19" s="387" t="str">
        <f>+P12</f>
        <v>Energy - Over 600</v>
      </c>
      <c r="Q19" s="550"/>
      <c r="R19" s="537"/>
      <c r="S19" s="550"/>
      <c r="U19" s="435"/>
    </row>
    <row r="20" spans="2:21">
      <c r="B20" s="525">
        <v>900</v>
      </c>
      <c r="D20" s="600"/>
      <c r="E20" s="600"/>
      <c r="F20" s="600"/>
      <c r="H20" s="601"/>
      <c r="I20" s="446"/>
      <c r="J20" s="601"/>
      <c r="K20" s="446"/>
      <c r="L20" s="601"/>
      <c r="M20" s="446"/>
      <c r="N20" s="544"/>
      <c r="P20" s="423"/>
      <c r="Q20" s="423"/>
      <c r="R20" s="423"/>
      <c r="S20" s="590"/>
    </row>
    <row r="21" spans="2:21">
      <c r="B21" s="525">
        <v>1000</v>
      </c>
      <c r="D21" s="600"/>
      <c r="E21" s="600"/>
      <c r="F21" s="600"/>
      <c r="H21" s="601"/>
      <c r="I21" s="446"/>
      <c r="J21" s="601"/>
      <c r="K21" s="446"/>
      <c r="L21" s="601"/>
      <c r="M21" s="446"/>
      <c r="N21" s="544"/>
    </row>
    <row r="22" spans="2:21">
      <c r="B22" s="525">
        <v>1100</v>
      </c>
      <c r="D22" s="600"/>
      <c r="E22" s="600"/>
      <c r="F22" s="600"/>
      <c r="H22" s="601"/>
      <c r="I22" s="446"/>
      <c r="J22" s="601"/>
      <c r="K22" s="446"/>
      <c r="L22" s="601"/>
      <c r="M22" s="446"/>
      <c r="N22" s="544"/>
    </row>
    <row r="23" spans="2:21">
      <c r="B23" s="525">
        <v>1200</v>
      </c>
      <c r="D23" s="600"/>
      <c r="E23" s="600"/>
      <c r="F23" s="600"/>
      <c r="H23" s="601"/>
      <c r="I23" s="446"/>
      <c r="J23" s="601"/>
      <c r="K23" s="446"/>
      <c r="L23" s="601"/>
      <c r="M23" s="446"/>
      <c r="N23" s="544"/>
      <c r="P23" s="539" t="s">
        <v>474</v>
      </c>
      <c r="Q23" s="537"/>
      <c r="R23" s="423"/>
      <c r="S23" s="537"/>
    </row>
    <row r="24" spans="2:21">
      <c r="B24" s="525">
        <v>1300</v>
      </c>
      <c r="D24" s="600"/>
      <c r="E24" s="600"/>
      <c r="F24" s="600"/>
      <c r="H24" s="601"/>
      <c r="I24" s="446"/>
      <c r="J24" s="601"/>
      <c r="K24" s="446"/>
      <c r="L24" s="601"/>
      <c r="M24" s="446"/>
      <c r="N24" s="544"/>
      <c r="P24" s="539" t="s">
        <v>184</v>
      </c>
      <c r="Q24" s="537"/>
      <c r="R24" s="423"/>
      <c r="S24" s="537"/>
    </row>
    <row r="25" spans="2:21">
      <c r="B25" s="525">
        <v>1400</v>
      </c>
      <c r="D25" s="600"/>
      <c r="E25" s="600"/>
      <c r="F25" s="600"/>
      <c r="H25" s="601"/>
      <c r="I25" s="446"/>
      <c r="J25" s="601"/>
      <c r="K25" s="446"/>
      <c r="L25" s="601"/>
      <c r="M25" s="446"/>
      <c r="N25" s="544"/>
      <c r="P25" s="539" t="s">
        <v>183</v>
      </c>
      <c r="Q25" s="537"/>
      <c r="R25" s="423"/>
      <c r="S25" s="537"/>
    </row>
    <row r="26" spans="2:21">
      <c r="B26" s="525">
        <v>1600</v>
      </c>
      <c r="C26" s="387" t="s">
        <v>20</v>
      </c>
      <c r="D26" s="600"/>
      <c r="E26" s="600"/>
      <c r="F26" s="600"/>
      <c r="H26" s="601"/>
      <c r="I26" s="446"/>
      <c r="J26" s="601"/>
      <c r="K26" s="446"/>
      <c r="L26" s="601"/>
      <c r="M26" s="446"/>
      <c r="N26" s="544"/>
      <c r="P26" s="539" t="s">
        <v>182</v>
      </c>
      <c r="Q26" s="537"/>
      <c r="R26" s="423"/>
      <c r="S26" s="537"/>
    </row>
    <row r="27" spans="2:21">
      <c r="B27" s="525">
        <v>2000</v>
      </c>
      <c r="D27" s="600"/>
      <c r="E27" s="600"/>
      <c r="F27" s="600"/>
      <c r="H27" s="601"/>
      <c r="I27" s="446"/>
      <c r="J27" s="601"/>
      <c r="K27" s="446"/>
      <c r="L27" s="601"/>
      <c r="M27" s="446"/>
      <c r="N27" s="544"/>
      <c r="P27" s="539" t="s">
        <v>158</v>
      </c>
      <c r="Q27" s="537"/>
      <c r="S27" s="537"/>
    </row>
    <row r="28" spans="2:21">
      <c r="B28" s="525">
        <v>2500</v>
      </c>
      <c r="D28" s="600"/>
      <c r="E28" s="600"/>
      <c r="F28" s="600"/>
      <c r="H28" s="601"/>
      <c r="I28" s="446"/>
      <c r="J28" s="601"/>
      <c r="K28" s="446"/>
      <c r="L28" s="601"/>
      <c r="M28" s="446"/>
      <c r="N28" s="544"/>
      <c r="P28" s="423" t="s">
        <v>180</v>
      </c>
      <c r="Q28" s="537"/>
      <c r="S28" s="537"/>
    </row>
    <row r="29" spans="2:21">
      <c r="B29" s="525">
        <v>3000</v>
      </c>
      <c r="D29" s="600"/>
      <c r="E29" s="600"/>
      <c r="F29" s="600"/>
      <c r="H29" s="601"/>
      <c r="I29" s="446"/>
      <c r="J29" s="601"/>
      <c r="K29" s="446"/>
      <c r="L29" s="601"/>
      <c r="M29" s="446"/>
      <c r="N29" s="544"/>
      <c r="P29" s="539" t="s">
        <v>165</v>
      </c>
      <c r="Q29" s="537"/>
      <c r="S29" s="537"/>
    </row>
    <row r="30" spans="2:21">
      <c r="B30" s="525">
        <v>4000</v>
      </c>
      <c r="D30" s="600"/>
      <c r="E30" s="600"/>
      <c r="F30" s="600"/>
      <c r="H30" s="601"/>
      <c r="I30" s="446"/>
      <c r="J30" s="601"/>
      <c r="K30" s="446"/>
      <c r="L30" s="601"/>
      <c r="M30" s="446"/>
      <c r="N30" s="544"/>
      <c r="P30" s="387" t="str">
        <f>'Res Bill RY#1'!P30</f>
        <v>Schedule 141A -  Sch 139 Energy Charge Credit Recovery</v>
      </c>
      <c r="Q30" s="422"/>
      <c r="R30" s="446"/>
      <c r="S30" s="422"/>
    </row>
    <row r="31" spans="2:21">
      <c r="B31" s="525">
        <v>5000</v>
      </c>
      <c r="D31" s="600"/>
      <c r="E31" s="600"/>
      <c r="F31" s="600"/>
      <c r="H31" s="601"/>
      <c r="I31" s="446"/>
      <c r="J31" s="601"/>
      <c r="K31" s="446"/>
      <c r="L31" s="601"/>
      <c r="M31" s="446"/>
      <c r="N31" s="544"/>
      <c r="P31" s="387" t="s">
        <v>890</v>
      </c>
      <c r="Q31" s="537"/>
      <c r="S31" s="537"/>
    </row>
    <row r="32" spans="2:21">
      <c r="B32" s="525" t="s">
        <v>178</v>
      </c>
      <c r="D32" s="600"/>
      <c r="E32" s="600"/>
      <c r="F32" s="600"/>
      <c r="H32" s="591"/>
      <c r="J32" s="591"/>
      <c r="L32" s="591"/>
      <c r="N32" s="592"/>
      <c r="P32" s="387" t="s">
        <v>501</v>
      </c>
      <c r="Q32" s="537"/>
      <c r="S32" s="537"/>
    </row>
    <row r="33" spans="1:19">
      <c r="B33" s="593"/>
      <c r="C33" s="541"/>
      <c r="D33" s="594"/>
      <c r="E33" s="594"/>
      <c r="F33" s="594"/>
      <c r="G33" s="541"/>
      <c r="H33" s="594"/>
      <c r="I33" s="541"/>
      <c r="J33" s="594"/>
      <c r="K33" s="541"/>
      <c r="L33" s="541"/>
      <c r="M33" s="541"/>
      <c r="N33" s="595"/>
      <c r="P33" s="391" t="s">
        <v>502</v>
      </c>
      <c r="Q33" s="537"/>
      <c r="S33" s="537"/>
    </row>
    <row r="34" spans="1:19">
      <c r="P34" s="539" t="s">
        <v>503</v>
      </c>
      <c r="Q34" s="537"/>
      <c r="S34" s="537"/>
    </row>
    <row r="35" spans="1:19">
      <c r="A35" s="429" t="s">
        <v>177</v>
      </c>
      <c r="C35" s="429"/>
      <c r="D35" s="429"/>
      <c r="E35" s="429"/>
      <c r="F35" s="429"/>
      <c r="G35" s="429"/>
      <c r="H35" s="429"/>
      <c r="I35" s="429"/>
      <c r="J35" s="429"/>
      <c r="K35" s="429"/>
      <c r="L35" s="429"/>
      <c r="M35" s="429"/>
      <c r="N35" s="429"/>
      <c r="P35" s="539" t="s">
        <v>504</v>
      </c>
      <c r="Q35" s="537"/>
      <c r="S35" s="537"/>
    </row>
    <row r="36" spans="1:19">
      <c r="A36" s="596" t="s">
        <v>176</v>
      </c>
      <c r="C36" s="429"/>
      <c r="D36" s="429"/>
      <c r="E36" s="429"/>
      <c r="F36" s="429"/>
      <c r="G36" s="429"/>
      <c r="H36" s="429"/>
      <c r="I36" s="429"/>
      <c r="J36" s="429"/>
      <c r="K36" s="429"/>
      <c r="L36" s="429"/>
      <c r="M36" s="429"/>
      <c r="N36" s="429"/>
      <c r="P36" s="539" t="s">
        <v>168</v>
      </c>
      <c r="Q36" s="537"/>
      <c r="S36" s="537"/>
    </row>
    <row r="37" spans="1:19">
      <c r="A37" s="729" t="s">
        <v>891</v>
      </c>
      <c r="C37" s="598"/>
      <c r="D37" s="598"/>
      <c r="E37" s="598"/>
      <c r="F37" s="598"/>
      <c r="G37" s="598"/>
      <c r="H37" s="598"/>
      <c r="I37" s="598"/>
      <c r="J37" s="598"/>
      <c r="K37" s="598"/>
      <c r="L37" s="598"/>
      <c r="M37" s="598"/>
      <c r="N37" s="598"/>
      <c r="P37" s="539" t="s">
        <v>475</v>
      </c>
      <c r="Q37" s="537"/>
      <c r="S37" s="537"/>
    </row>
    <row r="38" spans="1:19" ht="11.4">
      <c r="A38" s="597" t="s">
        <v>845</v>
      </c>
      <c r="C38" s="598"/>
      <c r="D38" s="598"/>
      <c r="E38" s="598"/>
      <c r="F38" s="598"/>
      <c r="G38" s="598"/>
      <c r="H38" s="598"/>
      <c r="I38" s="598"/>
      <c r="J38" s="598"/>
      <c r="K38" s="598"/>
      <c r="L38" s="598"/>
      <c r="M38" s="598"/>
      <c r="N38" s="598"/>
      <c r="P38" s="539" t="s">
        <v>179</v>
      </c>
      <c r="Q38" s="537"/>
      <c r="S38" s="537"/>
    </row>
    <row r="39" spans="1:19" ht="11.4">
      <c r="A39" s="597" t="s">
        <v>846</v>
      </c>
      <c r="C39" s="598"/>
      <c r="D39" s="598"/>
      <c r="E39" s="598"/>
      <c r="F39" s="598"/>
      <c r="G39" s="598"/>
      <c r="H39" s="598"/>
      <c r="I39" s="598"/>
      <c r="J39" s="598"/>
      <c r="K39" s="598"/>
      <c r="L39" s="598"/>
      <c r="M39" s="598"/>
      <c r="N39" s="598"/>
    </row>
    <row r="40" spans="1:19">
      <c r="P40" s="542"/>
      <c r="Q40" s="599"/>
    </row>
    <row r="41" spans="1:19">
      <c r="P41" s="542" t="s">
        <v>285</v>
      </c>
      <c r="Q41" s="605"/>
    </row>
    <row r="42" spans="1:19">
      <c r="B42" s="397"/>
    </row>
  </sheetData>
  <mergeCells count="6">
    <mergeCell ref="L7:N7"/>
    <mergeCell ref="A1:N1"/>
    <mergeCell ref="A2:N2"/>
    <mergeCell ref="A3:N3"/>
    <mergeCell ref="A4:N4"/>
    <mergeCell ref="H6:N6"/>
  </mergeCells>
  <printOptions horizontalCentered="1"/>
  <pageMargins left="0.7" right="0.7" top="0.75" bottom="0.71" header="0.3" footer="0.3"/>
  <pageSetup scale="70" orientation="landscape" r:id="rId1"/>
  <headerFooter alignWithMargins="0">
    <oddFooter>&amp;L&amp;"Times New Roman,Regular"&amp;A&amp;R&amp;"Times New Roman,Regular"Exhibit No.___(BDJ-7)
Page &amp;P of &amp;N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"/>
  <sheetViews>
    <sheetView topLeftCell="F18" workbookViewId="0">
      <selection activeCell="I37" sqref="I37"/>
    </sheetView>
  </sheetViews>
  <sheetFormatPr defaultRowHeight="13.2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I45"/>
  <sheetViews>
    <sheetView workbookViewId="0">
      <pane xSplit="4" ySplit="7" topLeftCell="E8" activePane="bottomRight" state="frozen"/>
      <selection activeCell="F7" sqref="F7:F62"/>
      <selection pane="topRight" activeCell="F7" sqref="F7:F62"/>
      <selection pane="bottomLeft" activeCell="F7" sqref="F7:F62"/>
      <selection pane="bottomRight" activeCell="B26" sqref="B26"/>
    </sheetView>
  </sheetViews>
  <sheetFormatPr defaultColWidth="9.109375" defaultRowHeight="10.199999999999999"/>
  <cols>
    <col min="1" max="1" width="4.88671875" style="387" bestFit="1" customWidth="1"/>
    <col min="2" max="2" width="44.33203125" style="387" bestFit="1" customWidth="1"/>
    <col min="3" max="3" width="12" style="387" bestFit="1" customWidth="1"/>
    <col min="4" max="4" width="7.6640625" style="387" bestFit="1" customWidth="1"/>
    <col min="5" max="5" width="0.5546875" style="387" customWidth="1"/>
    <col min="6" max="6" width="10" style="387" bestFit="1" customWidth="1"/>
    <col min="7" max="7" width="7.6640625" style="387" bestFit="1" customWidth="1"/>
    <col min="8" max="8" width="0.5546875" style="387" customWidth="1"/>
    <col min="9" max="9" width="10" style="387" bestFit="1" customWidth="1"/>
    <col min="10" max="10" width="7.6640625" style="387" bestFit="1" customWidth="1"/>
    <col min="11" max="11" width="0.5546875" style="387" customWidth="1"/>
    <col min="12" max="12" width="10" style="387" bestFit="1" customWidth="1"/>
    <col min="13" max="13" width="7.6640625" style="387" bestFit="1" customWidth="1"/>
    <col min="14" max="14" width="0.5546875" style="387" customWidth="1"/>
    <col min="15" max="15" width="10" style="387" bestFit="1" customWidth="1"/>
    <col min="16" max="16" width="7.6640625" style="387" bestFit="1" customWidth="1"/>
    <col min="17" max="17" width="0.5546875" style="387" customWidth="1"/>
    <col min="18" max="18" width="10" style="387" bestFit="1" customWidth="1"/>
    <col min="19" max="19" width="7.6640625" style="387" bestFit="1" customWidth="1"/>
    <col min="20" max="20" width="0.5546875" style="387" customWidth="1"/>
    <col min="21" max="21" width="10" style="387" bestFit="1" customWidth="1"/>
    <col min="22" max="22" width="7.6640625" style="387" bestFit="1" customWidth="1"/>
    <col min="23" max="23" width="0.5546875" style="387" customWidth="1"/>
    <col min="24" max="24" width="10" style="387" bestFit="1" customWidth="1"/>
    <col min="25" max="25" width="7.6640625" style="387" bestFit="1" customWidth="1"/>
    <col min="26" max="26" width="0.5546875" style="387" customWidth="1"/>
    <col min="27" max="27" width="10" style="387" bestFit="1" customWidth="1"/>
    <col min="28" max="28" width="7.6640625" style="387" bestFit="1" customWidth="1"/>
    <col min="29" max="29" width="0.5546875" style="387" customWidth="1"/>
    <col min="30" max="30" width="10" style="387" bestFit="1" customWidth="1"/>
    <col min="31" max="31" width="7.6640625" style="387" bestFit="1" customWidth="1"/>
    <col min="32" max="32" width="0.5546875" style="387" customWidth="1"/>
    <col min="33" max="33" width="10" style="387" bestFit="1" customWidth="1"/>
    <col min="34" max="34" width="7.6640625" style="387" bestFit="1" customWidth="1"/>
    <col min="35" max="16384" width="9.109375" style="387"/>
  </cols>
  <sheetData>
    <row r="1" spans="1:35" s="409" customFormat="1">
      <c r="A1" s="772" t="s">
        <v>0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  <c r="O1" s="772"/>
      <c r="P1" s="772"/>
      <c r="Q1" s="772"/>
      <c r="R1" s="772"/>
      <c r="S1" s="772"/>
      <c r="T1" s="772"/>
      <c r="U1" s="772"/>
      <c r="V1" s="772"/>
      <c r="W1" s="772"/>
      <c r="X1" s="772"/>
      <c r="Y1" s="772"/>
      <c r="Z1" s="772"/>
      <c r="AA1" s="772"/>
      <c r="AB1" s="772"/>
      <c r="AC1" s="772"/>
      <c r="AD1" s="772"/>
      <c r="AE1" s="772"/>
      <c r="AF1" s="772"/>
      <c r="AG1" s="772"/>
      <c r="AH1" s="772"/>
      <c r="AI1" s="772"/>
    </row>
    <row r="2" spans="1:35" s="409" customFormat="1">
      <c r="A2" s="773" t="s">
        <v>604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772"/>
      <c r="P2" s="772"/>
      <c r="Q2" s="772"/>
      <c r="R2" s="772"/>
      <c r="S2" s="772"/>
      <c r="T2" s="772"/>
      <c r="U2" s="772"/>
      <c r="V2" s="772"/>
      <c r="W2" s="772"/>
      <c r="X2" s="772"/>
      <c r="Y2" s="772"/>
      <c r="Z2" s="772"/>
      <c r="AA2" s="772"/>
      <c r="AB2" s="772"/>
      <c r="AC2" s="772"/>
      <c r="AD2" s="772"/>
      <c r="AE2" s="772"/>
      <c r="AF2" s="772"/>
      <c r="AG2" s="772"/>
      <c r="AH2" s="772"/>
      <c r="AI2" s="772"/>
    </row>
    <row r="3" spans="1:35" s="409" customFormat="1">
      <c r="A3" s="773" t="s">
        <v>643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  <c r="O3" s="772"/>
      <c r="P3" s="772"/>
      <c r="Q3" s="772"/>
      <c r="R3" s="772"/>
      <c r="S3" s="772"/>
      <c r="T3" s="772"/>
      <c r="U3" s="772"/>
      <c r="V3" s="772"/>
      <c r="W3" s="772"/>
      <c r="X3" s="772"/>
      <c r="Y3" s="772"/>
      <c r="Z3" s="772"/>
      <c r="AA3" s="772"/>
      <c r="AB3" s="772"/>
      <c r="AC3" s="772"/>
      <c r="AD3" s="772"/>
      <c r="AE3" s="772"/>
      <c r="AF3" s="772"/>
      <c r="AG3" s="772"/>
      <c r="AH3" s="772"/>
      <c r="AI3" s="772"/>
    </row>
    <row r="4" spans="1:35" s="409" customFormat="1">
      <c r="A4" s="772" t="s">
        <v>606</v>
      </c>
      <c r="B4" s="772"/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2"/>
      <c r="N4" s="772"/>
      <c r="O4" s="772"/>
      <c r="P4" s="772"/>
      <c r="Q4" s="772"/>
      <c r="R4" s="772"/>
      <c r="S4" s="772"/>
      <c r="T4" s="772"/>
      <c r="U4" s="772"/>
      <c r="V4" s="772"/>
      <c r="W4" s="772"/>
      <c r="X4" s="772"/>
      <c r="Y4" s="772"/>
      <c r="Z4" s="772"/>
      <c r="AA4" s="772"/>
      <c r="AB4" s="772"/>
      <c r="AC4" s="772"/>
      <c r="AD4" s="772"/>
      <c r="AE4" s="772"/>
      <c r="AF4" s="772"/>
      <c r="AG4" s="772"/>
      <c r="AH4" s="772"/>
      <c r="AI4" s="772"/>
    </row>
    <row r="5" spans="1:35" s="409" customFormat="1">
      <c r="F5" s="566"/>
      <c r="I5" s="450"/>
      <c r="L5" s="450"/>
      <c r="O5" s="450"/>
      <c r="R5" s="450"/>
      <c r="U5" s="450"/>
    </row>
    <row r="6" spans="1:35" s="567" customFormat="1">
      <c r="C6" s="399" t="s">
        <v>635</v>
      </c>
      <c r="D6" s="399"/>
      <c r="F6" s="776" t="s">
        <v>636</v>
      </c>
      <c r="G6" s="776"/>
      <c r="I6" s="776" t="s">
        <v>657</v>
      </c>
      <c r="J6" s="776"/>
      <c r="L6" s="776" t="s">
        <v>658</v>
      </c>
      <c r="M6" s="776"/>
      <c r="O6" s="776" t="s">
        <v>824</v>
      </c>
      <c r="P6" s="776"/>
      <c r="R6" s="776" t="s">
        <v>892</v>
      </c>
      <c r="S6" s="776"/>
      <c r="U6" s="776" t="s">
        <v>637</v>
      </c>
      <c r="V6" s="776"/>
      <c r="X6" s="776" t="s">
        <v>638</v>
      </c>
      <c r="Y6" s="776"/>
      <c r="AA6" s="776" t="s">
        <v>639</v>
      </c>
      <c r="AB6" s="776"/>
      <c r="AD6" s="776" t="s">
        <v>656</v>
      </c>
      <c r="AE6" s="776"/>
      <c r="AG6" s="776" t="s">
        <v>640</v>
      </c>
      <c r="AH6" s="776"/>
    </row>
    <row r="7" spans="1:35" s="409" customFormat="1" ht="11.4">
      <c r="A7" s="487" t="s">
        <v>28</v>
      </c>
      <c r="B7" s="487"/>
      <c r="C7" s="487" t="s">
        <v>839</v>
      </c>
      <c r="D7" s="487" t="s">
        <v>641</v>
      </c>
      <c r="F7" s="487" t="s">
        <v>642</v>
      </c>
      <c r="G7" s="487" t="s">
        <v>641</v>
      </c>
      <c r="I7" s="487" t="s">
        <v>642</v>
      </c>
      <c r="J7" s="487" t="s">
        <v>641</v>
      </c>
      <c r="L7" s="487" t="s">
        <v>642</v>
      </c>
      <c r="M7" s="487" t="s">
        <v>641</v>
      </c>
      <c r="O7" s="487" t="s">
        <v>642</v>
      </c>
      <c r="P7" s="487" t="s">
        <v>641</v>
      </c>
      <c r="R7" s="487" t="s">
        <v>642</v>
      </c>
      <c r="S7" s="487" t="s">
        <v>641</v>
      </c>
      <c r="U7" s="487" t="s">
        <v>642</v>
      </c>
      <c r="V7" s="487" t="s">
        <v>641</v>
      </c>
      <c r="X7" s="487" t="s">
        <v>642</v>
      </c>
      <c r="Y7" s="487" t="s">
        <v>641</v>
      </c>
      <c r="AA7" s="487" t="s">
        <v>642</v>
      </c>
      <c r="AB7" s="487" t="s">
        <v>641</v>
      </c>
      <c r="AD7" s="487" t="s">
        <v>642</v>
      </c>
      <c r="AE7" s="487" t="s">
        <v>641</v>
      </c>
      <c r="AG7" s="487" t="s">
        <v>642</v>
      </c>
      <c r="AH7" s="487" t="s">
        <v>641</v>
      </c>
    </row>
    <row r="8" spans="1:35">
      <c r="A8" s="386">
        <v>1</v>
      </c>
      <c r="B8" s="391" t="s">
        <v>648</v>
      </c>
      <c r="C8" s="569">
        <v>800</v>
      </c>
      <c r="D8" s="551"/>
      <c r="E8" s="529"/>
      <c r="F8" s="387">
        <f>+$C$8</f>
        <v>800</v>
      </c>
      <c r="G8" s="551"/>
      <c r="H8" s="434"/>
      <c r="I8" s="387">
        <f>+$C$8</f>
        <v>800</v>
      </c>
      <c r="J8" s="551"/>
      <c r="L8" s="387">
        <f>+$C$8</f>
        <v>800</v>
      </c>
      <c r="M8" s="551"/>
      <c r="O8" s="387">
        <f>+$C$8</f>
        <v>800</v>
      </c>
      <c r="P8" s="551"/>
      <c r="R8" s="387">
        <f>+$C$8</f>
        <v>800</v>
      </c>
      <c r="S8" s="551"/>
      <c r="U8" s="387">
        <f>+$C$8</f>
        <v>800</v>
      </c>
      <c r="V8" s="551"/>
      <c r="X8" s="387">
        <f>+$C$8</f>
        <v>800</v>
      </c>
      <c r="Y8" s="551"/>
      <c r="Z8" s="551"/>
      <c r="AA8" s="387">
        <f>+$C$8</f>
        <v>800</v>
      </c>
      <c r="AB8" s="551"/>
      <c r="AC8" s="551"/>
      <c r="AD8" s="387">
        <f>+$C$8</f>
        <v>800</v>
      </c>
      <c r="AE8" s="551"/>
      <c r="AG8" s="387">
        <f>+$C$8</f>
        <v>800</v>
      </c>
      <c r="AH8" s="551"/>
    </row>
    <row r="9" spans="1:35">
      <c r="A9" s="386">
        <f>+A8+1</f>
        <v>2</v>
      </c>
      <c r="C9" s="552"/>
      <c r="D9" s="551"/>
      <c r="E9" s="529"/>
      <c r="F9" s="552"/>
      <c r="G9" s="551"/>
      <c r="H9" s="434"/>
      <c r="I9" s="552"/>
      <c r="J9" s="551"/>
      <c r="L9" s="552"/>
      <c r="M9" s="551"/>
      <c r="O9" s="552"/>
      <c r="P9" s="551"/>
      <c r="R9" s="552"/>
      <c r="S9" s="551"/>
      <c r="U9" s="552"/>
      <c r="V9" s="551"/>
      <c r="X9" s="552"/>
      <c r="Y9" s="551"/>
      <c r="Z9" s="551"/>
      <c r="AA9" s="552"/>
      <c r="AB9" s="551"/>
      <c r="AC9" s="551"/>
      <c r="AD9" s="552"/>
      <c r="AE9" s="551"/>
      <c r="AG9" s="552"/>
      <c r="AH9" s="551"/>
    </row>
    <row r="10" spans="1:35">
      <c r="A10" s="386">
        <f t="shared" ref="A10:A41" si="0">+A9+1</f>
        <v>3</v>
      </c>
      <c r="B10" s="387" t="s">
        <v>644</v>
      </c>
      <c r="C10" s="552"/>
      <c r="D10" s="551"/>
      <c r="E10" s="529"/>
      <c r="F10" s="552"/>
      <c r="G10" s="551"/>
      <c r="H10" s="434"/>
      <c r="I10" s="552"/>
      <c r="J10" s="551"/>
      <c r="L10" s="552"/>
      <c r="M10" s="551"/>
      <c r="O10" s="552"/>
      <c r="P10" s="551"/>
      <c r="R10" s="552"/>
      <c r="S10" s="551"/>
      <c r="U10" s="552"/>
      <c r="V10" s="551"/>
      <c r="X10" s="552"/>
      <c r="Y10" s="551"/>
      <c r="Z10" s="551"/>
      <c r="AA10" s="552"/>
      <c r="AB10" s="551"/>
      <c r="AC10" s="551"/>
      <c r="AD10" s="552"/>
      <c r="AE10" s="551"/>
      <c r="AG10" s="552"/>
      <c r="AH10" s="551"/>
    </row>
    <row r="11" spans="1:35">
      <c r="A11" s="386">
        <f t="shared" si="0"/>
        <v>4</v>
      </c>
      <c r="B11" s="549" t="s">
        <v>649</v>
      </c>
      <c r="C11" s="570">
        <f>+'Res Bill RY#1'!Q17</f>
        <v>7.49</v>
      </c>
      <c r="D11" s="551">
        <f>C11</f>
        <v>7.49</v>
      </c>
      <c r="E11" s="528"/>
      <c r="F11" s="570">
        <f>+'Res Bill RY#1'!S17</f>
        <v>7.49</v>
      </c>
      <c r="G11" s="551">
        <f>F11</f>
        <v>7.49</v>
      </c>
      <c r="I11" s="561">
        <f>+$C$11</f>
        <v>7.49</v>
      </c>
      <c r="J11" s="551">
        <f>+$C$11</f>
        <v>7.49</v>
      </c>
      <c r="L11" s="561">
        <f>+$C$11</f>
        <v>7.49</v>
      </c>
      <c r="M11" s="551">
        <f>L11</f>
        <v>7.49</v>
      </c>
      <c r="O11" s="561">
        <f>+$C$11</f>
        <v>7.49</v>
      </c>
      <c r="P11" s="551">
        <f>O11</f>
        <v>7.49</v>
      </c>
      <c r="R11" s="561">
        <f>+$C$11</f>
        <v>7.49</v>
      </c>
      <c r="S11" s="551">
        <f>R11</f>
        <v>7.49</v>
      </c>
      <c r="U11" s="561">
        <f>+$C$11</f>
        <v>7.49</v>
      </c>
      <c r="V11" s="551">
        <f>U11</f>
        <v>7.49</v>
      </c>
      <c r="X11" s="561">
        <f>+$C$11</f>
        <v>7.49</v>
      </c>
      <c r="Y11" s="551">
        <f>X11</f>
        <v>7.49</v>
      </c>
      <c r="Z11" s="551"/>
      <c r="AA11" s="561">
        <f>+$C$11</f>
        <v>7.49</v>
      </c>
      <c r="AB11" s="551">
        <f>AA11</f>
        <v>7.49</v>
      </c>
      <c r="AC11" s="551"/>
      <c r="AD11" s="561">
        <f>+$C$11</f>
        <v>7.49</v>
      </c>
      <c r="AE11" s="551">
        <f>AD11</f>
        <v>7.49</v>
      </c>
      <c r="AG11" s="418">
        <f>+F11</f>
        <v>7.49</v>
      </c>
      <c r="AH11" s="551">
        <f>AG11</f>
        <v>7.49</v>
      </c>
    </row>
    <row r="12" spans="1:35">
      <c r="A12" s="386">
        <f t="shared" si="0"/>
        <v>5</v>
      </c>
      <c r="B12" s="553" t="s">
        <v>98</v>
      </c>
      <c r="C12" s="545"/>
      <c r="D12" s="554">
        <f>SUM(D11:D11)</f>
        <v>7.49</v>
      </c>
      <c r="E12" s="528"/>
      <c r="F12" s="545"/>
      <c r="G12" s="554">
        <f>SUM(G11:G11)</f>
        <v>7.49</v>
      </c>
      <c r="I12" s="545"/>
      <c r="J12" s="554">
        <f>SUM(J11:J11)</f>
        <v>7.49</v>
      </c>
      <c r="L12" s="545"/>
      <c r="M12" s="554">
        <f>SUM(M11:M11)</f>
        <v>7.49</v>
      </c>
      <c r="O12" s="545"/>
      <c r="P12" s="554">
        <f>SUM(P11:P11)</f>
        <v>7.49</v>
      </c>
      <c r="R12" s="545"/>
      <c r="S12" s="554">
        <f>SUM(S11:S11)</f>
        <v>7.49</v>
      </c>
      <c r="U12" s="545"/>
      <c r="V12" s="554">
        <f>SUM(V11:V11)</f>
        <v>7.49</v>
      </c>
      <c r="X12" s="545"/>
      <c r="Y12" s="554">
        <f>SUM(Y11:Y11)</f>
        <v>7.49</v>
      </c>
      <c r="Z12" s="545"/>
      <c r="AA12" s="545"/>
      <c r="AB12" s="554">
        <f>SUM(AB11:AB11)</f>
        <v>7.49</v>
      </c>
      <c r="AC12" s="545"/>
      <c r="AD12" s="545"/>
      <c r="AE12" s="554">
        <f>SUM(AE11:AE11)</f>
        <v>7.49</v>
      </c>
      <c r="AG12" s="554">
        <f>SUM(AG11:AG11)</f>
        <v>7.49</v>
      </c>
      <c r="AH12" s="554">
        <f>SUM(AH11:AH11)</f>
        <v>7.49</v>
      </c>
    </row>
    <row r="13" spans="1:35">
      <c r="A13" s="386">
        <f t="shared" si="0"/>
        <v>6</v>
      </c>
      <c r="C13" s="571"/>
      <c r="D13" s="551"/>
      <c r="E13" s="528"/>
      <c r="F13" s="418"/>
      <c r="G13" s="551"/>
      <c r="I13" s="418"/>
      <c r="J13" s="551"/>
      <c r="L13" s="418"/>
      <c r="M13" s="551"/>
      <c r="O13" s="418"/>
      <c r="P13" s="551"/>
      <c r="R13" s="418"/>
      <c r="S13" s="551"/>
      <c r="U13" s="418"/>
      <c r="V13" s="551"/>
      <c r="X13" s="418"/>
      <c r="Y13" s="551"/>
      <c r="Z13" s="551"/>
      <c r="AA13" s="418"/>
      <c r="AB13" s="551"/>
      <c r="AC13" s="551"/>
      <c r="AD13" s="418"/>
      <c r="AE13" s="551"/>
      <c r="AG13" s="418"/>
      <c r="AH13" s="551"/>
    </row>
    <row r="14" spans="1:35">
      <c r="A14" s="386">
        <f t="shared" si="0"/>
        <v>7</v>
      </c>
      <c r="B14" s="391" t="s">
        <v>655</v>
      </c>
      <c r="D14" s="551"/>
      <c r="E14" s="523"/>
      <c r="G14" s="551"/>
      <c r="J14" s="551"/>
      <c r="M14" s="551"/>
      <c r="P14" s="551"/>
      <c r="S14" s="551"/>
      <c r="V14" s="551"/>
      <c r="Y14" s="551"/>
      <c r="Z14" s="551"/>
      <c r="AB14" s="551"/>
      <c r="AC14" s="551"/>
      <c r="AE14" s="551"/>
      <c r="AH14" s="551"/>
    </row>
    <row r="15" spans="1:35">
      <c r="A15" s="386">
        <f t="shared" si="0"/>
        <v>8</v>
      </c>
      <c r="B15" s="549" t="s">
        <v>650</v>
      </c>
      <c r="C15" s="559">
        <f>+'Res Bill RY#1'!Q18</f>
        <v>9.1343999999999995E-2</v>
      </c>
      <c r="D15" s="551"/>
      <c r="E15" s="555"/>
      <c r="F15" s="559">
        <f>+'Res Bill RY#1'!S18</f>
        <v>8.9437000000000003E-2</v>
      </c>
      <c r="G15" s="551"/>
      <c r="I15" s="402">
        <f>+$C$15</f>
        <v>9.1343999999999995E-2</v>
      </c>
      <c r="J15" s="551"/>
      <c r="L15" s="402">
        <f>+$C$15</f>
        <v>9.1343999999999995E-2</v>
      </c>
      <c r="M15" s="551"/>
      <c r="O15" s="402">
        <f>+$C$15</f>
        <v>9.1343999999999995E-2</v>
      </c>
      <c r="P15" s="551"/>
      <c r="R15" s="402">
        <f>+$C$15</f>
        <v>9.1343999999999995E-2</v>
      </c>
      <c r="S15" s="551"/>
      <c r="U15" s="402">
        <f>+$C$15</f>
        <v>9.1343999999999995E-2</v>
      </c>
      <c r="V15" s="551"/>
      <c r="X15" s="402">
        <f>+$C$15</f>
        <v>9.1343999999999995E-2</v>
      </c>
      <c r="Y15" s="551"/>
      <c r="Z15" s="551"/>
      <c r="AA15" s="402">
        <f>+$C$15</f>
        <v>9.1343999999999995E-2</v>
      </c>
      <c r="AB15" s="551"/>
      <c r="AC15" s="551"/>
      <c r="AD15" s="402">
        <f>+$C$15</f>
        <v>9.1343999999999995E-2</v>
      </c>
      <c r="AE15" s="551"/>
      <c r="AG15" s="402">
        <f>+F15</f>
        <v>8.9437000000000003E-2</v>
      </c>
      <c r="AH15" s="551"/>
    </row>
    <row r="16" spans="1:35">
      <c r="A16" s="386">
        <f t="shared" si="0"/>
        <v>9</v>
      </c>
      <c r="B16" s="549" t="s">
        <v>651</v>
      </c>
      <c r="C16" s="559">
        <f>+'Res Bill RY#1'!Q19</f>
        <v>0.111175</v>
      </c>
      <c r="D16" s="551"/>
      <c r="E16" s="555"/>
      <c r="F16" s="559">
        <f>+'Res Bill RY#1'!S19</f>
        <v>0.10885400000000001</v>
      </c>
      <c r="G16" s="551"/>
      <c r="I16" s="402">
        <f>+$C$16</f>
        <v>0.111175</v>
      </c>
      <c r="J16" s="551"/>
      <c r="L16" s="402">
        <f>+$C$16</f>
        <v>0.111175</v>
      </c>
      <c r="M16" s="551"/>
      <c r="O16" s="402">
        <f>+$C$16</f>
        <v>0.111175</v>
      </c>
      <c r="P16" s="551"/>
      <c r="R16" s="402">
        <f>+$C$16</f>
        <v>0.111175</v>
      </c>
      <c r="S16" s="551"/>
      <c r="U16" s="402">
        <f>+$C$16</f>
        <v>0.111175</v>
      </c>
      <c r="V16" s="551"/>
      <c r="X16" s="402">
        <f>+$C$16</f>
        <v>0.111175</v>
      </c>
      <c r="Y16" s="551"/>
      <c r="Z16" s="551"/>
      <c r="AA16" s="402">
        <f>+$C$16</f>
        <v>0.111175</v>
      </c>
      <c r="AB16" s="551"/>
      <c r="AC16" s="551"/>
      <c r="AD16" s="402">
        <f>+$C$16</f>
        <v>0.111175</v>
      </c>
      <c r="AE16" s="551"/>
      <c r="AG16" s="402">
        <f>+F16</f>
        <v>0.10885400000000001</v>
      </c>
      <c r="AH16" s="551"/>
    </row>
    <row r="17" spans="1:34">
      <c r="A17" s="386">
        <f t="shared" si="0"/>
        <v>10</v>
      </c>
      <c r="B17" s="549"/>
      <c r="C17" s="559"/>
      <c r="D17" s="551"/>
      <c r="E17" s="555"/>
      <c r="F17" s="556"/>
      <c r="G17" s="551"/>
      <c r="I17" s="556"/>
      <c r="J17" s="551"/>
      <c r="L17" s="556"/>
      <c r="M17" s="551"/>
      <c r="O17" s="556"/>
      <c r="P17" s="551"/>
      <c r="R17" s="556"/>
      <c r="S17" s="551"/>
      <c r="U17" s="556"/>
      <c r="V17" s="551"/>
      <c r="X17" s="556"/>
      <c r="Y17" s="551"/>
      <c r="Z17" s="551"/>
      <c r="AA17" s="556"/>
      <c r="AB17" s="551"/>
      <c r="AC17" s="551"/>
      <c r="AD17" s="556"/>
      <c r="AE17" s="551"/>
      <c r="AG17" s="556"/>
      <c r="AH17" s="551"/>
    </row>
    <row r="18" spans="1:34">
      <c r="A18" s="386">
        <f t="shared" si="0"/>
        <v>11</v>
      </c>
      <c r="B18" s="546" t="s">
        <v>474</v>
      </c>
      <c r="C18" s="559">
        <f>+'Res Bill RY#1'!Q23</f>
        <v>3.3142467321893932E-3</v>
      </c>
      <c r="D18" s="551"/>
      <c r="E18" s="555"/>
      <c r="F18" s="402">
        <f>+C18</f>
        <v>3.3142467321893932E-3</v>
      </c>
      <c r="G18" s="551"/>
      <c r="I18" s="559">
        <v>0</v>
      </c>
      <c r="J18" s="551"/>
      <c r="L18" s="402">
        <f>+$C18</f>
        <v>3.3142467321893932E-3</v>
      </c>
      <c r="M18" s="551"/>
      <c r="O18" s="402">
        <f t="shared" ref="O18:O33" si="1">+$C18</f>
        <v>3.3142467321893932E-3</v>
      </c>
      <c r="P18" s="551"/>
      <c r="R18" s="402">
        <f t="shared" ref="R18:R24" si="2">+$C18</f>
        <v>3.3142467321893932E-3</v>
      </c>
      <c r="S18" s="551"/>
      <c r="U18" s="402">
        <f t="shared" ref="U18:U26" si="3">+$C18</f>
        <v>3.3142467321893932E-3</v>
      </c>
      <c r="V18" s="551"/>
      <c r="X18" s="402">
        <f t="shared" ref="X18:X27" si="4">+$C18</f>
        <v>3.3142467321893932E-3</v>
      </c>
      <c r="Y18" s="551"/>
      <c r="Z18" s="551"/>
      <c r="AA18" s="402">
        <f t="shared" ref="AA18:AA28" si="5">+$C18</f>
        <v>3.3142467321893932E-3</v>
      </c>
      <c r="AB18" s="551"/>
      <c r="AC18" s="551"/>
      <c r="AD18" s="402">
        <f t="shared" ref="AD18:AD31" si="6">+$C18</f>
        <v>3.3142467321893932E-3</v>
      </c>
      <c r="AE18" s="551"/>
      <c r="AG18" s="402">
        <f>+I18</f>
        <v>0</v>
      </c>
      <c r="AH18" s="551"/>
    </row>
    <row r="19" spans="1:34">
      <c r="A19" s="386">
        <f t="shared" si="0"/>
        <v>12</v>
      </c>
      <c r="B19" s="546" t="s">
        <v>184</v>
      </c>
      <c r="C19" s="559">
        <f>+'Res Bill RY#1'!Q24</f>
        <v>2.1346263238885407E-3</v>
      </c>
      <c r="D19" s="551"/>
      <c r="E19" s="555"/>
      <c r="F19" s="402">
        <f t="shared" ref="F19:F33" si="7">+C19</f>
        <v>2.1346263238885407E-3</v>
      </c>
      <c r="G19" s="551"/>
      <c r="I19" s="402">
        <f>+$C19</f>
        <v>2.1346263238885407E-3</v>
      </c>
      <c r="J19" s="551"/>
      <c r="L19" s="559">
        <v>0</v>
      </c>
      <c r="M19" s="551"/>
      <c r="O19" s="402">
        <f t="shared" si="1"/>
        <v>2.1346263238885407E-3</v>
      </c>
      <c r="P19" s="551"/>
      <c r="R19" s="402">
        <f t="shared" si="2"/>
        <v>2.1346263238885407E-3</v>
      </c>
      <c r="S19" s="551"/>
      <c r="U19" s="402">
        <f t="shared" si="3"/>
        <v>2.1346263238885407E-3</v>
      </c>
      <c r="V19" s="551"/>
      <c r="X19" s="402">
        <f t="shared" si="4"/>
        <v>2.1346263238885407E-3</v>
      </c>
      <c r="Y19" s="551"/>
      <c r="Z19" s="551"/>
      <c r="AA19" s="402">
        <f t="shared" si="5"/>
        <v>2.1346263238885407E-3</v>
      </c>
      <c r="AB19" s="551"/>
      <c r="AC19" s="551"/>
      <c r="AD19" s="402">
        <f t="shared" si="6"/>
        <v>2.1346263238885407E-3</v>
      </c>
      <c r="AE19" s="551"/>
      <c r="AG19" s="402">
        <f>+L19</f>
        <v>0</v>
      </c>
      <c r="AH19" s="551"/>
    </row>
    <row r="20" spans="1:34">
      <c r="A20" s="386">
        <f t="shared" si="0"/>
        <v>13</v>
      </c>
      <c r="B20" s="546" t="s">
        <v>183</v>
      </c>
      <c r="C20" s="559">
        <f>+'Res Bill RY#1'!Q25</f>
        <v>-1.3910000000000001E-3</v>
      </c>
      <c r="D20" s="551"/>
      <c r="E20" s="555"/>
      <c r="F20" s="402">
        <f t="shared" si="7"/>
        <v>-1.3910000000000001E-3</v>
      </c>
      <c r="G20" s="551"/>
      <c r="I20" s="402">
        <f t="shared" ref="I20:I33" si="8">+$C20</f>
        <v>-1.3910000000000001E-3</v>
      </c>
      <c r="J20" s="551"/>
      <c r="L20" s="402">
        <f t="shared" ref="L20:L33" si="9">+$C20</f>
        <v>-1.3910000000000001E-3</v>
      </c>
      <c r="M20" s="551"/>
      <c r="O20" s="402">
        <f t="shared" si="1"/>
        <v>-1.3910000000000001E-3</v>
      </c>
      <c r="P20" s="551"/>
      <c r="R20" s="402">
        <f t="shared" si="2"/>
        <v>-1.3910000000000001E-3</v>
      </c>
      <c r="S20" s="551"/>
      <c r="U20" s="402">
        <f t="shared" si="3"/>
        <v>-1.3910000000000001E-3</v>
      </c>
      <c r="V20" s="551"/>
      <c r="X20" s="402">
        <f t="shared" si="4"/>
        <v>-1.3910000000000001E-3</v>
      </c>
      <c r="Y20" s="551"/>
      <c r="Z20" s="551"/>
      <c r="AA20" s="402">
        <f t="shared" si="5"/>
        <v>-1.3910000000000001E-3</v>
      </c>
      <c r="AB20" s="551"/>
      <c r="AC20" s="551"/>
      <c r="AD20" s="402">
        <f t="shared" si="6"/>
        <v>-1.3910000000000001E-3</v>
      </c>
      <c r="AE20" s="551"/>
      <c r="AG20" s="402">
        <f>+C20</f>
        <v>-1.3910000000000001E-3</v>
      </c>
      <c r="AH20" s="551"/>
    </row>
    <row r="21" spans="1:34">
      <c r="A21" s="386">
        <f t="shared" si="0"/>
        <v>14</v>
      </c>
      <c r="B21" s="546" t="s">
        <v>182</v>
      </c>
      <c r="C21" s="559">
        <f>+'Res Bill RY#1'!Q26</f>
        <v>3.8249999999999998E-3</v>
      </c>
      <c r="D21" s="551"/>
      <c r="E21" s="555"/>
      <c r="F21" s="402">
        <f t="shared" si="7"/>
        <v>3.8249999999999998E-3</v>
      </c>
      <c r="G21" s="551"/>
      <c r="I21" s="402">
        <f t="shared" si="8"/>
        <v>3.8249999999999998E-3</v>
      </c>
      <c r="J21" s="551"/>
      <c r="L21" s="402">
        <f t="shared" si="9"/>
        <v>3.8249999999999998E-3</v>
      </c>
      <c r="M21" s="551"/>
      <c r="O21" s="402">
        <f t="shared" si="1"/>
        <v>3.8249999999999998E-3</v>
      </c>
      <c r="P21" s="551"/>
      <c r="R21" s="402">
        <f t="shared" si="2"/>
        <v>3.8249999999999998E-3</v>
      </c>
      <c r="S21" s="551"/>
      <c r="U21" s="402">
        <f t="shared" si="3"/>
        <v>3.8249999999999998E-3</v>
      </c>
      <c r="V21" s="551"/>
      <c r="X21" s="402">
        <f t="shared" si="4"/>
        <v>3.8249999999999998E-3</v>
      </c>
      <c r="Y21" s="551"/>
      <c r="Z21" s="551"/>
      <c r="AA21" s="402">
        <f t="shared" si="5"/>
        <v>3.8249999999999998E-3</v>
      </c>
      <c r="AB21" s="551"/>
      <c r="AC21" s="551"/>
      <c r="AD21" s="402">
        <f t="shared" si="6"/>
        <v>3.8249999999999998E-3</v>
      </c>
      <c r="AE21" s="551"/>
      <c r="AG21" s="402">
        <f>+C21</f>
        <v>3.8249999999999998E-3</v>
      </c>
      <c r="AH21" s="551"/>
    </row>
    <row r="22" spans="1:34">
      <c r="A22" s="386">
        <f t="shared" si="0"/>
        <v>15</v>
      </c>
      <c r="B22" s="546" t="s">
        <v>158</v>
      </c>
      <c r="C22" s="559">
        <f>+'Res Bill RY#1'!Q27</f>
        <v>1.3519999999999999E-3</v>
      </c>
      <c r="D22" s="551"/>
      <c r="E22" s="555"/>
      <c r="F22" s="402">
        <f t="shared" si="7"/>
        <v>1.3519999999999999E-3</v>
      </c>
      <c r="G22" s="551"/>
      <c r="I22" s="402">
        <f t="shared" si="8"/>
        <v>1.3519999999999999E-3</v>
      </c>
      <c r="J22" s="551"/>
      <c r="L22" s="402">
        <f t="shared" si="9"/>
        <v>1.3519999999999999E-3</v>
      </c>
      <c r="M22" s="551"/>
      <c r="O22" s="402">
        <f t="shared" si="1"/>
        <v>1.3519999999999999E-3</v>
      </c>
      <c r="P22" s="551"/>
      <c r="R22" s="402">
        <f t="shared" si="2"/>
        <v>1.3519999999999999E-3</v>
      </c>
      <c r="S22" s="551"/>
      <c r="U22" s="402">
        <f t="shared" si="3"/>
        <v>1.3519999999999999E-3</v>
      </c>
      <c r="V22" s="551"/>
      <c r="X22" s="402">
        <f t="shared" si="4"/>
        <v>1.3519999999999999E-3</v>
      </c>
      <c r="Y22" s="551"/>
      <c r="Z22" s="551"/>
      <c r="AA22" s="402">
        <f t="shared" si="5"/>
        <v>1.3519999999999999E-3</v>
      </c>
      <c r="AB22" s="551"/>
      <c r="AC22" s="551"/>
      <c r="AD22" s="402">
        <f t="shared" si="6"/>
        <v>1.3519999999999999E-3</v>
      </c>
      <c r="AE22" s="551"/>
      <c r="AG22" s="402">
        <f>+C22</f>
        <v>1.3519999999999999E-3</v>
      </c>
      <c r="AH22" s="551"/>
    </row>
    <row r="23" spans="1:34">
      <c r="A23" s="386">
        <f t="shared" si="0"/>
        <v>16</v>
      </c>
      <c r="B23" s="547" t="s">
        <v>180</v>
      </c>
      <c r="C23" s="559">
        <f>+'Res Bill RY#1'!Q28</f>
        <v>-2.0999999999999999E-5</v>
      </c>
      <c r="D23" s="551"/>
      <c r="E23" s="555"/>
      <c r="F23" s="402">
        <f t="shared" si="7"/>
        <v>-2.0999999999999999E-5</v>
      </c>
      <c r="G23" s="551"/>
      <c r="I23" s="402">
        <f t="shared" si="8"/>
        <v>-2.0999999999999999E-5</v>
      </c>
      <c r="J23" s="551"/>
      <c r="L23" s="402">
        <f t="shared" si="9"/>
        <v>-2.0999999999999999E-5</v>
      </c>
      <c r="M23" s="551"/>
      <c r="O23" s="402">
        <f t="shared" si="1"/>
        <v>-2.0999999999999999E-5</v>
      </c>
      <c r="P23" s="551"/>
      <c r="R23" s="402">
        <f t="shared" si="2"/>
        <v>-2.0999999999999999E-5</v>
      </c>
      <c r="S23" s="551"/>
      <c r="U23" s="402">
        <f t="shared" si="3"/>
        <v>-2.0999999999999999E-5</v>
      </c>
      <c r="V23" s="551"/>
      <c r="X23" s="402">
        <f t="shared" si="4"/>
        <v>-2.0999999999999999E-5</v>
      </c>
      <c r="Y23" s="551"/>
      <c r="Z23" s="551"/>
      <c r="AA23" s="402">
        <f t="shared" si="5"/>
        <v>-2.0999999999999999E-5</v>
      </c>
      <c r="AB23" s="551"/>
      <c r="AC23" s="551"/>
      <c r="AD23" s="402">
        <f t="shared" si="6"/>
        <v>-2.0999999999999999E-5</v>
      </c>
      <c r="AE23" s="551"/>
      <c r="AG23" s="402">
        <f>+C23</f>
        <v>-2.0999999999999999E-5</v>
      </c>
      <c r="AH23" s="551"/>
    </row>
    <row r="24" spans="1:34">
      <c r="A24" s="386">
        <f t="shared" si="0"/>
        <v>17</v>
      </c>
      <c r="B24" s="546" t="s">
        <v>165</v>
      </c>
      <c r="C24" s="559">
        <f>+'Res Bill RY#1'!Q29</f>
        <v>3.0720000000000001E-3</v>
      </c>
      <c r="D24" s="551"/>
      <c r="E24" s="555"/>
      <c r="F24" s="402">
        <f t="shared" si="7"/>
        <v>3.0720000000000001E-3</v>
      </c>
      <c r="G24" s="551"/>
      <c r="I24" s="402">
        <f t="shared" si="8"/>
        <v>3.0720000000000001E-3</v>
      </c>
      <c r="J24" s="551"/>
      <c r="L24" s="402">
        <f t="shared" si="9"/>
        <v>3.0720000000000001E-3</v>
      </c>
      <c r="M24" s="551"/>
      <c r="O24" s="402">
        <f t="shared" si="1"/>
        <v>3.0720000000000001E-3</v>
      </c>
      <c r="P24" s="551"/>
      <c r="R24" s="402">
        <f t="shared" si="2"/>
        <v>3.0720000000000001E-3</v>
      </c>
      <c r="S24" s="551"/>
      <c r="U24" s="402">
        <f t="shared" si="3"/>
        <v>3.0720000000000001E-3</v>
      </c>
      <c r="V24" s="551"/>
      <c r="X24" s="402">
        <f t="shared" si="4"/>
        <v>3.0720000000000001E-3</v>
      </c>
      <c r="Y24" s="551"/>
      <c r="Z24" s="551"/>
      <c r="AA24" s="402">
        <f t="shared" si="5"/>
        <v>3.0720000000000001E-3</v>
      </c>
      <c r="AB24" s="551"/>
      <c r="AC24" s="551"/>
      <c r="AD24" s="402">
        <f t="shared" si="6"/>
        <v>3.0720000000000001E-3</v>
      </c>
      <c r="AE24" s="551"/>
      <c r="AG24" s="402">
        <f>+C24</f>
        <v>3.0720000000000001E-3</v>
      </c>
      <c r="AH24" s="551"/>
    </row>
    <row r="25" spans="1:34">
      <c r="A25" s="386">
        <f t="shared" si="0"/>
        <v>18</v>
      </c>
      <c r="B25" s="546" t="str">
        <f>'Res Bill RY#1'!P30</f>
        <v>Schedule 141A -  Sch 139 Energy Charge Credit Recovery</v>
      </c>
      <c r="C25" s="559">
        <f>+'Res Bill RY#1'!Q30</f>
        <v>0</v>
      </c>
      <c r="D25" s="551"/>
      <c r="E25" s="555"/>
      <c r="F25" s="402">
        <f t="shared" ref="F25" si="10">+C25</f>
        <v>0</v>
      </c>
      <c r="G25" s="551"/>
      <c r="I25" s="402">
        <f t="shared" si="8"/>
        <v>0</v>
      </c>
      <c r="J25" s="551"/>
      <c r="L25" s="402">
        <f t="shared" si="9"/>
        <v>0</v>
      </c>
      <c r="M25" s="551"/>
      <c r="O25" s="559">
        <f>+'Res Bill RY#1'!S30</f>
        <v>1.828E-3</v>
      </c>
      <c r="P25" s="551"/>
      <c r="R25" s="402">
        <f t="shared" ref="R25:R33" si="11">+$C25</f>
        <v>0</v>
      </c>
      <c r="S25" s="551"/>
      <c r="U25" s="402">
        <f t="shared" si="3"/>
        <v>0</v>
      </c>
      <c r="V25" s="551"/>
      <c r="X25" s="402">
        <f t="shared" si="4"/>
        <v>0</v>
      </c>
      <c r="Y25" s="551"/>
      <c r="Z25" s="551"/>
      <c r="AA25" s="402">
        <f t="shared" si="5"/>
        <v>0</v>
      </c>
      <c r="AB25" s="551"/>
      <c r="AC25" s="551"/>
      <c r="AD25" s="402">
        <f t="shared" si="6"/>
        <v>0</v>
      </c>
      <c r="AE25" s="551"/>
      <c r="AG25" s="402">
        <f>+O25</f>
        <v>1.828E-3</v>
      </c>
      <c r="AH25" s="551"/>
    </row>
    <row r="26" spans="1:34">
      <c r="A26" s="386">
        <f t="shared" si="0"/>
        <v>19</v>
      </c>
      <c r="B26" s="548" t="s">
        <v>890</v>
      </c>
      <c r="C26" s="559">
        <f>+'Res Bill RY#1'!Q31</f>
        <v>0</v>
      </c>
      <c r="D26" s="551"/>
      <c r="E26" s="555"/>
      <c r="F26" s="402">
        <f t="shared" si="7"/>
        <v>0</v>
      </c>
      <c r="G26" s="551"/>
      <c r="I26" s="402">
        <f t="shared" si="8"/>
        <v>0</v>
      </c>
      <c r="J26" s="551"/>
      <c r="L26" s="402">
        <f t="shared" si="9"/>
        <v>0</v>
      </c>
      <c r="M26" s="551"/>
      <c r="O26" s="402">
        <f t="shared" ref="O26" si="12">+$C26</f>
        <v>0</v>
      </c>
      <c r="P26" s="551"/>
      <c r="R26" s="559">
        <f>+'Res Bill RY#1'!S31</f>
        <v>2.6689999999999999E-3</v>
      </c>
      <c r="S26" s="551"/>
      <c r="U26" s="402">
        <f t="shared" si="3"/>
        <v>0</v>
      </c>
      <c r="V26" s="551"/>
      <c r="X26" s="402">
        <f t="shared" si="4"/>
        <v>0</v>
      </c>
      <c r="Y26" s="551"/>
      <c r="Z26" s="551"/>
      <c r="AA26" s="402">
        <f t="shared" si="5"/>
        <v>0</v>
      </c>
      <c r="AB26" s="551"/>
      <c r="AC26" s="551"/>
      <c r="AD26" s="402">
        <f t="shared" si="6"/>
        <v>0</v>
      </c>
      <c r="AE26" s="551"/>
      <c r="AG26" s="402">
        <f>+R26</f>
        <v>2.6689999999999999E-3</v>
      </c>
      <c r="AH26" s="551"/>
    </row>
    <row r="27" spans="1:34">
      <c r="A27" s="386">
        <f t="shared" si="0"/>
        <v>20</v>
      </c>
      <c r="B27" s="548" t="s">
        <v>501</v>
      </c>
      <c r="C27" s="559">
        <f>+'Res Bill RY#1'!Q32</f>
        <v>0</v>
      </c>
      <c r="D27" s="551"/>
      <c r="E27" s="555"/>
      <c r="F27" s="402">
        <f t="shared" si="7"/>
        <v>0</v>
      </c>
      <c r="G27" s="551"/>
      <c r="I27" s="402">
        <f t="shared" si="8"/>
        <v>0</v>
      </c>
      <c r="J27" s="551"/>
      <c r="L27" s="402">
        <f t="shared" si="9"/>
        <v>0</v>
      </c>
      <c r="M27" s="551"/>
      <c r="O27" s="402">
        <f t="shared" si="1"/>
        <v>0</v>
      </c>
      <c r="P27" s="551"/>
      <c r="R27" s="402">
        <f t="shared" si="11"/>
        <v>0</v>
      </c>
      <c r="S27" s="551"/>
      <c r="U27" s="559">
        <f>+'Res Bill RY#1'!S32</f>
        <v>1.2668E-2</v>
      </c>
      <c r="V27" s="551"/>
      <c r="X27" s="402">
        <f t="shared" si="4"/>
        <v>0</v>
      </c>
      <c r="Y27" s="551"/>
      <c r="Z27" s="551"/>
      <c r="AA27" s="402">
        <f t="shared" si="5"/>
        <v>0</v>
      </c>
      <c r="AB27" s="551"/>
      <c r="AC27" s="551"/>
      <c r="AD27" s="402">
        <f t="shared" si="6"/>
        <v>0</v>
      </c>
      <c r="AE27" s="551"/>
      <c r="AG27" s="402">
        <f>+U27</f>
        <v>1.2668E-2</v>
      </c>
      <c r="AH27" s="551"/>
    </row>
    <row r="28" spans="1:34">
      <c r="A28" s="386">
        <f t="shared" si="0"/>
        <v>21</v>
      </c>
      <c r="B28" s="549" t="s">
        <v>502</v>
      </c>
      <c r="C28" s="559">
        <f>+'Res Bill RY#1'!Q33</f>
        <v>0</v>
      </c>
      <c r="D28" s="551"/>
      <c r="E28" s="523"/>
      <c r="F28" s="402">
        <f t="shared" si="7"/>
        <v>0</v>
      </c>
      <c r="G28" s="551"/>
      <c r="I28" s="402">
        <f t="shared" si="8"/>
        <v>0</v>
      </c>
      <c r="L28" s="402">
        <f t="shared" si="9"/>
        <v>0</v>
      </c>
      <c r="O28" s="402">
        <f t="shared" si="1"/>
        <v>0</v>
      </c>
      <c r="R28" s="402">
        <f t="shared" si="11"/>
        <v>0</v>
      </c>
      <c r="U28" s="402">
        <f t="shared" ref="U28:U33" si="13">+$C28</f>
        <v>0</v>
      </c>
      <c r="X28" s="559">
        <f>+'Res Bill RY#1'!S33</f>
        <v>2.3679999999999999E-3</v>
      </c>
      <c r="AA28" s="402">
        <f t="shared" si="5"/>
        <v>0</v>
      </c>
      <c r="AD28" s="402">
        <f t="shared" si="6"/>
        <v>0</v>
      </c>
      <c r="AG28" s="402">
        <f>+X28</f>
        <v>2.3679999999999999E-3</v>
      </c>
    </row>
    <row r="29" spans="1:34">
      <c r="A29" s="386">
        <f t="shared" si="0"/>
        <v>22</v>
      </c>
      <c r="B29" s="546" t="s">
        <v>503</v>
      </c>
      <c r="C29" s="559">
        <f>+'Res Bill RY#1'!Q34</f>
        <v>8.4999999999999995E-4</v>
      </c>
      <c r="D29" s="551"/>
      <c r="E29" s="555"/>
      <c r="F29" s="402">
        <f t="shared" si="7"/>
        <v>8.4999999999999995E-4</v>
      </c>
      <c r="G29" s="551"/>
      <c r="I29" s="402">
        <f t="shared" si="8"/>
        <v>8.4999999999999995E-4</v>
      </c>
      <c r="J29" s="551"/>
      <c r="L29" s="402">
        <f t="shared" si="9"/>
        <v>8.4999999999999995E-4</v>
      </c>
      <c r="M29" s="551"/>
      <c r="O29" s="402">
        <f t="shared" si="1"/>
        <v>8.4999999999999995E-4</v>
      </c>
      <c r="P29" s="551"/>
      <c r="R29" s="402">
        <f t="shared" si="11"/>
        <v>8.4999999999999995E-4</v>
      </c>
      <c r="S29" s="551"/>
      <c r="U29" s="402">
        <f t="shared" si="13"/>
        <v>8.4999999999999995E-4</v>
      </c>
      <c r="V29" s="551"/>
      <c r="X29" s="402">
        <f t="shared" ref="X29:X33" si="14">+$C29</f>
        <v>8.4999999999999995E-4</v>
      </c>
      <c r="Y29" s="551"/>
      <c r="Z29" s="551"/>
      <c r="AA29" s="559">
        <v>0</v>
      </c>
      <c r="AB29" s="551"/>
      <c r="AC29" s="551"/>
      <c r="AD29" s="402">
        <f t="shared" si="6"/>
        <v>8.4999999999999995E-4</v>
      </c>
      <c r="AE29" s="551"/>
      <c r="AG29" s="402">
        <f>+AA29</f>
        <v>0</v>
      </c>
      <c r="AH29" s="551"/>
    </row>
    <row r="30" spans="1:34">
      <c r="A30" s="386">
        <f t="shared" si="0"/>
        <v>23</v>
      </c>
      <c r="B30" s="546" t="s">
        <v>504</v>
      </c>
      <c r="C30" s="559">
        <f>+'Res Bill RY#1'!Q35</f>
        <v>-8.8400000000000002E-4</v>
      </c>
      <c r="D30" s="551"/>
      <c r="E30" s="555"/>
      <c r="F30" s="402">
        <f t="shared" si="7"/>
        <v>-8.8400000000000002E-4</v>
      </c>
      <c r="G30" s="551"/>
      <c r="I30" s="402">
        <f t="shared" si="8"/>
        <v>-8.8400000000000002E-4</v>
      </c>
      <c r="J30" s="551"/>
      <c r="L30" s="402">
        <f t="shared" si="9"/>
        <v>-8.8400000000000002E-4</v>
      </c>
      <c r="M30" s="551"/>
      <c r="O30" s="402">
        <f t="shared" si="1"/>
        <v>-8.8400000000000002E-4</v>
      </c>
      <c r="P30" s="551"/>
      <c r="R30" s="402">
        <f t="shared" si="11"/>
        <v>-8.8400000000000002E-4</v>
      </c>
      <c r="S30" s="551"/>
      <c r="U30" s="402">
        <f t="shared" si="13"/>
        <v>-8.8400000000000002E-4</v>
      </c>
      <c r="V30" s="551"/>
      <c r="X30" s="402">
        <f t="shared" si="14"/>
        <v>-8.8400000000000002E-4</v>
      </c>
      <c r="Y30" s="551"/>
      <c r="Z30" s="551"/>
      <c r="AA30" s="402">
        <f t="shared" ref="AA30:AA33" si="15">+$C30</f>
        <v>-8.8400000000000002E-4</v>
      </c>
      <c r="AB30" s="551"/>
      <c r="AC30" s="551"/>
      <c r="AD30" s="402">
        <f t="shared" si="6"/>
        <v>-8.8400000000000002E-4</v>
      </c>
      <c r="AE30" s="551"/>
      <c r="AG30" s="402">
        <f t="shared" ref="AG30:AG31" si="16">+AD30</f>
        <v>-8.8400000000000002E-4</v>
      </c>
      <c r="AH30" s="551"/>
    </row>
    <row r="31" spans="1:34">
      <c r="A31" s="386">
        <f t="shared" si="0"/>
        <v>24</v>
      </c>
      <c r="B31" s="546" t="s">
        <v>168</v>
      </c>
      <c r="C31" s="559">
        <f>+'Res Bill RY#1'!Q36</f>
        <v>-4.17E-4</v>
      </c>
      <c r="D31" s="551"/>
      <c r="E31" s="555"/>
      <c r="F31" s="402">
        <f t="shared" si="7"/>
        <v>-4.17E-4</v>
      </c>
      <c r="G31" s="551"/>
      <c r="I31" s="402">
        <f t="shared" si="8"/>
        <v>-4.17E-4</v>
      </c>
      <c r="J31" s="551"/>
      <c r="L31" s="402">
        <f t="shared" si="9"/>
        <v>-4.17E-4</v>
      </c>
      <c r="M31" s="551"/>
      <c r="O31" s="402">
        <f t="shared" si="1"/>
        <v>-4.17E-4</v>
      </c>
      <c r="P31" s="551"/>
      <c r="R31" s="402">
        <f t="shared" si="11"/>
        <v>-4.17E-4</v>
      </c>
      <c r="S31" s="551"/>
      <c r="U31" s="402">
        <f t="shared" si="13"/>
        <v>-4.17E-4</v>
      </c>
      <c r="V31" s="551"/>
      <c r="X31" s="402">
        <f t="shared" si="14"/>
        <v>-4.17E-4</v>
      </c>
      <c r="Y31" s="551"/>
      <c r="Z31" s="551"/>
      <c r="AA31" s="402">
        <f t="shared" si="15"/>
        <v>-4.17E-4</v>
      </c>
      <c r="AB31" s="551"/>
      <c r="AC31" s="551"/>
      <c r="AD31" s="402">
        <f t="shared" si="6"/>
        <v>-4.17E-4</v>
      </c>
      <c r="AE31" s="551"/>
      <c r="AG31" s="402">
        <f t="shared" si="16"/>
        <v>-4.17E-4</v>
      </c>
      <c r="AH31" s="551"/>
    </row>
    <row r="32" spans="1:34">
      <c r="A32" s="386">
        <f t="shared" si="0"/>
        <v>25</v>
      </c>
      <c r="B32" s="546" t="s">
        <v>475</v>
      </c>
      <c r="C32" s="559">
        <f>+'Res Bill RY#1'!Q37</f>
        <v>3.1400000000000004E-4</v>
      </c>
      <c r="D32" s="551"/>
      <c r="E32" s="555"/>
      <c r="F32" s="402">
        <f t="shared" si="7"/>
        <v>3.1400000000000004E-4</v>
      </c>
      <c r="G32" s="551"/>
      <c r="I32" s="402">
        <f t="shared" si="8"/>
        <v>3.1400000000000004E-4</v>
      </c>
      <c r="J32" s="551"/>
      <c r="L32" s="402">
        <f t="shared" si="9"/>
        <v>3.1400000000000004E-4</v>
      </c>
      <c r="M32" s="551"/>
      <c r="O32" s="402">
        <f t="shared" si="1"/>
        <v>3.1400000000000004E-4</v>
      </c>
      <c r="P32" s="551"/>
      <c r="R32" s="402">
        <f t="shared" si="11"/>
        <v>3.1400000000000004E-4</v>
      </c>
      <c r="S32" s="551"/>
      <c r="U32" s="402">
        <f t="shared" si="13"/>
        <v>3.1400000000000004E-4</v>
      </c>
      <c r="V32" s="551"/>
      <c r="X32" s="402">
        <f t="shared" si="14"/>
        <v>3.1400000000000004E-4</v>
      </c>
      <c r="Y32" s="551"/>
      <c r="Z32" s="551"/>
      <c r="AA32" s="402">
        <f t="shared" si="15"/>
        <v>3.1400000000000004E-4</v>
      </c>
      <c r="AB32" s="551"/>
      <c r="AC32" s="551"/>
      <c r="AD32" s="559">
        <v>0</v>
      </c>
      <c r="AE32" s="551"/>
      <c r="AG32" s="402">
        <f>+AD32</f>
        <v>0</v>
      </c>
      <c r="AH32" s="551"/>
    </row>
    <row r="33" spans="1:34">
      <c r="A33" s="386">
        <f t="shared" si="0"/>
        <v>26</v>
      </c>
      <c r="B33" s="546" t="s">
        <v>179</v>
      </c>
      <c r="C33" s="559">
        <f>+'Res Bill RY#1'!Q38</f>
        <v>-6.689136E-3</v>
      </c>
      <c r="D33" s="551"/>
      <c r="E33" s="555"/>
      <c r="F33" s="402">
        <f t="shared" si="7"/>
        <v>-6.689136E-3</v>
      </c>
      <c r="G33" s="551"/>
      <c r="I33" s="402">
        <f t="shared" si="8"/>
        <v>-6.689136E-3</v>
      </c>
      <c r="J33" s="551"/>
      <c r="L33" s="402">
        <f t="shared" si="9"/>
        <v>-6.689136E-3</v>
      </c>
      <c r="M33" s="551"/>
      <c r="O33" s="402">
        <f t="shared" si="1"/>
        <v>-6.689136E-3</v>
      </c>
      <c r="P33" s="551"/>
      <c r="R33" s="402">
        <f t="shared" si="11"/>
        <v>-6.689136E-3</v>
      </c>
      <c r="S33" s="551"/>
      <c r="U33" s="402">
        <f t="shared" si="13"/>
        <v>-6.689136E-3</v>
      </c>
      <c r="V33" s="551"/>
      <c r="X33" s="402">
        <f t="shared" si="14"/>
        <v>-6.689136E-3</v>
      </c>
      <c r="Y33" s="551"/>
      <c r="Z33" s="551"/>
      <c r="AA33" s="402">
        <f t="shared" si="15"/>
        <v>-6.689136E-3</v>
      </c>
      <c r="AB33" s="551"/>
      <c r="AC33" s="551"/>
      <c r="AD33" s="402">
        <f>+$C33</f>
        <v>-6.689136E-3</v>
      </c>
      <c r="AE33" s="551"/>
      <c r="AG33" s="402">
        <f t="shared" ref="AG33" si="17">+AD33</f>
        <v>-6.689136E-3</v>
      </c>
      <c r="AH33" s="551"/>
    </row>
    <row r="34" spans="1:34">
      <c r="A34" s="386">
        <f t="shared" si="0"/>
        <v>27</v>
      </c>
      <c r="B34" s="539"/>
      <c r="C34" s="550"/>
      <c r="D34" s="551"/>
      <c r="E34" s="555"/>
      <c r="F34" s="550"/>
      <c r="G34" s="551"/>
      <c r="I34" s="550"/>
      <c r="J34" s="551"/>
      <c r="L34" s="550"/>
      <c r="M34" s="551"/>
      <c r="O34" s="550"/>
      <c r="P34" s="551"/>
      <c r="R34" s="550"/>
      <c r="S34" s="551"/>
      <c r="U34" s="550"/>
      <c r="V34" s="551"/>
      <c r="X34" s="550"/>
      <c r="Y34" s="551"/>
      <c r="Z34" s="551"/>
      <c r="AA34" s="550"/>
      <c r="AB34" s="551"/>
      <c r="AC34" s="551"/>
      <c r="AD34" s="550"/>
      <c r="AE34" s="551"/>
      <c r="AG34" s="550"/>
      <c r="AH34" s="551"/>
    </row>
    <row r="35" spans="1:34">
      <c r="A35" s="386">
        <f t="shared" si="0"/>
        <v>28</v>
      </c>
      <c r="B35" s="560" t="s">
        <v>652</v>
      </c>
      <c r="C35" s="402">
        <f>SUM(C15,C18:C33)</f>
        <v>9.6803737056077949E-2</v>
      </c>
      <c r="D35" s="561">
        <f>ROUND(IF(C8&lt;600,C8*C35,600*C35),2)</f>
        <v>58.08</v>
      </c>
      <c r="E35" s="477"/>
      <c r="F35" s="402">
        <f>SUM(F15,F18:F33)</f>
        <v>9.4896737056077957E-2</v>
      </c>
      <c r="G35" s="561">
        <f>ROUND(IF(F8&lt;600,F8*F35,600*F35),2)</f>
        <v>56.94</v>
      </c>
      <c r="I35" s="402">
        <f>SUM(I15,I18:I33)</f>
        <v>9.3489490323888549E-2</v>
      </c>
      <c r="J35" s="561">
        <f>ROUND(IF(I8&lt;600,I8*I35,600*I35),2)</f>
        <v>56.09</v>
      </c>
      <c r="L35" s="402">
        <f>SUM(L15,L18:L33)</f>
        <v>9.4669110732189407E-2</v>
      </c>
      <c r="M35" s="561">
        <f>ROUND(IF(L8&lt;600,L8*L35,600*L35),2)</f>
        <v>56.8</v>
      </c>
      <c r="O35" s="402">
        <f>SUM(O15,O18:O33)</f>
        <v>9.8631737056077945E-2</v>
      </c>
      <c r="P35" s="561">
        <f>ROUND(IF(O8&lt;600,O8*O35,600*O35),2)</f>
        <v>59.18</v>
      </c>
      <c r="R35" s="402">
        <f>SUM(R15,R18:R33)</f>
        <v>9.9472737056077953E-2</v>
      </c>
      <c r="S35" s="561">
        <f>ROUND(IF(R8&lt;600,R8*R35,600*R35),2)</f>
        <v>59.68</v>
      </c>
      <c r="U35" s="402">
        <f>SUM(U15,U18:U33)</f>
        <v>0.10947173705607795</v>
      </c>
      <c r="V35" s="561">
        <f>ROUND(IF(U8&lt;600,U8*U35,600*U35),2)</f>
        <v>65.680000000000007</v>
      </c>
      <c r="X35" s="402">
        <f>SUM(X15,X18:X33)</f>
        <v>9.9171737056077944E-2</v>
      </c>
      <c r="Y35" s="561">
        <f>ROUND(IF(X8&lt;600,X8*X35,600*X35),2)</f>
        <v>59.5</v>
      </c>
      <c r="Z35" s="561"/>
      <c r="AA35" s="402">
        <f>SUM(AA15,AA18:AA33)</f>
        <v>9.5953737056077945E-2</v>
      </c>
      <c r="AB35" s="561">
        <f>ROUND(IF(AA8&lt;600,AA8*AA35,600*AA35),2)</f>
        <v>57.57</v>
      </c>
      <c r="AC35" s="561"/>
      <c r="AD35" s="402">
        <f>SUM(AD15,AD18:AD33)</f>
        <v>9.6489737056077954E-2</v>
      </c>
      <c r="AE35" s="561">
        <f>ROUND(IF(AD8&lt;600,AD8*AD35,600*AD35),2)</f>
        <v>57.89</v>
      </c>
      <c r="AG35" s="402">
        <f>SUM(AG15,AG18:AG33)</f>
        <v>0.10781686400000001</v>
      </c>
      <c r="AH35" s="561">
        <f>ROUND(IF(AG8&lt;600,AG8*AG35,600*AG35),2)</f>
        <v>64.69</v>
      </c>
    </row>
    <row r="36" spans="1:34">
      <c r="A36" s="386">
        <f t="shared" si="0"/>
        <v>29</v>
      </c>
      <c r="B36" s="560" t="s">
        <v>653</v>
      </c>
      <c r="C36" s="402">
        <f>SUM(C16,C18:C33)</f>
        <v>0.11663473705607795</v>
      </c>
      <c r="D36" s="551">
        <f>ROUND(IF(C8&lt;600,0,(C8-600)*C36),2)</f>
        <v>23.33</v>
      </c>
      <c r="E36" s="477"/>
      <c r="F36" s="402">
        <f>SUM(F16,F18:F33)</f>
        <v>0.11431373705607796</v>
      </c>
      <c r="G36" s="551">
        <f>ROUND(IF(F8&lt;600,0,(F8-600)*F36),2)</f>
        <v>22.86</v>
      </c>
      <c r="I36" s="402">
        <f>SUM(I16,I18:I33)</f>
        <v>0.11332049032388855</v>
      </c>
      <c r="J36" s="551">
        <f>ROUND(IF(I8&lt;600,0,(I8-600)*I36),2)</f>
        <v>22.66</v>
      </c>
      <c r="L36" s="402">
        <f>SUM(L16,L18:L33)</f>
        <v>0.11450011073218941</v>
      </c>
      <c r="M36" s="551">
        <f>ROUND(IF(L8&lt;600,0,(L8-600)*L36),2)</f>
        <v>22.9</v>
      </c>
      <c r="O36" s="402">
        <f>SUM(O16,O18:O33)</f>
        <v>0.11846273705607795</v>
      </c>
      <c r="P36" s="551">
        <f>ROUND(IF(O8&lt;600,0,(O8-600)*O36),2)</f>
        <v>23.69</v>
      </c>
      <c r="R36" s="402">
        <f>SUM(R16,R18:R33)</f>
        <v>0.11930373705607795</v>
      </c>
      <c r="S36" s="551">
        <f>ROUND(IF(R8&lt;600,0,(R8-600)*R36),2)</f>
        <v>23.86</v>
      </c>
      <c r="U36" s="402">
        <f>SUM(U16,U18:U33)</f>
        <v>0.12930273705607795</v>
      </c>
      <c r="V36" s="551">
        <f>ROUND(IF(U8&lt;600,0,(U8-600)*U36),2)</f>
        <v>25.86</v>
      </c>
      <c r="X36" s="402">
        <f>SUM(X16,X18:X33)</f>
        <v>0.11900273705607796</v>
      </c>
      <c r="Y36" s="551">
        <f>ROUND(IF(X8&lt;600,0,(X8-600)*X36),2)</f>
        <v>23.8</v>
      </c>
      <c r="Z36" s="561"/>
      <c r="AA36" s="402">
        <f>SUM(AA16,AA18:AA33)</f>
        <v>0.11578473705607795</v>
      </c>
      <c r="AB36" s="551">
        <f>ROUND(IF(AA8&lt;600,0,(AA8-600)*AA36),2)</f>
        <v>23.16</v>
      </c>
      <c r="AC36" s="561"/>
      <c r="AD36" s="402">
        <f>SUM(AD16,AD18:AD33)</f>
        <v>0.11632073705607796</v>
      </c>
      <c r="AE36" s="551">
        <f>ROUND(IF(AD8&lt;600,0,(AD8-600)*AD36),2)</f>
        <v>23.26</v>
      </c>
      <c r="AG36" s="402">
        <f>SUM(AG16,AG18:AG33)</f>
        <v>0.12723386400000003</v>
      </c>
      <c r="AH36" s="551">
        <f>ROUND(IF(AG8&lt;600,0,(AG8-600)*AG36),2)</f>
        <v>25.45</v>
      </c>
    </row>
    <row r="37" spans="1:34">
      <c r="A37" s="386">
        <f t="shared" si="0"/>
        <v>30</v>
      </c>
      <c r="B37" s="553" t="s">
        <v>654</v>
      </c>
      <c r="D37" s="554">
        <f>SUM(D35:D36)</f>
        <v>81.41</v>
      </c>
      <c r="E37" s="523"/>
      <c r="G37" s="554">
        <f>SUM(G35:G36)</f>
        <v>79.8</v>
      </c>
      <c r="J37" s="554">
        <f>SUM(J35:J36)</f>
        <v>78.75</v>
      </c>
      <c r="M37" s="554">
        <f>SUM(M35:M36)</f>
        <v>79.699999999999989</v>
      </c>
      <c r="P37" s="554">
        <f>SUM(P35:P36)</f>
        <v>82.87</v>
      </c>
      <c r="S37" s="554">
        <f>SUM(S35:S36)</f>
        <v>83.539999999999992</v>
      </c>
      <c r="V37" s="554">
        <f>SUM(V35:V36)</f>
        <v>91.54</v>
      </c>
      <c r="Y37" s="554">
        <f>SUM(Y35:Y36)</f>
        <v>83.3</v>
      </c>
      <c r="Z37" s="551"/>
      <c r="AB37" s="554">
        <f>SUM(AB35:AB36)</f>
        <v>80.73</v>
      </c>
      <c r="AC37" s="551"/>
      <c r="AE37" s="554">
        <f>SUM(AE35:AE36)</f>
        <v>81.150000000000006</v>
      </c>
      <c r="AH37" s="554">
        <f>SUM(AH35:AH36)</f>
        <v>90.14</v>
      </c>
    </row>
    <row r="38" spans="1:34">
      <c r="A38" s="386">
        <f t="shared" si="0"/>
        <v>31</v>
      </c>
      <c r="D38" s="545"/>
      <c r="E38" s="523"/>
      <c r="G38" s="551"/>
      <c r="J38" s="551"/>
      <c r="M38" s="551"/>
      <c r="P38" s="551"/>
      <c r="S38" s="551"/>
      <c r="V38" s="551"/>
      <c r="Y38" s="551"/>
      <c r="Z38" s="551"/>
      <c r="AB38" s="551"/>
      <c r="AC38" s="551"/>
      <c r="AE38" s="551"/>
      <c r="AH38" s="551"/>
    </row>
    <row r="39" spans="1:34">
      <c r="A39" s="386">
        <f t="shared" si="0"/>
        <v>32</v>
      </c>
      <c r="B39" s="387" t="s">
        <v>645</v>
      </c>
      <c r="C39" s="418"/>
      <c r="D39" s="551">
        <f>D12+D37</f>
        <v>88.899999999999991</v>
      </c>
      <c r="E39" s="545"/>
      <c r="F39" s="418"/>
      <c r="G39" s="551">
        <f>G12+G37</f>
        <v>87.289999999999992</v>
      </c>
      <c r="I39" s="418"/>
      <c r="J39" s="551">
        <f>J12+J37</f>
        <v>86.24</v>
      </c>
      <c r="L39" s="418"/>
      <c r="M39" s="551">
        <f>M12+M37</f>
        <v>87.189999999999984</v>
      </c>
      <c r="O39" s="418"/>
      <c r="P39" s="551">
        <f>P12+P37</f>
        <v>90.36</v>
      </c>
      <c r="R39" s="418"/>
      <c r="S39" s="551">
        <f>S12+S37</f>
        <v>91.029999999999987</v>
      </c>
      <c r="U39" s="418"/>
      <c r="V39" s="551">
        <f>V12+V37</f>
        <v>99.03</v>
      </c>
      <c r="X39" s="418"/>
      <c r="Y39" s="551">
        <f>Y12+Y37</f>
        <v>90.789999999999992</v>
      </c>
      <c r="Z39" s="551"/>
      <c r="AA39" s="418"/>
      <c r="AB39" s="551">
        <f>AB12+AB37</f>
        <v>88.22</v>
      </c>
      <c r="AC39" s="551"/>
      <c r="AD39" s="418"/>
      <c r="AE39" s="551">
        <f>AE12+AE37</f>
        <v>88.64</v>
      </c>
      <c r="AG39" s="418"/>
      <c r="AH39" s="551">
        <f>AH12+AH37</f>
        <v>97.63</v>
      </c>
    </row>
    <row r="40" spans="1:34">
      <c r="A40" s="386">
        <f t="shared" si="0"/>
        <v>33</v>
      </c>
      <c r="B40" s="387" t="s">
        <v>646</v>
      </c>
      <c r="C40" s="418"/>
      <c r="D40" s="551"/>
      <c r="E40" s="545"/>
      <c r="F40" s="418"/>
      <c r="G40" s="551">
        <f>G39-$D39</f>
        <v>-1.6099999999999994</v>
      </c>
      <c r="I40" s="418"/>
      <c r="J40" s="551">
        <f>J39-$D39</f>
        <v>-2.6599999999999966</v>
      </c>
      <c r="L40" s="418"/>
      <c r="M40" s="551">
        <f>M39-$D39</f>
        <v>-1.710000000000008</v>
      </c>
      <c r="O40" s="418"/>
      <c r="P40" s="551">
        <f>P39-$D39</f>
        <v>1.460000000000008</v>
      </c>
      <c r="R40" s="418"/>
      <c r="S40" s="551">
        <f>S39-$D39</f>
        <v>2.1299999999999955</v>
      </c>
      <c r="U40" s="418"/>
      <c r="V40" s="551">
        <f>V39-$D39</f>
        <v>10.13000000000001</v>
      </c>
      <c r="X40" s="418"/>
      <c r="Y40" s="551">
        <f>Y39-$D39</f>
        <v>1.8900000000000006</v>
      </c>
      <c r="Z40" s="551"/>
      <c r="AA40" s="418"/>
      <c r="AB40" s="551">
        <f>AB39-$D39</f>
        <v>-0.67999999999999261</v>
      </c>
      <c r="AC40" s="551"/>
      <c r="AD40" s="418"/>
      <c r="AE40" s="551">
        <f>AE39-$D39</f>
        <v>-0.25999999999999091</v>
      </c>
      <c r="AG40" s="418"/>
      <c r="AH40" s="551">
        <f>AH39-$D39</f>
        <v>8.730000000000004</v>
      </c>
    </row>
    <row r="41" spans="1:34">
      <c r="A41" s="386">
        <f t="shared" si="0"/>
        <v>34</v>
      </c>
      <c r="B41" s="387" t="s">
        <v>647</v>
      </c>
      <c r="C41" s="435"/>
      <c r="D41" s="435"/>
      <c r="E41" s="447"/>
      <c r="F41" s="435"/>
      <c r="G41" s="453">
        <f>G40/$D39</f>
        <v>-1.8110236220472437E-2</v>
      </c>
      <c r="I41" s="435"/>
      <c r="J41" s="453">
        <f>J40/$D39</f>
        <v>-2.992125984251965E-2</v>
      </c>
      <c r="L41" s="435"/>
      <c r="M41" s="453">
        <f>M40/$D39</f>
        <v>-1.923509561304846E-2</v>
      </c>
      <c r="O41" s="435"/>
      <c r="P41" s="453">
        <f>P40/$D39</f>
        <v>1.6422947131608641E-2</v>
      </c>
      <c r="R41" s="435"/>
      <c r="S41" s="453">
        <f>S40/$D39</f>
        <v>2.3959505061867219E-2</v>
      </c>
      <c r="U41" s="435"/>
      <c r="V41" s="453">
        <f>V40/$D39</f>
        <v>0.11394825646794163</v>
      </c>
      <c r="X41" s="435"/>
      <c r="Y41" s="453">
        <f>Y40/$D39</f>
        <v>2.1259842519685049E-2</v>
      </c>
      <c r="Z41" s="453"/>
      <c r="AA41" s="435"/>
      <c r="AB41" s="453">
        <f>AB40/$D39</f>
        <v>-7.6490438695162285E-3</v>
      </c>
      <c r="AC41" s="453"/>
      <c r="AD41" s="435"/>
      <c r="AE41" s="453">
        <f>AE40/$D39</f>
        <v>-2.9246344206973109E-3</v>
      </c>
      <c r="AG41" s="435"/>
      <c r="AH41" s="453">
        <f>AH40/$D39</f>
        <v>9.8200224971878566E-2</v>
      </c>
    </row>
    <row r="42" spans="1:34">
      <c r="D42" s="551"/>
      <c r="E42" s="523"/>
    </row>
    <row r="43" spans="1:34" ht="11.4">
      <c r="B43" s="391" t="s">
        <v>841</v>
      </c>
      <c r="E43" s="523"/>
    </row>
    <row r="45" spans="1:34">
      <c r="B45" s="397"/>
    </row>
  </sheetData>
  <mergeCells count="14">
    <mergeCell ref="AA6:AB6"/>
    <mergeCell ref="AD6:AE6"/>
    <mergeCell ref="AG6:AH6"/>
    <mergeCell ref="A1:AI1"/>
    <mergeCell ref="A2:AI2"/>
    <mergeCell ref="A3:AI3"/>
    <mergeCell ref="A4:AI4"/>
    <mergeCell ref="F6:G6"/>
    <mergeCell ref="I6:J6"/>
    <mergeCell ref="L6:M6"/>
    <mergeCell ref="R6:S6"/>
    <mergeCell ref="U6:V6"/>
    <mergeCell ref="X6:Y6"/>
    <mergeCell ref="O6:P6"/>
  </mergeCells>
  <pageMargins left="0.7" right="0.7" top="0.75" bottom="0.75" header="0.3" footer="0.3"/>
  <pageSetup scale="43" orientation="landscape" r:id="rId1"/>
  <headerFooter>
    <oddFooter>&amp;L&amp;A&amp;RExhibit No.___(BDJ-7)
Page &amp;P of &amp;N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T45"/>
  <sheetViews>
    <sheetView workbookViewId="0">
      <pane xSplit="4" ySplit="7" topLeftCell="E8" activePane="bottomRight" state="frozen"/>
      <selection activeCell="F7" sqref="F7:F62"/>
      <selection pane="topRight" activeCell="F7" sqref="F7:F62"/>
      <selection pane="bottomLeft" activeCell="F7" sqref="F7:F62"/>
      <selection pane="bottomRight" activeCell="B26" sqref="B26"/>
    </sheetView>
  </sheetViews>
  <sheetFormatPr defaultColWidth="9.109375" defaultRowHeight="10.199999999999999"/>
  <cols>
    <col min="1" max="1" width="4.88671875" style="387" customWidth="1"/>
    <col min="2" max="2" width="53.109375" style="387" bestFit="1" customWidth="1"/>
    <col min="3" max="3" width="12.88671875" style="387" bestFit="1" customWidth="1"/>
    <col min="4" max="4" width="9.109375" style="387" bestFit="1" customWidth="1"/>
    <col min="5" max="5" width="1" style="387" customWidth="1"/>
    <col min="6" max="6" width="12.88671875" style="387" bestFit="1" customWidth="1"/>
    <col min="7" max="7" width="9.109375" style="387" bestFit="1" customWidth="1"/>
    <col min="8" max="8" width="1" style="387" customWidth="1"/>
    <col min="9" max="9" width="12.88671875" style="387" bestFit="1" customWidth="1"/>
    <col min="10" max="10" width="9.109375" style="387" bestFit="1" customWidth="1"/>
    <col min="11" max="11" width="1" style="387" customWidth="1"/>
    <col min="12" max="12" width="12.88671875" style="387" bestFit="1" customWidth="1"/>
    <col min="13" max="13" width="8.6640625" style="387" bestFit="1" customWidth="1"/>
    <col min="14" max="14" width="1" style="387" customWidth="1"/>
    <col min="15" max="15" width="12.88671875" style="387" bestFit="1" customWidth="1"/>
    <col min="16" max="16" width="9.88671875" style="387" bestFit="1" customWidth="1"/>
    <col min="17" max="17" width="1" style="387" customWidth="1"/>
    <col min="18" max="18" width="12.88671875" style="387" bestFit="1" customWidth="1"/>
    <col min="19" max="19" width="9.6640625" style="387" bestFit="1" customWidth="1"/>
    <col min="20" max="16384" width="9.109375" style="387"/>
  </cols>
  <sheetData>
    <row r="1" spans="1:20" s="409" customFormat="1">
      <c r="A1" s="772" t="s">
        <v>0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  <c r="O1" s="772"/>
      <c r="P1" s="772"/>
      <c r="Q1" s="772"/>
      <c r="R1" s="772"/>
      <c r="S1" s="772"/>
      <c r="T1" s="772"/>
    </row>
    <row r="2" spans="1:20" s="409" customFormat="1">
      <c r="A2" s="773" t="s">
        <v>604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772"/>
      <c r="P2" s="772"/>
      <c r="Q2" s="772"/>
      <c r="R2" s="772"/>
      <c r="S2" s="772"/>
      <c r="T2" s="772"/>
    </row>
    <row r="3" spans="1:20" s="409" customFormat="1">
      <c r="A3" s="773" t="s">
        <v>659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  <c r="O3" s="772"/>
      <c r="P3" s="772"/>
      <c r="Q3" s="772"/>
      <c r="R3" s="772"/>
      <c r="S3" s="772"/>
      <c r="T3" s="772"/>
    </row>
    <row r="4" spans="1:20" s="409" customFormat="1">
      <c r="A4" s="773" t="s">
        <v>607</v>
      </c>
      <c r="B4" s="772"/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2"/>
      <c r="N4" s="772"/>
      <c r="O4" s="772"/>
      <c r="P4" s="772"/>
      <c r="Q4" s="772"/>
      <c r="R4" s="772"/>
      <c r="S4" s="772"/>
      <c r="T4" s="772"/>
    </row>
    <row r="5" spans="1:20" s="409" customFormat="1">
      <c r="F5" s="450"/>
      <c r="I5" s="450"/>
      <c r="L5" s="450"/>
    </row>
    <row r="6" spans="1:20" s="409" customFormat="1">
      <c r="C6" s="565" t="s">
        <v>635</v>
      </c>
      <c r="D6" s="565"/>
      <c r="F6" s="565" t="s">
        <v>824</v>
      </c>
      <c r="G6" s="565"/>
      <c r="I6" s="565" t="s">
        <v>892</v>
      </c>
      <c r="J6" s="565"/>
      <c r="L6" s="565" t="s">
        <v>637</v>
      </c>
      <c r="M6" s="565"/>
      <c r="O6" s="565" t="s">
        <v>638</v>
      </c>
      <c r="P6" s="565"/>
      <c r="R6" s="565" t="s">
        <v>640</v>
      </c>
      <c r="S6" s="565"/>
    </row>
    <row r="7" spans="1:20" s="409" customFormat="1" ht="11.4">
      <c r="A7" s="487" t="s">
        <v>28</v>
      </c>
      <c r="B7" s="487"/>
      <c r="C7" s="487" t="s">
        <v>839</v>
      </c>
      <c r="D7" s="487" t="s">
        <v>641</v>
      </c>
      <c r="F7" s="487" t="s">
        <v>642</v>
      </c>
      <c r="G7" s="487" t="s">
        <v>641</v>
      </c>
      <c r="I7" s="487" t="s">
        <v>642</v>
      </c>
      <c r="J7" s="487" t="s">
        <v>641</v>
      </c>
      <c r="L7" s="487" t="s">
        <v>642</v>
      </c>
      <c r="M7" s="487" t="s">
        <v>641</v>
      </c>
      <c r="O7" s="487" t="s">
        <v>642</v>
      </c>
      <c r="P7" s="487" t="s">
        <v>641</v>
      </c>
      <c r="R7" s="487" t="s">
        <v>642</v>
      </c>
      <c r="S7" s="487" t="s">
        <v>641</v>
      </c>
    </row>
    <row r="8" spans="1:20">
      <c r="A8" s="386">
        <v>1</v>
      </c>
      <c r="B8" s="391" t="s">
        <v>648</v>
      </c>
      <c r="C8" s="388">
        <f>+'Typical Res Bill RY#1'!C8</f>
        <v>800</v>
      </c>
      <c r="D8" s="551"/>
      <c r="E8" s="529"/>
      <c r="F8" s="387">
        <f>+$C$8</f>
        <v>800</v>
      </c>
      <c r="G8" s="551"/>
      <c r="H8" s="529"/>
      <c r="I8" s="387">
        <f>+$C$8</f>
        <v>800</v>
      </c>
      <c r="J8" s="551"/>
      <c r="L8" s="387">
        <f>+$C$8</f>
        <v>800</v>
      </c>
      <c r="M8" s="551"/>
      <c r="O8" s="387">
        <f>+$C$8</f>
        <v>800</v>
      </c>
      <c r="P8" s="551"/>
      <c r="R8" s="388">
        <f>+$C$8</f>
        <v>800</v>
      </c>
      <c r="S8" s="551"/>
    </row>
    <row r="9" spans="1:20">
      <c r="A9" s="386">
        <f>+A8+1</f>
        <v>2</v>
      </c>
      <c r="C9" s="552"/>
      <c r="D9" s="551"/>
      <c r="E9" s="529"/>
      <c r="F9" s="552"/>
      <c r="G9" s="551"/>
      <c r="H9" s="529"/>
      <c r="I9" s="552"/>
      <c r="J9" s="551"/>
      <c r="L9" s="552"/>
      <c r="M9" s="551"/>
      <c r="O9" s="552"/>
      <c r="P9" s="551"/>
      <c r="R9" s="552"/>
      <c r="S9" s="551"/>
    </row>
    <row r="10" spans="1:20">
      <c r="A10" s="386">
        <f t="shared" ref="A10:A41" si="0">+A9+1</f>
        <v>3</v>
      </c>
      <c r="B10" s="387" t="s">
        <v>644</v>
      </c>
      <c r="C10" s="552"/>
      <c r="D10" s="551"/>
      <c r="E10" s="529"/>
      <c r="F10" s="552"/>
      <c r="G10" s="551"/>
      <c r="H10" s="529"/>
      <c r="I10" s="552"/>
      <c r="J10" s="551"/>
      <c r="L10" s="552"/>
      <c r="M10" s="551"/>
      <c r="O10" s="552"/>
      <c r="P10" s="551"/>
      <c r="R10" s="552"/>
      <c r="S10" s="551"/>
    </row>
    <row r="11" spans="1:20">
      <c r="A11" s="386">
        <f t="shared" si="0"/>
        <v>4</v>
      </c>
      <c r="B11" s="549" t="s">
        <v>649</v>
      </c>
      <c r="C11" s="545">
        <f>+'Typical Res Bill RY#1'!AG11</f>
        <v>7.49</v>
      </c>
      <c r="D11" s="551">
        <f>C11</f>
        <v>7.49</v>
      </c>
      <c r="E11" s="528"/>
      <c r="F11" s="545">
        <f>+$C$11</f>
        <v>7.49</v>
      </c>
      <c r="G11" s="551">
        <f>F11</f>
        <v>7.49</v>
      </c>
      <c r="H11" s="528"/>
      <c r="I11" s="545">
        <f>+$C$11</f>
        <v>7.49</v>
      </c>
      <c r="J11" s="551">
        <f>I11</f>
        <v>7.49</v>
      </c>
      <c r="L11" s="545">
        <f>+$C$11</f>
        <v>7.49</v>
      </c>
      <c r="M11" s="551">
        <f>L11</f>
        <v>7.49</v>
      </c>
      <c r="O11" s="545">
        <f>+$C$11</f>
        <v>7.49</v>
      </c>
      <c r="P11" s="551">
        <f>O11</f>
        <v>7.49</v>
      </c>
      <c r="R11" s="545">
        <f>+$C$11</f>
        <v>7.49</v>
      </c>
      <c r="S11" s="551">
        <f>R11</f>
        <v>7.49</v>
      </c>
    </row>
    <row r="12" spans="1:20">
      <c r="A12" s="386">
        <f t="shared" si="0"/>
        <v>5</v>
      </c>
      <c r="B12" s="553" t="s">
        <v>98</v>
      </c>
      <c r="C12" s="545"/>
      <c r="D12" s="554">
        <f>SUM(D11:D11)</f>
        <v>7.49</v>
      </c>
      <c r="E12" s="528"/>
      <c r="F12" s="545"/>
      <c r="G12" s="554">
        <f>SUM(G11:G11)</f>
        <v>7.49</v>
      </c>
      <c r="H12" s="528"/>
      <c r="I12" s="545"/>
      <c r="J12" s="554">
        <f>SUM(J11:J11)</f>
        <v>7.49</v>
      </c>
      <c r="L12" s="545"/>
      <c r="M12" s="554">
        <f>SUM(M11:M11)</f>
        <v>7.49</v>
      </c>
      <c r="O12" s="545"/>
      <c r="P12" s="554">
        <f>SUM(P11:P11)</f>
        <v>7.49</v>
      </c>
      <c r="R12" s="545"/>
      <c r="S12" s="554">
        <f>SUM(S11:S11)</f>
        <v>7.49</v>
      </c>
    </row>
    <row r="13" spans="1:20">
      <c r="A13" s="386">
        <f t="shared" si="0"/>
        <v>6</v>
      </c>
      <c r="C13" s="418"/>
      <c r="D13" s="551"/>
      <c r="E13" s="528"/>
      <c r="F13" s="418"/>
      <c r="G13" s="551"/>
      <c r="H13" s="528"/>
      <c r="I13" s="418"/>
      <c r="J13" s="551"/>
      <c r="L13" s="418"/>
      <c r="M13" s="551"/>
      <c r="O13" s="418"/>
      <c r="P13" s="551"/>
      <c r="R13" s="418"/>
      <c r="S13" s="551"/>
    </row>
    <row r="14" spans="1:20">
      <c r="A14" s="386">
        <f t="shared" si="0"/>
        <v>7</v>
      </c>
      <c r="B14" s="391" t="s">
        <v>655</v>
      </c>
      <c r="D14" s="551"/>
      <c r="E14" s="523"/>
      <c r="G14" s="551"/>
      <c r="H14" s="523"/>
      <c r="J14" s="551"/>
      <c r="M14" s="551"/>
      <c r="P14" s="551"/>
      <c r="S14" s="551"/>
    </row>
    <row r="15" spans="1:20">
      <c r="A15" s="386">
        <f t="shared" si="0"/>
        <v>8</v>
      </c>
      <c r="B15" s="549" t="s">
        <v>650</v>
      </c>
      <c r="C15" s="402">
        <f>+'Typical Res Bill RY#1'!AG15</f>
        <v>8.9437000000000003E-2</v>
      </c>
      <c r="D15" s="551"/>
      <c r="E15" s="555"/>
      <c r="F15" s="402">
        <f>+$C$15</f>
        <v>8.9437000000000003E-2</v>
      </c>
      <c r="G15" s="551"/>
      <c r="H15" s="555"/>
      <c r="I15" s="402">
        <f>+$C$15</f>
        <v>8.9437000000000003E-2</v>
      </c>
      <c r="J15" s="551"/>
      <c r="L15" s="402">
        <f>+$C$15</f>
        <v>8.9437000000000003E-2</v>
      </c>
      <c r="M15" s="551"/>
      <c r="O15" s="402">
        <f>+$C$15</f>
        <v>8.9437000000000003E-2</v>
      </c>
      <c r="P15" s="551"/>
      <c r="R15" s="402">
        <f>+C15</f>
        <v>8.9437000000000003E-2</v>
      </c>
      <c r="S15" s="551"/>
    </row>
    <row r="16" spans="1:20">
      <c r="A16" s="386">
        <f t="shared" si="0"/>
        <v>9</v>
      </c>
      <c r="B16" s="549" t="s">
        <v>651</v>
      </c>
      <c r="C16" s="402">
        <f>+'Typical Res Bill RY#1'!AG16</f>
        <v>0.10885400000000001</v>
      </c>
      <c r="D16" s="551"/>
      <c r="E16" s="555"/>
      <c r="F16" s="402">
        <f>+$C$16</f>
        <v>0.10885400000000001</v>
      </c>
      <c r="G16" s="551"/>
      <c r="H16" s="555"/>
      <c r="I16" s="402">
        <f>+$C$16</f>
        <v>0.10885400000000001</v>
      </c>
      <c r="J16" s="551"/>
      <c r="L16" s="402">
        <f>+$C$16</f>
        <v>0.10885400000000001</v>
      </c>
      <c r="M16" s="551"/>
      <c r="O16" s="402">
        <f>+$C$16</f>
        <v>0.10885400000000001</v>
      </c>
      <c r="P16" s="551"/>
      <c r="R16" s="402">
        <f>+C16</f>
        <v>0.10885400000000001</v>
      </c>
      <c r="S16" s="551"/>
    </row>
    <row r="17" spans="1:19">
      <c r="A17" s="386">
        <f t="shared" si="0"/>
        <v>10</v>
      </c>
      <c r="B17" s="549"/>
      <c r="C17" s="402"/>
      <c r="D17" s="551"/>
      <c r="E17" s="555"/>
      <c r="F17" s="556"/>
      <c r="G17" s="551"/>
      <c r="H17" s="555"/>
      <c r="I17" s="556"/>
      <c r="J17" s="551"/>
      <c r="L17" s="556"/>
      <c r="M17" s="551"/>
      <c r="O17" s="556"/>
      <c r="P17" s="551"/>
      <c r="R17" s="402"/>
      <c r="S17" s="551"/>
    </row>
    <row r="18" spans="1:19">
      <c r="A18" s="386">
        <f t="shared" si="0"/>
        <v>11</v>
      </c>
      <c r="B18" s="546" t="s">
        <v>474</v>
      </c>
      <c r="C18" s="402">
        <f>+'Typical Res Bill RY#1'!AG18</f>
        <v>0</v>
      </c>
      <c r="D18" s="551"/>
      <c r="E18" s="555"/>
      <c r="F18" s="402">
        <f t="shared" ref="F18:F33" si="1">+$C18</f>
        <v>0</v>
      </c>
      <c r="G18" s="551"/>
      <c r="H18" s="555"/>
      <c r="I18" s="402">
        <f t="shared" ref="I18:I27" si="2">+$C18</f>
        <v>0</v>
      </c>
      <c r="J18" s="551"/>
      <c r="L18" s="402">
        <f>+C18</f>
        <v>0</v>
      </c>
      <c r="M18" s="551"/>
      <c r="O18" s="402">
        <f t="shared" ref="O18:O27" si="3">+$C18</f>
        <v>0</v>
      </c>
      <c r="P18" s="551"/>
      <c r="R18" s="402">
        <f t="shared" ref="R18:R33" si="4">+C18</f>
        <v>0</v>
      </c>
      <c r="S18" s="551"/>
    </row>
    <row r="19" spans="1:19">
      <c r="A19" s="386">
        <f t="shared" si="0"/>
        <v>12</v>
      </c>
      <c r="B19" s="546" t="s">
        <v>184</v>
      </c>
      <c r="C19" s="402">
        <f>+'Typical Res Bill RY#1'!AG19</f>
        <v>0</v>
      </c>
      <c r="D19" s="551"/>
      <c r="E19" s="555"/>
      <c r="F19" s="402">
        <f t="shared" si="1"/>
        <v>0</v>
      </c>
      <c r="G19" s="551"/>
      <c r="H19" s="555"/>
      <c r="I19" s="402">
        <f t="shared" si="2"/>
        <v>0</v>
      </c>
      <c r="J19" s="551"/>
      <c r="L19" s="402">
        <f t="shared" ref="L19:L33" si="5">+C19</f>
        <v>0</v>
      </c>
      <c r="M19" s="551"/>
      <c r="O19" s="402">
        <f t="shared" si="3"/>
        <v>0</v>
      </c>
      <c r="P19" s="551"/>
      <c r="R19" s="402">
        <f t="shared" si="4"/>
        <v>0</v>
      </c>
      <c r="S19" s="551"/>
    </row>
    <row r="20" spans="1:19">
      <c r="A20" s="386">
        <f t="shared" si="0"/>
        <v>13</v>
      </c>
      <c r="B20" s="546" t="s">
        <v>183</v>
      </c>
      <c r="C20" s="402">
        <f>+'Typical Res Bill RY#1'!AG20</f>
        <v>-1.3910000000000001E-3</v>
      </c>
      <c r="D20" s="551"/>
      <c r="E20" s="555"/>
      <c r="F20" s="402">
        <f t="shared" si="1"/>
        <v>-1.3910000000000001E-3</v>
      </c>
      <c r="G20" s="551"/>
      <c r="H20" s="555"/>
      <c r="I20" s="402">
        <f t="shared" si="2"/>
        <v>-1.3910000000000001E-3</v>
      </c>
      <c r="J20" s="551"/>
      <c r="L20" s="402">
        <f t="shared" si="5"/>
        <v>-1.3910000000000001E-3</v>
      </c>
      <c r="M20" s="551"/>
      <c r="O20" s="402">
        <f t="shared" si="3"/>
        <v>-1.3910000000000001E-3</v>
      </c>
      <c r="P20" s="551"/>
      <c r="R20" s="402">
        <f t="shared" si="4"/>
        <v>-1.3910000000000001E-3</v>
      </c>
      <c r="S20" s="551"/>
    </row>
    <row r="21" spans="1:19">
      <c r="A21" s="386">
        <f t="shared" si="0"/>
        <v>14</v>
      </c>
      <c r="B21" s="546" t="s">
        <v>182</v>
      </c>
      <c r="C21" s="402">
        <f>+'Typical Res Bill RY#1'!AG21</f>
        <v>3.8249999999999998E-3</v>
      </c>
      <c r="D21" s="551"/>
      <c r="E21" s="555"/>
      <c r="F21" s="402">
        <f t="shared" si="1"/>
        <v>3.8249999999999998E-3</v>
      </c>
      <c r="G21" s="551"/>
      <c r="H21" s="555"/>
      <c r="I21" s="402">
        <f t="shared" si="2"/>
        <v>3.8249999999999998E-3</v>
      </c>
      <c r="J21" s="551"/>
      <c r="L21" s="402">
        <f t="shared" si="5"/>
        <v>3.8249999999999998E-3</v>
      </c>
      <c r="M21" s="551"/>
      <c r="O21" s="402">
        <f t="shared" si="3"/>
        <v>3.8249999999999998E-3</v>
      </c>
      <c r="P21" s="551"/>
      <c r="R21" s="402">
        <f t="shared" si="4"/>
        <v>3.8249999999999998E-3</v>
      </c>
      <c r="S21" s="551"/>
    </row>
    <row r="22" spans="1:19">
      <c r="A22" s="386">
        <f t="shared" si="0"/>
        <v>15</v>
      </c>
      <c r="B22" s="546" t="s">
        <v>158</v>
      </c>
      <c r="C22" s="402">
        <f>+'Typical Res Bill RY#1'!AG22</f>
        <v>1.3519999999999999E-3</v>
      </c>
      <c r="D22" s="551"/>
      <c r="E22" s="555"/>
      <c r="F22" s="402">
        <f t="shared" si="1"/>
        <v>1.3519999999999999E-3</v>
      </c>
      <c r="G22" s="551"/>
      <c r="H22" s="555"/>
      <c r="I22" s="402">
        <f t="shared" si="2"/>
        <v>1.3519999999999999E-3</v>
      </c>
      <c r="J22" s="551"/>
      <c r="L22" s="402">
        <f t="shared" si="5"/>
        <v>1.3519999999999999E-3</v>
      </c>
      <c r="M22" s="551"/>
      <c r="O22" s="402">
        <f t="shared" si="3"/>
        <v>1.3519999999999999E-3</v>
      </c>
      <c r="P22" s="551"/>
      <c r="R22" s="402">
        <f t="shared" si="4"/>
        <v>1.3519999999999999E-3</v>
      </c>
      <c r="S22" s="551"/>
    </row>
    <row r="23" spans="1:19">
      <c r="A23" s="386">
        <f t="shared" si="0"/>
        <v>16</v>
      </c>
      <c r="B23" s="547" t="s">
        <v>180</v>
      </c>
      <c r="C23" s="402">
        <f>+'Typical Res Bill RY#1'!AG23</f>
        <v>-2.0999999999999999E-5</v>
      </c>
      <c r="D23" s="551"/>
      <c r="E23" s="555"/>
      <c r="F23" s="402">
        <f t="shared" si="1"/>
        <v>-2.0999999999999999E-5</v>
      </c>
      <c r="G23" s="551"/>
      <c r="H23" s="555"/>
      <c r="I23" s="402">
        <f t="shared" si="2"/>
        <v>-2.0999999999999999E-5</v>
      </c>
      <c r="J23" s="551"/>
      <c r="L23" s="402">
        <f t="shared" si="5"/>
        <v>-2.0999999999999999E-5</v>
      </c>
      <c r="M23" s="551"/>
      <c r="O23" s="402">
        <f t="shared" si="3"/>
        <v>-2.0999999999999999E-5</v>
      </c>
      <c r="P23" s="551"/>
      <c r="R23" s="402">
        <f t="shared" si="4"/>
        <v>-2.0999999999999999E-5</v>
      </c>
      <c r="S23" s="551"/>
    </row>
    <row r="24" spans="1:19">
      <c r="A24" s="386">
        <f t="shared" si="0"/>
        <v>17</v>
      </c>
      <c r="B24" s="546" t="s">
        <v>165</v>
      </c>
      <c r="C24" s="402">
        <f>+'Typical Res Bill RY#1'!AG24</f>
        <v>3.0720000000000001E-3</v>
      </c>
      <c r="D24" s="551"/>
      <c r="E24" s="555"/>
      <c r="F24" s="402">
        <f t="shared" si="1"/>
        <v>3.0720000000000001E-3</v>
      </c>
      <c r="G24" s="551"/>
      <c r="H24" s="555"/>
      <c r="I24" s="402">
        <f t="shared" si="2"/>
        <v>3.0720000000000001E-3</v>
      </c>
      <c r="J24" s="551"/>
      <c r="L24" s="402">
        <f t="shared" si="5"/>
        <v>3.0720000000000001E-3</v>
      </c>
      <c r="M24" s="551"/>
      <c r="O24" s="402">
        <f t="shared" si="3"/>
        <v>3.0720000000000001E-3</v>
      </c>
      <c r="P24" s="551"/>
      <c r="R24" s="402">
        <f t="shared" si="4"/>
        <v>3.0720000000000001E-3</v>
      </c>
      <c r="S24" s="551"/>
    </row>
    <row r="25" spans="1:19">
      <c r="A25" s="386">
        <f t="shared" si="0"/>
        <v>18</v>
      </c>
      <c r="B25" s="547" t="str">
        <f>'Typical Res Bill RY#1'!B25</f>
        <v>Schedule 141A -  Sch 139 Energy Charge Credit Recovery</v>
      </c>
      <c r="C25" s="402">
        <f>+'Typical Res Bill RY#1'!AG25</f>
        <v>1.828E-3</v>
      </c>
      <c r="D25" s="551"/>
      <c r="E25" s="555"/>
      <c r="F25" s="559">
        <f>+'Res Bill RY#2'!S30</f>
        <v>1.848E-3</v>
      </c>
      <c r="G25" s="551"/>
      <c r="H25" s="555"/>
      <c r="I25" s="402">
        <f t="shared" si="2"/>
        <v>1.828E-3</v>
      </c>
      <c r="J25" s="551"/>
      <c r="L25" s="402">
        <f t="shared" si="5"/>
        <v>1.828E-3</v>
      </c>
      <c r="M25" s="551"/>
      <c r="O25" s="402">
        <f t="shared" si="3"/>
        <v>1.828E-3</v>
      </c>
      <c r="P25" s="551"/>
      <c r="R25" s="402">
        <f>+F25</f>
        <v>1.848E-3</v>
      </c>
      <c r="S25" s="551"/>
    </row>
    <row r="26" spans="1:19">
      <c r="A26" s="386">
        <f t="shared" si="0"/>
        <v>19</v>
      </c>
      <c r="B26" s="548" t="s">
        <v>890</v>
      </c>
      <c r="C26" s="402">
        <f>+'Typical Res Bill RY#1'!AG26</f>
        <v>2.6689999999999999E-3</v>
      </c>
      <c r="D26" s="551"/>
      <c r="E26" s="555"/>
      <c r="F26" s="402">
        <f t="shared" si="1"/>
        <v>2.6689999999999999E-3</v>
      </c>
      <c r="G26" s="551"/>
      <c r="H26" s="555"/>
      <c r="I26" s="559">
        <f>+'Res Bill RY#2'!S31</f>
        <v>2.8430764798698877E-3</v>
      </c>
      <c r="J26" s="551"/>
      <c r="L26" s="402">
        <f t="shared" si="5"/>
        <v>2.6689999999999999E-3</v>
      </c>
      <c r="M26" s="551"/>
      <c r="O26" s="402">
        <f t="shared" si="3"/>
        <v>2.6689999999999999E-3</v>
      </c>
      <c r="P26" s="551"/>
      <c r="R26" s="402">
        <f>+I26</f>
        <v>2.8430764798698877E-3</v>
      </c>
      <c r="S26" s="551"/>
    </row>
    <row r="27" spans="1:19">
      <c r="A27" s="386">
        <f t="shared" si="0"/>
        <v>20</v>
      </c>
      <c r="B27" s="548" t="s">
        <v>501</v>
      </c>
      <c r="C27" s="402">
        <f>+'Typical Res Bill RY#1'!AG27</f>
        <v>1.2668E-2</v>
      </c>
      <c r="D27" s="551"/>
      <c r="E27" s="555"/>
      <c r="F27" s="402">
        <f t="shared" si="1"/>
        <v>1.2668E-2</v>
      </c>
      <c r="G27" s="551"/>
      <c r="H27" s="555"/>
      <c r="I27" s="402">
        <f t="shared" si="2"/>
        <v>1.2668E-2</v>
      </c>
      <c r="J27" s="551"/>
      <c r="L27" s="559">
        <f>+'Res Bill RY#2'!S32</f>
        <v>8.5280000000000009E-3</v>
      </c>
      <c r="M27" s="551"/>
      <c r="O27" s="402">
        <f t="shared" si="3"/>
        <v>1.2668E-2</v>
      </c>
      <c r="P27" s="551"/>
      <c r="R27" s="402">
        <f>+L27</f>
        <v>8.5280000000000009E-3</v>
      </c>
      <c r="S27" s="551"/>
    </row>
    <row r="28" spans="1:19">
      <c r="A28" s="386">
        <f t="shared" si="0"/>
        <v>21</v>
      </c>
      <c r="B28" s="549" t="s">
        <v>502</v>
      </c>
      <c r="C28" s="402">
        <f>+'Typical Res Bill RY#1'!AG28</f>
        <v>2.3679999999999999E-3</v>
      </c>
      <c r="D28" s="551"/>
      <c r="E28" s="523"/>
      <c r="F28" s="402">
        <f t="shared" si="1"/>
        <v>2.3679999999999999E-3</v>
      </c>
      <c r="H28" s="523"/>
      <c r="I28" s="402">
        <f>+C28</f>
        <v>2.3679999999999999E-3</v>
      </c>
      <c r="L28" s="402">
        <f t="shared" si="5"/>
        <v>2.3679999999999999E-3</v>
      </c>
      <c r="O28" s="559">
        <f>+'Res Bill RY#2'!S33</f>
        <v>8.1049999999999994E-3</v>
      </c>
      <c r="R28" s="402">
        <f>+O28</f>
        <v>8.1049999999999994E-3</v>
      </c>
      <c r="S28" s="551"/>
    </row>
    <row r="29" spans="1:19">
      <c r="A29" s="386">
        <f t="shared" si="0"/>
        <v>22</v>
      </c>
      <c r="B29" s="546" t="s">
        <v>503</v>
      </c>
      <c r="C29" s="402">
        <f>+'Typical Res Bill RY#1'!AG29</f>
        <v>0</v>
      </c>
      <c r="D29" s="551"/>
      <c r="E29" s="555"/>
      <c r="F29" s="402">
        <f t="shared" si="1"/>
        <v>0</v>
      </c>
      <c r="G29" s="551"/>
      <c r="H29" s="555"/>
      <c r="I29" s="402">
        <f t="shared" ref="I29:I33" si="6">+$C29</f>
        <v>0</v>
      </c>
      <c r="J29" s="551"/>
      <c r="L29" s="402">
        <f t="shared" si="5"/>
        <v>0</v>
      </c>
      <c r="M29" s="551"/>
      <c r="O29" s="402">
        <f t="shared" ref="O29:O33" si="7">+$C29</f>
        <v>0</v>
      </c>
      <c r="P29" s="551"/>
      <c r="R29" s="402">
        <f t="shared" si="4"/>
        <v>0</v>
      </c>
      <c r="S29" s="551"/>
    </row>
    <row r="30" spans="1:19">
      <c r="A30" s="386">
        <f t="shared" si="0"/>
        <v>23</v>
      </c>
      <c r="B30" s="546" t="s">
        <v>504</v>
      </c>
      <c r="C30" s="402">
        <f>+'Typical Res Bill RY#1'!AG30</f>
        <v>-8.8400000000000002E-4</v>
      </c>
      <c r="D30" s="551"/>
      <c r="E30" s="555"/>
      <c r="F30" s="402">
        <f t="shared" si="1"/>
        <v>-8.8400000000000002E-4</v>
      </c>
      <c r="G30" s="551"/>
      <c r="H30" s="555"/>
      <c r="I30" s="402">
        <f t="shared" si="6"/>
        <v>-8.8400000000000002E-4</v>
      </c>
      <c r="J30" s="551"/>
      <c r="L30" s="402">
        <f t="shared" si="5"/>
        <v>-8.8400000000000002E-4</v>
      </c>
      <c r="M30" s="551"/>
      <c r="O30" s="402">
        <f t="shared" si="7"/>
        <v>-8.8400000000000002E-4</v>
      </c>
      <c r="P30" s="551"/>
      <c r="R30" s="402">
        <f t="shared" si="4"/>
        <v>-8.8400000000000002E-4</v>
      </c>
      <c r="S30" s="551"/>
    </row>
    <row r="31" spans="1:19">
      <c r="A31" s="386">
        <f t="shared" si="0"/>
        <v>24</v>
      </c>
      <c r="B31" s="546" t="s">
        <v>168</v>
      </c>
      <c r="C31" s="402">
        <f>+'Typical Res Bill RY#1'!AG31</f>
        <v>-4.17E-4</v>
      </c>
      <c r="D31" s="551"/>
      <c r="E31" s="555"/>
      <c r="F31" s="402">
        <f t="shared" si="1"/>
        <v>-4.17E-4</v>
      </c>
      <c r="G31" s="551"/>
      <c r="H31" s="555"/>
      <c r="I31" s="402">
        <f t="shared" si="6"/>
        <v>-4.17E-4</v>
      </c>
      <c r="J31" s="551"/>
      <c r="L31" s="402">
        <f t="shared" si="5"/>
        <v>-4.17E-4</v>
      </c>
      <c r="M31" s="551"/>
      <c r="O31" s="402">
        <f t="shared" si="7"/>
        <v>-4.17E-4</v>
      </c>
      <c r="P31" s="551"/>
      <c r="R31" s="402">
        <f t="shared" si="4"/>
        <v>-4.17E-4</v>
      </c>
      <c r="S31" s="551"/>
    </row>
    <row r="32" spans="1:19">
      <c r="A32" s="386">
        <f t="shared" si="0"/>
        <v>25</v>
      </c>
      <c r="B32" s="546" t="s">
        <v>475</v>
      </c>
      <c r="C32" s="402">
        <f>+'Typical Res Bill RY#1'!AG32</f>
        <v>0</v>
      </c>
      <c r="D32" s="551"/>
      <c r="E32" s="555"/>
      <c r="F32" s="402">
        <f t="shared" si="1"/>
        <v>0</v>
      </c>
      <c r="G32" s="551"/>
      <c r="H32" s="555"/>
      <c r="I32" s="402">
        <f t="shared" si="6"/>
        <v>0</v>
      </c>
      <c r="J32" s="551"/>
      <c r="L32" s="402">
        <f t="shared" si="5"/>
        <v>0</v>
      </c>
      <c r="M32" s="551"/>
      <c r="O32" s="402">
        <f t="shared" si="7"/>
        <v>0</v>
      </c>
      <c r="P32" s="551"/>
      <c r="R32" s="402">
        <f t="shared" si="4"/>
        <v>0</v>
      </c>
      <c r="S32" s="551"/>
    </row>
    <row r="33" spans="1:19">
      <c r="A33" s="386">
        <f t="shared" si="0"/>
        <v>26</v>
      </c>
      <c r="B33" s="546" t="s">
        <v>179</v>
      </c>
      <c r="C33" s="402">
        <f>+'Typical Res Bill RY#1'!AG33</f>
        <v>-6.689136E-3</v>
      </c>
      <c r="D33" s="551"/>
      <c r="E33" s="555"/>
      <c r="F33" s="402">
        <f t="shared" si="1"/>
        <v>-6.689136E-3</v>
      </c>
      <c r="G33" s="551"/>
      <c r="H33" s="555"/>
      <c r="I33" s="402">
        <f t="shared" si="6"/>
        <v>-6.689136E-3</v>
      </c>
      <c r="J33" s="551"/>
      <c r="L33" s="402">
        <f t="shared" si="5"/>
        <v>-6.689136E-3</v>
      </c>
      <c r="M33" s="551"/>
      <c r="O33" s="402">
        <f t="shared" si="7"/>
        <v>-6.689136E-3</v>
      </c>
      <c r="P33" s="551"/>
      <c r="R33" s="402">
        <f t="shared" si="4"/>
        <v>-6.689136E-3</v>
      </c>
      <c r="S33" s="551"/>
    </row>
    <row r="34" spans="1:19">
      <c r="A34" s="386">
        <f t="shared" si="0"/>
        <v>27</v>
      </c>
      <c r="B34" s="539"/>
      <c r="C34" s="550"/>
      <c r="D34" s="551"/>
      <c r="E34" s="555"/>
      <c r="F34" s="550"/>
      <c r="G34" s="551"/>
      <c r="H34" s="555"/>
      <c r="I34" s="550"/>
      <c r="J34" s="551"/>
      <c r="L34" s="550"/>
      <c r="M34" s="551"/>
      <c r="O34" s="550"/>
      <c r="P34" s="551"/>
      <c r="R34" s="550"/>
      <c r="S34" s="551"/>
    </row>
    <row r="35" spans="1:19">
      <c r="A35" s="386">
        <f t="shared" si="0"/>
        <v>28</v>
      </c>
      <c r="B35" s="560" t="s">
        <v>652</v>
      </c>
      <c r="C35" s="402">
        <f>SUM(C15,C18:C33)</f>
        <v>0.10781686400000001</v>
      </c>
      <c r="D35" s="561">
        <f>ROUND(IF(C8&lt;600,C8*C35,600*C35),2)</f>
        <v>64.69</v>
      </c>
      <c r="E35" s="477"/>
      <c r="F35" s="402">
        <f>SUM(F15,F18:F33)</f>
        <v>0.10783686400000002</v>
      </c>
      <c r="G35" s="561">
        <f>ROUND(IF(F8&lt;600,F8*F35,600*F35),2)</f>
        <v>64.7</v>
      </c>
      <c r="H35" s="477"/>
      <c r="I35" s="402">
        <f>SUM(I15,I18:I33)</f>
        <v>0.1079909404798699</v>
      </c>
      <c r="J35" s="561">
        <f>ROUND(IF(I8&lt;600,I8*I35,600*I35),2)</f>
        <v>64.790000000000006</v>
      </c>
      <c r="L35" s="402">
        <f>SUM(L15,L18:L33)</f>
        <v>0.10367686400000001</v>
      </c>
      <c r="M35" s="561">
        <f>ROUND(IF(L8&lt;600,L8*L35,600*L35),2)</f>
        <v>62.21</v>
      </c>
      <c r="O35" s="402">
        <f>SUM(O15,O18:O33)</f>
        <v>0.11355386400000002</v>
      </c>
      <c r="P35" s="561">
        <f>ROUND(IF(O8&lt;600,O8*O35,600*O35),2)</f>
        <v>68.13</v>
      </c>
      <c r="R35" s="402">
        <f>SUM(R15,R18:R33)</f>
        <v>0.10960794047986992</v>
      </c>
      <c r="S35" s="561">
        <f>ROUND(IF(R8&lt;600,R8*R35,600*R35),2)</f>
        <v>65.760000000000005</v>
      </c>
    </row>
    <row r="36" spans="1:19">
      <c r="A36" s="386">
        <f t="shared" si="0"/>
        <v>29</v>
      </c>
      <c r="B36" s="560" t="s">
        <v>653</v>
      </c>
      <c r="C36" s="402">
        <f>SUM(C16,C18:C33)</f>
        <v>0.12723386400000003</v>
      </c>
      <c r="D36" s="551">
        <f>ROUND(IF(C8&lt;600,0,(C8-600)*C36),2)</f>
        <v>25.45</v>
      </c>
      <c r="E36" s="477"/>
      <c r="F36" s="402">
        <f>SUM(F16,F18:F33)</f>
        <v>0.12725386400000002</v>
      </c>
      <c r="G36" s="551">
        <f>ROUND(IF(F8&lt;600,0,(F8-600)*F36),2)</f>
        <v>25.45</v>
      </c>
      <c r="H36" s="477"/>
      <c r="I36" s="402">
        <f>SUM(I16,I18:I33)</f>
        <v>0.12740794047986992</v>
      </c>
      <c r="J36" s="551">
        <f>ROUND(IF(I8&lt;600,0,(I8-600)*I36),2)</f>
        <v>25.48</v>
      </c>
      <c r="L36" s="402">
        <f>SUM(L16,L18:L33)</f>
        <v>0.12309386400000004</v>
      </c>
      <c r="M36" s="551">
        <f>ROUND(IF(L8&lt;600,0,(L8-600)*L36),2)</f>
        <v>24.62</v>
      </c>
      <c r="O36" s="402">
        <f>SUM(O16,O18:O33)</f>
        <v>0.13297086400000002</v>
      </c>
      <c r="P36" s="551">
        <f>ROUND(IF(O8&lt;600,0,(O8-600)*O36),2)</f>
        <v>26.59</v>
      </c>
      <c r="R36" s="402">
        <f>SUM(R16,R18:R33)</f>
        <v>0.1290249404798699</v>
      </c>
      <c r="S36" s="551">
        <f>ROUND(IF(R8&lt;600,0,(R8-600)*R36),2)</f>
        <v>25.8</v>
      </c>
    </row>
    <row r="37" spans="1:19">
      <c r="A37" s="386">
        <f t="shared" si="0"/>
        <v>30</v>
      </c>
      <c r="B37" s="553" t="s">
        <v>654</v>
      </c>
      <c r="D37" s="554">
        <f>SUM(D35:D36)</f>
        <v>90.14</v>
      </c>
      <c r="E37" s="523"/>
      <c r="G37" s="554">
        <f>SUM(G35:G36)</f>
        <v>90.15</v>
      </c>
      <c r="H37" s="523"/>
      <c r="J37" s="554">
        <f>SUM(J35:J36)</f>
        <v>90.27000000000001</v>
      </c>
      <c r="M37" s="554">
        <f>SUM(M35:M36)</f>
        <v>86.83</v>
      </c>
      <c r="P37" s="554">
        <f>SUM(P35:P36)</f>
        <v>94.72</v>
      </c>
      <c r="S37" s="554">
        <f>SUM(S35:S36)</f>
        <v>91.56</v>
      </c>
    </row>
    <row r="38" spans="1:19">
      <c r="A38" s="386">
        <f t="shared" si="0"/>
        <v>31</v>
      </c>
      <c r="D38" s="545"/>
      <c r="E38" s="523"/>
      <c r="G38" s="551"/>
      <c r="H38" s="523"/>
      <c r="J38" s="551"/>
      <c r="M38" s="551"/>
      <c r="P38" s="551"/>
      <c r="S38" s="551"/>
    </row>
    <row r="39" spans="1:19">
      <c r="A39" s="386">
        <f t="shared" si="0"/>
        <v>32</v>
      </c>
      <c r="B39" s="387" t="s">
        <v>645</v>
      </c>
      <c r="C39" s="418"/>
      <c r="D39" s="551">
        <f>D12+D37</f>
        <v>97.63</v>
      </c>
      <c r="E39" s="545"/>
      <c r="F39" s="418"/>
      <c r="G39" s="551">
        <f>G12+G37</f>
        <v>97.64</v>
      </c>
      <c r="H39" s="545"/>
      <c r="I39" s="418"/>
      <c r="J39" s="551">
        <f>J12+J37</f>
        <v>97.76</v>
      </c>
      <c r="L39" s="418"/>
      <c r="M39" s="551">
        <f>M12+M37</f>
        <v>94.32</v>
      </c>
      <c r="O39" s="418"/>
      <c r="P39" s="551">
        <f>P12+P37</f>
        <v>102.21</v>
      </c>
      <c r="R39" s="418"/>
      <c r="S39" s="551">
        <f>S12+S37</f>
        <v>99.05</v>
      </c>
    </row>
    <row r="40" spans="1:19">
      <c r="A40" s="386">
        <f t="shared" si="0"/>
        <v>33</v>
      </c>
      <c r="B40" s="387" t="s">
        <v>646</v>
      </c>
      <c r="C40" s="418"/>
      <c r="D40" s="551"/>
      <c r="E40" s="545"/>
      <c r="F40" s="418"/>
      <c r="G40" s="551">
        <f>G39-$D39</f>
        <v>1.0000000000005116E-2</v>
      </c>
      <c r="H40" s="545"/>
      <c r="I40" s="418"/>
      <c r="J40" s="551">
        <f>J39-$D39</f>
        <v>0.13000000000000966</v>
      </c>
      <c r="L40" s="418"/>
      <c r="M40" s="551">
        <f>M39-$D39</f>
        <v>-3.3100000000000023</v>
      </c>
      <c r="O40" s="418"/>
      <c r="P40" s="551">
        <f>P39-$D39</f>
        <v>4.5799999999999983</v>
      </c>
      <c r="R40" s="418"/>
      <c r="S40" s="551">
        <f>S39-$D39</f>
        <v>1.4200000000000017</v>
      </c>
    </row>
    <row r="41" spans="1:19">
      <c r="A41" s="386">
        <f t="shared" si="0"/>
        <v>34</v>
      </c>
      <c r="B41" s="387" t="s">
        <v>647</v>
      </c>
      <c r="C41" s="435"/>
      <c r="D41" s="435"/>
      <c r="E41" s="447"/>
      <c r="F41" s="435"/>
      <c r="G41" s="453">
        <f>G40/$D39</f>
        <v>1.0242753252079398E-4</v>
      </c>
      <c r="H41" s="447"/>
      <c r="I41" s="435"/>
      <c r="J41" s="453">
        <f>J40/$D39</f>
        <v>1.3315579227697394E-3</v>
      </c>
      <c r="L41" s="435"/>
      <c r="M41" s="453">
        <f>M40/$D39</f>
        <v>-3.3903513264365484E-2</v>
      </c>
      <c r="O41" s="435"/>
      <c r="P41" s="453">
        <f>P40/$D39</f>
        <v>4.6911809894499626E-2</v>
      </c>
      <c r="R41" s="435"/>
      <c r="S41" s="453">
        <f>S40/$D39</f>
        <v>1.4544709617945321E-2</v>
      </c>
    </row>
    <row r="42" spans="1:19">
      <c r="D42" s="551"/>
      <c r="E42" s="523"/>
      <c r="H42" s="523"/>
    </row>
    <row r="43" spans="1:19" ht="11.4">
      <c r="B43" s="391" t="s">
        <v>840</v>
      </c>
      <c r="E43" s="523"/>
      <c r="H43" s="523"/>
    </row>
    <row r="45" spans="1:19">
      <c r="B45" s="397"/>
    </row>
  </sheetData>
  <mergeCells count="4">
    <mergeCell ref="A1:T1"/>
    <mergeCell ref="A2:T2"/>
    <mergeCell ref="A3:T3"/>
    <mergeCell ref="A4:T4"/>
  </mergeCells>
  <pageMargins left="0.7" right="0.7" top="0.75" bottom="0.75" header="0.3" footer="0.3"/>
  <pageSetup scale="70" orientation="landscape" r:id="rId1"/>
  <headerFooter>
    <oddFooter>&amp;L&amp;A&amp;RExhibit No.___(BDJ-7)
Page &amp;P of &amp;N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T45"/>
  <sheetViews>
    <sheetView workbookViewId="0">
      <pane xSplit="4" ySplit="7" topLeftCell="E8" activePane="bottomRight" state="frozen"/>
      <selection activeCell="F7" sqref="F7:F62"/>
      <selection pane="topRight" activeCell="F7" sqref="F7:F62"/>
      <selection pane="bottomLeft" activeCell="F7" sqref="F7:F62"/>
      <selection pane="bottomRight" activeCell="B26" sqref="B26"/>
    </sheetView>
  </sheetViews>
  <sheetFormatPr defaultColWidth="9.109375" defaultRowHeight="10.199999999999999"/>
  <cols>
    <col min="1" max="1" width="4.6640625" style="387" customWidth="1"/>
    <col min="2" max="2" width="44.109375" style="387" customWidth="1"/>
    <col min="3" max="3" width="11.6640625" style="387" bestFit="1" customWidth="1"/>
    <col min="4" max="4" width="9.109375" style="387"/>
    <col min="5" max="5" width="2" style="387" customWidth="1"/>
    <col min="6" max="6" width="11.6640625" style="387" bestFit="1" customWidth="1"/>
    <col min="7" max="7" width="9.109375" style="387"/>
    <col min="8" max="8" width="2" style="387" customWidth="1"/>
    <col min="9" max="9" width="11.6640625" style="387" bestFit="1" customWidth="1"/>
    <col min="10" max="10" width="9.109375" style="387"/>
    <col min="11" max="11" width="2" style="387" customWidth="1"/>
    <col min="12" max="12" width="11.6640625" style="387" bestFit="1" customWidth="1"/>
    <col min="13" max="13" width="9.109375" style="387"/>
    <col min="14" max="14" width="2" style="387" customWidth="1"/>
    <col min="15" max="15" width="11.6640625" style="387" bestFit="1" customWidth="1"/>
    <col min="16" max="16" width="9.109375" style="387"/>
    <col min="17" max="17" width="2" style="387" customWidth="1"/>
    <col min="18" max="18" width="11.88671875" style="387" bestFit="1" customWidth="1"/>
    <col min="19" max="19" width="9.5546875" style="387" bestFit="1" customWidth="1"/>
    <col min="20" max="16384" width="9.109375" style="387"/>
  </cols>
  <sheetData>
    <row r="1" spans="1:20" s="409" customFormat="1">
      <c r="A1" s="772" t="s">
        <v>0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  <c r="O1" s="772"/>
      <c r="P1" s="772"/>
      <c r="Q1" s="772"/>
      <c r="R1" s="772"/>
      <c r="S1" s="772"/>
      <c r="T1" s="772"/>
    </row>
    <row r="2" spans="1:20" s="409" customFormat="1">
      <c r="A2" s="773" t="s">
        <v>604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772"/>
      <c r="P2" s="772"/>
      <c r="Q2" s="772"/>
      <c r="R2" s="772"/>
      <c r="S2" s="772"/>
      <c r="T2" s="772"/>
    </row>
    <row r="3" spans="1:20" s="409" customFormat="1">
      <c r="A3" s="773" t="s">
        <v>660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  <c r="O3" s="772"/>
      <c r="P3" s="772"/>
      <c r="Q3" s="772"/>
      <c r="R3" s="772"/>
      <c r="S3" s="772"/>
      <c r="T3" s="772"/>
    </row>
    <row r="4" spans="1:20" s="409" customFormat="1">
      <c r="A4" s="773" t="s">
        <v>608</v>
      </c>
      <c r="B4" s="772"/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2"/>
      <c r="N4" s="772"/>
      <c r="O4" s="772"/>
      <c r="P4" s="772"/>
      <c r="Q4" s="772"/>
      <c r="R4" s="772"/>
      <c r="S4" s="772"/>
      <c r="T4" s="772"/>
    </row>
    <row r="5" spans="1:20" s="409" customFormat="1">
      <c r="F5" s="450"/>
      <c r="I5" s="450"/>
      <c r="L5" s="450"/>
    </row>
    <row r="6" spans="1:20" s="409" customFormat="1">
      <c r="C6" s="565" t="s">
        <v>635</v>
      </c>
      <c r="D6" s="565"/>
      <c r="F6" s="565" t="s">
        <v>824</v>
      </c>
      <c r="G6" s="565"/>
      <c r="I6" s="565" t="s">
        <v>637</v>
      </c>
      <c r="J6" s="565"/>
      <c r="L6" s="565" t="s">
        <v>637</v>
      </c>
      <c r="M6" s="565"/>
      <c r="O6" s="565" t="s">
        <v>638</v>
      </c>
      <c r="P6" s="565"/>
      <c r="R6" s="565" t="s">
        <v>640</v>
      </c>
      <c r="S6" s="565"/>
    </row>
    <row r="7" spans="1:20" s="409" customFormat="1" ht="11.4">
      <c r="A7" s="487" t="s">
        <v>28</v>
      </c>
      <c r="B7" s="487"/>
      <c r="C7" s="487" t="s">
        <v>839</v>
      </c>
      <c r="D7" s="487" t="s">
        <v>641</v>
      </c>
      <c r="F7" s="487" t="s">
        <v>642</v>
      </c>
      <c r="G7" s="487" t="s">
        <v>641</v>
      </c>
      <c r="I7" s="487" t="s">
        <v>642</v>
      </c>
      <c r="J7" s="487" t="s">
        <v>641</v>
      </c>
      <c r="L7" s="487" t="s">
        <v>642</v>
      </c>
      <c r="M7" s="487" t="s">
        <v>641</v>
      </c>
      <c r="O7" s="487" t="s">
        <v>642</v>
      </c>
      <c r="P7" s="487" t="s">
        <v>641</v>
      </c>
      <c r="R7" s="487" t="s">
        <v>642</v>
      </c>
      <c r="S7" s="487" t="s">
        <v>641</v>
      </c>
    </row>
    <row r="8" spans="1:20">
      <c r="A8" s="386">
        <v>1</v>
      </c>
      <c r="B8" s="391" t="s">
        <v>648</v>
      </c>
      <c r="C8" s="388"/>
      <c r="D8" s="551"/>
      <c r="E8" s="529"/>
      <c r="G8" s="551"/>
      <c r="H8" s="529"/>
      <c r="J8" s="551"/>
      <c r="M8" s="551"/>
      <c r="P8" s="551"/>
      <c r="R8" s="388"/>
      <c r="S8" s="551"/>
    </row>
    <row r="9" spans="1:20">
      <c r="A9" s="386">
        <f>+A8+1</f>
        <v>2</v>
      </c>
      <c r="C9" s="552"/>
      <c r="D9" s="551"/>
      <c r="E9" s="529"/>
      <c r="F9" s="552"/>
      <c r="G9" s="551"/>
      <c r="H9" s="529"/>
      <c r="I9" s="552"/>
      <c r="J9" s="551"/>
      <c r="L9" s="552"/>
      <c r="M9" s="551"/>
      <c r="O9" s="552"/>
      <c r="P9" s="551"/>
      <c r="R9" s="552"/>
      <c r="S9" s="551"/>
    </row>
    <row r="10" spans="1:20">
      <c r="A10" s="386">
        <f t="shared" ref="A10:A41" si="0">+A9+1</f>
        <v>3</v>
      </c>
      <c r="B10" s="387" t="s">
        <v>644</v>
      </c>
      <c r="C10" s="552"/>
      <c r="D10" s="551"/>
      <c r="E10" s="529"/>
      <c r="F10" s="552"/>
      <c r="G10" s="551"/>
      <c r="H10" s="529"/>
      <c r="I10" s="552"/>
      <c r="J10" s="551"/>
      <c r="L10" s="552"/>
      <c r="M10" s="551"/>
      <c r="O10" s="552"/>
      <c r="P10" s="551"/>
      <c r="R10" s="552"/>
      <c r="S10" s="551"/>
    </row>
    <row r="11" spans="1:20">
      <c r="A11" s="386">
        <f t="shared" si="0"/>
        <v>4</v>
      </c>
      <c r="B11" s="549" t="s">
        <v>649</v>
      </c>
      <c r="C11" s="545"/>
      <c r="D11" s="551"/>
      <c r="E11" s="528"/>
      <c r="F11" s="545"/>
      <c r="G11" s="551"/>
      <c r="H11" s="528"/>
      <c r="I11" s="545"/>
      <c r="J11" s="551"/>
      <c r="L11" s="545"/>
      <c r="M11" s="551"/>
      <c r="O11" s="545"/>
      <c r="P11" s="551"/>
      <c r="R11" s="545"/>
      <c r="S11" s="551"/>
    </row>
    <row r="12" spans="1:20">
      <c r="A12" s="386">
        <f t="shared" si="0"/>
        <v>5</v>
      </c>
      <c r="B12" s="553" t="s">
        <v>98</v>
      </c>
      <c r="C12" s="545"/>
      <c r="D12" s="554"/>
      <c r="E12" s="528"/>
      <c r="F12" s="545"/>
      <c r="G12" s="554"/>
      <c r="H12" s="528"/>
      <c r="I12" s="545"/>
      <c r="J12" s="554"/>
      <c r="L12" s="545"/>
      <c r="M12" s="554"/>
      <c r="O12" s="545"/>
      <c r="P12" s="554"/>
      <c r="R12" s="545"/>
      <c r="S12" s="554"/>
    </row>
    <row r="13" spans="1:20">
      <c r="A13" s="386">
        <f t="shared" si="0"/>
        <v>6</v>
      </c>
      <c r="C13" s="418"/>
      <c r="D13" s="551"/>
      <c r="E13" s="528"/>
      <c r="F13" s="418"/>
      <c r="G13" s="551"/>
      <c r="H13" s="528"/>
      <c r="I13" s="418"/>
      <c r="J13" s="551"/>
      <c r="L13" s="418"/>
      <c r="M13" s="551"/>
      <c r="O13" s="418"/>
      <c r="P13" s="551"/>
      <c r="R13" s="418"/>
      <c r="S13" s="551"/>
    </row>
    <row r="14" spans="1:20">
      <c r="A14" s="386">
        <f t="shared" si="0"/>
        <v>7</v>
      </c>
      <c r="B14" s="391" t="s">
        <v>655</v>
      </c>
      <c r="D14" s="551"/>
      <c r="E14" s="523"/>
      <c r="G14" s="551"/>
      <c r="H14" s="523"/>
      <c r="J14" s="551"/>
      <c r="M14" s="551"/>
      <c r="P14" s="551"/>
      <c r="S14" s="551"/>
    </row>
    <row r="15" spans="1:20">
      <c r="A15" s="386">
        <f t="shared" si="0"/>
        <v>8</v>
      </c>
      <c r="B15" s="549" t="s">
        <v>650</v>
      </c>
      <c r="C15" s="402"/>
      <c r="D15" s="551"/>
      <c r="E15" s="555"/>
      <c r="F15" s="402"/>
      <c r="G15" s="551"/>
      <c r="H15" s="555"/>
      <c r="I15" s="402"/>
      <c r="J15" s="551"/>
      <c r="L15" s="402"/>
      <c r="M15" s="551"/>
      <c r="O15" s="402"/>
      <c r="P15" s="551"/>
      <c r="R15" s="402"/>
      <c r="S15" s="551"/>
    </row>
    <row r="16" spans="1:20">
      <c r="A16" s="386">
        <f t="shared" si="0"/>
        <v>9</v>
      </c>
      <c r="B16" s="549" t="s">
        <v>651</v>
      </c>
      <c r="C16" s="402"/>
      <c r="D16" s="551"/>
      <c r="E16" s="555"/>
      <c r="F16" s="402"/>
      <c r="G16" s="551"/>
      <c r="H16" s="555"/>
      <c r="I16" s="402"/>
      <c r="J16" s="551"/>
      <c r="L16" s="402"/>
      <c r="M16" s="551"/>
      <c r="O16" s="402"/>
      <c r="P16" s="551"/>
      <c r="R16" s="402"/>
      <c r="S16" s="551"/>
    </row>
    <row r="17" spans="1:19">
      <c r="A17" s="386">
        <f t="shared" si="0"/>
        <v>10</v>
      </c>
      <c r="B17" s="549"/>
      <c r="C17" s="402"/>
      <c r="D17" s="551"/>
      <c r="E17" s="555"/>
      <c r="F17" s="556"/>
      <c r="G17" s="551"/>
      <c r="H17" s="555"/>
      <c r="I17" s="556"/>
      <c r="J17" s="551"/>
      <c r="L17" s="556"/>
      <c r="M17" s="551"/>
      <c r="O17" s="556"/>
      <c r="P17" s="551"/>
      <c r="R17" s="402"/>
      <c r="S17" s="551"/>
    </row>
    <row r="18" spans="1:19">
      <c r="A18" s="386">
        <f t="shared" si="0"/>
        <v>11</v>
      </c>
      <c r="B18" s="546" t="s">
        <v>474</v>
      </c>
      <c r="C18" s="402"/>
      <c r="D18" s="551"/>
      <c r="E18" s="555"/>
      <c r="F18" s="402"/>
      <c r="G18" s="551"/>
      <c r="H18" s="555"/>
      <c r="I18" s="402"/>
      <c r="J18" s="551"/>
      <c r="L18" s="402"/>
      <c r="M18" s="551"/>
      <c r="O18" s="402"/>
      <c r="P18" s="551"/>
      <c r="R18" s="402"/>
      <c r="S18" s="551"/>
    </row>
    <row r="19" spans="1:19">
      <c r="A19" s="386">
        <f t="shared" si="0"/>
        <v>12</v>
      </c>
      <c r="B19" s="546" t="s">
        <v>184</v>
      </c>
      <c r="C19" s="402"/>
      <c r="D19" s="551"/>
      <c r="E19" s="555"/>
      <c r="F19" s="402"/>
      <c r="G19" s="551"/>
      <c r="H19" s="555"/>
      <c r="I19" s="402"/>
      <c r="J19" s="551"/>
      <c r="L19" s="402"/>
      <c r="M19" s="551"/>
      <c r="O19" s="402"/>
      <c r="P19" s="551"/>
      <c r="R19" s="402"/>
      <c r="S19" s="551"/>
    </row>
    <row r="20" spans="1:19">
      <c r="A20" s="386">
        <f t="shared" si="0"/>
        <v>13</v>
      </c>
      <c r="B20" s="546" t="s">
        <v>183</v>
      </c>
      <c r="C20" s="402"/>
      <c r="D20" s="551"/>
      <c r="E20" s="555"/>
      <c r="F20" s="402"/>
      <c r="G20" s="551"/>
      <c r="H20" s="555"/>
      <c r="I20" s="402"/>
      <c r="J20" s="551"/>
      <c r="L20" s="402"/>
      <c r="M20" s="551"/>
      <c r="O20" s="402"/>
      <c r="P20" s="551"/>
      <c r="R20" s="402"/>
      <c r="S20" s="551"/>
    </row>
    <row r="21" spans="1:19">
      <c r="A21" s="386">
        <f t="shared" si="0"/>
        <v>14</v>
      </c>
      <c r="B21" s="546" t="s">
        <v>182</v>
      </c>
      <c r="C21" s="402"/>
      <c r="D21" s="551"/>
      <c r="E21" s="555"/>
      <c r="F21" s="402"/>
      <c r="G21" s="551"/>
      <c r="H21" s="555"/>
      <c r="I21" s="402"/>
      <c r="J21" s="551"/>
      <c r="L21" s="402"/>
      <c r="M21" s="551"/>
      <c r="O21" s="402"/>
      <c r="P21" s="551"/>
      <c r="R21" s="402"/>
      <c r="S21" s="551"/>
    </row>
    <row r="22" spans="1:19">
      <c r="A22" s="386">
        <f t="shared" si="0"/>
        <v>15</v>
      </c>
      <c r="B22" s="546" t="s">
        <v>158</v>
      </c>
      <c r="C22" s="402"/>
      <c r="D22" s="551"/>
      <c r="E22" s="555"/>
      <c r="F22" s="402"/>
      <c r="G22" s="551"/>
      <c r="H22" s="555"/>
      <c r="I22" s="402"/>
      <c r="J22" s="551"/>
      <c r="L22" s="402"/>
      <c r="M22" s="551"/>
      <c r="O22" s="402"/>
      <c r="P22" s="551"/>
      <c r="R22" s="402"/>
      <c r="S22" s="551"/>
    </row>
    <row r="23" spans="1:19">
      <c r="A23" s="386">
        <f t="shared" si="0"/>
        <v>16</v>
      </c>
      <c r="B23" s="547" t="s">
        <v>180</v>
      </c>
      <c r="C23" s="402"/>
      <c r="D23" s="551"/>
      <c r="E23" s="555"/>
      <c r="F23" s="402"/>
      <c r="G23" s="551"/>
      <c r="H23" s="555"/>
      <c r="I23" s="402"/>
      <c r="J23" s="551"/>
      <c r="L23" s="402"/>
      <c r="M23" s="551"/>
      <c r="O23" s="402"/>
      <c r="P23" s="551"/>
      <c r="R23" s="402"/>
      <c r="S23" s="551"/>
    </row>
    <row r="24" spans="1:19">
      <c r="A24" s="386">
        <f t="shared" si="0"/>
        <v>17</v>
      </c>
      <c r="B24" s="546" t="s">
        <v>165</v>
      </c>
      <c r="C24" s="402"/>
      <c r="D24" s="551"/>
      <c r="E24" s="555"/>
      <c r="F24" s="402"/>
      <c r="G24" s="551"/>
      <c r="H24" s="555"/>
      <c r="I24" s="402"/>
      <c r="J24" s="551"/>
      <c r="L24" s="402"/>
      <c r="M24" s="551"/>
      <c r="O24" s="402"/>
      <c r="P24" s="551"/>
      <c r="R24" s="402"/>
      <c r="S24" s="551"/>
    </row>
    <row r="25" spans="1:19">
      <c r="A25" s="386">
        <f t="shared" si="0"/>
        <v>18</v>
      </c>
      <c r="B25" s="548" t="str">
        <f>'Typical Res Bill RY#1'!B25</f>
        <v>Schedule 141A -  Sch 139 Energy Charge Credit Recovery</v>
      </c>
      <c r="C25" s="422"/>
      <c r="D25" s="557"/>
      <c r="E25" s="558"/>
      <c r="F25" s="422"/>
      <c r="G25" s="557"/>
      <c r="H25" s="558"/>
      <c r="I25" s="422"/>
      <c r="J25" s="557"/>
      <c r="K25" s="446"/>
      <c r="L25" s="422"/>
      <c r="M25" s="557"/>
      <c r="N25" s="446"/>
      <c r="O25" s="422"/>
      <c r="P25" s="557"/>
      <c r="Q25" s="446"/>
      <c r="R25" s="422"/>
      <c r="S25" s="551"/>
    </row>
    <row r="26" spans="1:19">
      <c r="A26" s="386">
        <f t="shared" si="0"/>
        <v>19</v>
      </c>
      <c r="B26" s="548" t="s">
        <v>890</v>
      </c>
      <c r="C26" s="402"/>
      <c r="D26" s="551"/>
      <c r="E26" s="555"/>
      <c r="F26" s="402"/>
      <c r="G26" s="551"/>
      <c r="H26" s="555"/>
      <c r="I26" s="559"/>
      <c r="J26" s="551"/>
      <c r="L26" s="402"/>
      <c r="M26" s="551"/>
      <c r="O26" s="402"/>
      <c r="P26" s="551"/>
      <c r="R26" s="559"/>
      <c r="S26" s="551"/>
    </row>
    <row r="27" spans="1:19">
      <c r="A27" s="386">
        <f t="shared" si="0"/>
        <v>20</v>
      </c>
      <c r="B27" s="548" t="s">
        <v>501</v>
      </c>
      <c r="C27" s="402"/>
      <c r="D27" s="551"/>
      <c r="E27" s="555"/>
      <c r="F27" s="402"/>
      <c r="G27" s="551"/>
      <c r="H27" s="555"/>
      <c r="I27" s="402"/>
      <c r="J27" s="551"/>
      <c r="L27" s="559"/>
      <c r="M27" s="551"/>
      <c r="O27" s="402"/>
      <c r="P27" s="551"/>
      <c r="R27" s="559"/>
      <c r="S27" s="551"/>
    </row>
    <row r="28" spans="1:19">
      <c r="A28" s="386">
        <f t="shared" si="0"/>
        <v>21</v>
      </c>
      <c r="B28" s="549" t="s">
        <v>502</v>
      </c>
      <c r="C28" s="402"/>
      <c r="D28" s="551"/>
      <c r="E28" s="523"/>
      <c r="F28" s="402"/>
      <c r="H28" s="523"/>
      <c r="I28" s="402"/>
      <c r="L28" s="402"/>
      <c r="O28" s="559"/>
      <c r="R28" s="559"/>
    </row>
    <row r="29" spans="1:19">
      <c r="A29" s="386">
        <f t="shared" si="0"/>
        <v>22</v>
      </c>
      <c r="B29" s="546" t="s">
        <v>503</v>
      </c>
      <c r="C29" s="402"/>
      <c r="D29" s="551"/>
      <c r="E29" s="555"/>
      <c r="F29" s="402"/>
      <c r="G29" s="551"/>
      <c r="H29" s="555"/>
      <c r="I29" s="402"/>
      <c r="J29" s="551"/>
      <c r="L29" s="402"/>
      <c r="M29" s="551"/>
      <c r="O29" s="402"/>
      <c r="P29" s="551"/>
      <c r="R29" s="402"/>
      <c r="S29" s="551"/>
    </row>
    <row r="30" spans="1:19">
      <c r="A30" s="386">
        <f t="shared" si="0"/>
        <v>23</v>
      </c>
      <c r="B30" s="546" t="s">
        <v>504</v>
      </c>
      <c r="C30" s="402"/>
      <c r="D30" s="551"/>
      <c r="E30" s="555"/>
      <c r="F30" s="402"/>
      <c r="G30" s="551"/>
      <c r="H30" s="555"/>
      <c r="I30" s="402"/>
      <c r="J30" s="551"/>
      <c r="L30" s="402"/>
      <c r="M30" s="551"/>
      <c r="O30" s="402"/>
      <c r="P30" s="551"/>
      <c r="R30" s="402"/>
      <c r="S30" s="551"/>
    </row>
    <row r="31" spans="1:19">
      <c r="A31" s="386">
        <f t="shared" si="0"/>
        <v>24</v>
      </c>
      <c r="B31" s="546" t="s">
        <v>168</v>
      </c>
      <c r="C31" s="402"/>
      <c r="D31" s="551"/>
      <c r="E31" s="555"/>
      <c r="F31" s="402"/>
      <c r="G31" s="551"/>
      <c r="H31" s="555"/>
      <c r="I31" s="402"/>
      <c r="J31" s="551"/>
      <c r="L31" s="402"/>
      <c r="M31" s="551"/>
      <c r="O31" s="402"/>
      <c r="P31" s="551"/>
      <c r="R31" s="402"/>
      <c r="S31" s="551"/>
    </row>
    <row r="32" spans="1:19">
      <c r="A32" s="386">
        <f t="shared" si="0"/>
        <v>25</v>
      </c>
      <c r="B32" s="546" t="s">
        <v>475</v>
      </c>
      <c r="C32" s="402"/>
      <c r="D32" s="551"/>
      <c r="E32" s="555"/>
      <c r="F32" s="402"/>
      <c r="G32" s="551"/>
      <c r="H32" s="555"/>
      <c r="I32" s="402"/>
      <c r="J32" s="551"/>
      <c r="L32" s="402"/>
      <c r="M32" s="551"/>
      <c r="O32" s="402"/>
      <c r="P32" s="551"/>
      <c r="R32" s="402"/>
      <c r="S32" s="551"/>
    </row>
    <row r="33" spans="1:19">
      <c r="A33" s="386">
        <f t="shared" si="0"/>
        <v>26</v>
      </c>
      <c r="B33" s="546" t="s">
        <v>179</v>
      </c>
      <c r="C33" s="402"/>
      <c r="D33" s="551"/>
      <c r="E33" s="555"/>
      <c r="F33" s="402"/>
      <c r="G33" s="551"/>
      <c r="H33" s="555"/>
      <c r="I33" s="402"/>
      <c r="J33" s="551"/>
      <c r="L33" s="402"/>
      <c r="M33" s="551"/>
      <c r="O33" s="402"/>
      <c r="P33" s="551"/>
      <c r="R33" s="402"/>
      <c r="S33" s="551"/>
    </row>
    <row r="34" spans="1:19">
      <c r="A34" s="386">
        <f t="shared" si="0"/>
        <v>27</v>
      </c>
      <c r="B34" s="539"/>
      <c r="C34" s="550"/>
      <c r="D34" s="551"/>
      <c r="E34" s="555"/>
      <c r="F34" s="550"/>
      <c r="G34" s="551"/>
      <c r="H34" s="555"/>
      <c r="I34" s="550"/>
      <c r="J34" s="551"/>
      <c r="L34" s="550"/>
      <c r="M34" s="551"/>
      <c r="O34" s="550"/>
      <c r="P34" s="551"/>
      <c r="R34" s="550"/>
      <c r="S34" s="551"/>
    </row>
    <row r="35" spans="1:19">
      <c r="A35" s="386">
        <f t="shared" si="0"/>
        <v>28</v>
      </c>
      <c r="B35" s="560" t="s">
        <v>652</v>
      </c>
      <c r="C35" s="402"/>
      <c r="D35" s="561"/>
      <c r="E35" s="477"/>
      <c r="F35" s="402"/>
      <c r="G35" s="561"/>
      <c r="H35" s="477"/>
      <c r="I35" s="402"/>
      <c r="J35" s="561"/>
      <c r="L35" s="402"/>
      <c r="M35" s="561"/>
      <c r="O35" s="402"/>
      <c r="P35" s="561"/>
      <c r="R35" s="422"/>
      <c r="S35" s="562"/>
    </row>
    <row r="36" spans="1:19">
      <c r="A36" s="386">
        <f t="shared" si="0"/>
        <v>29</v>
      </c>
      <c r="B36" s="560" t="s">
        <v>653</v>
      </c>
      <c r="C36" s="402"/>
      <c r="D36" s="551"/>
      <c r="E36" s="477"/>
      <c r="F36" s="402"/>
      <c r="G36" s="551"/>
      <c r="H36" s="477"/>
      <c r="I36" s="402"/>
      <c r="J36" s="551"/>
      <c r="L36" s="402"/>
      <c r="M36" s="551"/>
      <c r="O36" s="402"/>
      <c r="P36" s="551"/>
      <c r="R36" s="422"/>
      <c r="S36" s="557"/>
    </row>
    <row r="37" spans="1:19">
      <c r="A37" s="386">
        <f t="shared" si="0"/>
        <v>30</v>
      </c>
      <c r="B37" s="553" t="s">
        <v>654</v>
      </c>
      <c r="D37" s="554"/>
      <c r="E37" s="523"/>
      <c r="G37" s="554"/>
      <c r="H37" s="523"/>
      <c r="J37" s="554"/>
      <c r="M37" s="554"/>
      <c r="P37" s="554"/>
      <c r="R37" s="446"/>
      <c r="S37" s="563"/>
    </row>
    <row r="38" spans="1:19">
      <c r="A38" s="386">
        <f t="shared" si="0"/>
        <v>31</v>
      </c>
      <c r="D38" s="545"/>
      <c r="E38" s="523"/>
      <c r="G38" s="551"/>
      <c r="H38" s="523"/>
      <c r="J38" s="551"/>
      <c r="M38" s="551"/>
      <c r="P38" s="551"/>
      <c r="R38" s="446"/>
      <c r="S38" s="557"/>
    </row>
    <row r="39" spans="1:19">
      <c r="A39" s="386">
        <f t="shared" si="0"/>
        <v>32</v>
      </c>
      <c r="B39" s="387" t="s">
        <v>645</v>
      </c>
      <c r="C39" s="418"/>
      <c r="D39" s="551"/>
      <c r="E39" s="545"/>
      <c r="F39" s="418"/>
      <c r="G39" s="551"/>
      <c r="H39" s="545"/>
      <c r="I39" s="418"/>
      <c r="J39" s="551"/>
      <c r="L39" s="418"/>
      <c r="M39" s="551"/>
      <c r="O39" s="418"/>
      <c r="P39" s="551"/>
      <c r="R39" s="564"/>
      <c r="S39" s="557"/>
    </row>
    <row r="40" spans="1:19">
      <c r="A40" s="386">
        <f t="shared" si="0"/>
        <v>33</v>
      </c>
      <c r="B40" s="387" t="s">
        <v>646</v>
      </c>
      <c r="C40" s="418"/>
      <c r="D40" s="551"/>
      <c r="E40" s="545"/>
      <c r="F40" s="418"/>
      <c r="G40" s="551"/>
      <c r="H40" s="545"/>
      <c r="I40" s="418"/>
      <c r="J40" s="551"/>
      <c r="L40" s="418"/>
      <c r="M40" s="551"/>
      <c r="O40" s="418"/>
      <c r="P40" s="551"/>
      <c r="R40" s="564"/>
      <c r="S40" s="557"/>
    </row>
    <row r="41" spans="1:19">
      <c r="A41" s="386">
        <f t="shared" si="0"/>
        <v>34</v>
      </c>
      <c r="B41" s="387" t="s">
        <v>647</v>
      </c>
      <c r="C41" s="435"/>
      <c r="D41" s="435"/>
      <c r="E41" s="447"/>
      <c r="F41" s="435"/>
      <c r="G41" s="453"/>
      <c r="H41" s="447"/>
      <c r="I41" s="435"/>
      <c r="J41" s="453"/>
      <c r="L41" s="435"/>
      <c r="M41" s="453"/>
      <c r="O41" s="435"/>
      <c r="P41" s="453"/>
      <c r="R41" s="442"/>
      <c r="S41" s="455"/>
    </row>
    <row r="42" spans="1:19">
      <c r="D42" s="551"/>
      <c r="E42" s="523"/>
      <c r="H42" s="523"/>
    </row>
    <row r="43" spans="1:19" ht="11.4">
      <c r="B43" s="391" t="s">
        <v>838</v>
      </c>
      <c r="E43" s="523"/>
      <c r="H43" s="523"/>
    </row>
    <row r="45" spans="1:19">
      <c r="B45" s="397"/>
    </row>
  </sheetData>
  <mergeCells count="4">
    <mergeCell ref="A1:T1"/>
    <mergeCell ref="A2:T2"/>
    <mergeCell ref="A3:T3"/>
    <mergeCell ref="A4:T4"/>
  </mergeCells>
  <pageMargins left="0.7" right="0.7" top="0.75" bottom="0.75" header="0.3" footer="0.3"/>
  <pageSetup scale="69" orientation="landscape" r:id="rId1"/>
  <headerFooter>
    <oddFooter>&amp;L&amp;A&amp;RExhibit No.___(BDJ-7)
Page &amp;P of &amp;N</oddFooter>
  </headerFooter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"/>
  <sheetViews>
    <sheetView workbookViewId="0">
      <selection activeCell="U35" sqref="U35"/>
    </sheetView>
  </sheetViews>
  <sheetFormatPr defaultColWidth="8.88671875" defaultRowHeight="15.6"/>
  <cols>
    <col min="1" max="16384" width="8.88671875" style="71"/>
  </cols>
  <sheetData/>
  <printOptions horizontalCentered="1"/>
  <pageMargins left="0.7" right="0.7" top="0.75" bottom="0.71" header="0.3" footer="0.3"/>
  <pageSetup fitToHeight="5" orientation="landscape" r:id="rId1"/>
  <headerFooter alignWithMargins="0">
    <oddFooter>&amp;L&amp;F&amp;C
&amp;A&amp;RElectric Rate Design Workpapers
Docket No. UE-17xxxx
Page &amp;P of &amp;N</odd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B48"/>
  <sheetViews>
    <sheetView zoomScaleNormal="100" zoomScaleSheetLayoutView="75" workbookViewId="0">
      <pane xSplit="3" ySplit="8" topLeftCell="D9" activePane="bottomRight" state="frozen"/>
      <selection activeCell="F7" sqref="F7:F62"/>
      <selection pane="topRight" activeCell="F7" sqref="F7:F62"/>
      <selection pane="bottomLeft" activeCell="F7" sqref="F7:F62"/>
      <selection pane="bottomRight" activeCell="B43" sqref="B43:R43"/>
    </sheetView>
  </sheetViews>
  <sheetFormatPr defaultColWidth="9.44140625" defaultRowHeight="10.199999999999999"/>
  <cols>
    <col min="1" max="1" width="1.6640625" style="387" customWidth="1"/>
    <col min="2" max="2" width="13.6640625" style="387" customWidth="1"/>
    <col min="3" max="3" width="3.6640625" style="387" customWidth="1"/>
    <col min="4" max="4" width="6.5546875" style="387" bestFit="1" customWidth="1"/>
    <col min="5" max="5" width="1.6640625" style="387" customWidth="1"/>
    <col min="6" max="6" width="6.5546875" style="387" bestFit="1" customWidth="1"/>
    <col min="7" max="7" width="1.6640625" style="387" customWidth="1"/>
    <col min="8" max="8" width="6.88671875" style="387" bestFit="1" customWidth="1"/>
    <col min="9" max="9" width="1.6640625" style="387" customWidth="1"/>
    <col min="10" max="10" width="6.88671875" style="387" bestFit="1" customWidth="1"/>
    <col min="11" max="11" width="1.6640625" style="387" customWidth="1"/>
    <col min="12" max="12" width="6.5546875" style="387" bestFit="1" customWidth="1"/>
    <col min="13" max="13" width="2.33203125" style="387" hidden="1" customWidth="1"/>
    <col min="14" max="14" width="6.5546875" style="387" bestFit="1" customWidth="1"/>
    <col min="15" max="15" width="1.6640625" style="387" customWidth="1"/>
    <col min="16" max="16" width="6.5546875" style="387" bestFit="1" customWidth="1"/>
    <col min="17" max="17" width="1.6640625" style="387" hidden="1" customWidth="1"/>
    <col min="18" max="18" width="6.5546875" style="387" bestFit="1" customWidth="1"/>
    <col min="19" max="19" width="3.44140625" style="387" customWidth="1"/>
    <col min="20" max="20" width="42.5546875" style="387" bestFit="1" customWidth="1"/>
    <col min="21" max="22" width="10.33203125" style="387" bestFit="1" customWidth="1"/>
    <col min="23" max="23" width="10.44140625" style="387" bestFit="1" customWidth="1"/>
    <col min="24" max="25" width="10.33203125" style="387" bestFit="1" customWidth="1"/>
    <col min="26" max="26" width="2.88671875" style="418" customWidth="1"/>
    <col min="27" max="28" width="5.109375" style="387" bestFit="1" customWidth="1"/>
    <col min="29" max="16384" width="9.44140625" style="387"/>
  </cols>
  <sheetData>
    <row r="1" spans="1:28">
      <c r="B1" s="669" t="s">
        <v>0</v>
      </c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669"/>
      <c r="R1" s="669"/>
    </row>
    <row r="2" spans="1:28">
      <c r="B2" s="669" t="s">
        <v>193</v>
      </c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  <c r="O2" s="669"/>
      <c r="P2" s="669"/>
      <c r="Q2" s="669"/>
      <c r="R2" s="669"/>
    </row>
    <row r="3" spans="1:28">
      <c r="B3" s="669" t="s">
        <v>207</v>
      </c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</row>
    <row r="4" spans="1:28">
      <c r="B4" s="669" t="s">
        <v>206</v>
      </c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</row>
    <row r="5" spans="1:28">
      <c r="A5" s="670"/>
    </row>
    <row r="6" spans="1:28" ht="11.4">
      <c r="A6" s="670"/>
      <c r="B6" s="670"/>
      <c r="C6" s="670"/>
      <c r="D6" s="671" t="s">
        <v>852</v>
      </c>
      <c r="E6" s="671"/>
      <c r="F6" s="671"/>
      <c r="G6" s="671"/>
      <c r="H6" s="671"/>
      <c r="I6" s="671"/>
      <c r="J6" s="671"/>
      <c r="K6" s="670"/>
      <c r="L6" s="672" t="s">
        <v>205</v>
      </c>
      <c r="M6" s="672"/>
      <c r="N6" s="672"/>
      <c r="P6" s="672" t="s">
        <v>204</v>
      </c>
      <c r="Q6" s="672"/>
      <c r="R6" s="672"/>
    </row>
    <row r="7" spans="1:28" ht="12" thickBot="1">
      <c r="A7" s="670"/>
      <c r="B7" s="670"/>
      <c r="C7" s="670"/>
      <c r="D7" s="673" t="s">
        <v>853</v>
      </c>
      <c r="E7" s="673"/>
      <c r="F7" s="673"/>
      <c r="G7" s="674"/>
      <c r="H7" s="673" t="s">
        <v>854</v>
      </c>
      <c r="I7" s="673"/>
      <c r="J7" s="673"/>
      <c r="K7" s="670"/>
      <c r="L7" s="673" t="s">
        <v>27</v>
      </c>
      <c r="M7" s="673"/>
      <c r="N7" s="673"/>
      <c r="P7" s="673" t="s">
        <v>27</v>
      </c>
      <c r="Q7" s="673"/>
      <c r="R7" s="673"/>
    </row>
    <row r="8" spans="1:28">
      <c r="A8" s="670"/>
      <c r="B8" s="513" t="s">
        <v>191</v>
      </c>
      <c r="C8" s="670"/>
      <c r="D8" s="510" t="s">
        <v>203</v>
      </c>
      <c r="E8" s="675"/>
      <c r="F8" s="511" t="s">
        <v>202</v>
      </c>
      <c r="G8" s="670"/>
      <c r="H8" s="510" t="s">
        <v>203</v>
      </c>
      <c r="I8" s="675"/>
      <c r="J8" s="511" t="s">
        <v>202</v>
      </c>
      <c r="K8" s="670"/>
      <c r="L8" s="510" t="s">
        <v>203</v>
      </c>
      <c r="M8" s="675"/>
      <c r="N8" s="511" t="s">
        <v>202</v>
      </c>
      <c r="P8" s="510" t="s">
        <v>203</v>
      </c>
      <c r="Q8" s="675"/>
      <c r="R8" s="511" t="s">
        <v>202</v>
      </c>
      <c r="T8" s="778" t="s">
        <v>201</v>
      </c>
      <c r="U8" s="779"/>
      <c r="V8" s="780"/>
      <c r="W8" s="781" t="s">
        <v>200</v>
      </c>
      <c r="X8" s="779"/>
      <c r="Y8" s="780"/>
    </row>
    <row r="9" spans="1:28">
      <c r="A9" s="670"/>
      <c r="B9" s="670"/>
      <c r="C9" s="670"/>
      <c r="D9" s="676"/>
      <c r="E9" s="676"/>
      <c r="F9" s="676"/>
      <c r="G9" s="676"/>
      <c r="H9" s="676"/>
      <c r="I9" s="676"/>
      <c r="J9" s="676"/>
      <c r="T9" s="522"/>
      <c r="U9" s="597" t="s">
        <v>199</v>
      </c>
      <c r="V9" s="677" t="s">
        <v>198</v>
      </c>
      <c r="W9" s="522"/>
      <c r="X9" s="597" t="s">
        <v>199</v>
      </c>
      <c r="Y9" s="677" t="s">
        <v>198</v>
      </c>
    </row>
    <row r="10" spans="1:28">
      <c r="A10" s="670"/>
      <c r="B10" s="525">
        <v>500</v>
      </c>
      <c r="C10" s="678"/>
      <c r="D10" s="526">
        <f>ROUND($U$10+$B10*$U$14,0)</f>
        <v>65</v>
      </c>
      <c r="E10" s="526"/>
      <c r="F10" s="526">
        <f>ROUND($V$10+$B10*$V$14,0)</f>
        <v>81</v>
      </c>
      <c r="G10" s="526"/>
      <c r="H10" s="526">
        <f>ROUND($X$10+$B10*$X$14,0)</f>
        <v>69</v>
      </c>
      <c r="I10" s="526"/>
      <c r="J10" s="526">
        <f>ROUND($Y$10+$B10*$Y$14,0)</f>
        <v>84</v>
      </c>
      <c r="K10" s="670"/>
      <c r="L10" s="526">
        <f>H10-D10</f>
        <v>4</v>
      </c>
      <c r="M10" s="526"/>
      <c r="N10" s="526">
        <f>J10-F10</f>
        <v>3</v>
      </c>
      <c r="P10" s="592">
        <f>ROUND(H10/D10-1,4)</f>
        <v>6.1499999999999999E-2</v>
      </c>
      <c r="Q10" s="670"/>
      <c r="R10" s="592">
        <f>ROUND(J10/F10-1,4)</f>
        <v>3.6999999999999998E-2</v>
      </c>
      <c r="T10" s="522" t="s">
        <v>197</v>
      </c>
      <c r="U10" s="528">
        <f>SUM(U17)</f>
        <v>10.210000000000001</v>
      </c>
      <c r="V10" s="530">
        <f>SUM(V17)</f>
        <v>25.95</v>
      </c>
      <c r="W10" s="522" t="str">
        <f>+T10</f>
        <v>Basic Charge</v>
      </c>
      <c r="X10" s="528">
        <f>SUM(X17)</f>
        <v>10.210000000000001</v>
      </c>
      <c r="Y10" s="530">
        <f>SUM(Y17)</f>
        <v>25.95</v>
      </c>
      <c r="Z10" s="591"/>
      <c r="AA10" s="435">
        <f>(X10-U10)/U10</f>
        <v>0</v>
      </c>
      <c r="AB10" s="435">
        <f>(Y10-V10)/V10</f>
        <v>0</v>
      </c>
    </row>
    <row r="11" spans="1:28">
      <c r="A11" s="670"/>
      <c r="B11" s="525">
        <f>+B10+500</f>
        <v>1000</v>
      </c>
      <c r="C11" s="678"/>
      <c r="D11" s="526">
        <f>ROUND($U$10+$B11*$U$14,0)</f>
        <v>120</v>
      </c>
      <c r="E11" s="526"/>
      <c r="F11" s="526">
        <f>ROUND($V$10+$B11*$V$14,0)</f>
        <v>136</v>
      </c>
      <c r="G11" s="526"/>
      <c r="H11" s="526">
        <f>ROUND($X$10+$B11*$X$14,0)</f>
        <v>127</v>
      </c>
      <c r="I11" s="526"/>
      <c r="J11" s="526">
        <f>ROUND($Y$10+$B11*$Y$14,0)</f>
        <v>143</v>
      </c>
      <c r="K11" s="670"/>
      <c r="L11" s="526">
        <f>H11-D11</f>
        <v>7</v>
      </c>
      <c r="M11" s="526"/>
      <c r="N11" s="526">
        <f>J11-F11</f>
        <v>7</v>
      </c>
      <c r="P11" s="592">
        <f>ROUND(H11/D11-1,4)</f>
        <v>5.8299999999999998E-2</v>
      </c>
      <c r="Q11" s="670"/>
      <c r="R11" s="592">
        <f>ROUND(J11/F11-1,4)</f>
        <v>5.1499999999999997E-2</v>
      </c>
      <c r="T11" s="522"/>
      <c r="U11" s="679"/>
      <c r="V11" s="680"/>
      <c r="W11" s="681"/>
      <c r="X11" s="679"/>
      <c r="Y11" s="680"/>
    </row>
    <row r="12" spans="1:28">
      <c r="A12" s="670"/>
      <c r="B12" s="525">
        <f>+B11+500</f>
        <v>1500</v>
      </c>
      <c r="C12" s="678"/>
      <c r="D12" s="526">
        <f>ROUND($U$10+$B12*$U$14,0)</f>
        <v>175</v>
      </c>
      <c r="E12" s="526"/>
      <c r="F12" s="526">
        <f>ROUND($V$10+$B12*$V$14,0)</f>
        <v>190</v>
      </c>
      <c r="G12" s="526"/>
      <c r="H12" s="526">
        <f>ROUND($X$10+$B12*$X$14,0)</f>
        <v>185</v>
      </c>
      <c r="I12" s="526"/>
      <c r="J12" s="526">
        <f>ROUND($Y$10+$B12*$Y$14,0)</f>
        <v>201</v>
      </c>
      <c r="K12" s="670"/>
      <c r="L12" s="526">
        <f>H12-D12</f>
        <v>10</v>
      </c>
      <c r="M12" s="526"/>
      <c r="N12" s="526">
        <f>J12-F12</f>
        <v>11</v>
      </c>
      <c r="P12" s="592">
        <f>ROUND(H12/D12-1,4)</f>
        <v>5.7099999999999998E-2</v>
      </c>
      <c r="Q12" s="670"/>
      <c r="R12" s="592">
        <f>ROUND(J12/F12-1,4)</f>
        <v>5.79E-2</v>
      </c>
      <c r="T12" s="527" t="s">
        <v>196</v>
      </c>
      <c r="U12" s="531">
        <f>SUM(U18,V22:V36)</f>
        <v>0.11102451732995706</v>
      </c>
      <c r="V12" s="584">
        <f>U12</f>
        <v>0.11102451732995706</v>
      </c>
      <c r="W12" s="522" t="str">
        <f>+T12</f>
        <v xml:space="preserve">Winter kWh </v>
      </c>
      <c r="X12" s="531">
        <f>SUM(X18,Y22:Y36)</f>
        <v>0.11801500000000002</v>
      </c>
      <c r="Y12" s="584">
        <f>X12</f>
        <v>0.11801500000000002</v>
      </c>
      <c r="AA12" s="435">
        <f t="shared" ref="AA12:AB14" si="0">(X12-U12)/U12</f>
        <v>6.2963414191369416E-2</v>
      </c>
      <c r="AB12" s="435">
        <f t="shared" si="0"/>
        <v>6.2963414191369416E-2</v>
      </c>
    </row>
    <row r="13" spans="1:28">
      <c r="A13" s="670"/>
      <c r="T13" s="522" t="s">
        <v>195</v>
      </c>
      <c r="U13" s="531">
        <f>SUM(U19,V22:V36)</f>
        <v>0.10775551732995706</v>
      </c>
      <c r="V13" s="584">
        <f>U13</f>
        <v>0.10775551732995706</v>
      </c>
      <c r="W13" s="522" t="str">
        <f>+T13</f>
        <v>Summer kWh</v>
      </c>
      <c r="X13" s="531">
        <f>SUM(X19,Y22:Y36)</f>
        <v>0.11481500000000003</v>
      </c>
      <c r="Y13" s="584">
        <f>X13</f>
        <v>0.11481500000000003</v>
      </c>
      <c r="AA13" s="435">
        <f t="shared" si="0"/>
        <v>6.5513885924060877E-2</v>
      </c>
      <c r="AB13" s="435">
        <f t="shared" si="0"/>
        <v>6.5513885924060877E-2</v>
      </c>
    </row>
    <row r="14" spans="1:28">
      <c r="A14" s="670"/>
      <c r="B14" s="525">
        <v>2500</v>
      </c>
      <c r="C14" s="678"/>
      <c r="D14" s="526">
        <f>ROUND($U$10+$B14*$U$14,0)</f>
        <v>284</v>
      </c>
      <c r="E14" s="526"/>
      <c r="F14" s="526">
        <f>ROUND($V$10+$B14*$V$14,0)</f>
        <v>300</v>
      </c>
      <c r="G14" s="526"/>
      <c r="H14" s="526">
        <f>ROUND($X$10+$B14*$X$14,0)</f>
        <v>302</v>
      </c>
      <c r="I14" s="526"/>
      <c r="J14" s="526">
        <f>ROUND($Y$10+$B14*$Y$14,0)</f>
        <v>318</v>
      </c>
      <c r="K14" s="670"/>
      <c r="L14" s="526">
        <f>H14-D14</f>
        <v>18</v>
      </c>
      <c r="M14" s="526"/>
      <c r="N14" s="526">
        <f>J14-F14</f>
        <v>18</v>
      </c>
      <c r="P14" s="592">
        <f>ROUND(H14/D14-1,4)</f>
        <v>6.3399999999999998E-2</v>
      </c>
      <c r="Q14" s="670"/>
      <c r="R14" s="592">
        <f>ROUND(J14/F14-1,4)</f>
        <v>0.06</v>
      </c>
      <c r="T14" s="522" t="s">
        <v>194</v>
      </c>
      <c r="U14" s="531">
        <f>ROUND(SUM(U20,V22:V36),6)</f>
        <v>0.109676</v>
      </c>
      <c r="V14" s="584">
        <f>U14</f>
        <v>0.109676</v>
      </c>
      <c r="W14" s="522" t="str">
        <f>+T14</f>
        <v>Average kWh</v>
      </c>
      <c r="X14" s="531">
        <f>ROUND(SUM(X20,Y22:Y36),6)</f>
        <v>0.11669400000000001</v>
      </c>
      <c r="Y14" s="584">
        <f>X14</f>
        <v>0.11669400000000001</v>
      </c>
      <c r="AA14" s="435">
        <f t="shared" si="0"/>
        <v>6.3988475144972565E-2</v>
      </c>
      <c r="AB14" s="435">
        <f t="shared" si="0"/>
        <v>6.3988475144972565E-2</v>
      </c>
    </row>
    <row r="15" spans="1:28" ht="10.8" thickBot="1">
      <c r="A15" s="670"/>
      <c r="B15" s="525">
        <f>+B14+500</f>
        <v>3000</v>
      </c>
      <c r="C15" s="678"/>
      <c r="D15" s="526">
        <f>ROUND($U$10+$B15*$U$14,0)</f>
        <v>339</v>
      </c>
      <c r="E15" s="526"/>
      <c r="F15" s="526">
        <f>ROUND($V$10+$B15*$V$14,0)</f>
        <v>355</v>
      </c>
      <c r="G15" s="526"/>
      <c r="H15" s="526">
        <f>ROUND($X$10+$B15*$X$14,0)</f>
        <v>360</v>
      </c>
      <c r="I15" s="526"/>
      <c r="J15" s="526">
        <f>ROUND($Y$10+$B15*$Y$14,0)</f>
        <v>376</v>
      </c>
      <c r="K15" s="670"/>
      <c r="L15" s="526">
        <f>H15-D15</f>
        <v>21</v>
      </c>
      <c r="M15" s="526"/>
      <c r="N15" s="526">
        <f>J15-F15</f>
        <v>21</v>
      </c>
      <c r="P15" s="592">
        <f>ROUND(H15/D15-1,4)</f>
        <v>6.1899999999999997E-2</v>
      </c>
      <c r="Q15" s="670"/>
      <c r="R15" s="592">
        <f>ROUND(J15/F15-1,4)</f>
        <v>5.9200000000000003E-2</v>
      </c>
      <c r="T15" s="682" t="s">
        <v>20</v>
      </c>
      <c r="U15" s="534" t="s">
        <v>20</v>
      </c>
      <c r="V15" s="683" t="s">
        <v>20</v>
      </c>
      <c r="W15" s="682" t="s">
        <v>20</v>
      </c>
      <c r="X15" s="534" t="s">
        <v>20</v>
      </c>
      <c r="Y15" s="683" t="s">
        <v>20</v>
      </c>
    </row>
    <row r="16" spans="1:28">
      <c r="A16" s="670"/>
      <c r="B16" s="525">
        <f>+B15+500</f>
        <v>3500</v>
      </c>
      <c r="C16" s="678"/>
      <c r="D16" s="526">
        <f>ROUND($U$10+$B16*$U$14,0)</f>
        <v>394</v>
      </c>
      <c r="E16" s="526"/>
      <c r="F16" s="526">
        <f>ROUND($V$10+$B16*$V$14,0)</f>
        <v>410</v>
      </c>
      <c r="G16" s="526"/>
      <c r="H16" s="526">
        <f>ROUND($X$10+$B16*$X$14,0)</f>
        <v>419</v>
      </c>
      <c r="I16" s="526"/>
      <c r="J16" s="526">
        <f>ROUND($Y$10+$B16*$Y$14,0)</f>
        <v>434</v>
      </c>
      <c r="K16" s="670"/>
      <c r="L16" s="526">
        <f>H16-D16</f>
        <v>25</v>
      </c>
      <c r="M16" s="526"/>
      <c r="N16" s="526">
        <f>J16-F16</f>
        <v>24</v>
      </c>
      <c r="P16" s="592">
        <f>ROUND(H16/D16-1,4)</f>
        <v>6.3500000000000001E-2</v>
      </c>
      <c r="Q16" s="670"/>
      <c r="R16" s="592">
        <f>ROUND(J16/F16-1,4)</f>
        <v>5.8500000000000003E-2</v>
      </c>
      <c r="AA16" s="591"/>
    </row>
    <row r="17" spans="1:28">
      <c r="A17" s="670"/>
      <c r="C17" s="678"/>
      <c r="D17" s="543"/>
      <c r="E17" s="543"/>
      <c r="F17" s="543"/>
      <c r="G17" s="543"/>
      <c r="H17" s="543"/>
      <c r="I17" s="543"/>
      <c r="J17" s="543"/>
      <c r="L17" s="526"/>
      <c r="M17" s="526"/>
      <c r="N17" s="526"/>
      <c r="P17" s="592"/>
      <c r="T17" s="387" t="str">
        <f>+T10</f>
        <v>Basic Charge</v>
      </c>
      <c r="U17" s="537">
        <f>+'[1]Exhibit No.__(BDJ-Tariff)'!$D$15</f>
        <v>10.210000000000001</v>
      </c>
      <c r="V17" s="537">
        <f>+'[1]Exhibit No.__(BDJ-Tariff)'!$D$16</f>
        <v>25.95</v>
      </c>
      <c r="X17" s="538">
        <f>+'[1]Exhibit No.__(BDJ-Tariff)'!$E$15</f>
        <v>10.210000000000001</v>
      </c>
      <c r="Y17" s="538">
        <f>+'[1]Exhibit No.__(BDJ-Tariff)'!$E$16</f>
        <v>25.95</v>
      </c>
      <c r="AA17" s="435">
        <f t="shared" ref="AA17:AA20" si="1">(X17-U17)/U17</f>
        <v>0</v>
      </c>
      <c r="AB17" s="435">
        <f t="shared" ref="AB17:AB20" si="2">(Y17-V17)/V17</f>
        <v>0</v>
      </c>
    </row>
    <row r="18" spans="1:28">
      <c r="A18" s="670"/>
      <c r="B18" s="525">
        <f>+B16+500</f>
        <v>4000</v>
      </c>
      <c r="C18" s="678"/>
      <c r="D18" s="526">
        <f>ROUND($U$10+$B18*$U$14,0)</f>
        <v>449</v>
      </c>
      <c r="E18" s="526"/>
      <c r="F18" s="526">
        <f>ROUND($V$10+$B18*$V$14,0)</f>
        <v>465</v>
      </c>
      <c r="G18" s="526"/>
      <c r="H18" s="526">
        <f>ROUND($X$10+$B18*$X$14,0)</f>
        <v>477</v>
      </c>
      <c r="I18" s="526"/>
      <c r="J18" s="526">
        <f>ROUND($Y$10+$B18*$Y$14,0)</f>
        <v>493</v>
      </c>
      <c r="K18" s="670"/>
      <c r="L18" s="526">
        <f>H18-D18</f>
        <v>28</v>
      </c>
      <c r="M18" s="526"/>
      <c r="N18" s="526">
        <f>J18-F18</f>
        <v>28</v>
      </c>
      <c r="P18" s="592">
        <f>ROUND(H18/D18-1,4)</f>
        <v>6.2399999999999997E-2</v>
      </c>
      <c r="Q18" s="670"/>
      <c r="R18" s="592">
        <f>ROUND(J18/F18-1,4)</f>
        <v>6.0199999999999997E-2</v>
      </c>
      <c r="T18" s="387" t="str">
        <f>+T12</f>
        <v xml:space="preserve">Winter kWh </v>
      </c>
      <c r="U18" s="537">
        <f>+'[1]Exhibit No.__(BDJ-Tariff)'!$D$18</f>
        <v>9.4531000000000004E-2</v>
      </c>
      <c r="V18" s="537">
        <f>+U18</f>
        <v>9.4531000000000004E-2</v>
      </c>
      <c r="X18" s="538">
        <f>+'[1]Exhibit No.__(BDJ-Tariff)'!$E$18</f>
        <v>9.2536999999999994E-2</v>
      </c>
      <c r="Y18" s="538">
        <f>+X18</f>
        <v>9.2536999999999994E-2</v>
      </c>
      <c r="AA18" s="435">
        <f t="shared" si="1"/>
        <v>-2.1093609503760772E-2</v>
      </c>
      <c r="AB18" s="435">
        <f t="shared" si="2"/>
        <v>-2.1093609503760772E-2</v>
      </c>
    </row>
    <row r="19" spans="1:28">
      <c r="B19" s="525">
        <f>+B18+500</f>
        <v>4500</v>
      </c>
      <c r="C19" s="678"/>
      <c r="D19" s="526">
        <f>ROUND($U$10+$B19*$U$14,0)</f>
        <v>504</v>
      </c>
      <c r="E19" s="526"/>
      <c r="F19" s="526">
        <f>ROUND($V$10+$B19*$V$14,0)</f>
        <v>519</v>
      </c>
      <c r="G19" s="526"/>
      <c r="H19" s="526">
        <f>ROUND($X$10+$B19*$X$14,0)</f>
        <v>535</v>
      </c>
      <c r="I19" s="526"/>
      <c r="J19" s="526">
        <f>ROUND($Y$10+$B19*$Y$14,0)</f>
        <v>551</v>
      </c>
      <c r="K19" s="670"/>
      <c r="L19" s="526">
        <f>H19-D19</f>
        <v>31</v>
      </c>
      <c r="M19" s="526"/>
      <c r="N19" s="526">
        <f>J19-F19</f>
        <v>32</v>
      </c>
      <c r="P19" s="592">
        <f>ROUND(H19/D19-1,4)</f>
        <v>6.1499999999999999E-2</v>
      </c>
      <c r="Q19" s="670"/>
      <c r="R19" s="592">
        <f>ROUND(J19/F19-1,4)</f>
        <v>6.1699999999999998E-2</v>
      </c>
      <c r="T19" s="387" t="str">
        <f>+T13</f>
        <v>Summer kWh</v>
      </c>
      <c r="U19" s="537">
        <f>+'[1]Exhibit No.__(BDJ-Tariff)'!$D$19</f>
        <v>9.1261999999999996E-2</v>
      </c>
      <c r="V19" s="537">
        <f>+U19</f>
        <v>9.1261999999999996E-2</v>
      </c>
      <c r="X19" s="538">
        <f>+'[1]Exhibit No.__(BDJ-Tariff)'!$E$19</f>
        <v>8.9337E-2</v>
      </c>
      <c r="Y19" s="538">
        <f>+X19</f>
        <v>8.9337E-2</v>
      </c>
      <c r="Z19" s="591"/>
      <c r="AA19" s="435">
        <f t="shared" si="1"/>
        <v>-2.1093116521662864E-2</v>
      </c>
      <c r="AB19" s="435">
        <f t="shared" si="2"/>
        <v>-2.1093116521662864E-2</v>
      </c>
    </row>
    <row r="20" spans="1:28">
      <c r="A20" s="670"/>
      <c r="B20" s="525">
        <f>+B19+500</f>
        <v>5000</v>
      </c>
      <c r="C20" s="678"/>
      <c r="D20" s="526">
        <f>ROUND($U$10+$B20*$U$14,0)</f>
        <v>559</v>
      </c>
      <c r="E20" s="526"/>
      <c r="F20" s="526">
        <f>ROUND($V$10+$B20*$V$14,0)</f>
        <v>574</v>
      </c>
      <c r="G20" s="526"/>
      <c r="H20" s="526">
        <f>ROUND($X$10+$B20*$X$14,0)</f>
        <v>594</v>
      </c>
      <c r="I20" s="526"/>
      <c r="J20" s="526">
        <f>ROUND($Y$10+$B20*$Y$14,0)</f>
        <v>609</v>
      </c>
      <c r="K20" s="670"/>
      <c r="L20" s="526">
        <f>H20-D20</f>
        <v>35</v>
      </c>
      <c r="M20" s="526"/>
      <c r="N20" s="526">
        <f>J20-F20</f>
        <v>35</v>
      </c>
      <c r="P20" s="592">
        <f>ROUND(H20/D20-1,4)</f>
        <v>6.2600000000000003E-2</v>
      </c>
      <c r="Q20" s="670"/>
      <c r="R20" s="592">
        <f>ROUND(J20/F20-1,4)</f>
        <v>6.0999999999999999E-2</v>
      </c>
      <c r="T20" s="387" t="str">
        <f>+T14</f>
        <v>Average kWh</v>
      </c>
      <c r="U20" s="537">
        <f>+'[1]Exhibit No.__(BDJ-SV RD)'!$D$28</f>
        <v>9.3182000000000001E-2</v>
      </c>
      <c r="V20" s="537">
        <f>+U20</f>
        <v>9.3182000000000001E-2</v>
      </c>
      <c r="X20" s="538">
        <f>+'[1]Exhibit No.__(BDJ-SV RD)'!$G$28</f>
        <v>9.1216000000000005E-2</v>
      </c>
      <c r="Y20" s="538">
        <f>+X20</f>
        <v>9.1216000000000005E-2</v>
      </c>
      <c r="AA20" s="435">
        <f t="shared" si="1"/>
        <v>-2.1098495417569869E-2</v>
      </c>
      <c r="AB20" s="435">
        <f t="shared" si="2"/>
        <v>-2.1098495417569869E-2</v>
      </c>
    </row>
    <row r="21" spans="1:28">
      <c r="A21" s="670"/>
      <c r="C21" s="678"/>
      <c r="D21" s="543"/>
      <c r="E21" s="543"/>
      <c r="F21" s="543"/>
      <c r="G21" s="543"/>
      <c r="H21" s="543"/>
      <c r="I21" s="543"/>
      <c r="J21" s="543"/>
      <c r="L21" s="526"/>
      <c r="M21" s="526"/>
      <c r="N21" s="526"/>
      <c r="P21" s="592"/>
    </row>
    <row r="22" spans="1:28">
      <c r="A22" s="670"/>
      <c r="B22" s="525">
        <f>+B20+1000</f>
        <v>6000</v>
      </c>
      <c r="C22" s="684"/>
      <c r="D22" s="526">
        <f>ROUND($U$10+$B22*$U$14,0)</f>
        <v>668</v>
      </c>
      <c r="E22" s="526"/>
      <c r="F22" s="526">
        <f>ROUND($V$10+$B22*$V$14,0)</f>
        <v>684</v>
      </c>
      <c r="G22" s="526"/>
      <c r="H22" s="526">
        <f>ROUND($X$10+$B22*$X$14,0)</f>
        <v>710</v>
      </c>
      <c r="I22" s="526"/>
      <c r="J22" s="526">
        <f>ROUND($Y$10+$B22*$Y$14,0)</f>
        <v>726</v>
      </c>
      <c r="K22" s="670"/>
      <c r="L22" s="526">
        <f>H22-D22</f>
        <v>42</v>
      </c>
      <c r="M22" s="526"/>
      <c r="N22" s="526">
        <f>J22-F22</f>
        <v>42</v>
      </c>
      <c r="P22" s="592">
        <f>ROUND(H22/D22-1,4)</f>
        <v>6.2899999999999998E-2</v>
      </c>
      <c r="Q22" s="670"/>
      <c r="R22" s="592">
        <f>ROUND(J22/F22-1,4)</f>
        <v>6.1400000000000003E-2</v>
      </c>
      <c r="T22" s="539" t="str">
        <f>+'Res Bill RY#1'!P23</f>
        <v>Schedule 95 - PCORC</v>
      </c>
      <c r="V22" s="537">
        <f>+'Sch 95 PCORC'!E11</f>
        <v>3.4486955638168013E-3</v>
      </c>
      <c r="W22" s="423"/>
      <c r="X22" s="423"/>
      <c r="Y22" s="540">
        <v>0</v>
      </c>
    </row>
    <row r="23" spans="1:28">
      <c r="B23" s="525">
        <f>+B22+1000</f>
        <v>7000</v>
      </c>
      <c r="C23" s="684"/>
      <c r="D23" s="526">
        <f>ROUND($U$10+$B23*$U$14,0)</f>
        <v>778</v>
      </c>
      <c r="E23" s="526"/>
      <c r="F23" s="526">
        <f>ROUND($V$10+$B23*$V$14,0)</f>
        <v>794</v>
      </c>
      <c r="G23" s="526"/>
      <c r="H23" s="526">
        <f>ROUND($X$10+$B23*$X$14,0)</f>
        <v>827</v>
      </c>
      <c r="I23" s="526"/>
      <c r="J23" s="526">
        <f>ROUND($Y$10+$B23*$Y$14,0)</f>
        <v>843</v>
      </c>
      <c r="K23" s="670"/>
      <c r="L23" s="526">
        <f>H23-D23</f>
        <v>49</v>
      </c>
      <c r="M23" s="526"/>
      <c r="N23" s="526">
        <f>J23-F23</f>
        <v>49</v>
      </c>
      <c r="P23" s="592">
        <f>ROUND(H23/D23-1,4)</f>
        <v>6.3E-2</v>
      </c>
      <c r="Q23" s="670"/>
      <c r="R23" s="592">
        <f>ROUND(J23/F23-1,4)</f>
        <v>6.1699999999999998E-2</v>
      </c>
      <c r="T23" s="539" t="str">
        <f>+'Res Bill RY#1'!P24</f>
        <v>Schedule 95 - PCA</v>
      </c>
      <c r="V23" s="537">
        <f>+'Sch 95 Imbalance'!E11</f>
        <v>2.1548217661402514E-3</v>
      </c>
      <c r="W23" s="423"/>
      <c r="X23" s="423"/>
      <c r="Y23" s="540">
        <v>0</v>
      </c>
    </row>
    <row r="24" spans="1:28">
      <c r="A24" s="670"/>
      <c r="B24" s="525">
        <f>+B23+1000</f>
        <v>8000</v>
      </c>
      <c r="C24" s="684"/>
      <c r="D24" s="526">
        <f>ROUND($U$10+$B24*$U$14,0)</f>
        <v>888</v>
      </c>
      <c r="E24" s="526"/>
      <c r="F24" s="526">
        <f>ROUND($V$10+$B24*$V$14,0)</f>
        <v>903</v>
      </c>
      <c r="G24" s="526"/>
      <c r="H24" s="526">
        <f>ROUND($X$10+$B24*$X$14,0)</f>
        <v>944</v>
      </c>
      <c r="I24" s="526"/>
      <c r="J24" s="526">
        <f>ROUND($Y$10+$B24*$Y$14,0)</f>
        <v>960</v>
      </c>
      <c r="K24" s="670"/>
      <c r="L24" s="526">
        <f>H24-D24</f>
        <v>56</v>
      </c>
      <c r="M24" s="526"/>
      <c r="N24" s="526">
        <f>J24-F24</f>
        <v>57</v>
      </c>
      <c r="P24" s="592">
        <f>ROUND(H24/D24-1,4)</f>
        <v>6.3100000000000003E-2</v>
      </c>
      <c r="Q24" s="670"/>
      <c r="R24" s="592">
        <f>ROUND(J24/F24-1,4)</f>
        <v>6.3100000000000003E-2</v>
      </c>
      <c r="T24" s="539" t="str">
        <f>+'Res Bill RY#1'!P25</f>
        <v>Schedule 95A - Fed Inc Credit</v>
      </c>
      <c r="V24" s="537">
        <f>+'Sch 95a'!E11</f>
        <v>-1.423E-3</v>
      </c>
      <c r="W24" s="423"/>
      <c r="X24" s="423"/>
      <c r="Y24" s="537">
        <f t="shared" ref="Y24:Y28" si="3">+V24</f>
        <v>-1.423E-3</v>
      </c>
    </row>
    <row r="25" spans="1:28">
      <c r="A25" s="670"/>
      <c r="B25" s="523"/>
      <c r="C25" s="685"/>
      <c r="D25" s="523"/>
      <c r="E25" s="523"/>
      <c r="F25" s="523"/>
      <c r="G25" s="523"/>
      <c r="H25" s="523"/>
      <c r="I25" s="523"/>
      <c r="J25" s="523"/>
      <c r="K25" s="523"/>
      <c r="L25" s="523"/>
      <c r="M25" s="523"/>
      <c r="N25" s="523"/>
      <c r="O25" s="523"/>
      <c r="P25" s="523"/>
      <c r="Q25" s="523"/>
      <c r="R25" s="523"/>
      <c r="T25" s="539" t="str">
        <f>+'Res Bill RY#1'!P26</f>
        <v>Schedule 120 - Conservation</v>
      </c>
      <c r="V25" s="537">
        <f>+'Sch 120'!E12</f>
        <v>3.8500000000000001E-3</v>
      </c>
      <c r="W25" s="423"/>
      <c r="X25" s="423"/>
      <c r="Y25" s="537">
        <f t="shared" si="3"/>
        <v>3.8500000000000001E-3</v>
      </c>
    </row>
    <row r="26" spans="1:28">
      <c r="A26" s="670"/>
      <c r="B26" s="525">
        <f>+B24+1000</f>
        <v>9000</v>
      </c>
      <c r="C26" s="684"/>
      <c r="D26" s="526">
        <f>ROUND($U$10+$B26*$U$14,0)</f>
        <v>997</v>
      </c>
      <c r="E26" s="526"/>
      <c r="F26" s="526">
        <f>ROUND($V$10+$B26*$V$14,0)</f>
        <v>1013</v>
      </c>
      <c r="G26" s="526"/>
      <c r="H26" s="526">
        <f>ROUND($X$10+$B26*$X$14,0)</f>
        <v>1060</v>
      </c>
      <c r="I26" s="526"/>
      <c r="J26" s="526">
        <f>ROUND($Y$10+$B26*$Y$14,0)</f>
        <v>1076</v>
      </c>
      <c r="K26" s="670"/>
      <c r="L26" s="526">
        <f>H26-D26</f>
        <v>63</v>
      </c>
      <c r="M26" s="526"/>
      <c r="N26" s="526">
        <f>J26-F26</f>
        <v>63</v>
      </c>
      <c r="P26" s="592">
        <f>ROUND(H26/D26-1,4)</f>
        <v>6.3200000000000006E-2</v>
      </c>
      <c r="Q26" s="670"/>
      <c r="R26" s="592">
        <f>ROUND(J26/F26-1,4)</f>
        <v>6.2199999999999998E-2</v>
      </c>
      <c r="T26" s="539" t="str">
        <f>+'Res Bill RY#1'!P27</f>
        <v>Schedule 129 - Low Income</v>
      </c>
      <c r="V26" s="537">
        <f>+'Sch 129'!E12</f>
        <v>1.3339999999999999E-3</v>
      </c>
      <c r="Y26" s="537">
        <f t="shared" si="3"/>
        <v>1.3339999999999999E-3</v>
      </c>
    </row>
    <row r="27" spans="1:28">
      <c r="B27" s="525">
        <f>+B26+1000</f>
        <v>10000</v>
      </c>
      <c r="C27" s="684"/>
      <c r="D27" s="526">
        <f>ROUND($U$10+$B27*$U$14,0)</f>
        <v>1107</v>
      </c>
      <c r="E27" s="526"/>
      <c r="F27" s="526">
        <f>ROUND($V$10+$B27*$V$14,0)</f>
        <v>1123</v>
      </c>
      <c r="G27" s="526"/>
      <c r="H27" s="526">
        <f>ROUND($X$10+$B27*$X$14,0)</f>
        <v>1177</v>
      </c>
      <c r="I27" s="526"/>
      <c r="J27" s="526">
        <f>ROUND($Y$10+$B27*$Y$14,0)</f>
        <v>1193</v>
      </c>
      <c r="K27" s="670"/>
      <c r="L27" s="526">
        <f>H27-D27</f>
        <v>70</v>
      </c>
      <c r="M27" s="526"/>
      <c r="N27" s="526">
        <f>J27-F27</f>
        <v>70</v>
      </c>
      <c r="P27" s="592">
        <f>ROUND(H27/D27-1,4)</f>
        <v>6.3200000000000006E-2</v>
      </c>
      <c r="Q27" s="670"/>
      <c r="R27" s="592">
        <f>ROUND(J27/F27-1,4)</f>
        <v>6.2300000000000001E-2</v>
      </c>
      <c r="T27" s="539" t="str">
        <f>+'Res Bill RY#1'!P28</f>
        <v>Schedule 137 - REC</v>
      </c>
      <c r="V27" s="402">
        <f>+'Sch 137'!E12</f>
        <v>-2.0999999999999999E-5</v>
      </c>
      <c r="Y27" s="537">
        <f t="shared" si="3"/>
        <v>-2.0999999999999999E-5</v>
      </c>
    </row>
    <row r="28" spans="1:28">
      <c r="A28" s="670"/>
      <c r="B28" s="525">
        <f>+B27+1000</f>
        <v>11000</v>
      </c>
      <c r="C28" s="684"/>
      <c r="D28" s="526">
        <f>ROUND($U$10+$B28*$U$14,0)</f>
        <v>1217</v>
      </c>
      <c r="E28" s="526"/>
      <c r="F28" s="526">
        <f>ROUND($V$10+$B28*$V$14,0)</f>
        <v>1232</v>
      </c>
      <c r="G28" s="526"/>
      <c r="H28" s="526">
        <f>ROUND($X$10+$B28*$X$14,0)</f>
        <v>1294</v>
      </c>
      <c r="I28" s="526"/>
      <c r="J28" s="526">
        <f>ROUND($Y$10+$B28*$Y$14,0)</f>
        <v>1310</v>
      </c>
      <c r="K28" s="670"/>
      <c r="L28" s="526">
        <f>H28-D28</f>
        <v>77</v>
      </c>
      <c r="M28" s="526"/>
      <c r="N28" s="526">
        <f>J28-F28</f>
        <v>78</v>
      </c>
      <c r="P28" s="592">
        <f>ROUND(H28/D28-1,4)</f>
        <v>6.3299999999999995E-2</v>
      </c>
      <c r="Q28" s="670"/>
      <c r="R28" s="592">
        <f>ROUND(J28/F28-1,4)</f>
        <v>6.3299999999999995E-2</v>
      </c>
      <c r="T28" s="539" t="str">
        <f>+'Res Bill RY#1'!P29</f>
        <v>Schedule 140 - Property Tax</v>
      </c>
      <c r="V28" s="402">
        <f>+'Sch 140'!E12</f>
        <v>2.6389999999999999E-3</v>
      </c>
      <c r="Y28" s="537">
        <f t="shared" si="3"/>
        <v>2.6389999999999999E-3</v>
      </c>
    </row>
    <row r="29" spans="1:28">
      <c r="A29" s="670"/>
      <c r="C29" s="678"/>
      <c r="T29" s="539" t="str">
        <f>+'Res Bill RY#1'!P30</f>
        <v>Schedule 141A -  Sch 139 Energy Charge Credit Recovery</v>
      </c>
      <c r="V29" s="402">
        <v>0</v>
      </c>
      <c r="Y29" s="540">
        <f>+'Sch 141A'!F12</f>
        <v>1.748E-3</v>
      </c>
    </row>
    <row r="30" spans="1:28">
      <c r="A30" s="670"/>
      <c r="B30" s="525">
        <f>+B28+1000</f>
        <v>12000</v>
      </c>
      <c r="C30" s="684"/>
      <c r="D30" s="526">
        <f>ROUND($U$10+$B30*$U$14,0)</f>
        <v>1326</v>
      </c>
      <c r="E30" s="526"/>
      <c r="F30" s="526">
        <f>ROUND($V$10+$B30*$V$14,0)</f>
        <v>1342</v>
      </c>
      <c r="G30" s="526"/>
      <c r="H30" s="526">
        <f>ROUND($X$10+$B30*$X$14,0)</f>
        <v>1411</v>
      </c>
      <c r="I30" s="526"/>
      <c r="J30" s="526">
        <f>ROUND($Y$10+$B30*$Y$14,0)</f>
        <v>1426</v>
      </c>
      <c r="K30" s="670"/>
      <c r="L30" s="526">
        <f>H30-D30</f>
        <v>85</v>
      </c>
      <c r="M30" s="526"/>
      <c r="N30" s="526">
        <f>J30-F30</f>
        <v>84</v>
      </c>
      <c r="P30" s="592">
        <f>ROUND(H30/D30-1,4)</f>
        <v>6.4100000000000004E-2</v>
      </c>
      <c r="Q30" s="670"/>
      <c r="R30" s="592">
        <f>ROUND(J30/F30-1,4)</f>
        <v>6.2600000000000003E-2</v>
      </c>
      <c r="T30" s="539" t="str">
        <f>+'Res Bill RY#1'!P31</f>
        <v>Schedule 141COL - Colstrip</v>
      </c>
      <c r="V30" s="402">
        <v>0</v>
      </c>
      <c r="Y30" s="540">
        <f>+'Sch 141C'!F12</f>
        <v>2.346E-3</v>
      </c>
    </row>
    <row r="31" spans="1:28">
      <c r="B31" s="525">
        <f>+B30+1000</f>
        <v>13000</v>
      </c>
      <c r="C31" s="684"/>
      <c r="D31" s="526">
        <f>ROUND($U$10+$B31*$U$14,0)</f>
        <v>1436</v>
      </c>
      <c r="E31" s="526"/>
      <c r="F31" s="526">
        <f>ROUND($V$10+$B31*$V$14,0)</f>
        <v>1452</v>
      </c>
      <c r="G31" s="526"/>
      <c r="H31" s="526">
        <f>ROUND($X$10+$B31*$X$14,0)</f>
        <v>1527</v>
      </c>
      <c r="I31" s="526"/>
      <c r="J31" s="526">
        <f>ROUND($Y$10+$B31*$Y$14,0)</f>
        <v>1543</v>
      </c>
      <c r="K31" s="670"/>
      <c r="L31" s="526">
        <f>H31-D31</f>
        <v>91</v>
      </c>
      <c r="M31" s="526"/>
      <c r="N31" s="526">
        <f>J31-F31</f>
        <v>91</v>
      </c>
      <c r="P31" s="592">
        <f>ROUND(H31/D31-1,4)</f>
        <v>6.3399999999999998E-2</v>
      </c>
      <c r="Q31" s="670"/>
      <c r="R31" s="592">
        <f>ROUND(J31/F31-1,4)</f>
        <v>6.2700000000000006E-2</v>
      </c>
      <c r="T31" s="539" t="str">
        <f>+'Res Bill RY#1'!P32</f>
        <v>Schedule 141N - Non Refundable MYRP</v>
      </c>
      <c r="V31" s="402">
        <v>0</v>
      </c>
      <c r="Y31" s="540">
        <f>+'Sch 141N'!G12</f>
        <v>9.8779999999999996E-3</v>
      </c>
    </row>
    <row r="32" spans="1:28">
      <c r="A32" s="670"/>
      <c r="B32" s="525">
        <f>+B31+1000</f>
        <v>14000</v>
      </c>
      <c r="C32" s="684"/>
      <c r="D32" s="526">
        <f>ROUND($U$10+$B32*$U$14,0)</f>
        <v>1546</v>
      </c>
      <c r="E32" s="526"/>
      <c r="F32" s="526">
        <f>ROUND($V$10+$B32*$V$14,0)</f>
        <v>1561</v>
      </c>
      <c r="G32" s="526"/>
      <c r="H32" s="526">
        <f>ROUND($X$10+$B32*$X$14,0)</f>
        <v>1644</v>
      </c>
      <c r="I32" s="526"/>
      <c r="J32" s="526">
        <f>ROUND($Y$10+$B32*$Y$14,0)</f>
        <v>1660</v>
      </c>
      <c r="K32" s="670"/>
      <c r="L32" s="526">
        <f>H32-D32</f>
        <v>98</v>
      </c>
      <c r="M32" s="526"/>
      <c r="N32" s="526">
        <f>J32-F32</f>
        <v>99</v>
      </c>
      <c r="P32" s="592">
        <f>ROUND(H32/D32-1,4)</f>
        <v>6.3399999999999998E-2</v>
      </c>
      <c r="Q32" s="670"/>
      <c r="R32" s="592">
        <f>ROUND(J32/F32-1,4)</f>
        <v>6.3399999999999998E-2</v>
      </c>
      <c r="T32" s="539" t="str">
        <f>+'Res Bill RY#1'!P33</f>
        <v>Schedule 141R - Refundable MYRP</v>
      </c>
      <c r="V32" s="402">
        <v>0</v>
      </c>
      <c r="Y32" s="540">
        <f>+'Sch 141R'!G12</f>
        <v>1.8469999999999999E-3</v>
      </c>
    </row>
    <row r="33" spans="1:25">
      <c r="A33" s="670"/>
      <c r="C33" s="678"/>
      <c r="T33" s="539" t="str">
        <f>+'Res Bill RY#1'!P34</f>
        <v xml:space="preserve">Schedule 141X- Tax Passback </v>
      </c>
      <c r="V33" s="402">
        <f>+'Sch 141X'!E12</f>
        <v>7.4299999999999995E-4</v>
      </c>
      <c r="Y33" s="540">
        <v>0</v>
      </c>
    </row>
    <row r="34" spans="1:25">
      <c r="A34" s="670"/>
      <c r="B34" s="525">
        <f>+B32+1000</f>
        <v>15000</v>
      </c>
      <c r="C34" s="684"/>
      <c r="D34" s="526">
        <f>ROUND($U$10+$B34*$U$14,0)</f>
        <v>1655</v>
      </c>
      <c r="E34" s="526"/>
      <c r="F34" s="526">
        <f>ROUND($V$10+$B34*$V$14,0)</f>
        <v>1671</v>
      </c>
      <c r="G34" s="526"/>
      <c r="H34" s="526">
        <f>ROUND($X$10+$B34*$X$14,0)</f>
        <v>1761</v>
      </c>
      <c r="I34" s="526"/>
      <c r="J34" s="526">
        <f>ROUND($Y$10+$B34*$Y$14,0)</f>
        <v>1776</v>
      </c>
      <c r="K34" s="670"/>
      <c r="L34" s="526">
        <f>H34-D34</f>
        <v>106</v>
      </c>
      <c r="M34" s="526"/>
      <c r="N34" s="526">
        <f>J34-F34</f>
        <v>105</v>
      </c>
      <c r="P34" s="592">
        <f>ROUND(H34/D34-1,4)</f>
        <v>6.4000000000000001E-2</v>
      </c>
      <c r="Q34" s="670"/>
      <c r="R34" s="592">
        <f>ROUND(J34/F34-1,4)</f>
        <v>6.2799999999999995E-2</v>
      </c>
      <c r="T34" s="539" t="str">
        <f>+'Res Bill RY#1'!P35</f>
        <v>Schedule 141Z - Tax</v>
      </c>
      <c r="V34" s="402">
        <f>+'Sch 141Z'!E12</f>
        <v>-7.1299999999999998E-4</v>
      </c>
      <c r="Y34" s="540">
        <v>0</v>
      </c>
    </row>
    <row r="35" spans="1:25">
      <c r="B35" s="525">
        <f>+B34+1000</f>
        <v>16000</v>
      </c>
      <c r="C35" s="684"/>
      <c r="D35" s="526">
        <f>ROUND($U$10+$B35*$U$14,0)</f>
        <v>1765</v>
      </c>
      <c r="E35" s="526"/>
      <c r="F35" s="526">
        <f>ROUND($V$10+$B35*$V$14,0)</f>
        <v>1781</v>
      </c>
      <c r="G35" s="526"/>
      <c r="H35" s="526">
        <f>ROUND($X$10+$B35*$X$14,0)</f>
        <v>1877</v>
      </c>
      <c r="I35" s="526"/>
      <c r="J35" s="526">
        <f>ROUND($Y$10+$B35*$Y$14,0)</f>
        <v>1893</v>
      </c>
      <c r="K35" s="670"/>
      <c r="L35" s="526">
        <f>H35-D35</f>
        <v>112</v>
      </c>
      <c r="M35" s="526"/>
      <c r="N35" s="526">
        <f>J35-F35</f>
        <v>112</v>
      </c>
      <c r="P35" s="592">
        <f>ROUND(H35/D35-1,4)</f>
        <v>6.3500000000000001E-2</v>
      </c>
      <c r="Q35" s="670"/>
      <c r="R35" s="592">
        <f>ROUND(J35/F35-1,4)</f>
        <v>6.2899999999999998E-2</v>
      </c>
      <c r="T35" s="539" t="str">
        <f>+'Res Bill RY#1'!P36</f>
        <v>Schedule 142 - Decoupling</v>
      </c>
      <c r="V35" s="402">
        <f>+'Sch 142'!F12</f>
        <v>3.2799999999999999E-3</v>
      </c>
      <c r="Y35" s="537">
        <f>+V35</f>
        <v>3.2799999999999999E-3</v>
      </c>
    </row>
    <row r="36" spans="1:25">
      <c r="A36" s="670"/>
      <c r="B36" s="525">
        <f>+B35+1000</f>
        <v>17000</v>
      </c>
      <c r="C36" s="684"/>
      <c r="D36" s="526">
        <f>ROUND($U$10+$B36*$U$14,0)</f>
        <v>1875</v>
      </c>
      <c r="E36" s="526"/>
      <c r="F36" s="526">
        <f>ROUND($V$10+$B36*$V$14,0)</f>
        <v>1890</v>
      </c>
      <c r="G36" s="526"/>
      <c r="H36" s="526">
        <f>ROUND($X$10+$B36*$X$14,0)</f>
        <v>1994</v>
      </c>
      <c r="I36" s="526"/>
      <c r="J36" s="526">
        <f>ROUND($Y$10+$B36*$Y$14,0)</f>
        <v>2010</v>
      </c>
      <c r="K36" s="670"/>
      <c r="L36" s="526">
        <f>H36-D36</f>
        <v>119</v>
      </c>
      <c r="M36" s="526"/>
      <c r="N36" s="526">
        <f>J36-F36</f>
        <v>120</v>
      </c>
      <c r="P36" s="592">
        <f>ROUND(H36/D36-1,4)</f>
        <v>6.3500000000000001E-2</v>
      </c>
      <c r="Q36" s="670"/>
      <c r="R36" s="592">
        <f>ROUND(J36/F36-1,4)</f>
        <v>6.3500000000000001E-2</v>
      </c>
      <c r="T36" s="539" t="str">
        <f>+'Res Bill RY#1'!P37</f>
        <v>Schedule 142 - Decoupling Supplemental</v>
      </c>
      <c r="V36" s="402">
        <f>+'Sch 142'!I12</f>
        <v>1.201E-3</v>
      </c>
      <c r="Y36" s="540">
        <v>0</v>
      </c>
    </row>
    <row r="37" spans="1:25">
      <c r="A37" s="670"/>
      <c r="C37" s="678"/>
      <c r="T37" s="539"/>
      <c r="V37" s="402"/>
      <c r="X37" s="537"/>
      <c r="Y37" s="537"/>
    </row>
    <row r="38" spans="1:25">
      <c r="A38" s="670"/>
      <c r="B38" s="525">
        <f>+B36+1000</f>
        <v>18000</v>
      </c>
      <c r="C38" s="684"/>
      <c r="D38" s="526">
        <f>ROUND($U$10+$B38*$U$14,0)</f>
        <v>1984</v>
      </c>
      <c r="E38" s="526"/>
      <c r="F38" s="526">
        <f>ROUND($V$10+$B38*$V$14,0)</f>
        <v>2000</v>
      </c>
      <c r="G38" s="526"/>
      <c r="H38" s="526">
        <f>ROUND($X$10+$B38*$X$14,0)</f>
        <v>2111</v>
      </c>
      <c r="I38" s="526"/>
      <c r="J38" s="526">
        <f>ROUND($Y$10+$B38*$Y$14,0)</f>
        <v>2126</v>
      </c>
      <c r="K38" s="670"/>
      <c r="L38" s="526">
        <f>H38-D38</f>
        <v>127</v>
      </c>
      <c r="M38" s="526"/>
      <c r="N38" s="526">
        <f>J38-F38</f>
        <v>126</v>
      </c>
      <c r="P38" s="592">
        <f>ROUND(H38/D38-1,4)</f>
        <v>6.4000000000000001E-2</v>
      </c>
      <c r="Q38" s="670"/>
      <c r="R38" s="592">
        <f>ROUND(J38/F38-1,4)</f>
        <v>6.3E-2</v>
      </c>
      <c r="U38" s="543" t="s">
        <v>20</v>
      </c>
    </row>
    <row r="39" spans="1:25">
      <c r="A39" s="670"/>
      <c r="B39" s="525">
        <f>+B38+1000</f>
        <v>19000</v>
      </c>
      <c r="C39" s="684"/>
      <c r="D39" s="526">
        <f>ROUND($U$10+$B39*$U$14,0)</f>
        <v>2094</v>
      </c>
      <c r="E39" s="526"/>
      <c r="F39" s="526">
        <f>ROUND($V$10+$B39*$V$14,0)</f>
        <v>2110</v>
      </c>
      <c r="G39" s="526"/>
      <c r="H39" s="526">
        <f>ROUND($X$10+$B39*$X$14,0)</f>
        <v>2227</v>
      </c>
      <c r="I39" s="526"/>
      <c r="J39" s="526">
        <f>ROUND($Y$10+$B39*$Y$14,0)</f>
        <v>2243</v>
      </c>
      <c r="K39" s="670"/>
      <c r="L39" s="526">
        <f>H39-D39</f>
        <v>133</v>
      </c>
      <c r="M39" s="526"/>
      <c r="N39" s="526">
        <f>J39-F39</f>
        <v>133</v>
      </c>
      <c r="P39" s="592">
        <f>ROUND(H39/D39-1,4)</f>
        <v>6.3500000000000001E-2</v>
      </c>
      <c r="Q39" s="670"/>
      <c r="R39" s="592">
        <f>ROUND(J39/F39-1,4)</f>
        <v>6.3E-2</v>
      </c>
      <c r="T39" s="542" t="s">
        <v>284</v>
      </c>
      <c r="U39" s="667">
        <f>+'Rate Impacts_RY#1'!H10</f>
        <v>-1.4428615533537557E-2</v>
      </c>
    </row>
    <row r="40" spans="1:25">
      <c r="A40" s="670"/>
      <c r="B40" s="525">
        <f>+B39+1000</f>
        <v>20000</v>
      </c>
      <c r="C40" s="684"/>
      <c r="D40" s="526">
        <f>ROUND($U$10+$B40*$U$14,0)</f>
        <v>2204</v>
      </c>
      <c r="E40" s="526"/>
      <c r="F40" s="526">
        <f>ROUND($V$10+$B40*$V$14,0)</f>
        <v>2219</v>
      </c>
      <c r="G40" s="526"/>
      <c r="H40" s="526">
        <f>ROUND($X$10+$B40*$X$14,0)</f>
        <v>2344</v>
      </c>
      <c r="I40" s="526"/>
      <c r="J40" s="526">
        <f>ROUND($Y$10+$B40*$Y$14,0)</f>
        <v>2360</v>
      </c>
      <c r="K40" s="670"/>
      <c r="L40" s="526">
        <f>H40-D40</f>
        <v>140</v>
      </c>
      <c r="M40" s="526"/>
      <c r="N40" s="526">
        <f>J40-F40</f>
        <v>141</v>
      </c>
      <c r="P40" s="592">
        <f>ROUND(H40/D40-1,4)</f>
        <v>6.3500000000000001E-2</v>
      </c>
      <c r="Q40" s="670"/>
      <c r="R40" s="592">
        <f>ROUND(J40/F40-1,4)</f>
        <v>6.3500000000000001E-2</v>
      </c>
      <c r="T40" s="542" t="s">
        <v>285</v>
      </c>
      <c r="U40" s="667">
        <f>+'Rate Impacts_RY#1'!AP10</f>
        <v>5.3209920387974438E-2</v>
      </c>
      <c r="V40" s="402"/>
      <c r="Y40" s="537"/>
    </row>
    <row r="41" spans="1:25">
      <c r="A41" s="670"/>
      <c r="C41" s="678"/>
    </row>
    <row r="42" spans="1:25">
      <c r="A42" s="670"/>
      <c r="B42" s="777" t="s">
        <v>177</v>
      </c>
      <c r="C42" s="777"/>
      <c r="D42" s="777"/>
      <c r="E42" s="777"/>
      <c r="F42" s="777"/>
      <c r="G42" s="777"/>
      <c r="H42" s="777"/>
      <c r="I42" s="777"/>
      <c r="J42" s="777"/>
      <c r="K42" s="777"/>
      <c r="L42" s="777"/>
      <c r="M42" s="777"/>
      <c r="N42" s="777"/>
      <c r="O42" s="777"/>
      <c r="P42" s="777"/>
      <c r="Q42" s="777"/>
      <c r="R42" s="777"/>
    </row>
    <row r="43" spans="1:25" ht="15.6" customHeight="1">
      <c r="A43" s="670"/>
      <c r="B43" s="777" t="s">
        <v>893</v>
      </c>
      <c r="C43" s="777"/>
      <c r="D43" s="777"/>
      <c r="E43" s="777"/>
      <c r="F43" s="777"/>
      <c r="G43" s="777"/>
      <c r="H43" s="777"/>
      <c r="I43" s="777"/>
      <c r="J43" s="777"/>
      <c r="K43" s="777"/>
      <c r="L43" s="777"/>
      <c r="M43" s="777"/>
      <c r="N43" s="777"/>
      <c r="O43" s="777"/>
      <c r="P43" s="777"/>
      <c r="Q43" s="777"/>
      <c r="R43" s="777"/>
    </row>
    <row r="44" spans="1:25" ht="11.4">
      <c r="A44" s="670"/>
      <c r="B44" s="777" t="s">
        <v>855</v>
      </c>
      <c r="C44" s="777"/>
      <c r="D44" s="777"/>
      <c r="E44" s="777"/>
      <c r="F44" s="777"/>
      <c r="G44" s="777"/>
      <c r="H44" s="777"/>
      <c r="I44" s="777"/>
      <c r="J44" s="777"/>
      <c r="K44" s="777"/>
      <c r="L44" s="777"/>
      <c r="M44" s="777"/>
      <c r="N44" s="777"/>
      <c r="O44" s="777"/>
      <c r="P44" s="777"/>
      <c r="Q44" s="777"/>
      <c r="R44" s="777"/>
    </row>
    <row r="45" spans="1:25" ht="11.4">
      <c r="A45" s="670"/>
      <c r="B45" s="777" t="s">
        <v>856</v>
      </c>
      <c r="C45" s="777"/>
      <c r="D45" s="777"/>
      <c r="E45" s="777"/>
      <c r="F45" s="777"/>
      <c r="G45" s="777"/>
      <c r="H45" s="777"/>
      <c r="I45" s="777"/>
      <c r="J45" s="777"/>
      <c r="K45" s="777"/>
      <c r="L45" s="777"/>
      <c r="M45" s="777"/>
      <c r="N45" s="777"/>
      <c r="O45" s="777"/>
      <c r="P45" s="777"/>
      <c r="Q45" s="777"/>
      <c r="R45" s="777"/>
    </row>
    <row r="46" spans="1:25" ht="11.4">
      <c r="A46" s="670"/>
      <c r="B46" s="777" t="s">
        <v>857</v>
      </c>
      <c r="C46" s="777"/>
      <c r="D46" s="777"/>
      <c r="E46" s="777"/>
      <c r="F46" s="777"/>
      <c r="G46" s="777"/>
      <c r="H46" s="777"/>
      <c r="I46" s="777"/>
      <c r="J46" s="777"/>
      <c r="K46" s="777"/>
      <c r="L46" s="777"/>
      <c r="M46" s="777"/>
      <c r="N46" s="777"/>
      <c r="O46" s="777"/>
      <c r="P46" s="777"/>
      <c r="Q46" s="777"/>
      <c r="R46" s="777"/>
    </row>
    <row r="47" spans="1:25">
      <c r="A47" s="670"/>
    </row>
    <row r="48" spans="1:25">
      <c r="B48" s="397"/>
      <c r="M48" s="543"/>
      <c r="T48" s="383"/>
      <c r="U48" s="599"/>
    </row>
  </sheetData>
  <mergeCells count="7">
    <mergeCell ref="B45:R45"/>
    <mergeCell ref="B46:R46"/>
    <mergeCell ref="T8:V8"/>
    <mergeCell ref="W8:Y8"/>
    <mergeCell ref="B42:R42"/>
    <mergeCell ref="B43:R43"/>
    <mergeCell ref="B44:R44"/>
  </mergeCells>
  <printOptions horizontalCentered="1"/>
  <pageMargins left="0.7" right="0.7" top="0.75" bottom="0.71" header="0.3" footer="0.3"/>
  <pageSetup scale="50" orientation="landscape" r:id="rId1"/>
  <headerFooter alignWithMargins="0">
    <oddFooter>&amp;L&amp;"Times New Roman,Regular"&amp;A&amp;R&amp;"Times New Roman,Regular"Exhibit No.___(BDJ-7)
Page &amp;P of &amp;N</oddFooter>
  </headerFooter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S57"/>
  <sheetViews>
    <sheetView zoomScaleNormal="100" zoomScaleSheetLayoutView="75" workbookViewId="0">
      <pane xSplit="3" ySplit="8" topLeftCell="D9" activePane="bottomRight" state="frozen"/>
      <selection activeCell="F7" sqref="F7:F62"/>
      <selection pane="topRight" activeCell="F7" sqref="F7:F62"/>
      <selection pane="bottomLeft" activeCell="F7" sqref="F7:F62"/>
      <selection pane="bottomRight" activeCell="B40" sqref="B40:K40"/>
    </sheetView>
  </sheetViews>
  <sheetFormatPr defaultColWidth="9.44140625" defaultRowHeight="10.199999999999999"/>
  <cols>
    <col min="1" max="1" width="1.6640625" style="387" customWidth="1"/>
    <col min="2" max="2" width="10.44140625" style="387" bestFit="1" customWidth="1"/>
    <col min="3" max="3" width="2.6640625" style="387" customWidth="1"/>
    <col min="4" max="4" width="13.44140625" style="387" bestFit="1" customWidth="1"/>
    <col min="5" max="5" width="10.33203125" style="387" bestFit="1" customWidth="1"/>
    <col min="6" max="6" width="1" style="387" customWidth="1"/>
    <col min="7" max="7" width="13.33203125" style="387" bestFit="1" customWidth="1"/>
    <col min="8" max="8" width="1" style="387" customWidth="1"/>
    <col min="9" max="9" width="13.33203125" style="387" bestFit="1" customWidth="1"/>
    <col min="10" max="10" width="1" style="387" customWidth="1"/>
    <col min="11" max="11" width="10" style="387" bestFit="1" customWidth="1"/>
    <col min="12" max="13" width="1" style="387" customWidth="1"/>
    <col min="14" max="14" width="51.44140625" style="387" customWidth="1"/>
    <col min="15" max="15" width="12.88671875" style="387" bestFit="1" customWidth="1"/>
    <col min="16" max="16" width="24.88671875" style="387" bestFit="1" customWidth="1"/>
    <col min="17" max="17" width="12.88671875" style="387" bestFit="1" customWidth="1"/>
    <col min="18" max="18" width="2.44140625" style="387" customWidth="1"/>
    <col min="19" max="19" width="8.44140625" style="387" bestFit="1" customWidth="1"/>
    <col min="20" max="16384" width="9.44140625" style="387"/>
  </cols>
  <sheetData>
    <row r="1" spans="1:19">
      <c r="B1" s="669" t="s">
        <v>0</v>
      </c>
      <c r="C1" s="669"/>
      <c r="D1" s="669"/>
      <c r="E1" s="669"/>
      <c r="F1" s="669"/>
      <c r="G1" s="669"/>
      <c r="H1" s="669"/>
      <c r="I1" s="669"/>
      <c r="J1" s="669"/>
      <c r="K1" s="669"/>
      <c r="L1" s="674"/>
      <c r="M1" s="674"/>
    </row>
    <row r="2" spans="1:19">
      <c r="B2" s="669" t="s">
        <v>193</v>
      </c>
      <c r="C2" s="669"/>
      <c r="D2" s="669"/>
      <c r="E2" s="669"/>
      <c r="F2" s="669"/>
      <c r="G2" s="669"/>
      <c r="H2" s="669"/>
      <c r="I2" s="669"/>
      <c r="J2" s="669"/>
      <c r="K2" s="669"/>
      <c r="L2" s="674"/>
      <c r="M2" s="674"/>
    </row>
    <row r="3" spans="1:19">
      <c r="B3" s="669" t="s">
        <v>216</v>
      </c>
      <c r="C3" s="669"/>
      <c r="D3" s="669"/>
      <c r="E3" s="669"/>
      <c r="F3" s="669"/>
      <c r="G3" s="669"/>
      <c r="H3" s="669"/>
      <c r="I3" s="669"/>
      <c r="J3" s="669"/>
      <c r="K3" s="669"/>
      <c r="L3" s="674"/>
      <c r="M3" s="674"/>
    </row>
    <row r="4" spans="1:19">
      <c r="B4" s="669" t="s">
        <v>223</v>
      </c>
      <c r="C4" s="669"/>
      <c r="D4" s="669"/>
      <c r="E4" s="669"/>
      <c r="F4" s="669"/>
      <c r="G4" s="669"/>
      <c r="H4" s="669"/>
      <c r="I4" s="669"/>
      <c r="J4" s="669"/>
      <c r="K4" s="669"/>
      <c r="L4" s="674"/>
      <c r="M4" s="674"/>
    </row>
    <row r="5" spans="1:19">
      <c r="A5" s="670"/>
      <c r="B5" s="686"/>
    </row>
    <row r="6" spans="1:19" ht="11.4">
      <c r="A6" s="670"/>
      <c r="B6" s="687" t="s">
        <v>222</v>
      </c>
      <c r="C6" s="670"/>
      <c r="D6" s="670"/>
      <c r="E6" s="670"/>
      <c r="F6" s="670"/>
      <c r="G6" s="782" t="s">
        <v>852</v>
      </c>
      <c r="H6" s="783"/>
      <c r="I6" s="783"/>
      <c r="J6" s="670"/>
      <c r="L6" s="670"/>
      <c r="M6" s="670"/>
    </row>
    <row r="7" spans="1:19" ht="10.8" thickBot="1">
      <c r="A7" s="670"/>
      <c r="B7" s="512" t="s">
        <v>221</v>
      </c>
      <c r="C7" s="672"/>
      <c r="D7" s="687" t="s">
        <v>220</v>
      </c>
      <c r="E7" s="670"/>
      <c r="F7" s="670"/>
      <c r="G7" s="386" t="s">
        <v>219</v>
      </c>
      <c r="I7" s="386" t="s">
        <v>25</v>
      </c>
      <c r="J7" s="670"/>
      <c r="K7" s="672" t="s">
        <v>204</v>
      </c>
      <c r="L7" s="670"/>
      <c r="M7" s="670"/>
    </row>
    <row r="8" spans="1:19" ht="11.4">
      <c r="A8" s="670"/>
      <c r="B8" s="513" t="s">
        <v>218</v>
      </c>
      <c r="C8" s="676"/>
      <c r="D8" s="688" t="s">
        <v>217</v>
      </c>
      <c r="E8" s="513" t="s">
        <v>191</v>
      </c>
      <c r="F8" s="670"/>
      <c r="G8" s="516" t="s">
        <v>858</v>
      </c>
      <c r="H8" s="516"/>
      <c r="I8" s="516" t="s">
        <v>859</v>
      </c>
      <c r="J8" s="670"/>
      <c r="K8" s="673" t="s">
        <v>27</v>
      </c>
      <c r="L8" s="670"/>
      <c r="M8" s="670"/>
      <c r="N8" s="778" t="s">
        <v>201</v>
      </c>
      <c r="O8" s="780"/>
      <c r="P8" s="781" t="s">
        <v>200</v>
      </c>
      <c r="Q8" s="780"/>
      <c r="R8" s="418"/>
    </row>
    <row r="9" spans="1:19">
      <c r="A9" s="670"/>
      <c r="B9" s="670"/>
      <c r="C9" s="670"/>
      <c r="D9" s="670"/>
      <c r="E9" s="670"/>
      <c r="F9" s="670"/>
      <c r="G9" s="676"/>
      <c r="H9" s="676"/>
      <c r="I9" s="676"/>
      <c r="N9" s="522"/>
      <c r="O9" s="677"/>
      <c r="P9" s="523"/>
      <c r="Q9" s="677"/>
      <c r="R9" s="418"/>
    </row>
    <row r="10" spans="1:19">
      <c r="A10" s="670"/>
      <c r="B10" s="670">
        <v>50</v>
      </c>
      <c r="C10" s="670"/>
      <c r="D10" s="670">
        <v>300</v>
      </c>
      <c r="E10" s="525">
        <f>ROUND((B$10*D10),0)</f>
        <v>15000</v>
      </c>
      <c r="F10" s="670"/>
      <c r="G10" s="526">
        <f>+O$10+IF($E10&lt;20000,$E10*O$14,20000*O$14+($E10-20000)*O$16)+IF($B10&gt;50,($B10-50)*O$22,0)</f>
        <v>1600.2896893705174</v>
      </c>
      <c r="H10" s="526"/>
      <c r="I10" s="526">
        <f>+Q$10+IF($E10&lt;20000,$E10*Q$14,20000*Q$14+($E10-20000)*Q$16)+IF($B10&gt;50,($B10-50)*Q$22,0)</f>
        <v>1638.1599999999999</v>
      </c>
      <c r="J10" s="670"/>
      <c r="K10" s="678">
        <f>ROUND((+I10-G10)/G10,3)</f>
        <v>2.4E-2</v>
      </c>
      <c r="L10" s="670"/>
      <c r="M10" s="670"/>
      <c r="N10" s="522" t="s">
        <v>197</v>
      </c>
      <c r="O10" s="530">
        <f>SUM(O27)</f>
        <v>53.95</v>
      </c>
      <c r="P10" s="522" t="str">
        <f>+N10</f>
        <v>Basic Charge</v>
      </c>
      <c r="Q10" s="530">
        <f>SUM(Q27)</f>
        <v>53.95</v>
      </c>
      <c r="R10" s="591"/>
      <c r="S10" s="435">
        <f>(Q10-O10)/O10</f>
        <v>0</v>
      </c>
    </row>
    <row r="11" spans="1:19">
      <c r="A11" s="670"/>
      <c r="B11" s="670">
        <f>+B10</f>
        <v>50</v>
      </c>
      <c r="C11" s="670"/>
      <c r="D11" s="670">
        <v>500</v>
      </c>
      <c r="E11" s="525">
        <f>ROUND((B$10*D11),0)</f>
        <v>25000</v>
      </c>
      <c r="F11" s="670"/>
      <c r="G11" s="526">
        <f>+O$10+IF($E11&lt;20000,$E11*O$14,20000*O$14+($E11-20000)*O$16)+IF($B11&gt;50,($B11-50)*O$22,0)</f>
        <v>2520.252815617529</v>
      </c>
      <c r="H11" s="526"/>
      <c r="I11" s="526">
        <f>+Q$10+IF($E11&lt;20000,$E11*Q$14,20000*Q$14+($E11-20000)*Q$16)+IF($B11&gt;50,($B11-50)*Q$22,0)</f>
        <v>2585.9099999999994</v>
      </c>
      <c r="J11" s="670"/>
      <c r="K11" s="678">
        <f>ROUND((+I11-G11)/G11,3)</f>
        <v>2.5999999999999999E-2</v>
      </c>
      <c r="L11" s="670"/>
      <c r="M11" s="670"/>
      <c r="N11" s="522"/>
      <c r="O11" s="680"/>
      <c r="P11" s="529"/>
      <c r="Q11" s="680"/>
      <c r="R11" s="418"/>
    </row>
    <row r="12" spans="1:19">
      <c r="A12" s="670"/>
      <c r="B12" s="670">
        <f>+B11</f>
        <v>50</v>
      </c>
      <c r="C12" s="670"/>
      <c r="D12" s="670">
        <v>700</v>
      </c>
      <c r="E12" s="525">
        <f>ROUND((B$10*D12),0)</f>
        <v>35000</v>
      </c>
      <c r="F12" s="670"/>
      <c r="G12" s="526">
        <f>+O$10+IF($E12&lt;20000,$E12*O$14,20000*O$14+($E12-20000)*O$16)+IF($B12&gt;50,($B12-50)*O$22,0)</f>
        <v>3329.2859418645403</v>
      </c>
      <c r="H12" s="526"/>
      <c r="I12" s="526">
        <f>+Q$10+IF($E12&lt;20000,$E12*Q$14,20000*Q$14+($E12-20000)*Q$16)+IF($B12&gt;50,($B12-50)*Q$22,0)</f>
        <v>3425.2699999999995</v>
      </c>
      <c r="J12" s="670"/>
      <c r="K12" s="678">
        <f>ROUND((+I12-G12)/G12,3)</f>
        <v>2.9000000000000001E-2</v>
      </c>
      <c r="N12" s="527" t="s">
        <v>215</v>
      </c>
      <c r="O12" s="584">
        <f>SUM(O28,O39:O53)</f>
        <v>0.10753031262470115</v>
      </c>
      <c r="P12" s="522" t="str">
        <f>+N12</f>
        <v>Winter kWh - First 20,000</v>
      </c>
      <c r="Q12" s="663">
        <f>SUM(Q28,Q39:Q53)</f>
        <v>0.10995299999999998</v>
      </c>
      <c r="R12" s="668"/>
      <c r="S12" s="435">
        <f>(Q12-O12)/O12</f>
        <v>2.2530273707604777E-2</v>
      </c>
    </row>
    <row r="13" spans="1:19">
      <c r="A13" s="670"/>
      <c r="L13" s="670"/>
      <c r="M13" s="670"/>
      <c r="N13" s="527" t="s">
        <v>214</v>
      </c>
      <c r="O13" s="584">
        <f>SUM(O29,O39:O53)</f>
        <v>9.8374312624701157E-2</v>
      </c>
      <c r="P13" s="522" t="str">
        <f>+N13</f>
        <v>Summer kWh - First 20,000</v>
      </c>
      <c r="Q13" s="663">
        <f>SUM(Q29,Q39:Q53)</f>
        <v>0.10100699999999999</v>
      </c>
      <c r="R13" s="668"/>
      <c r="S13" s="435">
        <f>(Q13-O13)/O13</f>
        <v>2.6761939220277486E-2</v>
      </c>
    </row>
    <row r="14" spans="1:19">
      <c r="A14" s="670"/>
      <c r="B14" s="670">
        <v>100</v>
      </c>
      <c r="C14" s="670"/>
      <c r="D14" s="670">
        <v>300</v>
      </c>
      <c r="E14" s="525">
        <f>ROUND((B$14*D14),0)</f>
        <v>30000</v>
      </c>
      <c r="F14" s="670"/>
      <c r="G14" s="526">
        <f>+O$10+IF($E14&lt;20000,$E14*O$14,20000*O$14+($E14-20000)*O$16)+IF($B14&gt;50,($B14-50)*O$22,0)</f>
        <v>3350.2693787410344</v>
      </c>
      <c r="H14" s="526"/>
      <c r="I14" s="526">
        <f>+Q$10+IF($E14&lt;20000,$E14*Q$14,20000*Q$14+($E14-20000)*Q$16)+IF($B14&gt;50,($B14-50)*Q$22,0)</f>
        <v>3431.0899999999992</v>
      </c>
      <c r="J14" s="670"/>
      <c r="K14" s="678">
        <f>ROUND((+I14-G14)/G14,3)</f>
        <v>2.4E-2</v>
      </c>
      <c r="L14" s="670"/>
      <c r="M14" s="670"/>
      <c r="N14" s="527" t="s">
        <v>251</v>
      </c>
      <c r="O14" s="584">
        <f>SUM(O30,O39:O53)</f>
        <v>0.10308931262470115</v>
      </c>
      <c r="P14" s="522" t="str">
        <f>+N14</f>
        <v>Average kWh - First 20,000</v>
      </c>
      <c r="Q14" s="663">
        <f>SUM(Q30,Q39:Q53)</f>
        <v>0.10561399999999999</v>
      </c>
      <c r="R14" s="668"/>
      <c r="S14" s="435">
        <f>(Q14-O14)/O14</f>
        <v>2.4490292068296251E-2</v>
      </c>
    </row>
    <row r="15" spans="1:19">
      <c r="A15" s="670"/>
      <c r="B15" s="670">
        <f>+B14</f>
        <v>100</v>
      </c>
      <c r="C15" s="670"/>
      <c r="D15" s="670">
        <v>500</v>
      </c>
      <c r="E15" s="525">
        <f>ROUND((B$14*D15),0)</f>
        <v>50000</v>
      </c>
      <c r="F15" s="670"/>
      <c r="G15" s="526">
        <f>+O$10+IF($E15&lt;20000,$E15*O$14,20000*O$14+($E15-20000)*O$16)+IF($B15&gt;50,($B15-50)*O$22,0)</f>
        <v>4968.3356312350579</v>
      </c>
      <c r="H15" s="526"/>
      <c r="I15" s="526">
        <f>+Q$10+IF($E15&lt;20000,$E15*Q$14,20000*Q$14+($E15-20000)*Q$16)+IF($B15&gt;50,($B15-50)*Q$22,0)</f>
        <v>5109.8099999999986</v>
      </c>
      <c r="J15" s="670"/>
      <c r="K15" s="678">
        <f>ROUND((+I15-G15)/G15,3)</f>
        <v>2.8000000000000001E-2</v>
      </c>
      <c r="L15" s="670"/>
      <c r="M15" s="670"/>
      <c r="N15" s="522"/>
      <c r="O15" s="584"/>
      <c r="P15" s="522"/>
      <c r="Q15" s="584"/>
      <c r="R15" s="418"/>
    </row>
    <row r="16" spans="1:19">
      <c r="A16" s="670"/>
      <c r="B16" s="670">
        <f>+B15</f>
        <v>100</v>
      </c>
      <c r="C16" s="670"/>
      <c r="D16" s="670">
        <v>700</v>
      </c>
      <c r="E16" s="525">
        <f>ROUND((B$14*D16),0)</f>
        <v>70000</v>
      </c>
      <c r="F16" s="670"/>
      <c r="G16" s="526">
        <f>+O$10+IF($E16&lt;20000,$E16*O$14,20000*O$14+($E16-20000)*O$16)+IF($B16&gt;50,($B16-50)*O$22,0)</f>
        <v>6586.4018837290814</v>
      </c>
      <c r="H16" s="526"/>
      <c r="I16" s="526">
        <f>+Q$10+IF($E16&lt;20000,$E16*Q$14,20000*Q$14+($E16-20000)*Q$16)+IF($B16&gt;50,($B16-50)*Q$22,0)</f>
        <v>6788.5299999999988</v>
      </c>
      <c r="J16" s="670"/>
      <c r="K16" s="678">
        <f>ROUND((+I16-G16)/G16,3)</f>
        <v>3.1E-2</v>
      </c>
      <c r="N16" s="527" t="s">
        <v>213</v>
      </c>
      <c r="O16" s="584">
        <f>SUM(O31,O39:O53)</f>
        <v>8.0903312624701157E-2</v>
      </c>
      <c r="P16" s="522" t="str">
        <f>+N16</f>
        <v>kWh - All Over 20,000</v>
      </c>
      <c r="Q16" s="663">
        <f>SUM(Q31,Q39:Q53)</f>
        <v>8.3935999999999983E-2</v>
      </c>
      <c r="R16" s="668"/>
      <c r="S16" s="435">
        <f>(Q16-O16)/O16</f>
        <v>3.748533004287509E-2</v>
      </c>
    </row>
    <row r="17" spans="1:19">
      <c r="A17" s="670"/>
      <c r="B17" s="670"/>
      <c r="C17" s="670"/>
      <c r="D17" s="670"/>
      <c r="E17" s="670"/>
      <c r="F17" s="670"/>
      <c r="G17" s="526"/>
      <c r="H17" s="526"/>
      <c r="I17" s="526"/>
      <c r="K17" s="592"/>
      <c r="L17" s="670"/>
      <c r="M17" s="670"/>
      <c r="N17" s="527"/>
      <c r="O17" s="584"/>
      <c r="P17" s="527"/>
      <c r="Q17" s="584"/>
      <c r="R17" s="418"/>
      <c r="S17" s="583"/>
    </row>
    <row r="18" spans="1:19">
      <c r="A18" s="670"/>
      <c r="B18" s="670">
        <v>150</v>
      </c>
      <c r="C18" s="670"/>
      <c r="D18" s="670">
        <v>300</v>
      </c>
      <c r="E18" s="525">
        <f>ROUND((B$18*D18),0)</f>
        <v>45000</v>
      </c>
      <c r="F18" s="670"/>
      <c r="G18" s="526">
        <f>+O$10+IF($E18&lt;20000,$E18*O$14,20000*O$14+($E18-20000)*O$16)+IF($B18&gt;50,($B18-50)*O$22,0)</f>
        <v>4989.319068111552</v>
      </c>
      <c r="H18" s="526"/>
      <c r="I18" s="526">
        <f>+Q$10+IF($E18&lt;20000,$E18*Q$14,20000*Q$14+($E18-20000)*Q$16)+IF($B18&gt;50,($B18-50)*Q$22,0)</f>
        <v>5115.6299999999992</v>
      </c>
      <c r="J18" s="670"/>
      <c r="K18" s="678">
        <f>ROUND((+I18-G18)/G18,3)</f>
        <v>2.5000000000000001E-2</v>
      </c>
      <c r="L18" s="670"/>
      <c r="M18" s="670"/>
      <c r="N18" s="527" t="s">
        <v>212</v>
      </c>
      <c r="O18" s="584">
        <v>0</v>
      </c>
      <c r="P18" s="522" t="str">
        <f>+N18</f>
        <v>kW - First 50</v>
      </c>
      <c r="Q18" s="584">
        <v>0</v>
      </c>
      <c r="R18" s="418"/>
      <c r="S18" s="583"/>
    </row>
    <row r="19" spans="1:19">
      <c r="A19" s="670"/>
      <c r="B19" s="670">
        <f>+B18</f>
        <v>150</v>
      </c>
      <c r="C19" s="670"/>
      <c r="D19" s="670">
        <v>500</v>
      </c>
      <c r="E19" s="525">
        <f>ROUND((B$18*D19),0)</f>
        <v>75000</v>
      </c>
      <c r="F19" s="670"/>
      <c r="G19" s="526">
        <f>+O$10+IF($E19&lt;20000,$E19*O$14,20000*O$14+($E19-20000)*O$16)+IF($B19&gt;50,($B19-50)*O$22,0)</f>
        <v>7416.4184468525864</v>
      </c>
      <c r="H19" s="526"/>
      <c r="I19" s="526">
        <f>+Q$10+IF($E19&lt;20000,$E19*Q$14,20000*Q$14+($E19-20000)*Q$16)+IF($B19&gt;50,($B19-50)*Q$22,0)</f>
        <v>7633.7099999999982</v>
      </c>
      <c r="J19" s="670"/>
      <c r="K19" s="678">
        <f>ROUND((+I19-G19)/G19,3)</f>
        <v>2.9000000000000001E-2</v>
      </c>
      <c r="L19" s="670"/>
      <c r="M19" s="670"/>
      <c r="N19" s="527"/>
      <c r="O19" s="584"/>
      <c r="P19" s="527"/>
      <c r="Q19" s="584"/>
      <c r="R19" s="591"/>
      <c r="S19" s="591"/>
    </row>
    <row r="20" spans="1:19">
      <c r="A20" s="670"/>
      <c r="B20" s="670">
        <f>+B19</f>
        <v>150</v>
      </c>
      <c r="C20" s="670"/>
      <c r="D20" s="670">
        <v>700</v>
      </c>
      <c r="E20" s="525">
        <f>ROUND((B$18*D20),0)</f>
        <v>105000</v>
      </c>
      <c r="F20" s="670"/>
      <c r="G20" s="526">
        <f>+O$10+IF($E20&lt;20000,$E20*O$14,20000*O$14+($E20-20000)*O$16)+IF($B20&gt;50,($B20-50)*O$22,0)</f>
        <v>9843.5178255936225</v>
      </c>
      <c r="H20" s="526"/>
      <c r="I20" s="526">
        <f>+Q$10+IF($E20&lt;20000,$E20*Q$14,20000*Q$14+($E20-20000)*Q$16)+IF($B20&gt;50,($B20-50)*Q$22,0)</f>
        <v>10151.789999999999</v>
      </c>
      <c r="J20" s="670"/>
      <c r="K20" s="678">
        <f>ROUND((+I20-G20)/G20,3)</f>
        <v>3.1E-2</v>
      </c>
      <c r="N20" s="527" t="s">
        <v>211</v>
      </c>
      <c r="O20" s="530">
        <f>SUM(O33)</f>
        <v>10.119999999999999</v>
      </c>
      <c r="P20" s="522" t="str">
        <f>+N20</f>
        <v>Winter kW - Over 50</v>
      </c>
      <c r="Q20" s="530">
        <f>SUM(Q33)</f>
        <v>10.119999999999999</v>
      </c>
      <c r="R20" s="418"/>
      <c r="S20" s="435">
        <f>(Q20-O20)/O20</f>
        <v>0</v>
      </c>
    </row>
    <row r="21" spans="1:19">
      <c r="A21" s="670"/>
      <c r="B21" s="670"/>
      <c r="C21" s="670"/>
      <c r="D21" s="670"/>
      <c r="E21" s="670"/>
      <c r="F21" s="670"/>
      <c r="G21" s="526"/>
      <c r="H21" s="526"/>
      <c r="I21" s="526"/>
      <c r="K21" s="592"/>
      <c r="L21" s="670"/>
      <c r="M21" s="670"/>
      <c r="N21" s="527" t="s">
        <v>210</v>
      </c>
      <c r="O21" s="530">
        <f>SUM(O34)</f>
        <v>6.75</v>
      </c>
      <c r="P21" s="522" t="str">
        <f>+N21</f>
        <v>Summer kW - Over 50</v>
      </c>
      <c r="Q21" s="530">
        <f>SUM(Q34)</f>
        <v>6.75</v>
      </c>
      <c r="R21" s="418"/>
      <c r="S21" s="435">
        <f>(Q21-O21)/O21</f>
        <v>0</v>
      </c>
    </row>
    <row r="22" spans="1:19">
      <c r="A22" s="670"/>
      <c r="B22" s="670">
        <v>200</v>
      </c>
      <c r="C22" s="670"/>
      <c r="D22" s="670">
        <v>300</v>
      </c>
      <c r="E22" s="525">
        <f>ROUND((B$22*D22),0)</f>
        <v>60000</v>
      </c>
      <c r="F22" s="670"/>
      <c r="G22" s="526">
        <f>+O$10+IF($E22&lt;20000,$E22*O$14,20000*O$14+($E22-20000)*O$16)+IF($B22&gt;50,($B22-50)*O$22,0)</f>
        <v>6628.3687574820697</v>
      </c>
      <c r="H22" s="526"/>
      <c r="I22" s="526">
        <f>+Q$10+IF($E22&lt;20000,$E22*Q$14,20000*Q$14+($E22-20000)*Q$16)+IF($B22&gt;50,($B22-50)*Q$22,0)</f>
        <v>6800.1699999999992</v>
      </c>
      <c r="J22" s="670"/>
      <c r="K22" s="678">
        <f>ROUND((+I22-G22)/G22,3)</f>
        <v>2.5999999999999999E-2</v>
      </c>
      <c r="L22" s="670"/>
      <c r="M22" s="670"/>
      <c r="N22" s="527" t="s">
        <v>209</v>
      </c>
      <c r="O22" s="530">
        <f>SUM(O35)</f>
        <v>8.51</v>
      </c>
      <c r="P22" s="522" t="str">
        <f>+N22</f>
        <v>Average kW - Over 50</v>
      </c>
      <c r="Q22" s="530">
        <f>SUM(Q35)</f>
        <v>8.51</v>
      </c>
      <c r="R22" s="418"/>
      <c r="S22" s="435">
        <f>(Q22-O22)/O22</f>
        <v>0</v>
      </c>
    </row>
    <row r="23" spans="1:19">
      <c r="A23" s="670"/>
      <c r="B23" s="670">
        <f>+B22</f>
        <v>200</v>
      </c>
      <c r="C23" s="670"/>
      <c r="D23" s="670">
        <v>500</v>
      </c>
      <c r="E23" s="525">
        <f>ROUND((B$22*D23),0)</f>
        <v>100000</v>
      </c>
      <c r="F23" s="670"/>
      <c r="G23" s="526">
        <f>+O$10+IF($E23&lt;20000,$E23*O$14,20000*O$14+($E23-20000)*O$16)+IF($B23&gt;50,($B23-50)*O$22,0)</f>
        <v>9864.5012624701158</v>
      </c>
      <c r="H23" s="526"/>
      <c r="I23" s="526">
        <f>+Q$10+IF($E23&lt;20000,$E23*Q$14,20000*Q$14+($E23-20000)*Q$16)+IF($B23&gt;50,($B23-50)*Q$22,0)</f>
        <v>10157.609999999999</v>
      </c>
      <c r="J23" s="670"/>
      <c r="K23" s="678">
        <f>ROUND((+I23-G23)/G23,3)</f>
        <v>0.03</v>
      </c>
      <c r="L23" s="670"/>
      <c r="M23" s="670"/>
      <c r="N23" s="522"/>
      <c r="O23" s="584"/>
      <c r="P23" s="522"/>
      <c r="Q23" s="584"/>
      <c r="R23" s="418"/>
    </row>
    <row r="24" spans="1:19">
      <c r="A24" s="670"/>
      <c r="B24" s="670">
        <f>+B23</f>
        <v>200</v>
      </c>
      <c r="C24" s="670"/>
      <c r="D24" s="670">
        <v>700</v>
      </c>
      <c r="E24" s="525">
        <f>ROUND((B$22*D24),0)</f>
        <v>140000</v>
      </c>
      <c r="F24" s="670"/>
      <c r="G24" s="526">
        <f>+O$10+IF($E24&lt;20000,$E24*O$14,20000*O$14+($E24-20000)*O$16)+IF($B24&gt;50,($B24-50)*O$22,0)</f>
        <v>13100.633767458163</v>
      </c>
      <c r="H24" s="526"/>
      <c r="I24" s="526">
        <f>+Q$10+IF($E24&lt;20000,$E24*Q$14,20000*Q$14+($E24-20000)*Q$16)+IF($B24&gt;50,($B24-50)*Q$22,0)</f>
        <v>13515.05</v>
      </c>
      <c r="J24" s="670"/>
      <c r="K24" s="678">
        <f>ROUND((+I24-G24)/G24,3)</f>
        <v>3.2000000000000001E-2</v>
      </c>
      <c r="N24" s="522" t="s">
        <v>208</v>
      </c>
      <c r="O24" s="689">
        <f>SUM(O36)</f>
        <v>3.1800000000000001E-3</v>
      </c>
      <c r="P24" s="522" t="str">
        <f>+N24</f>
        <v>kVarh</v>
      </c>
      <c r="Q24" s="689">
        <f>SUM(Q36)</f>
        <v>3.1800000000000001E-3</v>
      </c>
      <c r="R24" s="418"/>
      <c r="S24" s="435">
        <f>(Q24-O24)/O24</f>
        <v>0</v>
      </c>
    </row>
    <row r="25" spans="1:19" ht="10.8" thickBot="1">
      <c r="A25" s="670"/>
      <c r="B25" s="670"/>
      <c r="C25" s="670"/>
      <c r="D25" s="670"/>
      <c r="E25" s="670"/>
      <c r="F25" s="670"/>
      <c r="G25" s="526"/>
      <c r="H25" s="526"/>
      <c r="I25" s="526"/>
      <c r="K25" s="592"/>
      <c r="L25" s="670"/>
      <c r="M25" s="670"/>
      <c r="N25" s="682" t="s">
        <v>20</v>
      </c>
      <c r="O25" s="683" t="s">
        <v>20</v>
      </c>
      <c r="P25" s="682" t="s">
        <v>20</v>
      </c>
      <c r="Q25" s="683" t="s">
        <v>20</v>
      </c>
      <c r="R25" s="418"/>
    </row>
    <row r="26" spans="1:19">
      <c r="A26" s="670"/>
      <c r="B26" s="670">
        <v>250</v>
      </c>
      <c r="C26" s="670"/>
      <c r="D26" s="670">
        <v>300</v>
      </c>
      <c r="E26" s="525">
        <f>ROUND((B$26*D26),0)</f>
        <v>75000</v>
      </c>
      <c r="F26" s="670"/>
      <c r="G26" s="526">
        <f>+O$10+IF($E26&lt;20000,$E26*O$14,20000*O$14+($E26-20000)*O$16)+IF($B26&gt;50,($B26-50)*O$22,0)</f>
        <v>8267.4184468525855</v>
      </c>
      <c r="H26" s="526"/>
      <c r="I26" s="526">
        <f>+Q$10+IF($E26&lt;20000,$E26*Q$14,20000*Q$14+($E26-20000)*Q$16)+IF($B26&gt;50,($B26-50)*Q$22,0)</f>
        <v>8484.7099999999991</v>
      </c>
      <c r="J26" s="670"/>
      <c r="K26" s="678">
        <f>ROUND((+I26-G26)/G26,3)</f>
        <v>2.5999999999999999E-2</v>
      </c>
      <c r="L26" s="670"/>
      <c r="M26" s="670"/>
      <c r="R26" s="418"/>
    </row>
    <row r="27" spans="1:19">
      <c r="A27" s="670"/>
      <c r="B27" s="670">
        <f>+B26</f>
        <v>250</v>
      </c>
      <c r="C27" s="670"/>
      <c r="D27" s="670">
        <v>500</v>
      </c>
      <c r="E27" s="525">
        <f>ROUND((B$26*D27),0)</f>
        <v>125000</v>
      </c>
      <c r="F27" s="670"/>
      <c r="G27" s="526">
        <f>+O$10+IF($E27&lt;20000,$E27*O$14,20000*O$14+($E27-20000)*O$16)+IF($B27&gt;50,($B27-50)*O$22,0)</f>
        <v>12312.584078087644</v>
      </c>
      <c r="H27" s="526"/>
      <c r="I27" s="526">
        <f>+Q$10+IF($E27&lt;20000,$E27*Q$14,20000*Q$14+($E27-20000)*Q$16)+IF($B27&gt;50,($B27-50)*Q$22,0)</f>
        <v>12681.509999999998</v>
      </c>
      <c r="J27" s="670"/>
      <c r="K27" s="678">
        <f>ROUND((+I27-G27)/G27,3)</f>
        <v>0.03</v>
      </c>
      <c r="L27" s="670"/>
      <c r="M27" s="670"/>
      <c r="N27" s="387" t="str">
        <f>+N10</f>
        <v>Basic Charge</v>
      </c>
      <c r="O27" s="589">
        <f>+'[1]Exhibit No.__(BDJ-Tariff)'!$D$22</f>
        <v>53.95</v>
      </c>
      <c r="Q27" s="690">
        <f>+'[1]Exhibit No.__(BDJ-Tariff)'!$E$22</f>
        <v>53.95</v>
      </c>
      <c r="R27" s="418"/>
      <c r="S27" s="435">
        <f t="shared" ref="S27:S36" si="0">(Q27-O27)/O27</f>
        <v>0</v>
      </c>
    </row>
    <row r="28" spans="1:19">
      <c r="A28" s="670"/>
      <c r="B28" s="670">
        <f>+B27</f>
        <v>250</v>
      </c>
      <c r="C28" s="670"/>
      <c r="D28" s="670">
        <v>700</v>
      </c>
      <c r="E28" s="525">
        <f>ROUND((B$26*D28),0)</f>
        <v>175000</v>
      </c>
      <c r="F28" s="670"/>
      <c r="G28" s="526">
        <f>+O$10+IF($E28&lt;20000,$E28*O$14,20000*O$14+($E28-20000)*O$16)+IF($B28&gt;50,($B28-50)*O$22,0)</f>
        <v>16357.749709322703</v>
      </c>
      <c r="H28" s="526"/>
      <c r="I28" s="526">
        <f>+Q$10+IF($E28&lt;20000,$E28*Q$14,20000*Q$14+($E28-20000)*Q$16)+IF($B28&gt;50,($B28-50)*Q$22,0)</f>
        <v>16878.309999999998</v>
      </c>
      <c r="J28" s="670"/>
      <c r="K28" s="678">
        <f>ROUND((+I28-G28)/G28,3)</f>
        <v>3.2000000000000001E-2</v>
      </c>
      <c r="N28" s="387" t="str">
        <f>+N12</f>
        <v>Winter kWh - First 20,000</v>
      </c>
      <c r="O28" s="537">
        <f>+'[1]Exhibit No.__(BDJ-Tariff)'!$D$24</f>
        <v>9.2719999999999997E-2</v>
      </c>
      <c r="Q28" s="538">
        <f>+'[1]Exhibit No.__(BDJ-Tariff)'!$E$24</f>
        <v>9.0594999999999995E-2</v>
      </c>
      <c r="R28" s="418"/>
      <c r="S28" s="435">
        <f t="shared" si="0"/>
        <v>-2.291846419327008E-2</v>
      </c>
    </row>
    <row r="29" spans="1:19">
      <c r="A29" s="670"/>
      <c r="B29" s="670"/>
      <c r="C29" s="670"/>
      <c r="D29" s="670"/>
      <c r="E29" s="670"/>
      <c r="F29" s="670"/>
      <c r="G29" s="526"/>
      <c r="H29" s="526"/>
      <c r="I29" s="526"/>
      <c r="K29" s="592"/>
      <c r="L29" s="670"/>
      <c r="M29" s="670"/>
      <c r="N29" s="387" t="str">
        <f>+N13</f>
        <v>Summer kWh - First 20,000</v>
      </c>
      <c r="O29" s="537">
        <f>+'[1]Exhibit No.__(BDJ-Tariff)'!$D$25</f>
        <v>8.3563999999999999E-2</v>
      </c>
      <c r="Q29" s="538">
        <f>+'[1]Exhibit No.__(BDJ-Tariff)'!$E$25</f>
        <v>8.1648999999999999E-2</v>
      </c>
      <c r="R29" s="418"/>
      <c r="S29" s="435">
        <f t="shared" si="0"/>
        <v>-2.2916566942702599E-2</v>
      </c>
    </row>
    <row r="30" spans="1:19">
      <c r="A30" s="670"/>
      <c r="B30" s="670">
        <v>300</v>
      </c>
      <c r="C30" s="670"/>
      <c r="D30" s="670">
        <v>300</v>
      </c>
      <c r="E30" s="525">
        <f>ROUND((B$30*D30),0)</f>
        <v>90000</v>
      </c>
      <c r="F30" s="670"/>
      <c r="G30" s="526">
        <f>+O$10+IF($E30&lt;20000,$E30*O$14,20000*O$14+($E30-20000)*O$16)+IF($B30&gt;50,($B30-50)*O$22,0)</f>
        <v>9906.4681362231058</v>
      </c>
      <c r="H30" s="526"/>
      <c r="I30" s="526">
        <f>+Q$10+IF($E30&lt;20000,$E30*Q$14,20000*Q$14+($E30-20000)*Q$16)+IF($B30&gt;50,($B30-50)*Q$22,0)</f>
        <v>10169.249999999998</v>
      </c>
      <c r="J30" s="670"/>
      <c r="K30" s="678">
        <f>ROUND((+I30-G30)/G30,3)</f>
        <v>2.7E-2</v>
      </c>
      <c r="L30" s="670"/>
      <c r="M30" s="670"/>
      <c r="N30" s="387" t="str">
        <f>+N14</f>
        <v>Average kWh - First 20,000</v>
      </c>
      <c r="O30" s="537">
        <f>+'[1]Exhibit No.__(BDJ-SV RD)'!$D$80</f>
        <v>8.8278999999999996E-2</v>
      </c>
      <c r="Q30" s="538">
        <f>+'[1]Exhibit No.__(BDJ-SV RD)'!$G$80</f>
        <v>8.6255999999999999E-2</v>
      </c>
      <c r="R30" s="418"/>
      <c r="S30" s="435">
        <f t="shared" si="0"/>
        <v>-2.2915982283442236E-2</v>
      </c>
    </row>
    <row r="31" spans="1:19">
      <c r="A31" s="670"/>
      <c r="B31" s="670">
        <f>+B30</f>
        <v>300</v>
      </c>
      <c r="C31" s="670"/>
      <c r="D31" s="670">
        <v>500</v>
      </c>
      <c r="E31" s="525">
        <f>ROUND((B$30*D31),0)</f>
        <v>150000</v>
      </c>
      <c r="F31" s="670"/>
      <c r="G31" s="526">
        <f>+O$10+IF($E31&lt;20000,$E31*O$14,20000*O$14+($E31-20000)*O$16)+IF($B31&gt;50,($B31-50)*O$22,0)</f>
        <v>14760.666893705175</v>
      </c>
      <c r="H31" s="526"/>
      <c r="I31" s="526">
        <f>+Q$10+IF($E31&lt;20000,$E31*Q$14,20000*Q$14+($E31-20000)*Q$16)+IF($B31&gt;50,($B31-50)*Q$22,0)</f>
        <v>15205.41</v>
      </c>
      <c r="J31" s="670"/>
      <c r="K31" s="678">
        <f>ROUND((+I31-G31)/G31,3)</f>
        <v>0.03</v>
      </c>
      <c r="L31" s="670"/>
      <c r="M31" s="670"/>
      <c r="N31" s="387" t="str">
        <f>+N16</f>
        <v>kWh - All Over 20,000</v>
      </c>
      <c r="O31" s="537">
        <f>+'[1]Exhibit No.__(BDJ-Tariff)'!$D$26</f>
        <v>6.6092999999999999E-2</v>
      </c>
      <c r="Q31" s="538">
        <f>+'[1]Exhibit No.__(BDJ-Tariff)'!$E$26</f>
        <v>6.4577999999999997E-2</v>
      </c>
      <c r="R31" s="418"/>
      <c r="S31" s="435">
        <f t="shared" si="0"/>
        <v>-2.2922245926194944E-2</v>
      </c>
    </row>
    <row r="32" spans="1:19">
      <c r="A32" s="670"/>
      <c r="B32" s="670">
        <f>+B31</f>
        <v>300</v>
      </c>
      <c r="C32" s="670"/>
      <c r="D32" s="670">
        <v>700</v>
      </c>
      <c r="E32" s="525">
        <f>ROUND((B$30*D32),0)</f>
        <v>210000</v>
      </c>
      <c r="F32" s="670"/>
      <c r="G32" s="526">
        <f>+O$10+IF($E32&lt;20000,$E32*O$14,20000*O$14+($E32-20000)*O$16)+IF($B32&gt;50,($B32-50)*O$22,0)</f>
        <v>19614.865651187243</v>
      </c>
      <c r="H32" s="526"/>
      <c r="I32" s="526">
        <f>+Q$10+IF($E32&lt;20000,$E32*Q$14,20000*Q$14+($E32-20000)*Q$16)+IF($B32&gt;50,($B32-50)*Q$22,0)</f>
        <v>20241.569999999996</v>
      </c>
      <c r="J32" s="670"/>
      <c r="K32" s="678">
        <f>ROUND((+I32-G32)/G32,3)</f>
        <v>3.2000000000000001E-2</v>
      </c>
      <c r="N32" s="387" t="str">
        <f>+N18</f>
        <v>kW - First 50</v>
      </c>
      <c r="O32" s="537">
        <f>+'[1]Exhibit No.__(BDJ-Tariff)'!$D$28</f>
        <v>0</v>
      </c>
      <c r="Q32" s="538">
        <f>+'[1]Exhibit No.__(BDJ-Tariff)'!$E$28</f>
        <v>0</v>
      </c>
      <c r="R32" s="418"/>
      <c r="S32" s="435"/>
    </row>
    <row r="33" spans="1:19">
      <c r="A33" s="670"/>
      <c r="B33" s="670"/>
      <c r="C33" s="670"/>
      <c r="D33" s="670"/>
      <c r="E33" s="670"/>
      <c r="F33" s="670"/>
      <c r="G33" s="526"/>
      <c r="H33" s="526"/>
      <c r="I33" s="526"/>
      <c r="K33" s="592"/>
      <c r="L33" s="670"/>
      <c r="M33" s="670"/>
      <c r="N33" s="387" t="str">
        <f>+N20</f>
        <v>Winter kW - Over 50</v>
      </c>
      <c r="O33" s="589">
        <f>+'[1]Exhibit No.__(BDJ-Tariff)'!$D$29</f>
        <v>10.119999999999999</v>
      </c>
      <c r="P33" s="589"/>
      <c r="Q33" s="690">
        <f>+'[1]Exhibit No.__(BDJ-Tariff)'!$E$29</f>
        <v>10.119999999999999</v>
      </c>
      <c r="R33" s="589"/>
      <c r="S33" s="435">
        <f t="shared" si="0"/>
        <v>0</v>
      </c>
    </row>
    <row r="34" spans="1:19">
      <c r="A34" s="670"/>
      <c r="B34" s="670">
        <v>350</v>
      </c>
      <c r="C34" s="670"/>
      <c r="D34" s="670">
        <v>300</v>
      </c>
      <c r="E34" s="525">
        <f>ROUND((B$34*D34),0)</f>
        <v>105000</v>
      </c>
      <c r="F34" s="670"/>
      <c r="G34" s="526">
        <f>+O$10+IF($E34&lt;20000,$E34*O$14,20000*O$14+($E34-20000)*O$16)+IF($B34&gt;50,($B34-50)*O$22,0)</f>
        <v>11545.517825593623</v>
      </c>
      <c r="H34" s="526"/>
      <c r="I34" s="526">
        <f>+Q$10+IF($E34&lt;20000,$E34*Q$14,20000*Q$14+($E34-20000)*Q$16)+IF($B34&gt;50,($B34-50)*Q$22,0)</f>
        <v>11853.789999999999</v>
      </c>
      <c r="J34" s="670"/>
      <c r="K34" s="678">
        <f>ROUND((+I34-G34)/G34,3)</f>
        <v>2.7E-2</v>
      </c>
      <c r="L34" s="670"/>
      <c r="M34" s="670"/>
      <c r="N34" s="387" t="str">
        <f t="shared" ref="N34:N35" si="1">+N21</f>
        <v>Summer kW - Over 50</v>
      </c>
      <c r="O34" s="589">
        <f>+'[1]Exhibit No.__(BDJ-Tariff)'!$D$30</f>
        <v>6.75</v>
      </c>
      <c r="P34" s="589"/>
      <c r="Q34" s="690">
        <f>+'[1]Exhibit No.__(BDJ-Tariff)'!$E$30</f>
        <v>6.75</v>
      </c>
      <c r="R34" s="589"/>
      <c r="S34" s="435">
        <f t="shared" si="0"/>
        <v>0</v>
      </c>
    </row>
    <row r="35" spans="1:19">
      <c r="A35" s="670"/>
      <c r="B35" s="670">
        <f>+B34</f>
        <v>350</v>
      </c>
      <c r="C35" s="670"/>
      <c r="D35" s="670">
        <v>500</v>
      </c>
      <c r="E35" s="525">
        <f>ROUND((B$34*D35),0)</f>
        <v>175000</v>
      </c>
      <c r="F35" s="670"/>
      <c r="G35" s="526">
        <f>+O$10+IF($E35&lt;20000,$E35*O$14,20000*O$14+($E35-20000)*O$16)+IF($B35&gt;50,($B35-50)*O$22,0)</f>
        <v>17208.749709322703</v>
      </c>
      <c r="H35" s="526"/>
      <c r="I35" s="526">
        <f>+Q$10+IF($E35&lt;20000,$E35*Q$14,20000*Q$14+($E35-20000)*Q$16)+IF($B35&gt;50,($B35-50)*Q$22,0)</f>
        <v>17729.309999999998</v>
      </c>
      <c r="J35" s="670"/>
      <c r="K35" s="678">
        <f>ROUND((+I35-G35)/G35,3)</f>
        <v>0.03</v>
      </c>
      <c r="L35" s="670"/>
      <c r="M35" s="670"/>
      <c r="N35" s="387" t="str">
        <f t="shared" si="1"/>
        <v>Average kW - Over 50</v>
      </c>
      <c r="O35" s="589">
        <f>+'[1]Exhibit No.__(BDJ-SV RD)'!$D$81</f>
        <v>8.51</v>
      </c>
      <c r="P35" s="589"/>
      <c r="Q35" s="690">
        <f>+'[1]Exhibit No.__(BDJ-SV RD)'!$G$81</f>
        <v>8.51</v>
      </c>
      <c r="R35" s="589"/>
      <c r="S35" s="435">
        <f t="shared" si="0"/>
        <v>0</v>
      </c>
    </row>
    <row r="36" spans="1:19">
      <c r="A36" s="670"/>
      <c r="B36" s="670">
        <f>+B35</f>
        <v>350</v>
      </c>
      <c r="C36" s="670"/>
      <c r="D36" s="670">
        <v>700</v>
      </c>
      <c r="E36" s="525">
        <f>ROUND((B$34*D36),0)</f>
        <v>245000</v>
      </c>
      <c r="F36" s="670"/>
      <c r="G36" s="526">
        <f>+O$10+IF($E36&lt;20000,$E36*O$14,20000*O$14+($E36-20000)*O$16)+IF($B36&gt;50,($B36-50)*O$22,0)</f>
        <v>22871.981593051787</v>
      </c>
      <c r="H36" s="526"/>
      <c r="I36" s="526">
        <f>+Q$10+IF($E36&lt;20000,$E36*Q$14,20000*Q$14+($E36-20000)*Q$16)+IF($B36&gt;50,($B36-50)*Q$22,0)</f>
        <v>23604.829999999994</v>
      </c>
      <c r="J36" s="670"/>
      <c r="K36" s="678">
        <f>ROUND((+I36-G36)/G36,3)</f>
        <v>3.2000000000000001E-2</v>
      </c>
      <c r="N36" s="387" t="str">
        <f>+N24</f>
        <v>kVarh</v>
      </c>
      <c r="O36" s="691">
        <f>+'[1]Exhibit No.__(BDJ-Tariff)'!$D$32</f>
        <v>3.1800000000000001E-3</v>
      </c>
      <c r="Q36" s="692">
        <f>+'[1]Exhibit No.__(BDJ-Tariff)'!$E$32</f>
        <v>3.1800000000000001E-3</v>
      </c>
      <c r="S36" s="435">
        <f t="shared" si="0"/>
        <v>0</v>
      </c>
    </row>
    <row r="37" spans="1:19">
      <c r="A37" s="670"/>
      <c r="B37" s="693"/>
      <c r="C37" s="693"/>
      <c r="D37" s="693"/>
      <c r="E37" s="693"/>
      <c r="F37" s="693"/>
      <c r="G37" s="693"/>
      <c r="H37" s="693"/>
      <c r="I37" s="693"/>
      <c r="J37" s="541"/>
      <c r="K37" s="541"/>
      <c r="L37" s="670"/>
      <c r="M37" s="670"/>
      <c r="S37" s="435"/>
    </row>
    <row r="38" spans="1:19">
      <c r="A38" s="670"/>
    </row>
    <row r="39" spans="1:19">
      <c r="B39" s="387" t="s">
        <v>177</v>
      </c>
      <c r="N39" s="539" t="str">
        <f>+'Res Bill RY#1'!P23</f>
        <v>Schedule 95 - PCORC</v>
      </c>
      <c r="O39" s="537">
        <f>+'Sch 95 PCORC'!E14</f>
        <v>3.391810657944712E-3</v>
      </c>
      <c r="P39" s="402"/>
      <c r="Q39" s="540">
        <v>0</v>
      </c>
    </row>
    <row r="40" spans="1:19">
      <c r="B40" s="777" t="s">
        <v>894</v>
      </c>
      <c r="C40" s="777"/>
      <c r="D40" s="777"/>
      <c r="E40" s="777"/>
      <c r="F40" s="777"/>
      <c r="G40" s="777"/>
      <c r="H40" s="777"/>
      <c r="I40" s="777"/>
      <c r="J40" s="777"/>
      <c r="K40" s="777"/>
      <c r="N40" s="539" t="str">
        <f>+'Res Bill RY#1'!P24</f>
        <v>Schedule 95 - PCA</v>
      </c>
      <c r="O40" s="537">
        <f>+'Sch 95 Imbalance'!E14</f>
        <v>2.2235019667564571E-3</v>
      </c>
      <c r="P40" s="402"/>
      <c r="Q40" s="540">
        <v>0</v>
      </c>
    </row>
    <row r="41" spans="1:19" ht="11.4">
      <c r="A41" s="670"/>
      <c r="B41" s="777" t="s">
        <v>860</v>
      </c>
      <c r="C41" s="777"/>
      <c r="D41" s="777"/>
      <c r="E41" s="777"/>
      <c r="F41" s="777"/>
      <c r="G41" s="777"/>
      <c r="H41" s="777"/>
      <c r="I41" s="777"/>
      <c r="J41" s="777"/>
      <c r="K41" s="777"/>
      <c r="N41" s="539" t="str">
        <f>+'Res Bill RY#1'!P25</f>
        <v>Schedule 95A - Fed Inc Credit</v>
      </c>
      <c r="O41" s="537">
        <f>+'Sch 95a'!E14</f>
        <v>-1.446E-3</v>
      </c>
      <c r="P41" s="402"/>
      <c r="Q41" s="537">
        <f t="shared" ref="Q41:Q44" si="2">+O41</f>
        <v>-1.446E-3</v>
      </c>
    </row>
    <row r="42" spans="1:19" ht="11.4">
      <c r="A42" s="670"/>
      <c r="B42" s="777" t="s">
        <v>861</v>
      </c>
      <c r="C42" s="777"/>
      <c r="D42" s="777"/>
      <c r="E42" s="777"/>
      <c r="F42" s="777"/>
      <c r="G42" s="777"/>
      <c r="H42" s="777"/>
      <c r="I42" s="777"/>
      <c r="J42" s="777"/>
      <c r="K42" s="777"/>
      <c r="N42" s="539" t="str">
        <f>+'Res Bill RY#1'!P26</f>
        <v>Schedule 120 - Conservation</v>
      </c>
      <c r="O42" s="537">
        <f>+'Sch 120'!E14</f>
        <v>4.0879999999999996E-3</v>
      </c>
      <c r="P42" s="402"/>
      <c r="Q42" s="537">
        <f t="shared" si="2"/>
        <v>4.0879999999999996E-3</v>
      </c>
    </row>
    <row r="43" spans="1:19" ht="11.4">
      <c r="A43" s="670"/>
      <c r="B43" s="777" t="s">
        <v>862</v>
      </c>
      <c r="C43" s="777"/>
      <c r="D43" s="777"/>
      <c r="E43" s="777"/>
      <c r="F43" s="777"/>
      <c r="G43" s="777"/>
      <c r="H43" s="777"/>
      <c r="I43" s="777"/>
      <c r="J43" s="777"/>
      <c r="K43" s="777"/>
      <c r="N43" s="539" t="str">
        <f>+'Res Bill RY#1'!P27</f>
        <v>Schedule 129 - Low Income</v>
      </c>
      <c r="O43" s="537">
        <f>+'Sch 129'!E14</f>
        <v>1.206E-3</v>
      </c>
      <c r="P43" s="402"/>
      <c r="Q43" s="537">
        <f t="shared" si="2"/>
        <v>1.206E-3</v>
      </c>
    </row>
    <row r="44" spans="1:19">
      <c r="A44" s="670"/>
      <c r="N44" s="539" t="str">
        <f>+'Res Bill RY#1'!P28</f>
        <v>Schedule 137 - REC</v>
      </c>
      <c r="O44" s="537">
        <f>+'Sch 137'!E14</f>
        <v>-2.1999999999999999E-5</v>
      </c>
      <c r="P44" s="402"/>
      <c r="Q44" s="537">
        <f t="shared" si="2"/>
        <v>-2.1999999999999999E-5</v>
      </c>
    </row>
    <row r="45" spans="1:19">
      <c r="A45" s="670"/>
      <c r="B45" s="597"/>
      <c r="N45" s="539" t="str">
        <f>+'Res Bill RY#1'!P29</f>
        <v>Schedule 140 - Property Tax</v>
      </c>
      <c r="O45" s="537">
        <f>+'Sch 140'!E14</f>
        <v>2.4289999999999997E-3</v>
      </c>
      <c r="P45" s="402"/>
      <c r="Q45" s="537">
        <v>0</v>
      </c>
    </row>
    <row r="46" spans="1:19">
      <c r="A46" s="670"/>
      <c r="N46" s="539" t="str">
        <f>+'Res Bill RY#1'!P30</f>
        <v>Schedule 141A -  Sch 139 Energy Charge Credit Recovery</v>
      </c>
      <c r="O46" s="537">
        <v>0</v>
      </c>
      <c r="Q46" s="540">
        <f>+'Sch 141A'!F14</f>
        <v>1.7420000000000001E-3</v>
      </c>
    </row>
    <row r="47" spans="1:19">
      <c r="A47" s="670"/>
      <c r="N47" s="539" t="str">
        <f>+'Res Bill RY#1'!P31</f>
        <v>Schedule 141COL - Colstrip</v>
      </c>
      <c r="O47" s="537">
        <v>0</v>
      </c>
      <c r="Q47" s="540">
        <f>+'Sch 141C'!F14</f>
        <v>4.6700000000000002E-4</v>
      </c>
    </row>
    <row r="48" spans="1:19">
      <c r="A48" s="670"/>
      <c r="N48" s="539" t="str">
        <f>+'Res Bill RY#1'!P32</f>
        <v>Schedule 141N - Non Refundable MYRP</v>
      </c>
      <c r="O48" s="537">
        <v>0</v>
      </c>
      <c r="Q48" s="540">
        <f>+'Sch 141N'!G14</f>
        <v>8.7340000000000004E-3</v>
      </c>
    </row>
    <row r="49" spans="1:17">
      <c r="A49" s="670"/>
      <c r="N49" s="539" t="str">
        <f>+'Res Bill RY#1'!P33</f>
        <v>Schedule 141R - Refundable MYRP</v>
      </c>
      <c r="O49" s="537">
        <v>0</v>
      </c>
      <c r="Q49" s="540">
        <f>+'Sch 141R'!G14</f>
        <v>1.6329999999999999E-3</v>
      </c>
    </row>
    <row r="50" spans="1:17">
      <c r="N50" s="539" t="str">
        <f>+'Res Bill RY#1'!P34</f>
        <v xml:space="preserve">Schedule 141X- Tax Passback </v>
      </c>
      <c r="O50" s="537">
        <f>+'Sch 141X'!E14</f>
        <v>7.1400000000000001E-4</v>
      </c>
      <c r="P50" s="402"/>
      <c r="Q50" s="540">
        <v>0</v>
      </c>
    </row>
    <row r="51" spans="1:17">
      <c r="N51" s="539" t="str">
        <f>+'Res Bill RY#1'!P35</f>
        <v>Schedule 141Z - Tax</v>
      </c>
      <c r="O51" s="537">
        <f>+'Sch 141Z'!E14</f>
        <v>-6.69E-4</v>
      </c>
      <c r="P51" s="402"/>
      <c r="Q51" s="540">
        <v>0</v>
      </c>
    </row>
    <row r="52" spans="1:17">
      <c r="N52" s="539" t="str">
        <f>+'Res Bill RY#1'!P36</f>
        <v>Schedule 142 - Decoupling</v>
      </c>
      <c r="O52" s="537">
        <f>+'Sch 142'!F14</f>
        <v>2.9560000000000003E-3</v>
      </c>
      <c r="P52" s="402"/>
      <c r="Q52" s="537">
        <f t="shared" ref="Q52" si="3">+O52</f>
        <v>2.9560000000000003E-3</v>
      </c>
    </row>
    <row r="53" spans="1:17">
      <c r="N53" s="539" t="str">
        <f>+'Res Bill RY#1'!P37</f>
        <v>Schedule 142 - Decoupling Supplemental</v>
      </c>
      <c r="O53" s="537">
        <f>+'Sch 142'!I14</f>
        <v>-6.1000000000000019E-5</v>
      </c>
      <c r="P53" s="402"/>
      <c r="Q53" s="540">
        <v>0</v>
      </c>
    </row>
    <row r="55" spans="1:17">
      <c r="N55" s="542" t="s">
        <v>284</v>
      </c>
      <c r="O55" s="667">
        <f>+'Rate Impacts_RY#1'!H11</f>
        <v>-1.4767956818822233E-2</v>
      </c>
    </row>
    <row r="56" spans="1:17">
      <c r="N56" s="542" t="s">
        <v>285</v>
      </c>
      <c r="O56" s="667">
        <f>+'Rate Impacts_RY#1'!AP11</f>
        <v>7.3625502087536182E-2</v>
      </c>
    </row>
    <row r="57" spans="1:17">
      <c r="B57" s="397"/>
    </row>
  </sheetData>
  <mergeCells count="7">
    <mergeCell ref="B42:K42"/>
    <mergeCell ref="B43:K43"/>
    <mergeCell ref="N8:O8"/>
    <mergeCell ref="P8:Q8"/>
    <mergeCell ref="G6:I6"/>
    <mergeCell ref="B40:K40"/>
    <mergeCell ref="B41:K41"/>
  </mergeCells>
  <printOptions horizontalCentered="1"/>
  <pageMargins left="0.7" right="0.7" top="0.75" bottom="0.71" header="0.3" footer="0.3"/>
  <pageSetup scale="5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S49"/>
  <sheetViews>
    <sheetView zoomScaleNormal="100" zoomScaleSheetLayoutView="75" workbookViewId="0">
      <pane xSplit="3" ySplit="8" topLeftCell="D9" activePane="bottomRight" state="frozen"/>
      <selection activeCell="F7" sqref="F7:F62"/>
      <selection pane="topRight" activeCell="F7" sqref="F7:F62"/>
      <selection pane="bottomLeft" activeCell="F7" sqref="F7:F62"/>
      <selection pane="bottomRight" activeCell="B40" sqref="B40:K40"/>
    </sheetView>
  </sheetViews>
  <sheetFormatPr defaultColWidth="9.44140625" defaultRowHeight="10.199999999999999"/>
  <cols>
    <col min="1" max="1" width="1.6640625" style="387" customWidth="1"/>
    <col min="2" max="2" width="11.5546875" style="387" customWidth="1"/>
    <col min="3" max="3" width="2.6640625" style="387" customWidth="1"/>
    <col min="4" max="4" width="13.88671875" style="387" bestFit="1" customWidth="1"/>
    <col min="5" max="5" width="10.33203125" style="387" bestFit="1" customWidth="1"/>
    <col min="6" max="6" width="1.109375" style="387" customWidth="1"/>
    <col min="7" max="7" width="13.109375" style="387" bestFit="1" customWidth="1"/>
    <col min="8" max="8" width="1.109375" style="387" customWidth="1"/>
    <col min="9" max="9" width="14.44140625" style="387" bestFit="1" customWidth="1"/>
    <col min="10" max="10" width="1.109375" style="387" customWidth="1"/>
    <col min="11" max="11" width="13.6640625" style="387" customWidth="1"/>
    <col min="12" max="13" width="1.109375" style="387" customWidth="1"/>
    <col min="14" max="14" width="53.44140625" style="387" customWidth="1"/>
    <col min="15" max="15" width="16.88671875" style="387" customWidth="1"/>
    <col min="16" max="16" width="14.33203125" style="387" bestFit="1" customWidth="1"/>
    <col min="17" max="17" width="14.44140625" style="387" bestFit="1" customWidth="1"/>
    <col min="18" max="18" width="2.44140625" style="387" customWidth="1"/>
    <col min="19" max="19" width="9.5546875" style="387" bestFit="1" customWidth="1"/>
    <col min="20" max="16384" width="9.44140625" style="387"/>
  </cols>
  <sheetData>
    <row r="1" spans="1:19">
      <c r="B1" s="669" t="s">
        <v>0</v>
      </c>
      <c r="C1" s="669"/>
      <c r="D1" s="669"/>
      <c r="E1" s="669"/>
      <c r="F1" s="669"/>
      <c r="G1" s="669"/>
      <c r="H1" s="669"/>
      <c r="I1" s="669"/>
      <c r="J1" s="669"/>
      <c r="K1" s="669"/>
      <c r="L1" s="674"/>
      <c r="M1" s="674"/>
    </row>
    <row r="2" spans="1:19">
      <c r="B2" s="669" t="s">
        <v>193</v>
      </c>
      <c r="C2" s="669"/>
      <c r="D2" s="669"/>
      <c r="E2" s="669"/>
      <c r="F2" s="669"/>
      <c r="G2" s="669"/>
      <c r="H2" s="669"/>
      <c r="I2" s="669"/>
      <c r="J2" s="669"/>
      <c r="K2" s="669"/>
      <c r="L2" s="674"/>
      <c r="M2" s="674"/>
    </row>
    <row r="3" spans="1:19">
      <c r="B3" s="669" t="s">
        <v>228</v>
      </c>
      <c r="C3" s="669"/>
      <c r="D3" s="669"/>
      <c r="E3" s="669"/>
      <c r="F3" s="669"/>
      <c r="G3" s="669"/>
      <c r="H3" s="669"/>
      <c r="I3" s="669"/>
      <c r="J3" s="669"/>
      <c r="K3" s="669"/>
      <c r="L3" s="674"/>
      <c r="M3" s="674"/>
    </row>
    <row r="4" spans="1:19">
      <c r="B4" s="669" t="s">
        <v>229</v>
      </c>
      <c r="C4" s="669"/>
      <c r="D4" s="669"/>
      <c r="E4" s="669"/>
      <c r="F4" s="669"/>
      <c r="G4" s="669"/>
      <c r="H4" s="669"/>
      <c r="I4" s="669"/>
      <c r="J4" s="669"/>
      <c r="K4" s="669"/>
      <c r="L4" s="674"/>
      <c r="M4" s="674"/>
    </row>
    <row r="5" spans="1:19">
      <c r="A5" s="670"/>
      <c r="B5" s="686"/>
    </row>
    <row r="6" spans="1:19" ht="11.4">
      <c r="A6" s="670"/>
      <c r="B6" s="687" t="s">
        <v>222</v>
      </c>
      <c r="C6" s="670"/>
      <c r="D6" s="670"/>
      <c r="E6" s="670"/>
      <c r="F6" s="670"/>
      <c r="G6" s="782" t="s">
        <v>852</v>
      </c>
      <c r="H6" s="783"/>
      <c r="I6" s="783"/>
      <c r="J6" s="670"/>
      <c r="L6" s="670"/>
      <c r="M6" s="670"/>
    </row>
    <row r="7" spans="1:19" ht="10.8" thickBot="1">
      <c r="A7" s="670"/>
      <c r="B7" s="512" t="s">
        <v>221</v>
      </c>
      <c r="C7" s="672"/>
      <c r="D7" s="687" t="s">
        <v>220</v>
      </c>
      <c r="E7" s="670"/>
      <c r="F7" s="670"/>
      <c r="G7" s="386" t="s">
        <v>219</v>
      </c>
      <c r="I7" s="386" t="s">
        <v>25</v>
      </c>
      <c r="J7" s="670"/>
      <c r="K7" s="672" t="s">
        <v>204</v>
      </c>
      <c r="L7" s="670"/>
      <c r="M7" s="670"/>
    </row>
    <row r="8" spans="1:19" ht="11.4">
      <c r="A8" s="670"/>
      <c r="B8" s="513" t="s">
        <v>218</v>
      </c>
      <c r="C8" s="676"/>
      <c r="D8" s="688" t="s">
        <v>217</v>
      </c>
      <c r="E8" s="513" t="s">
        <v>191</v>
      </c>
      <c r="F8" s="670"/>
      <c r="G8" s="516" t="s">
        <v>863</v>
      </c>
      <c r="H8" s="516"/>
      <c r="I8" s="516" t="s">
        <v>864</v>
      </c>
      <c r="J8" s="670"/>
      <c r="K8" s="673" t="s">
        <v>27</v>
      </c>
      <c r="L8" s="670"/>
      <c r="M8" s="670"/>
      <c r="N8" s="778" t="s">
        <v>201</v>
      </c>
      <c r="O8" s="780"/>
      <c r="P8" s="781" t="s">
        <v>200</v>
      </c>
      <c r="Q8" s="780"/>
      <c r="R8" s="418"/>
    </row>
    <row r="9" spans="1:19">
      <c r="A9" s="670"/>
      <c r="B9" s="670"/>
      <c r="C9" s="670"/>
      <c r="D9" s="670"/>
      <c r="E9" s="670"/>
      <c r="F9" s="670"/>
      <c r="G9" s="676"/>
      <c r="H9" s="676"/>
      <c r="I9" s="676"/>
      <c r="N9" s="522"/>
      <c r="O9" s="677"/>
      <c r="P9" s="523"/>
      <c r="Q9" s="677"/>
      <c r="R9" s="418"/>
    </row>
    <row r="10" spans="1:19">
      <c r="A10" s="670"/>
      <c r="B10" s="670">
        <v>350</v>
      </c>
      <c r="C10" s="670"/>
      <c r="D10" s="670">
        <v>300</v>
      </c>
      <c r="E10" s="525">
        <f>ROUND((B$10*D10),0)</f>
        <v>105000</v>
      </c>
      <c r="F10" s="670"/>
      <c r="G10" s="526">
        <f>+O$10+$B10*O$16+$E10*O$12</f>
        <v>11891.403546942822</v>
      </c>
      <c r="H10" s="526"/>
      <c r="I10" s="526">
        <f>+Q$10+$B10*Q$16+$E10*Q$12</f>
        <v>12092.983689006534</v>
      </c>
      <c r="J10" s="670"/>
      <c r="K10" s="678">
        <f>ROUND((+I10-G10)/G10,3)</f>
        <v>1.7000000000000001E-2</v>
      </c>
      <c r="L10" s="670"/>
      <c r="M10" s="670"/>
      <c r="N10" s="522" t="s">
        <v>197</v>
      </c>
      <c r="O10" s="530">
        <f>SUM(O21,)</f>
        <v>109.08</v>
      </c>
      <c r="P10" s="522" t="str">
        <f>+N10</f>
        <v>Basic Charge</v>
      </c>
      <c r="Q10" s="530">
        <f>SUM(Q21,)</f>
        <v>109.08</v>
      </c>
      <c r="R10" s="591"/>
      <c r="S10" s="435">
        <f>(Q10-O10)/O10</f>
        <v>0</v>
      </c>
    </row>
    <row r="11" spans="1:19">
      <c r="A11" s="670"/>
      <c r="B11" s="670">
        <f>+B10</f>
        <v>350</v>
      </c>
      <c r="C11" s="670"/>
      <c r="D11" s="670">
        <v>500</v>
      </c>
      <c r="E11" s="525">
        <f>ROUND((B$10*D11),0)</f>
        <v>175000</v>
      </c>
      <c r="F11" s="670"/>
      <c r="G11" s="526">
        <f>+O$10+$B11*O$16+$E11*O$12</f>
        <v>17233.285911571369</v>
      </c>
      <c r="H11" s="526"/>
      <c r="I11" s="526">
        <f>+Q$10+$B11*Q$16+$E11*Q$12</f>
        <v>17592.586148344224</v>
      </c>
      <c r="J11" s="670"/>
      <c r="K11" s="678">
        <f>ROUND((+I11-G11)/G11,3)</f>
        <v>2.1000000000000001E-2</v>
      </c>
      <c r="L11" s="670"/>
      <c r="M11" s="670"/>
      <c r="N11" s="522"/>
      <c r="O11" s="680"/>
      <c r="P11" s="529"/>
      <c r="Q11" s="680"/>
      <c r="R11" s="418"/>
    </row>
    <row r="12" spans="1:19">
      <c r="A12" s="670"/>
      <c r="B12" s="670">
        <f>+B11</f>
        <v>350</v>
      </c>
      <c r="C12" s="670"/>
      <c r="D12" s="670">
        <v>700</v>
      </c>
      <c r="E12" s="525">
        <f>ROUND((B$10*D12),0)</f>
        <v>245000</v>
      </c>
      <c r="F12" s="670"/>
      <c r="G12" s="526">
        <f>+O$10+$B12*O$16+$E12*O$12</f>
        <v>22575.168276199918</v>
      </c>
      <c r="H12" s="526"/>
      <c r="I12" s="526">
        <f>+Q$10+$B12*Q$16+$E12*Q$12</f>
        <v>23092.188607681914</v>
      </c>
      <c r="J12" s="670"/>
      <c r="K12" s="678">
        <f>ROUND((+I12-G12)/G12,3)</f>
        <v>2.3E-2</v>
      </c>
      <c r="N12" s="527" t="s">
        <v>227</v>
      </c>
      <c r="O12" s="584">
        <f>SUM(O22,O28:O41,O43)</f>
        <v>7.6312605208979256E-2</v>
      </c>
      <c r="P12" s="522" t="str">
        <f>+N12</f>
        <v>kWh - All</v>
      </c>
      <c r="Q12" s="663">
        <f>SUM(Q22,Q28:Q41,Q43)</f>
        <v>7.8565749419109848E-2</v>
      </c>
      <c r="R12" s="668"/>
      <c r="S12" s="435">
        <f>(Q12-O12)/O12</f>
        <v>2.9525190549587972E-2</v>
      </c>
    </row>
    <row r="13" spans="1:19">
      <c r="A13" s="670"/>
      <c r="L13" s="670"/>
      <c r="M13" s="670"/>
      <c r="N13" s="527"/>
      <c r="O13" s="584"/>
      <c r="P13" s="527"/>
      <c r="Q13" s="584"/>
      <c r="R13" s="418"/>
      <c r="S13" s="583"/>
    </row>
    <row r="14" spans="1:19">
      <c r="A14" s="670"/>
      <c r="B14" s="670">
        <f>+B12+50</f>
        <v>400</v>
      </c>
      <c r="C14" s="670"/>
      <c r="D14" s="670">
        <v>300</v>
      </c>
      <c r="E14" s="525">
        <f>ROUND((B$14*D14),0)</f>
        <v>120000</v>
      </c>
      <c r="F14" s="670"/>
      <c r="G14" s="526">
        <f>+O$10+$B14*O$16+$E14*O$12</f>
        <v>13574.59262507751</v>
      </c>
      <c r="H14" s="526"/>
      <c r="I14" s="526">
        <f>+Q$10+$B14*Q$16+$E14*Q$12</f>
        <v>13804.969930293182</v>
      </c>
      <c r="J14" s="670"/>
      <c r="K14" s="678">
        <f>ROUND((+I14-G14)/G14,3)</f>
        <v>1.7000000000000001E-2</v>
      </c>
      <c r="L14" s="670"/>
      <c r="M14" s="670"/>
      <c r="N14" s="527" t="s">
        <v>226</v>
      </c>
      <c r="O14" s="530">
        <f>SUM(O23,O42,O44)</f>
        <v>12.81</v>
      </c>
      <c r="P14" s="522" t="str">
        <f>+N14</f>
        <v>Winter kW</v>
      </c>
      <c r="Q14" s="530">
        <f>SUM(Q23,Q42,Q44)</f>
        <v>12.71</v>
      </c>
      <c r="R14" s="418"/>
      <c r="S14" s="435">
        <f>(Q14-O14)/O14</f>
        <v>-7.8064012490241721E-3</v>
      </c>
    </row>
    <row r="15" spans="1:19">
      <c r="A15" s="670"/>
      <c r="B15" s="670">
        <f>+B14</f>
        <v>400</v>
      </c>
      <c r="C15" s="670"/>
      <c r="D15" s="670">
        <v>500</v>
      </c>
      <c r="E15" s="525">
        <f>ROUND((B$14*D15),0)</f>
        <v>200000</v>
      </c>
      <c r="F15" s="670"/>
      <c r="G15" s="526">
        <f>+O$10+$B15*O$16+$E15*O$12</f>
        <v>19679.601041795853</v>
      </c>
      <c r="H15" s="526"/>
      <c r="I15" s="526">
        <f>+Q$10+$B15*Q$16+$E15*Q$12</f>
        <v>20090.229883821972</v>
      </c>
      <c r="J15" s="670"/>
      <c r="K15" s="678">
        <f>ROUND((+I15-G15)/G15,3)</f>
        <v>2.1000000000000001E-2</v>
      </c>
      <c r="L15" s="670"/>
      <c r="M15" s="670"/>
      <c r="N15" s="527" t="s">
        <v>225</v>
      </c>
      <c r="O15" s="530">
        <f>SUM(O24,O42,O44)</f>
        <v>8.73</v>
      </c>
      <c r="P15" s="522" t="str">
        <f>+N15</f>
        <v>Summer kW</v>
      </c>
      <c r="Q15" s="530">
        <f>SUM(Q24,Q42,Q44)</f>
        <v>8.6300000000000008</v>
      </c>
      <c r="R15" s="418"/>
      <c r="S15" s="435">
        <f>(Q15-O15)/O15</f>
        <v>-1.1454753722794919E-2</v>
      </c>
    </row>
    <row r="16" spans="1:19">
      <c r="A16" s="670"/>
      <c r="B16" s="670">
        <f>+B15</f>
        <v>400</v>
      </c>
      <c r="C16" s="670"/>
      <c r="D16" s="670">
        <v>700</v>
      </c>
      <c r="E16" s="525">
        <f>ROUND((B$14*D16),0)</f>
        <v>280000</v>
      </c>
      <c r="F16" s="670"/>
      <c r="G16" s="526">
        <f>+O$10+$B16*O$16+$E16*O$12</f>
        <v>25784.609458514191</v>
      </c>
      <c r="H16" s="526"/>
      <c r="I16" s="526">
        <f>+Q$10+$B16*Q$16+$E16*Q$12</f>
        <v>26375.48983735076</v>
      </c>
      <c r="J16" s="670"/>
      <c r="K16" s="678">
        <f>ROUND((+I16-G16)/G16,3)</f>
        <v>2.3E-2</v>
      </c>
      <c r="N16" s="527" t="s">
        <v>224</v>
      </c>
      <c r="O16" s="530">
        <f>SUM(O25,O42,O44)</f>
        <v>10.77</v>
      </c>
      <c r="P16" s="522" t="str">
        <f>+N16</f>
        <v>Average kW</v>
      </c>
      <c r="Q16" s="530">
        <f>SUM(Q25,Q42,Q44)</f>
        <v>10.67</v>
      </c>
      <c r="R16" s="418"/>
      <c r="S16" s="435">
        <f>(Q16-O16)/O16</f>
        <v>-9.2850510677808407E-3</v>
      </c>
    </row>
    <row r="17" spans="1:19">
      <c r="A17" s="670"/>
      <c r="B17" s="670"/>
      <c r="C17" s="670"/>
      <c r="D17" s="670"/>
      <c r="E17" s="670"/>
      <c r="F17" s="670"/>
      <c r="G17" s="526"/>
      <c r="H17" s="526"/>
      <c r="I17" s="526"/>
      <c r="K17" s="592"/>
      <c r="L17" s="670"/>
      <c r="M17" s="670"/>
      <c r="N17" s="522"/>
      <c r="O17" s="584"/>
      <c r="P17" s="522"/>
      <c r="Q17" s="584"/>
      <c r="R17" s="418"/>
    </row>
    <row r="18" spans="1:19">
      <c r="A18" s="670"/>
      <c r="B18" s="670">
        <f>+B16+100</f>
        <v>500</v>
      </c>
      <c r="C18" s="670"/>
      <c r="D18" s="670">
        <v>300</v>
      </c>
      <c r="E18" s="525">
        <f>ROUND((B$18*D18),0)</f>
        <v>150000</v>
      </c>
      <c r="F18" s="670"/>
      <c r="G18" s="526">
        <f>+O$10+$B18*O$16+$E18*O$12</f>
        <v>16940.970781346889</v>
      </c>
      <c r="H18" s="526"/>
      <c r="I18" s="526">
        <f>+Q$10+$B18*Q$16+$E18*Q$12</f>
        <v>17228.942412866476</v>
      </c>
      <c r="J18" s="670"/>
      <c r="K18" s="678">
        <f>ROUND((+I18-G18)/G18,3)</f>
        <v>1.7000000000000001E-2</v>
      </c>
      <c r="L18" s="670"/>
      <c r="M18" s="670"/>
      <c r="N18" s="522" t="s">
        <v>208</v>
      </c>
      <c r="O18" s="689">
        <f>SUM(O26)</f>
        <v>1.2999999999999999E-3</v>
      </c>
      <c r="P18" s="522" t="str">
        <f>+N18</f>
        <v>kVarh</v>
      </c>
      <c r="Q18" s="689">
        <f>SUM(Q26)</f>
        <v>1.2999999999999999E-3</v>
      </c>
      <c r="R18" s="418"/>
      <c r="S18" s="435">
        <f>(Q18-O18)/O18</f>
        <v>0</v>
      </c>
    </row>
    <row r="19" spans="1:19" ht="10.8" thickBot="1">
      <c r="A19" s="670"/>
      <c r="B19" s="670">
        <f>+B18</f>
        <v>500</v>
      </c>
      <c r="C19" s="670"/>
      <c r="D19" s="670">
        <v>500</v>
      </c>
      <c r="E19" s="525">
        <f>ROUND((B$18*D19),0)</f>
        <v>250000</v>
      </c>
      <c r="F19" s="670"/>
      <c r="G19" s="526">
        <f>+O$10+$B19*O$16+$E19*O$12</f>
        <v>24572.231302244814</v>
      </c>
      <c r="H19" s="526"/>
      <c r="I19" s="526">
        <f>+Q$10+$B19*Q$16+$E19*Q$12</f>
        <v>25085.517354777461</v>
      </c>
      <c r="J19" s="670"/>
      <c r="K19" s="678">
        <f>ROUND((+I19-G19)/G19,3)</f>
        <v>2.1000000000000001E-2</v>
      </c>
      <c r="L19" s="670"/>
      <c r="M19" s="670"/>
      <c r="N19" s="682" t="s">
        <v>20</v>
      </c>
      <c r="O19" s="683" t="s">
        <v>20</v>
      </c>
      <c r="P19" s="682" t="s">
        <v>20</v>
      </c>
      <c r="Q19" s="683" t="s">
        <v>20</v>
      </c>
      <c r="R19" s="418"/>
    </row>
    <row r="20" spans="1:19">
      <c r="A20" s="670"/>
      <c r="B20" s="670">
        <f>+B19</f>
        <v>500</v>
      </c>
      <c r="C20" s="670"/>
      <c r="D20" s="670">
        <v>700</v>
      </c>
      <c r="E20" s="525">
        <f>ROUND((B$18*D20),0)</f>
        <v>350000</v>
      </c>
      <c r="F20" s="670"/>
      <c r="G20" s="526">
        <f>+O$10+$B20*O$16+$E20*O$12</f>
        <v>32203.491823142736</v>
      </c>
      <c r="H20" s="526"/>
      <c r="I20" s="526">
        <f>+Q$10+$B20*Q$16+$E20*Q$12</f>
        <v>32942.092296688446</v>
      </c>
      <c r="J20" s="670"/>
      <c r="K20" s="678">
        <f>ROUND((+I20-G20)/G20,3)</f>
        <v>2.3E-2</v>
      </c>
      <c r="R20" s="418"/>
    </row>
    <row r="21" spans="1:19">
      <c r="A21" s="670"/>
      <c r="B21" s="670"/>
      <c r="C21" s="670"/>
      <c r="D21" s="670"/>
      <c r="E21" s="670"/>
      <c r="F21" s="670"/>
      <c r="G21" s="526"/>
      <c r="H21" s="526"/>
      <c r="I21" s="526"/>
      <c r="K21" s="592"/>
      <c r="L21" s="670"/>
      <c r="M21" s="670"/>
      <c r="N21" s="387" t="str">
        <f>+N10</f>
        <v>Basic Charge</v>
      </c>
      <c r="O21" s="589">
        <f>+'[1]Exhibit No.__(BDJ-Tariff)'!$D$35</f>
        <v>109.08</v>
      </c>
      <c r="P21" s="537"/>
      <c r="Q21" s="690">
        <f>+'[1]Exhibit No.__(BDJ-Tariff)'!$E$35</f>
        <v>109.08</v>
      </c>
      <c r="R21" s="418"/>
      <c r="S21" s="435">
        <f t="shared" ref="S21:S26" si="0">(Q21-O21)/O21</f>
        <v>0</v>
      </c>
    </row>
    <row r="22" spans="1:19">
      <c r="A22" s="670"/>
      <c r="B22" s="670">
        <f>+B20+100</f>
        <v>600</v>
      </c>
      <c r="C22" s="670"/>
      <c r="D22" s="670">
        <v>300</v>
      </c>
      <c r="E22" s="525">
        <f>ROUND((B$22*D22),0)</f>
        <v>180000</v>
      </c>
      <c r="F22" s="670"/>
      <c r="G22" s="526">
        <f>+O$10+$B22*O$16+$E22*O$12</f>
        <v>20307.348937616265</v>
      </c>
      <c r="H22" s="526"/>
      <c r="I22" s="526">
        <f>+Q$10+$B22*Q$16+$E22*Q$12</f>
        <v>20652.914895439775</v>
      </c>
      <c r="J22" s="670"/>
      <c r="K22" s="678">
        <f>ROUND((+I22-G22)/G22,3)</f>
        <v>1.7000000000000001E-2</v>
      </c>
      <c r="L22" s="670"/>
      <c r="M22" s="670"/>
      <c r="N22" s="387" t="str">
        <f>+N12</f>
        <v>kWh - All</v>
      </c>
      <c r="O22" s="537">
        <f>+'[1]Exhibit No.__(BDJ-Tariff)'!$D$37</f>
        <v>5.9096000000000003E-2</v>
      </c>
      <c r="P22" s="537"/>
      <c r="Q22" s="538">
        <f>+'[1]Exhibit No.__(BDJ-Tariff)'!$E$37</f>
        <v>5.7457000000000001E-2</v>
      </c>
      <c r="R22" s="418"/>
      <c r="S22" s="435">
        <f t="shared" si="0"/>
        <v>-2.7734533640178718E-2</v>
      </c>
    </row>
    <row r="23" spans="1:19">
      <c r="A23" s="670"/>
      <c r="B23" s="670">
        <f>+B22</f>
        <v>600</v>
      </c>
      <c r="C23" s="670"/>
      <c r="D23" s="670">
        <v>500</v>
      </c>
      <c r="E23" s="525">
        <f>ROUND((B$22*D23),0)</f>
        <v>300000</v>
      </c>
      <c r="F23" s="670"/>
      <c r="G23" s="526">
        <f>+O$10+$B23*O$16+$E23*O$12</f>
        <v>29464.861562693775</v>
      </c>
      <c r="H23" s="526"/>
      <c r="I23" s="526">
        <f>+Q$10+$B23*Q$16+$E23*Q$12</f>
        <v>30080.804825732957</v>
      </c>
      <c r="J23" s="670"/>
      <c r="K23" s="678">
        <f>ROUND((+I23-G23)/G23,3)</f>
        <v>2.1000000000000001E-2</v>
      </c>
      <c r="L23" s="670"/>
      <c r="M23" s="670"/>
      <c r="N23" s="387" t="str">
        <f>+N14</f>
        <v>Winter kW</v>
      </c>
      <c r="O23" s="589">
        <f>+'[1]Exhibit No.__(BDJ-Tariff)'!$D$39</f>
        <v>12.23</v>
      </c>
      <c r="P23" s="537"/>
      <c r="Q23" s="690">
        <f>+'[1]Exhibit No.__(BDJ-Tariff)'!$E$39</f>
        <v>12.23</v>
      </c>
      <c r="R23" s="418"/>
      <c r="S23" s="435">
        <f t="shared" si="0"/>
        <v>0</v>
      </c>
    </row>
    <row r="24" spans="1:19">
      <c r="A24" s="670"/>
      <c r="B24" s="670">
        <f>+B23</f>
        <v>600</v>
      </c>
      <c r="C24" s="670"/>
      <c r="D24" s="670">
        <v>700</v>
      </c>
      <c r="E24" s="525">
        <f>ROUND((B$22*D24),0)</f>
        <v>420000</v>
      </c>
      <c r="F24" s="670"/>
      <c r="G24" s="526">
        <f>+O$10+$B24*O$16+$E24*O$12</f>
        <v>38622.374187771289</v>
      </c>
      <c r="H24" s="526"/>
      <c r="I24" s="526">
        <f>+Q$10+$B24*Q$16+$E24*Q$12</f>
        <v>39508.69475602614</v>
      </c>
      <c r="J24" s="670"/>
      <c r="K24" s="678">
        <f>ROUND((+I24-G24)/G24,3)</f>
        <v>2.3E-2</v>
      </c>
      <c r="N24" s="387" t="str">
        <f>+N15</f>
        <v>Summer kW</v>
      </c>
      <c r="O24" s="589">
        <f>+'[1]Exhibit No.__(BDJ-Tariff)'!$D$42</f>
        <v>8.15</v>
      </c>
      <c r="P24" s="537"/>
      <c r="Q24" s="690">
        <f>+'[1]Exhibit No.__(BDJ-Tariff)'!$E$42</f>
        <v>8.15</v>
      </c>
      <c r="R24" s="418"/>
      <c r="S24" s="435">
        <f t="shared" si="0"/>
        <v>0</v>
      </c>
    </row>
    <row r="25" spans="1:19">
      <c r="A25" s="670"/>
      <c r="B25" s="670"/>
      <c r="C25" s="670"/>
      <c r="D25" s="670"/>
      <c r="E25" s="670"/>
      <c r="F25" s="670"/>
      <c r="G25" s="526"/>
      <c r="H25" s="526"/>
      <c r="I25" s="526"/>
      <c r="K25" s="592"/>
      <c r="L25" s="670"/>
      <c r="M25" s="670"/>
      <c r="N25" s="387" t="str">
        <f>+N16</f>
        <v>Average kW</v>
      </c>
      <c r="O25" s="589">
        <f>+'[1]Exhibit No.__(BDJ-SV RD)'!$D$102</f>
        <v>10.19</v>
      </c>
      <c r="P25" s="537"/>
      <c r="Q25" s="690">
        <f>+'[1]Exhibit No.__(BDJ-SV RD)'!$G$102</f>
        <v>10.19</v>
      </c>
      <c r="R25" s="418"/>
      <c r="S25" s="435">
        <f t="shared" si="0"/>
        <v>0</v>
      </c>
    </row>
    <row r="26" spans="1:19">
      <c r="A26" s="670"/>
      <c r="B26" s="670">
        <f>+B24+100</f>
        <v>700</v>
      </c>
      <c r="C26" s="670"/>
      <c r="D26" s="670">
        <v>300</v>
      </c>
      <c r="E26" s="525">
        <f>ROUND((B$26*D26),0)</f>
        <v>210000</v>
      </c>
      <c r="F26" s="670"/>
      <c r="G26" s="526">
        <f>+O$10+$B26*O$16+$E26*O$12</f>
        <v>23673.727093885645</v>
      </c>
      <c r="H26" s="526"/>
      <c r="I26" s="526">
        <f>+Q$10+$B26*Q$16+$E26*Q$12</f>
        <v>24076.887378013067</v>
      </c>
      <c r="J26" s="670"/>
      <c r="K26" s="678">
        <f>ROUND((+I26-G26)/G26,3)</f>
        <v>1.7000000000000001E-2</v>
      </c>
      <c r="L26" s="670"/>
      <c r="M26" s="670"/>
      <c r="N26" s="387" t="str">
        <f>+N18</f>
        <v>kVarh</v>
      </c>
      <c r="O26" s="691">
        <f>+'[1]Exhibit No.__(BDJ-Tariff)'!$D$46</f>
        <v>1.2999999999999999E-3</v>
      </c>
      <c r="P26" s="537"/>
      <c r="Q26" s="692">
        <f>+'[1]Exhibit No.__(BDJ-Tariff)'!$E$46</f>
        <v>1.2999999999999999E-3</v>
      </c>
      <c r="R26" s="418"/>
      <c r="S26" s="435">
        <f t="shared" si="0"/>
        <v>0</v>
      </c>
    </row>
    <row r="27" spans="1:19">
      <c r="A27" s="670"/>
      <c r="B27" s="670">
        <f>+B26</f>
        <v>700</v>
      </c>
      <c r="C27" s="670"/>
      <c r="D27" s="670">
        <v>500</v>
      </c>
      <c r="E27" s="525">
        <f>ROUND((B$26*D27),0)</f>
        <v>350000</v>
      </c>
      <c r="F27" s="670"/>
      <c r="G27" s="526">
        <f>+O$10+$B27*O$16+$E27*O$12</f>
        <v>34357.491823142736</v>
      </c>
      <c r="H27" s="526"/>
      <c r="I27" s="526">
        <f>+Q$10+$B27*Q$16+$E27*Q$12</f>
        <v>35076.092296688446</v>
      </c>
      <c r="J27" s="670"/>
      <c r="K27" s="678">
        <f>ROUND((+I27-G27)/G27,3)</f>
        <v>2.1000000000000001E-2</v>
      </c>
      <c r="L27" s="670"/>
      <c r="M27" s="670"/>
    </row>
    <row r="28" spans="1:19">
      <c r="A28" s="670"/>
      <c r="B28" s="670">
        <f>+B27</f>
        <v>700</v>
      </c>
      <c r="C28" s="670"/>
      <c r="D28" s="670">
        <v>700</v>
      </c>
      <c r="E28" s="525">
        <f>ROUND((B$26*D28),0)</f>
        <v>490000</v>
      </c>
      <c r="F28" s="670"/>
      <c r="G28" s="526">
        <f>+O$10+$B28*O$16+$E28*O$12</f>
        <v>45041.256552399835</v>
      </c>
      <c r="H28" s="526"/>
      <c r="I28" s="526">
        <f>+Q$10+$B28*Q$16+$E28*Q$12</f>
        <v>46075.297215363826</v>
      </c>
      <c r="J28" s="670"/>
      <c r="K28" s="678">
        <f>ROUND((+I28-G28)/G28,3)</f>
        <v>2.3E-2</v>
      </c>
      <c r="N28" s="539" t="str">
        <f>+'Res Bill RY#1'!P23</f>
        <v>Schedule 95 - PCORC</v>
      </c>
      <c r="O28" s="537">
        <f>+'Sch 95 PCORC'!E16</f>
        <v>3.2881063707595293E-3</v>
      </c>
      <c r="Q28" s="540">
        <v>0</v>
      </c>
    </row>
    <row r="29" spans="1:19">
      <c r="A29" s="670"/>
      <c r="B29" s="670"/>
      <c r="C29" s="670"/>
      <c r="D29" s="670"/>
      <c r="E29" s="670"/>
      <c r="F29" s="670"/>
      <c r="G29" s="526"/>
      <c r="H29" s="526"/>
      <c r="I29" s="526"/>
      <c r="K29" s="592"/>
      <c r="L29" s="670"/>
      <c r="M29" s="670"/>
      <c r="N29" s="539" t="str">
        <f>+'Res Bill RY#1'!P24</f>
        <v>Schedule 95 - PCA</v>
      </c>
      <c r="O29" s="537">
        <f>+'Sch 95 Imbalance'!E15</f>
        <v>2.3267494191098565E-3</v>
      </c>
      <c r="Q29" s="540">
        <v>0</v>
      </c>
    </row>
    <row r="30" spans="1:19">
      <c r="A30" s="670"/>
      <c r="B30" s="670">
        <f>+B28+100</f>
        <v>800</v>
      </c>
      <c r="C30" s="670"/>
      <c r="D30" s="670">
        <v>300</v>
      </c>
      <c r="E30" s="525">
        <f>ROUND((B$30*D30),0)</f>
        <v>240000</v>
      </c>
      <c r="F30" s="670"/>
      <c r="G30" s="526">
        <f>+O$10+$B30*O$16+$E30*O$12</f>
        <v>27040.105250155022</v>
      </c>
      <c r="H30" s="526"/>
      <c r="I30" s="526">
        <f>+Q$10+$B30*Q$16+$E30*Q$12</f>
        <v>27500.859860586366</v>
      </c>
      <c r="J30" s="670"/>
      <c r="K30" s="678">
        <f>ROUND((+I30-G30)/G30,3)</f>
        <v>1.7000000000000001E-2</v>
      </c>
      <c r="L30" s="670"/>
      <c r="M30" s="670"/>
      <c r="N30" s="539" t="str">
        <f>+'Res Bill RY#1'!P25</f>
        <v>Schedule 95A - Fed Inc Credit</v>
      </c>
      <c r="O30" s="537">
        <f>+'Sch 95 Imbalance'!E16</f>
        <v>2.3267494191098565E-3</v>
      </c>
      <c r="Q30" s="537">
        <f t="shared" ref="Q30:Q34" si="1">+O30</f>
        <v>2.3267494191098565E-3</v>
      </c>
    </row>
    <row r="31" spans="1:19">
      <c r="A31" s="670"/>
      <c r="B31" s="670">
        <f>+B30</f>
        <v>800</v>
      </c>
      <c r="C31" s="670"/>
      <c r="D31" s="670">
        <v>500</v>
      </c>
      <c r="E31" s="525">
        <f>ROUND((B$30*D31),0)</f>
        <v>400000</v>
      </c>
      <c r="F31" s="670"/>
      <c r="G31" s="526">
        <f>+O$10+$B31*O$16+$E31*O$12</f>
        <v>39250.122083591705</v>
      </c>
      <c r="H31" s="526"/>
      <c r="I31" s="526">
        <f>+Q$10+$B31*Q$16+$E31*Q$12</f>
        <v>40071.379767643943</v>
      </c>
      <c r="J31" s="670"/>
      <c r="K31" s="678">
        <f>ROUND((+I31-G31)/G31,3)</f>
        <v>2.1000000000000001E-2</v>
      </c>
      <c r="L31" s="670"/>
      <c r="M31" s="670"/>
      <c r="N31" s="539" t="str">
        <f>+'Res Bill RY#1'!P26</f>
        <v>Schedule 120 - Conservation</v>
      </c>
      <c r="O31" s="537">
        <f>+'Sch 120'!E16</f>
        <v>4.1999999999999997E-3</v>
      </c>
      <c r="Q31" s="537">
        <f t="shared" si="1"/>
        <v>4.1999999999999997E-3</v>
      </c>
    </row>
    <row r="32" spans="1:19">
      <c r="A32" s="670"/>
      <c r="B32" s="670">
        <f>+B31</f>
        <v>800</v>
      </c>
      <c r="C32" s="670"/>
      <c r="D32" s="670">
        <v>700</v>
      </c>
      <c r="E32" s="525">
        <f>ROUND((B$30*D32),0)</f>
        <v>560000</v>
      </c>
      <c r="F32" s="670"/>
      <c r="G32" s="526">
        <f>+O$10+$B32*O$16+$E32*O$12</f>
        <v>51460.138917028387</v>
      </c>
      <c r="H32" s="526"/>
      <c r="I32" s="526">
        <f>+Q$10+$B32*Q$16+$E32*Q$12</f>
        <v>52641.899674701519</v>
      </c>
      <c r="J32" s="670"/>
      <c r="K32" s="678">
        <f>ROUND((+I32-G32)/G32,3)</f>
        <v>2.3E-2</v>
      </c>
      <c r="N32" s="539" t="str">
        <f>+'Res Bill RY#1'!P27</f>
        <v>Schedule 129 - Low Income</v>
      </c>
      <c r="O32" s="537">
        <f>+'Sch 129'!E16</f>
        <v>1.1180000000000001E-3</v>
      </c>
      <c r="Q32" s="537">
        <f t="shared" si="1"/>
        <v>1.1180000000000001E-3</v>
      </c>
    </row>
    <row r="33" spans="1:17">
      <c r="A33" s="670"/>
      <c r="B33" s="670"/>
      <c r="C33" s="670"/>
      <c r="D33" s="670"/>
      <c r="E33" s="670"/>
      <c r="F33" s="670"/>
      <c r="G33" s="526"/>
      <c r="H33" s="526"/>
      <c r="I33" s="526"/>
      <c r="K33" s="592"/>
      <c r="L33" s="670"/>
      <c r="M33" s="670"/>
      <c r="N33" s="539" t="str">
        <f>+'Res Bill RY#1'!P28</f>
        <v>Schedule 137 - REC</v>
      </c>
      <c r="O33" s="537">
        <f>+'Sch 137'!E16</f>
        <v>-2.0999999999999999E-5</v>
      </c>
      <c r="Q33" s="537">
        <f t="shared" si="1"/>
        <v>-2.0999999999999999E-5</v>
      </c>
    </row>
    <row r="34" spans="1:17">
      <c r="A34" s="670"/>
      <c r="B34" s="670">
        <f>+B32+200</f>
        <v>1000</v>
      </c>
      <c r="C34" s="670"/>
      <c r="D34" s="670">
        <v>300</v>
      </c>
      <c r="E34" s="525">
        <f>ROUND((B$34*D34),0)</f>
        <v>300000</v>
      </c>
      <c r="F34" s="670"/>
      <c r="G34" s="526">
        <f>+O$10+$B34*O$16+$E34*O$12</f>
        <v>33772.861562693775</v>
      </c>
      <c r="H34" s="526"/>
      <c r="I34" s="526">
        <f>+Q$10+$B34*Q$16+$E34*Q$12</f>
        <v>34348.804825732957</v>
      </c>
      <c r="J34" s="670"/>
      <c r="K34" s="678">
        <f>ROUND((+I34-G34)/G34,3)</f>
        <v>1.7000000000000001E-2</v>
      </c>
      <c r="L34" s="670"/>
      <c r="M34" s="670"/>
      <c r="N34" s="539" t="str">
        <f>+'Res Bill RY#1'!P29</f>
        <v>Schedule 140 - Property Tax</v>
      </c>
      <c r="O34" s="537">
        <f>+'Sch 140'!E16</f>
        <v>2.307E-3</v>
      </c>
      <c r="Q34" s="537">
        <f t="shared" si="1"/>
        <v>2.307E-3</v>
      </c>
    </row>
    <row r="35" spans="1:17">
      <c r="A35" s="670"/>
      <c r="B35" s="670">
        <f>+B34</f>
        <v>1000</v>
      </c>
      <c r="C35" s="670"/>
      <c r="D35" s="670">
        <v>500</v>
      </c>
      <c r="E35" s="525">
        <f>ROUND((B$34*D35),0)</f>
        <v>500000</v>
      </c>
      <c r="F35" s="670"/>
      <c r="G35" s="526">
        <f>+O$10+$B35*O$16+$E35*O$12</f>
        <v>49035.382604489627</v>
      </c>
      <c r="H35" s="526"/>
      <c r="I35" s="526">
        <f>+Q$10+$B35*Q$16+$E35*Q$12</f>
        <v>50061.954709554928</v>
      </c>
      <c r="J35" s="670"/>
      <c r="K35" s="678">
        <f>ROUND((+I35-G35)/G35,3)</f>
        <v>2.1000000000000001E-2</v>
      </c>
      <c r="L35" s="670"/>
      <c r="M35" s="670"/>
      <c r="N35" s="539" t="str">
        <f>+'Res Bill RY#1'!P30</f>
        <v>Schedule 141A -  Sch 139 Energy Charge Credit Recovery</v>
      </c>
      <c r="O35" s="537">
        <v>0</v>
      </c>
      <c r="Q35" s="540">
        <f>+'Sch 141A'!F16</f>
        <v>1.72E-3</v>
      </c>
    </row>
    <row r="36" spans="1:17">
      <c r="A36" s="670"/>
      <c r="B36" s="670">
        <f>+B35</f>
        <v>1000</v>
      </c>
      <c r="C36" s="670"/>
      <c r="D36" s="670">
        <v>700</v>
      </c>
      <c r="E36" s="525">
        <f>ROUND((B$34*D36),0)</f>
        <v>700000</v>
      </c>
      <c r="F36" s="670"/>
      <c r="G36" s="526">
        <f>+O$10+$B36*O$16+$E36*O$12</f>
        <v>64297.903646285478</v>
      </c>
      <c r="H36" s="526"/>
      <c r="I36" s="526">
        <f>+Q$10+$B36*Q$16+$E36*Q$12</f>
        <v>65775.104593376891</v>
      </c>
      <c r="J36" s="670"/>
      <c r="K36" s="678">
        <f>ROUND((+I36-G36)/G36,3)</f>
        <v>2.3E-2</v>
      </c>
      <c r="N36" s="539" t="str">
        <f>+'Res Bill RY#1'!P31</f>
        <v>Schedule 141COL - Colstrip</v>
      </c>
      <c r="O36" s="537">
        <v>0</v>
      </c>
      <c r="Q36" s="540">
        <f>+'Sch 141C'!F16</f>
        <v>4.2900000000000002E-4</v>
      </c>
    </row>
    <row r="37" spans="1:17">
      <c r="A37" s="670"/>
      <c r="B37" s="693"/>
      <c r="C37" s="693"/>
      <c r="D37" s="693"/>
      <c r="E37" s="693"/>
      <c r="F37" s="693"/>
      <c r="G37" s="693"/>
      <c r="H37" s="693"/>
      <c r="I37" s="693"/>
      <c r="J37" s="541"/>
      <c r="K37" s="541"/>
      <c r="L37" s="670"/>
      <c r="M37" s="670"/>
      <c r="N37" s="539" t="str">
        <f>+'Res Bill RY#1'!P32</f>
        <v>Schedule 141N - Non Refundable MYRP</v>
      </c>
      <c r="O37" s="537">
        <v>0</v>
      </c>
      <c r="Q37" s="540">
        <f>+'Sch 141N'!G16</f>
        <v>6.2940000000000001E-3</v>
      </c>
    </row>
    <row r="38" spans="1:17">
      <c r="A38" s="670"/>
      <c r="N38" s="539" t="str">
        <f>+'Res Bill RY#1'!P33</f>
        <v>Schedule 141R - Refundable MYRP</v>
      </c>
      <c r="O38" s="537">
        <v>0</v>
      </c>
      <c r="Q38" s="540">
        <f>+'Sch 141R'!G16</f>
        <v>1.1770000000000001E-3</v>
      </c>
    </row>
    <row r="39" spans="1:17">
      <c r="B39" s="387" t="s">
        <v>177</v>
      </c>
      <c r="N39" s="539" t="str">
        <f>+'Res Bill RY#1'!P34</f>
        <v xml:space="preserve">Schedule 141X- Tax Passback </v>
      </c>
      <c r="O39" s="537">
        <f>+'Sch 141X'!E16</f>
        <v>6.3400000000000001E-4</v>
      </c>
      <c r="Q39" s="540">
        <v>0</v>
      </c>
    </row>
    <row r="40" spans="1:17">
      <c r="B40" s="777" t="s">
        <v>894</v>
      </c>
      <c r="C40" s="777"/>
      <c r="D40" s="777"/>
      <c r="E40" s="777"/>
      <c r="F40" s="777"/>
      <c r="G40" s="777"/>
      <c r="H40" s="777"/>
      <c r="I40" s="777"/>
      <c r="J40" s="777"/>
      <c r="K40" s="777"/>
      <c r="N40" s="539" t="str">
        <f>+'Res Bill RY#1'!P35</f>
        <v>Schedule 141Z - Tax</v>
      </c>
      <c r="O40" s="537">
        <f>+'Sch 141Z'!E16</f>
        <v>-5.7700000000000004E-4</v>
      </c>
      <c r="Q40" s="540">
        <v>0</v>
      </c>
    </row>
    <row r="41" spans="1:17" ht="11.4">
      <c r="A41" s="670"/>
      <c r="B41" s="777" t="s">
        <v>860</v>
      </c>
      <c r="C41" s="777"/>
      <c r="D41" s="777"/>
      <c r="E41" s="777"/>
      <c r="F41" s="777"/>
      <c r="G41" s="777"/>
      <c r="H41" s="777"/>
      <c r="I41" s="777"/>
      <c r="J41" s="777"/>
      <c r="K41" s="777"/>
      <c r="N41" s="539" t="s">
        <v>255</v>
      </c>
      <c r="O41" s="537">
        <f>+'Sch 142'!F16</f>
        <v>1.5579999999999999E-3</v>
      </c>
      <c r="Q41" s="540">
        <f>+O41</f>
        <v>1.5579999999999999E-3</v>
      </c>
    </row>
    <row r="42" spans="1:17" ht="11.4">
      <c r="A42" s="670"/>
      <c r="B42" s="777" t="s">
        <v>861</v>
      </c>
      <c r="C42" s="777"/>
      <c r="D42" s="777"/>
      <c r="E42" s="777"/>
      <c r="F42" s="777"/>
      <c r="G42" s="777"/>
      <c r="H42" s="777"/>
      <c r="I42" s="777"/>
      <c r="J42" s="777"/>
      <c r="K42" s="777"/>
      <c r="N42" s="539" t="s">
        <v>252</v>
      </c>
      <c r="O42" s="589">
        <f>+'Sch 142'!G16</f>
        <v>0.47999999999999993</v>
      </c>
      <c r="P42" s="418"/>
      <c r="Q42" s="694">
        <f>+O42</f>
        <v>0.47999999999999993</v>
      </c>
    </row>
    <row r="43" spans="1:17" ht="11.4">
      <c r="A43" s="670"/>
      <c r="B43" s="777" t="s">
        <v>862</v>
      </c>
      <c r="C43" s="777"/>
      <c r="D43" s="777"/>
      <c r="E43" s="777"/>
      <c r="F43" s="777"/>
      <c r="G43" s="777"/>
      <c r="H43" s="777"/>
      <c r="I43" s="777"/>
      <c r="J43" s="777"/>
      <c r="K43" s="777"/>
      <c r="N43" s="539" t="s">
        <v>481</v>
      </c>
      <c r="O43" s="537">
        <f>+'Sch 142'!I16</f>
        <v>5.5999999999999999E-5</v>
      </c>
      <c r="Q43" s="540">
        <v>0</v>
      </c>
    </row>
    <row r="44" spans="1:17">
      <c r="A44" s="670"/>
      <c r="N44" s="539" t="s">
        <v>482</v>
      </c>
      <c r="O44" s="589">
        <f>+'Sch 142'!J16</f>
        <v>0.1</v>
      </c>
      <c r="P44" s="418"/>
      <c r="Q44" s="694">
        <v>0</v>
      </c>
    </row>
    <row r="45" spans="1:17">
      <c r="A45" s="670"/>
      <c r="N45" s="539"/>
      <c r="O45" s="589"/>
    </row>
    <row r="46" spans="1:17">
      <c r="A46" s="670"/>
      <c r="N46" s="539"/>
      <c r="O46" s="589"/>
    </row>
    <row r="47" spans="1:17">
      <c r="A47" s="670"/>
      <c r="N47" s="383" t="s">
        <v>284</v>
      </c>
      <c r="O47" s="667">
        <f>+'Rate Impacts_RY#1'!H11</f>
        <v>-1.4767956818822233E-2</v>
      </c>
    </row>
    <row r="48" spans="1:17">
      <c r="A48" s="670"/>
      <c r="B48" s="397"/>
      <c r="N48" s="542" t="s">
        <v>285</v>
      </c>
      <c r="O48" s="667">
        <f>+'Rate Impacts_RY#1'!AP11</f>
        <v>7.3625502087536182E-2</v>
      </c>
      <c r="P48" s="402"/>
      <c r="Q48" s="402"/>
    </row>
    <row r="49" spans="1:1">
      <c r="A49" s="670"/>
    </row>
  </sheetData>
  <mergeCells count="7">
    <mergeCell ref="B42:K42"/>
    <mergeCell ref="B43:K43"/>
    <mergeCell ref="G6:I6"/>
    <mergeCell ref="N8:O8"/>
    <mergeCell ref="P8:Q8"/>
    <mergeCell ref="B40:K40"/>
    <mergeCell ref="B41:K41"/>
  </mergeCells>
  <printOptions horizontalCentered="1"/>
  <pageMargins left="0.7" right="0.7" top="0.75" bottom="0.71" header="0.3" footer="0.3"/>
  <pageSetup scale="62" orientation="landscape" r:id="rId1"/>
  <headerFooter alignWithMargins="0">
    <oddFooter>&amp;L&amp;"Times New Roman,Regular"&amp;A&amp;R&amp;"Times New Roman,Regular"Exhibit No.__(BDJ-8)
Page &amp;P of &amp;N</oddFooter>
  </headerFooter>
  <customProperties>
    <customPr name="_pios_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1:S66"/>
  <sheetViews>
    <sheetView zoomScaleNormal="100" zoomScaleSheetLayoutView="75" workbookViewId="0">
      <pane xSplit="3" ySplit="9" topLeftCell="D32" activePane="bottomRight" state="frozen"/>
      <selection activeCell="F7" sqref="F7:F62"/>
      <selection pane="topRight" activeCell="F7" sqref="F7:F62"/>
      <selection pane="bottomLeft" activeCell="F7" sqref="F7:F62"/>
      <selection pane="bottomRight" activeCell="B43" sqref="B43:L43"/>
    </sheetView>
  </sheetViews>
  <sheetFormatPr defaultColWidth="9.44140625" defaultRowHeight="10.199999999999999"/>
  <cols>
    <col min="1" max="1" width="2.109375" style="387" customWidth="1"/>
    <col min="2" max="2" width="16.33203125" style="387" customWidth="1"/>
    <col min="3" max="3" width="1.88671875" style="387" customWidth="1"/>
    <col min="4" max="5" width="16.33203125" style="387" customWidth="1"/>
    <col min="6" max="6" width="0.6640625" style="387" customWidth="1"/>
    <col min="7" max="7" width="16.33203125" style="387" customWidth="1"/>
    <col min="8" max="8" width="0.6640625" style="387" customWidth="1"/>
    <col min="9" max="9" width="16.33203125" style="387" customWidth="1"/>
    <col min="10" max="10" width="0.6640625" style="387" customWidth="1"/>
    <col min="11" max="11" width="10" style="387" bestFit="1" customWidth="1"/>
    <col min="12" max="13" width="0.6640625" style="387" customWidth="1"/>
    <col min="14" max="14" width="51.33203125" style="387" customWidth="1"/>
    <col min="15" max="15" width="12.33203125" style="387" customWidth="1"/>
    <col min="16" max="16" width="25.6640625" style="387" customWidth="1"/>
    <col min="17" max="17" width="14.33203125" style="387" customWidth="1"/>
    <col min="18" max="18" width="2.44140625" style="387" customWidth="1"/>
    <col min="19" max="19" width="7.44140625" style="387" bestFit="1" customWidth="1"/>
    <col min="20" max="16384" width="9.44140625" style="387"/>
  </cols>
  <sheetData>
    <row r="1" spans="2:19">
      <c r="B1" s="669" t="s">
        <v>0</v>
      </c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</row>
    <row r="2" spans="2:19">
      <c r="B2" s="669" t="s">
        <v>193</v>
      </c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</row>
    <row r="3" spans="2:19">
      <c r="B3" s="669" t="s">
        <v>235</v>
      </c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</row>
    <row r="4" spans="2:19">
      <c r="B4" s="507" t="s">
        <v>236</v>
      </c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</row>
    <row r="5" spans="2:19">
      <c r="G5" s="452"/>
      <c r="H5" s="452"/>
      <c r="I5" s="452"/>
      <c r="J5" s="452"/>
      <c r="K5" s="386"/>
      <c r="L5" s="386"/>
    </row>
    <row r="6" spans="2:19" ht="11.4">
      <c r="B6" s="687" t="s">
        <v>222</v>
      </c>
      <c r="G6" s="782" t="s">
        <v>852</v>
      </c>
      <c r="H6" s="783"/>
      <c r="I6" s="783"/>
      <c r="J6" s="452"/>
      <c r="K6" s="386"/>
      <c r="L6" s="386"/>
    </row>
    <row r="7" spans="2:19" ht="10.8" thickBot="1">
      <c r="B7" s="512" t="s">
        <v>221</v>
      </c>
      <c r="C7" s="386"/>
      <c r="D7" s="386" t="s">
        <v>220</v>
      </c>
      <c r="G7" s="386" t="s">
        <v>219</v>
      </c>
      <c r="H7" s="452"/>
      <c r="I7" s="386" t="s">
        <v>25</v>
      </c>
      <c r="J7" s="452"/>
      <c r="K7" s="452"/>
      <c r="L7" s="452"/>
    </row>
    <row r="8" spans="2:19" ht="11.4">
      <c r="B8" s="513" t="s">
        <v>218</v>
      </c>
      <c r="C8" s="386"/>
      <c r="D8" s="514" t="s">
        <v>217</v>
      </c>
      <c r="E8" s="459" t="s">
        <v>191</v>
      </c>
      <c r="G8" s="516" t="s">
        <v>865</v>
      </c>
      <c r="H8" s="516"/>
      <c r="I8" s="516" t="s">
        <v>866</v>
      </c>
      <c r="J8" s="452"/>
      <c r="K8" s="459" t="s">
        <v>234</v>
      </c>
      <c r="L8" s="452"/>
      <c r="M8" s="452"/>
      <c r="N8" s="778" t="s">
        <v>201</v>
      </c>
      <c r="O8" s="780"/>
      <c r="P8" s="781" t="s">
        <v>200</v>
      </c>
      <c r="Q8" s="780"/>
      <c r="R8" s="418"/>
    </row>
    <row r="9" spans="2:19">
      <c r="B9" s="452"/>
      <c r="C9" s="386"/>
      <c r="D9" s="514"/>
      <c r="E9" s="452"/>
      <c r="G9" s="452"/>
      <c r="H9" s="452"/>
      <c r="I9" s="452"/>
      <c r="J9" s="452"/>
      <c r="K9" s="452"/>
      <c r="L9" s="452"/>
      <c r="M9" s="452"/>
      <c r="N9" s="522"/>
      <c r="O9" s="677"/>
      <c r="P9" s="523"/>
      <c r="Q9" s="677"/>
      <c r="R9" s="418"/>
    </row>
    <row r="10" spans="2:19">
      <c r="B10" s="695" t="s">
        <v>199</v>
      </c>
      <c r="C10" s="515"/>
      <c r="G10" s="515"/>
      <c r="H10" s="515"/>
      <c r="N10" s="527" t="s">
        <v>233</v>
      </c>
      <c r="O10" s="530">
        <f>SUM(O30)</f>
        <v>9.99</v>
      </c>
      <c r="P10" s="522" t="str">
        <f>+N10</f>
        <v>Basic Charge (1 Phase)</v>
      </c>
      <c r="Q10" s="530">
        <f>SUM(Q30)</f>
        <v>9.99</v>
      </c>
      <c r="R10" s="591"/>
      <c r="S10" s="435">
        <f>(Q10-O10)/O10</f>
        <v>0</v>
      </c>
    </row>
    <row r="11" spans="2:19">
      <c r="B11" s="387">
        <v>25</v>
      </c>
      <c r="D11" s="525">
        <v>200</v>
      </c>
      <c r="E11" s="525">
        <f>ROUND((B$11*D11),0)</f>
        <v>5000</v>
      </c>
      <c r="G11" s="526">
        <f>ROUND(+O$10+IF(E11&gt;20000,20000*O$15+(E11-20000)*O$19,E11*O$15)+IF(B11&gt;50,(B11-50)*O$25,0),0)</f>
        <v>389</v>
      </c>
      <c r="H11" s="526"/>
      <c r="I11" s="526">
        <f>ROUND(+Q$10+IF(E11&gt;20000,20000*Q$15+(E11-20000)*Q$19,E11*Q$15)+IF(B11&gt;50,(B11-50)*Q$25,0),0)</f>
        <v>424</v>
      </c>
      <c r="J11" s="526"/>
      <c r="K11" s="592">
        <f>ROUND((I11-G11)/G11,4)</f>
        <v>0.09</v>
      </c>
      <c r="L11" s="592"/>
      <c r="M11" s="592"/>
      <c r="N11" s="527" t="s">
        <v>232</v>
      </c>
      <c r="O11" s="530">
        <f>SUM(O31)</f>
        <v>25.36</v>
      </c>
      <c r="P11" s="522" t="str">
        <f>+N11</f>
        <v>Basic Charge (3 Phase)</v>
      </c>
      <c r="Q11" s="530">
        <f>SUM(Q31)</f>
        <v>25.36</v>
      </c>
      <c r="R11" s="418"/>
      <c r="S11" s="435">
        <f>(Q11-O11)/O11</f>
        <v>0</v>
      </c>
    </row>
    <row r="12" spans="2:19">
      <c r="B12" s="387">
        <f>+B11</f>
        <v>25</v>
      </c>
      <c r="D12" s="525">
        <v>300</v>
      </c>
      <c r="E12" s="525">
        <f>ROUND((B$11*D12),0)</f>
        <v>7500</v>
      </c>
      <c r="G12" s="526">
        <f>ROUND(+O$10+IF(E12&gt;20000,20000*O$15+(E12-20000)*O$19,E12*O$15)+IF(B12&gt;50,(B12-50)*O$25,0),0)</f>
        <v>578</v>
      </c>
      <c r="H12" s="526"/>
      <c r="I12" s="526">
        <f>ROUND(+Q$10+IF(E12&gt;20000,20000*Q$15+(E12-20000)*Q$19,E12*Q$15)+IF(B12&gt;50,(B12-50)*Q$25,0),0)</f>
        <v>630</v>
      </c>
      <c r="J12" s="526"/>
      <c r="K12" s="592">
        <f>ROUND((I12-G12)/G12,4)</f>
        <v>0.09</v>
      </c>
      <c r="L12" s="592"/>
      <c r="M12" s="592"/>
      <c r="N12" s="522"/>
      <c r="O12" s="584"/>
      <c r="P12" s="522"/>
      <c r="Q12" s="584"/>
    </row>
    <row r="13" spans="2:19">
      <c r="B13" s="387">
        <f>+B12</f>
        <v>25</v>
      </c>
      <c r="D13" s="525">
        <v>500</v>
      </c>
      <c r="E13" s="525">
        <f>ROUND((B$11*D13),0)</f>
        <v>12500</v>
      </c>
      <c r="G13" s="526">
        <f>ROUND(+O$10+IF(E13&gt;20000,20000*O$15+(E13-20000)*O$19,E13*O$15)+IF(B13&gt;50,(B13-50)*O$25,0),0)</f>
        <v>957</v>
      </c>
      <c r="H13" s="526"/>
      <c r="I13" s="526">
        <f>ROUND(+Q$10+IF(E13&gt;20000,20000*Q$15+(E13-20000)*Q$19,E13*Q$15)+IF(B13&gt;50,(B13-50)*Q$25,0),0)</f>
        <v>1044</v>
      </c>
      <c r="J13" s="526"/>
      <c r="K13" s="592">
        <f>ROUND((I13-G13)/G13,4)</f>
        <v>9.0899999999999995E-2</v>
      </c>
      <c r="L13" s="592"/>
      <c r="M13" s="592"/>
      <c r="N13" s="527" t="s">
        <v>215</v>
      </c>
      <c r="O13" s="584">
        <f>SUM(O32,O44:O59)</f>
        <v>9.987422594137807E-2</v>
      </c>
      <c r="P13" s="522" t="str">
        <f>+N13</f>
        <v>Winter kWh - First 20,000</v>
      </c>
      <c r="Q13" s="663">
        <f>SUM(Q32,Q44:Q59)</f>
        <v>0.106236864</v>
      </c>
      <c r="R13" s="668"/>
      <c r="S13" s="435">
        <f>(Q13-O13)/O13</f>
        <v>6.3706506845485136E-2</v>
      </c>
    </row>
    <row r="14" spans="2:19">
      <c r="G14" s="526"/>
      <c r="H14" s="526"/>
      <c r="I14" s="526"/>
      <c r="J14" s="526"/>
      <c r="N14" s="527" t="s">
        <v>214</v>
      </c>
      <c r="O14" s="584">
        <f>SUM(O33,O44:O59)</f>
        <v>7.1152225941378072E-2</v>
      </c>
      <c r="P14" s="522" t="str">
        <f>+N14</f>
        <v>Summer kWh - First 20,000</v>
      </c>
      <c r="Q14" s="663">
        <f>SUM(Q33,Q44:Q59)</f>
        <v>7.8170863999999993E-2</v>
      </c>
      <c r="R14" s="668"/>
      <c r="S14" s="435">
        <f>(Q14-O14)/O14</f>
        <v>9.8642564807523203E-2</v>
      </c>
    </row>
    <row r="15" spans="2:19">
      <c r="B15" s="387">
        <v>50</v>
      </c>
      <c r="D15" s="525">
        <v>200</v>
      </c>
      <c r="E15" s="525">
        <f>ROUND((B$15*D15),0)</f>
        <v>10000</v>
      </c>
      <c r="G15" s="526">
        <f>ROUND(+O$10+IF(E15&gt;20000,20000*O$15+(E15-20000)*O$19,E15*O$15)+IF(B15&gt;50,(B15-50)*O$25,0),0)</f>
        <v>768</v>
      </c>
      <c r="H15" s="526"/>
      <c r="I15" s="526">
        <f>ROUND(+Q$10+IF(E15&gt;20000,20000*Q$15+(E15-20000)*Q$19,E15*Q$15)+IF(B15&gt;50,(B15-50)*Q$25,0),0)</f>
        <v>837</v>
      </c>
      <c r="J15" s="526"/>
      <c r="K15" s="592">
        <f>ROUND((I15-G15)/G15,4)</f>
        <v>8.9800000000000005E-2</v>
      </c>
      <c r="L15" s="592"/>
      <c r="M15" s="592"/>
      <c r="N15" s="522" t="s">
        <v>194</v>
      </c>
      <c r="O15" s="584">
        <f>SUM(O34,O44:O59)</f>
        <v>7.5799225941378071E-2</v>
      </c>
      <c r="P15" s="522" t="str">
        <f>+N15</f>
        <v>Average kWh</v>
      </c>
      <c r="Q15" s="663">
        <f>SUM(Q34,Q44:Q59)</f>
        <v>8.271186400000001E-2</v>
      </c>
      <c r="R15" s="668"/>
      <c r="S15" s="435">
        <f>(Q15-O15)/O15</f>
        <v>9.1196684039597783E-2</v>
      </c>
    </row>
    <row r="16" spans="2:19">
      <c r="B16" s="387">
        <f>+B15</f>
        <v>50</v>
      </c>
      <c r="D16" s="525">
        <v>300</v>
      </c>
      <c r="E16" s="525">
        <f>ROUND((B$15*D16),0)</f>
        <v>15000</v>
      </c>
      <c r="G16" s="526">
        <f>ROUND(+O$10+IF(E16&gt;20000,20000*O$15+(E16-20000)*O$19,E16*O$15)+IF(B16&gt;50,(B16-50)*O$25,0),0)</f>
        <v>1147</v>
      </c>
      <c r="H16" s="526"/>
      <c r="I16" s="526">
        <f>ROUND(+Q$10+IF(E16&gt;20000,20000*Q$15+(E16-20000)*Q$19,E16*Q$15)+IF(B16&gt;50,(B16-50)*Q$25,0),0)</f>
        <v>1251</v>
      </c>
      <c r="J16" s="526"/>
      <c r="K16" s="592">
        <f>ROUND((I16-G16)/G16,4)</f>
        <v>9.0700000000000003E-2</v>
      </c>
      <c r="L16" s="592"/>
      <c r="M16" s="592"/>
      <c r="N16" s="522"/>
      <c r="O16" s="584"/>
      <c r="P16" s="522"/>
      <c r="Q16" s="663"/>
      <c r="R16" s="668"/>
    </row>
    <row r="17" spans="2:19">
      <c r="B17" s="387">
        <f>+B16</f>
        <v>50</v>
      </c>
      <c r="D17" s="525">
        <v>500</v>
      </c>
      <c r="E17" s="525">
        <f>ROUND((B$15*D17),0)</f>
        <v>25000</v>
      </c>
      <c r="G17" s="526">
        <f>ROUND(+O$10+IF(E17&gt;20000,20000*O$15+(E17-20000)*O$19,E17*O$15)+IF(B17&gt;50,(B17-50)*O$25,0),0)</f>
        <v>1852</v>
      </c>
      <c r="H17" s="526"/>
      <c r="I17" s="526">
        <f>ROUND(+Q$10+IF(E17&gt;20000,20000*Q$15+(E17-20000)*Q$19,E17*Q$15)+IF(B17&gt;50,(B17-50)*Q$25,0),0)</f>
        <v>2026</v>
      </c>
      <c r="J17" s="526"/>
      <c r="K17" s="592">
        <f>ROUND((I17-G17)/G17,4)</f>
        <v>9.4E-2</v>
      </c>
      <c r="L17" s="592"/>
      <c r="M17" s="592"/>
      <c r="N17" s="527" t="s">
        <v>231</v>
      </c>
      <c r="O17" s="584">
        <f>SUM(O35,O44:O59)</f>
        <v>7.7375225941378079E-2</v>
      </c>
      <c r="P17" s="522" t="str">
        <f>+N17</f>
        <v>Winter kWh - Over 20,000</v>
      </c>
      <c r="Q17" s="663">
        <f>SUM(Q35,Q44:Q59)</f>
        <v>8.425186400000001E-2</v>
      </c>
      <c r="R17" s="668"/>
      <c r="S17" s="435">
        <f>(Q17-O17)/O17</f>
        <v>8.8873899558392117E-2</v>
      </c>
    </row>
    <row r="18" spans="2:19">
      <c r="G18" s="526"/>
      <c r="H18" s="526"/>
      <c r="I18" s="526"/>
      <c r="J18" s="526"/>
      <c r="N18" s="527" t="s">
        <v>230</v>
      </c>
      <c r="O18" s="584">
        <f>SUM(O36,O44:O59)</f>
        <v>6.1872225941378062E-2</v>
      </c>
      <c r="P18" s="522" t="str">
        <f>+N18</f>
        <v>Summer kWh - Over 20,000</v>
      </c>
      <c r="Q18" s="663">
        <f>SUM(Q36,Q44:Q59)</f>
        <v>6.9102864E-2</v>
      </c>
      <c r="R18" s="668"/>
      <c r="S18" s="435">
        <f>(Q18-O18)/O18</f>
        <v>0.11686403630399098</v>
      </c>
    </row>
    <row r="19" spans="2:19">
      <c r="B19" s="387">
        <v>75</v>
      </c>
      <c r="D19" s="525">
        <v>200</v>
      </c>
      <c r="E19" s="525">
        <f>ROUND((B$15*D19),0)</f>
        <v>10000</v>
      </c>
      <c r="G19" s="526">
        <f>ROUND(+O$10+IF(E19&gt;20000,20000*O$15+(E19-20000)*O$19,E19*O$15)+IF(B19&gt;50,(B19-50)*O$25,0),0)</f>
        <v>927</v>
      </c>
      <c r="H19" s="526"/>
      <c r="I19" s="526">
        <f>ROUND(+Q$10+IF(E19&gt;20000,20000*Q$15+(E19-20000)*Q$19,E19*Q$15)+IF(B19&gt;50,(B19-50)*Q$25,0),0)</f>
        <v>996</v>
      </c>
      <c r="J19" s="526"/>
      <c r="K19" s="592">
        <f>ROUND((I19-G19)/G19,4)</f>
        <v>7.4399999999999994E-2</v>
      </c>
      <c r="L19" s="592"/>
      <c r="M19" s="592"/>
      <c r="N19" s="527" t="s">
        <v>213</v>
      </c>
      <c r="O19" s="584">
        <f>SUM(O37,O44:O59)</f>
        <v>6.521122594137807E-2</v>
      </c>
      <c r="P19" s="522" t="str">
        <f>+N19</f>
        <v>kWh - All Over 20,000</v>
      </c>
      <c r="Q19" s="663">
        <f>SUM(Q37,Q44:Q59)</f>
        <v>7.2365864000000002E-2</v>
      </c>
      <c r="R19" s="668"/>
      <c r="S19" s="435">
        <f>(Q19-O19)/O19</f>
        <v>0.10971482218496592</v>
      </c>
    </row>
    <row r="20" spans="2:19">
      <c r="B20" s="387">
        <f>+B19</f>
        <v>75</v>
      </c>
      <c r="D20" s="525">
        <v>300</v>
      </c>
      <c r="E20" s="525">
        <f>ROUND((B$15*D20),0)</f>
        <v>15000</v>
      </c>
      <c r="G20" s="526">
        <f>ROUND(+O$10+IF(E20&gt;20000,20000*O$15+(E20-20000)*O$19,E20*O$15)+IF(B20&gt;50,(B20-50)*O$25,0),0)</f>
        <v>1306</v>
      </c>
      <c r="H20" s="526"/>
      <c r="I20" s="526">
        <f>ROUND(+Q$10+IF(E20&gt;20000,20000*Q$15+(E20-20000)*Q$19,E20*Q$15)+IF(B20&gt;50,(B20-50)*Q$25,0),0)</f>
        <v>1409</v>
      </c>
      <c r="J20" s="526"/>
      <c r="K20" s="592">
        <f>ROUND((I20-G20)/G20,4)</f>
        <v>7.8899999999999998E-2</v>
      </c>
      <c r="L20" s="592"/>
      <c r="M20" s="592"/>
      <c r="N20" s="527"/>
      <c r="O20" s="584"/>
      <c r="P20" s="527"/>
      <c r="Q20" s="584"/>
      <c r="R20" s="418"/>
      <c r="S20" s="583"/>
    </row>
    <row r="21" spans="2:19">
      <c r="B21" s="387">
        <f>+B20</f>
        <v>75</v>
      </c>
      <c r="D21" s="525">
        <v>500</v>
      </c>
      <c r="E21" s="525">
        <f>ROUND((B$15*D21),0)</f>
        <v>25000</v>
      </c>
      <c r="G21" s="526">
        <f>ROUND(+O$10+IF(E21&gt;20000,20000*O$15+(E21-20000)*O$19,E21*O$15)+IF(B21&gt;50,(B21-50)*O$25,0),0)</f>
        <v>2011</v>
      </c>
      <c r="H21" s="526"/>
      <c r="I21" s="526">
        <f>ROUND(+Q$10+IF(E21&gt;20000,20000*Q$15+(E21-20000)*Q$19,E21*Q$15)+IF(B21&gt;50,(B21-50)*Q$25,0),0)</f>
        <v>2185</v>
      </c>
      <c r="J21" s="526"/>
      <c r="K21" s="592">
        <f>ROUND((I21-G21)/G21,4)</f>
        <v>8.6499999999999994E-2</v>
      </c>
      <c r="L21" s="592"/>
      <c r="M21" s="592"/>
      <c r="N21" s="527" t="s">
        <v>212</v>
      </c>
      <c r="O21" s="530">
        <f>SUM(O38)</f>
        <v>0</v>
      </c>
      <c r="P21" s="522" t="str">
        <f>+N21</f>
        <v>kW - First 50</v>
      </c>
      <c r="Q21" s="530">
        <f>SUM(Q38)</f>
        <v>0</v>
      </c>
      <c r="R21" s="418"/>
      <c r="S21" s="583"/>
    </row>
    <row r="22" spans="2:19">
      <c r="N22" s="527"/>
      <c r="O22" s="584"/>
      <c r="P22" s="527"/>
      <c r="Q22" s="584"/>
      <c r="R22" s="591"/>
      <c r="S22" s="591"/>
    </row>
    <row r="23" spans="2:19">
      <c r="B23" s="695" t="s">
        <v>198</v>
      </c>
      <c r="C23" s="515"/>
      <c r="G23" s="526"/>
      <c r="H23" s="526"/>
      <c r="I23" s="526"/>
      <c r="J23" s="526"/>
      <c r="N23" s="527" t="s">
        <v>211</v>
      </c>
      <c r="O23" s="530">
        <f>SUM(O39)</f>
        <v>9.2200000000000006</v>
      </c>
      <c r="P23" s="522" t="str">
        <f>+N23</f>
        <v>Winter kW - Over 50</v>
      </c>
      <c r="Q23" s="530">
        <f>SUM(Q39)</f>
        <v>9.2200000000000006</v>
      </c>
      <c r="R23" s="418"/>
      <c r="S23" s="435">
        <f>(Q23-O23)/O23</f>
        <v>0</v>
      </c>
    </row>
    <row r="24" spans="2:19">
      <c r="B24" s="387">
        <v>100</v>
      </c>
      <c r="D24" s="525">
        <v>200</v>
      </c>
      <c r="E24" s="525">
        <f>ROUND((B$24*D24),0)</f>
        <v>20000</v>
      </c>
      <c r="G24" s="526">
        <f>ROUND(+O$11+IF(E24&gt;20000,20000*O$15+(E24-20000)*O$19,E24*O$15)+IF(B24&gt;50,(B24-50)*O$25,0),0)</f>
        <v>1859</v>
      </c>
      <c r="H24" s="526"/>
      <c r="I24" s="526">
        <f>ROUND(+Q$11+IF(E24&gt;20000,20000*Q$15+(E24-20000)*Q$19,E24*Q$15)+IF(B24&gt;50,(B24-50)*Q$25,0),0)</f>
        <v>1997</v>
      </c>
      <c r="J24" s="526"/>
      <c r="K24" s="592">
        <f>ROUND((I24-G24)/G24,4)</f>
        <v>7.4200000000000002E-2</v>
      </c>
      <c r="L24" s="592"/>
      <c r="M24" s="592"/>
      <c r="N24" s="527" t="s">
        <v>210</v>
      </c>
      <c r="O24" s="530">
        <f t="shared" ref="O24:Q25" si="0">SUM(O40)</f>
        <v>4.54</v>
      </c>
      <c r="P24" s="522" t="str">
        <f>+N24</f>
        <v>Summer kW - Over 50</v>
      </c>
      <c r="Q24" s="530">
        <f t="shared" si="0"/>
        <v>4.54</v>
      </c>
      <c r="R24" s="418"/>
      <c r="S24" s="435">
        <f>(Q24-O24)/O24</f>
        <v>0</v>
      </c>
    </row>
    <row r="25" spans="2:19">
      <c r="B25" s="387">
        <f>+B24</f>
        <v>100</v>
      </c>
      <c r="D25" s="525">
        <v>300</v>
      </c>
      <c r="E25" s="525">
        <f>ROUND((B$24*D25),0)</f>
        <v>30000</v>
      </c>
      <c r="G25" s="526">
        <f>ROUND(+O$11+IF(E25&gt;20000,20000*O$15+(E25-20000)*O$19,E25*O$15)+IF(B25&gt;50,(B25-50)*O$25,0),0)</f>
        <v>2511</v>
      </c>
      <c r="H25" s="526"/>
      <c r="I25" s="526">
        <f>ROUND(+Q$11+IF(E25&gt;20000,20000*Q$15+(E25-20000)*Q$19,E25*Q$15)+IF(B25&gt;50,(B25-50)*Q$25,0),0)</f>
        <v>2721</v>
      </c>
      <c r="J25" s="526"/>
      <c r="K25" s="592">
        <f>ROUND((I25-G25)/G25,4)</f>
        <v>8.3599999999999994E-2</v>
      </c>
      <c r="L25" s="592"/>
      <c r="M25" s="592"/>
      <c r="N25" s="527" t="s">
        <v>209</v>
      </c>
      <c r="O25" s="530">
        <f t="shared" si="0"/>
        <v>6.35</v>
      </c>
      <c r="P25" s="522" t="str">
        <f>+N25</f>
        <v>Average kW - Over 50</v>
      </c>
      <c r="Q25" s="530">
        <f t="shared" si="0"/>
        <v>6.35</v>
      </c>
      <c r="R25" s="418"/>
      <c r="S25" s="435">
        <f>(Q25-O25)/O25</f>
        <v>0</v>
      </c>
    </row>
    <row r="26" spans="2:19">
      <c r="B26" s="387">
        <f>+B25</f>
        <v>100</v>
      </c>
      <c r="D26" s="525">
        <v>500</v>
      </c>
      <c r="E26" s="525">
        <f>ROUND((B$24*D26),0)</f>
        <v>50000</v>
      </c>
      <c r="G26" s="526">
        <f>ROUND(+O$11+IF(E26&gt;20000,20000*O$15+(E26-20000)*O$19,E26*O$15)+IF(B26&gt;50,(B26-50)*O$25,0),0)</f>
        <v>3815</v>
      </c>
      <c r="H26" s="526"/>
      <c r="I26" s="526">
        <f>ROUND(+Q$11+IF(E26&gt;20000,20000*Q$15+(E26-20000)*Q$19,E26*Q$15)+IF(B26&gt;50,(B26-50)*Q$25,0),0)</f>
        <v>4168</v>
      </c>
      <c r="J26" s="526"/>
      <c r="K26" s="592">
        <f>ROUND((I26-G26)/G26,4)</f>
        <v>9.2499999999999999E-2</v>
      </c>
      <c r="L26" s="592"/>
      <c r="M26" s="592"/>
      <c r="N26" s="522"/>
      <c r="O26" s="584"/>
      <c r="P26" s="522"/>
      <c r="Q26" s="584"/>
      <c r="R26" s="418"/>
    </row>
    <row r="27" spans="2:19">
      <c r="N27" s="522" t="s">
        <v>208</v>
      </c>
      <c r="O27" s="689">
        <f>SUM(O42)</f>
        <v>2.9299999999999999E-3</v>
      </c>
      <c r="P27" s="522" t="str">
        <f>+N27</f>
        <v>kVarh</v>
      </c>
      <c r="Q27" s="689">
        <f>SUM(Q42)</f>
        <v>2.9299999999999999E-3</v>
      </c>
      <c r="R27" s="418"/>
      <c r="S27" s="435">
        <f>(Q27-O27)/O27</f>
        <v>0</v>
      </c>
    </row>
    <row r="28" spans="2:19" ht="10.8" thickBot="1">
      <c r="B28" s="387">
        <v>150</v>
      </c>
      <c r="D28" s="525">
        <v>200</v>
      </c>
      <c r="E28" s="525">
        <f>ROUND((B$28*D28),0)</f>
        <v>30000</v>
      </c>
      <c r="G28" s="526">
        <f>ROUND(+O$11+IF(E28&gt;20000,20000*O$15+(E28-20000)*O$19,E28*O$15)+IF(B28&gt;50,(B28-50)*O$25,0),0)</f>
        <v>2828</v>
      </c>
      <c r="H28" s="526"/>
      <c r="I28" s="526">
        <f>ROUND(+Q$11+IF(E28&gt;20000,20000*Q$15+(E28-20000)*Q$19,E28*Q$15)+IF(B28&gt;50,(B28-50)*Q$25,0),0)</f>
        <v>3038</v>
      </c>
      <c r="J28" s="526"/>
      <c r="K28" s="592">
        <f>ROUND((I28-G28)/G28,4)</f>
        <v>7.4300000000000005E-2</v>
      </c>
      <c r="L28" s="592"/>
      <c r="M28" s="592"/>
      <c r="N28" s="682" t="s">
        <v>20</v>
      </c>
      <c r="O28" s="683" t="s">
        <v>20</v>
      </c>
      <c r="P28" s="682" t="s">
        <v>20</v>
      </c>
      <c r="Q28" s="683" t="s">
        <v>20</v>
      </c>
      <c r="R28" s="418"/>
    </row>
    <row r="29" spans="2:19">
      <c r="B29" s="387">
        <f>+B28</f>
        <v>150</v>
      </c>
      <c r="D29" s="525">
        <v>300</v>
      </c>
      <c r="E29" s="525">
        <f>ROUND((B$28*D29),0)</f>
        <v>45000</v>
      </c>
      <c r="G29" s="526">
        <f>ROUND(+O$11+IF(E29&gt;20000,20000*O$15+(E29-20000)*O$19,E29*O$15)+IF(B29&gt;50,(B29-50)*O$25,0),0)</f>
        <v>3807</v>
      </c>
      <c r="H29" s="526"/>
      <c r="I29" s="526">
        <f>ROUND(+Q$11+IF(E29&gt;20000,20000*Q$15+(E29-20000)*Q$19,E29*Q$15)+IF(B29&gt;50,(B29-50)*Q$25,0),0)</f>
        <v>4124</v>
      </c>
      <c r="J29" s="526"/>
      <c r="K29" s="592">
        <f>ROUND((I29-G29)/G29,4)</f>
        <v>8.3299999999999999E-2</v>
      </c>
      <c r="L29" s="592"/>
      <c r="M29" s="592"/>
      <c r="R29" s="418"/>
    </row>
    <row r="30" spans="2:19">
      <c r="B30" s="387">
        <f>+B29</f>
        <v>150</v>
      </c>
      <c r="D30" s="525">
        <v>500</v>
      </c>
      <c r="E30" s="525">
        <f>ROUND((B$28*D30),0)</f>
        <v>75000</v>
      </c>
      <c r="G30" s="526">
        <f>ROUND(+O$11+IF(E30&gt;20000,20000*O$15+(E30-20000)*O$19,E30*O$15)+IF(B30&gt;50,(B30-50)*O$25,0),0)</f>
        <v>5763</v>
      </c>
      <c r="H30" s="526"/>
      <c r="I30" s="526">
        <f>ROUND(+Q$11+IF(E30&gt;20000,20000*Q$15+(E30-20000)*Q$19,E30*Q$15)+IF(B30&gt;50,(B30-50)*Q$25,0),0)</f>
        <v>6295</v>
      </c>
      <c r="J30" s="526"/>
      <c r="K30" s="592">
        <f>ROUND((I30-G30)/G30,4)</f>
        <v>9.2299999999999993E-2</v>
      </c>
      <c r="L30" s="592"/>
      <c r="M30" s="592"/>
      <c r="N30" s="387" t="str">
        <f>+N10</f>
        <v>Basic Charge (1 Phase)</v>
      </c>
      <c r="O30" s="418">
        <f>+'[1]Exhibit No.__(BDJ-Tariff)'!$D$59</f>
        <v>9.99</v>
      </c>
      <c r="P30" s="418"/>
      <c r="Q30" s="536">
        <f>+'[1]Exhibit No.__(BDJ-Tariff)'!$E$59</f>
        <v>9.99</v>
      </c>
      <c r="R30" s="418"/>
      <c r="S30" s="435">
        <f t="shared" ref="S30:S42" si="1">(Q30-O30)/O30</f>
        <v>0</v>
      </c>
    </row>
    <row r="31" spans="2:19">
      <c r="N31" s="387" t="str">
        <f t="shared" ref="N31" si="2">+N11</f>
        <v>Basic Charge (3 Phase)</v>
      </c>
      <c r="O31" s="418">
        <f>+'[1]Exhibit No.__(BDJ-Tariff)'!$D$60</f>
        <v>25.36</v>
      </c>
      <c r="P31" s="418"/>
      <c r="Q31" s="536">
        <f>+'[1]Exhibit No.__(BDJ-Tariff)'!$E$60</f>
        <v>25.36</v>
      </c>
      <c r="R31" s="418"/>
      <c r="S31" s="435">
        <f t="shared" si="1"/>
        <v>0</v>
      </c>
    </row>
    <row r="32" spans="2:19">
      <c r="B32" s="387">
        <v>200</v>
      </c>
      <c r="D32" s="525">
        <v>200</v>
      </c>
      <c r="E32" s="525">
        <f>ROUND((B$32*D32),0)</f>
        <v>40000</v>
      </c>
      <c r="G32" s="526">
        <f>ROUND(+O$11+IF(E32&gt;20000,20000*O$15+(E32-20000)*O$19,E32*O$15)+IF(B32&gt;50,(B32-50)*O$25,0),0)</f>
        <v>3798</v>
      </c>
      <c r="H32" s="526"/>
      <c r="I32" s="526">
        <f>ROUND(+Q$11+IF(E32&gt;20000,20000*Q$15+(E32-20000)*Q$19,E32*Q$15)+IF(B32&gt;50,(B32-50)*Q$25,0),0)</f>
        <v>4079</v>
      </c>
      <c r="J32" s="526"/>
      <c r="K32" s="592">
        <f>ROUND((I32-G32)/G32,4)</f>
        <v>7.3999999999999996E-2</v>
      </c>
      <c r="L32" s="592"/>
      <c r="M32" s="592"/>
      <c r="N32" s="387" t="str">
        <f>+N13</f>
        <v>Winter kWh - First 20,000</v>
      </c>
      <c r="O32" s="402">
        <f>+'[1]Exhibit No.__(BDJ-Tariff)'!$D$62</f>
        <v>9.3538999999999997E-2</v>
      </c>
      <c r="P32" s="402"/>
      <c r="Q32" s="696">
        <f>+'[1]Exhibit No.__(BDJ-Tariff)'!$E$62</f>
        <v>9.1401999999999997E-2</v>
      </c>
      <c r="R32" s="418"/>
      <c r="S32" s="435">
        <f t="shared" si="1"/>
        <v>-2.2846085589967823E-2</v>
      </c>
    </row>
    <row r="33" spans="2:19">
      <c r="B33" s="387">
        <f>+B32</f>
        <v>200</v>
      </c>
      <c r="D33" s="525">
        <v>300</v>
      </c>
      <c r="E33" s="525">
        <f>ROUND((B$32*D33),0)</f>
        <v>60000</v>
      </c>
      <c r="G33" s="526">
        <f>ROUND(+O$11+IF(E33&gt;20000,20000*O$15+(E33-20000)*O$19,E33*O$15)+IF(B33&gt;50,(B33-50)*O$25,0),0)</f>
        <v>5102</v>
      </c>
      <c r="H33" s="526"/>
      <c r="I33" s="526">
        <f>ROUND(+Q$11+IF(E33&gt;20000,20000*Q$15+(E33-20000)*Q$19,E33*Q$15)+IF(B33&gt;50,(B33-50)*Q$25,0),0)</f>
        <v>5527</v>
      </c>
      <c r="J33" s="526"/>
      <c r="K33" s="592">
        <f>ROUND((I33-G33)/G33,4)</f>
        <v>8.3299999999999999E-2</v>
      </c>
      <c r="L33" s="592"/>
      <c r="M33" s="592"/>
      <c r="N33" s="387" t="str">
        <f>+N14</f>
        <v>Summer kWh - First 20,000</v>
      </c>
      <c r="O33" s="402">
        <f>+'[1]Exhibit No.__(BDJ-Tariff)'!$D$64</f>
        <v>6.4817E-2</v>
      </c>
      <c r="P33" s="402"/>
      <c r="Q33" s="696">
        <f>+'[1]Exhibit No.__(BDJ-Tariff)'!$E$64</f>
        <v>6.3336000000000003E-2</v>
      </c>
      <c r="R33" s="418"/>
      <c r="S33" s="435">
        <f t="shared" si="1"/>
        <v>-2.2848943949889632E-2</v>
      </c>
    </row>
    <row r="34" spans="2:19">
      <c r="B34" s="387">
        <f>+B33</f>
        <v>200</v>
      </c>
      <c r="D34" s="525">
        <v>500</v>
      </c>
      <c r="E34" s="525">
        <f>ROUND((B$32*D34),0)</f>
        <v>100000</v>
      </c>
      <c r="G34" s="526">
        <f>ROUND(+O$11+IF(E34&gt;20000,20000*O$15+(E34-20000)*O$19,E34*O$15)+IF(B34&gt;50,(B34-50)*O$25,0),0)</f>
        <v>7711</v>
      </c>
      <c r="H34" s="526"/>
      <c r="I34" s="526">
        <f>ROUND(+Q$11+IF(E34&gt;20000,20000*Q$15+(E34-20000)*Q$19,E34*Q$15)+IF(B34&gt;50,(B34-50)*Q$25,0),0)</f>
        <v>8421</v>
      </c>
      <c r="J34" s="526"/>
      <c r="K34" s="592">
        <f>ROUND((I34-G34)/G34,4)</f>
        <v>9.2100000000000001E-2</v>
      </c>
      <c r="L34" s="592"/>
      <c r="M34" s="592"/>
      <c r="N34" s="387" t="s">
        <v>253</v>
      </c>
      <c r="O34" s="402">
        <f>+'[1]Exhibit No.__(BDJ-SV RD)'!$D$172</f>
        <v>6.9463999999999998E-2</v>
      </c>
      <c r="P34" s="402"/>
      <c r="Q34" s="696">
        <f>+'[1]Exhibit No.__(BDJ-SV RD)'!$G$172</f>
        <v>6.7877000000000007E-2</v>
      </c>
      <c r="R34" s="418"/>
      <c r="S34" s="435">
        <f t="shared" si="1"/>
        <v>-2.2846366463203836E-2</v>
      </c>
    </row>
    <row r="35" spans="2:19">
      <c r="G35" s="526"/>
      <c r="H35" s="526"/>
      <c r="I35" s="526"/>
      <c r="J35" s="526"/>
      <c r="N35" s="387" t="str">
        <f>+N17</f>
        <v>Winter kWh - Over 20,000</v>
      </c>
      <c r="O35" s="402">
        <f>+'[1]Exhibit No.__(BDJ-Tariff)'!$D$63</f>
        <v>7.1040000000000006E-2</v>
      </c>
      <c r="P35" s="402"/>
      <c r="Q35" s="696">
        <f>+'[1]Exhibit No.__(BDJ-Tariff)'!$E$63</f>
        <v>6.9417000000000006E-2</v>
      </c>
      <c r="R35" s="418"/>
      <c r="S35" s="435">
        <f t="shared" si="1"/>
        <v>-2.2846283783783772E-2</v>
      </c>
    </row>
    <row r="36" spans="2:19">
      <c r="B36" s="387">
        <v>300</v>
      </c>
      <c r="D36" s="525">
        <v>200</v>
      </c>
      <c r="E36" s="525">
        <f>ROUND((B$36*D36),0)</f>
        <v>60000</v>
      </c>
      <c r="G36" s="526">
        <f>ROUND(+O$11+IF(E36&gt;20000,20000*O$15+(E36-20000)*O$19,E36*O$15)+IF(B36&gt;50,(B36-50)*O$25,0),0)</f>
        <v>5737</v>
      </c>
      <c r="H36" s="526"/>
      <c r="I36" s="526">
        <f>ROUND(+Q$11+IF(E36&gt;20000,20000*Q$15+(E36-20000)*Q$19,E36*Q$15)+IF(B36&gt;50,(B36-50)*Q$25,0),0)</f>
        <v>6162</v>
      </c>
      <c r="J36" s="526"/>
      <c r="K36" s="592">
        <f>ROUND((I36-G36)/G36,4)</f>
        <v>7.4099999999999999E-2</v>
      </c>
      <c r="L36" s="592"/>
      <c r="M36" s="592"/>
      <c r="N36" s="387" t="str">
        <f>+N18</f>
        <v>Summer kWh - Over 20,000</v>
      </c>
      <c r="O36" s="402">
        <f>+'[1]Exhibit No.__(BDJ-Tariff)'!$D$65</f>
        <v>5.5537000000000003E-2</v>
      </c>
      <c r="P36" s="402"/>
      <c r="Q36" s="696">
        <f>+'[1]Exhibit No.__(BDJ-Tariff)'!$E$65</f>
        <v>5.4267999999999997E-2</v>
      </c>
      <c r="S36" s="435">
        <f t="shared" si="1"/>
        <v>-2.2849631777013633E-2</v>
      </c>
    </row>
    <row r="37" spans="2:19">
      <c r="B37" s="387">
        <f>+B36</f>
        <v>300</v>
      </c>
      <c r="D37" s="525">
        <v>300</v>
      </c>
      <c r="E37" s="525">
        <f>ROUND((B$36*D37),0)</f>
        <v>90000</v>
      </c>
      <c r="G37" s="526">
        <f>ROUND(+O$11+IF(E37&gt;20000,20000*O$15+(E37-20000)*O$19,E37*O$15)+IF(B37&gt;50,(B37-50)*O$25,0),0)</f>
        <v>7694</v>
      </c>
      <c r="H37" s="526"/>
      <c r="I37" s="526">
        <f>ROUND(+Q$11+IF(E37&gt;20000,20000*Q$15+(E37-20000)*Q$19,E37*Q$15)+IF(B37&gt;50,(B37-50)*Q$25,0),0)</f>
        <v>8333</v>
      </c>
      <c r="J37" s="526"/>
      <c r="K37" s="592">
        <f>ROUND((I37-G37)/G37,4)</f>
        <v>8.3099999999999993E-2</v>
      </c>
      <c r="L37" s="592"/>
      <c r="M37" s="592"/>
      <c r="N37" s="391" t="s">
        <v>254</v>
      </c>
      <c r="O37" s="402">
        <f>+'[1]Exhibit No.__(BDJ-SV RD)'!$D$173</f>
        <v>5.8875999999999998E-2</v>
      </c>
      <c r="P37" s="402"/>
      <c r="Q37" s="696">
        <f>+'[1]Exhibit No.__(BDJ-SV RD)'!$G$173</f>
        <v>5.7530999999999999E-2</v>
      </c>
      <c r="S37" s="435">
        <f t="shared" si="1"/>
        <v>-2.2844622596643778E-2</v>
      </c>
    </row>
    <row r="38" spans="2:19">
      <c r="B38" s="387">
        <f>+B37</f>
        <v>300</v>
      </c>
      <c r="D38" s="525">
        <v>500</v>
      </c>
      <c r="E38" s="525">
        <f>ROUND((B$36*D38),0)</f>
        <v>150000</v>
      </c>
      <c r="G38" s="526">
        <f>ROUND(+O$11+IF(E38&gt;20000,20000*O$15+(E38-20000)*O$19,E38*O$15)+IF(B38&gt;50,(B38-50)*O$25,0),0)</f>
        <v>11606</v>
      </c>
      <c r="H38" s="526"/>
      <c r="I38" s="526">
        <f>ROUND(+Q$11+IF(E38&gt;20000,20000*Q$15+(E38-20000)*Q$19,E38*Q$15)+IF(B38&gt;50,(B38-50)*Q$25,0),0)</f>
        <v>12675</v>
      </c>
      <c r="J38" s="526"/>
      <c r="K38" s="592">
        <f>ROUND((I38-G38)/G38,4)</f>
        <v>9.2100000000000001E-2</v>
      </c>
      <c r="L38" s="592"/>
      <c r="M38" s="592"/>
      <c r="N38" s="387" t="str">
        <f>+N21</f>
        <v>kW - First 50</v>
      </c>
      <c r="O38" s="418">
        <f>+'[1]Exhibit No.__(BDJ-Tariff)'!$D$67</f>
        <v>0</v>
      </c>
      <c r="P38" s="418"/>
      <c r="Q38" s="536">
        <f>+'[1]Exhibit No.__(BDJ-Tariff)'!$E$67</f>
        <v>0</v>
      </c>
      <c r="S38" s="435"/>
    </row>
    <row r="39" spans="2:19">
      <c r="B39" s="541"/>
      <c r="C39" s="541"/>
      <c r="D39" s="541"/>
      <c r="E39" s="541"/>
      <c r="F39" s="541"/>
      <c r="G39" s="541"/>
      <c r="H39" s="541"/>
      <c r="I39" s="541"/>
      <c r="J39" s="541"/>
      <c r="K39" s="541"/>
      <c r="L39" s="523"/>
      <c r="N39" s="387" t="str">
        <f>+N23</f>
        <v>Winter kW - Over 50</v>
      </c>
      <c r="O39" s="418">
        <f>+'[1]Exhibit No.__(BDJ-Tariff)'!$D$68</f>
        <v>9.2200000000000006</v>
      </c>
      <c r="P39" s="418"/>
      <c r="Q39" s="536">
        <f>+'[1]Exhibit No.__(BDJ-Tariff)'!$E$68</f>
        <v>9.2200000000000006</v>
      </c>
      <c r="S39" s="435">
        <f t="shared" si="1"/>
        <v>0</v>
      </c>
    </row>
    <row r="40" spans="2:19">
      <c r="N40" s="387" t="str">
        <f>+N24</f>
        <v>Summer kW - Over 50</v>
      </c>
      <c r="O40" s="418">
        <f>+'[1]Exhibit No.__(BDJ-Tariff)'!$D$69</f>
        <v>4.54</v>
      </c>
      <c r="P40" s="418"/>
      <c r="Q40" s="536">
        <f>+'[1]Exhibit No.__(BDJ-Tariff)'!$E$69</f>
        <v>4.54</v>
      </c>
      <c r="S40" s="435">
        <f t="shared" si="1"/>
        <v>0</v>
      </c>
    </row>
    <row r="41" spans="2:19">
      <c r="N41" s="387" t="str">
        <f t="shared" ref="N41" si="3">+N25</f>
        <v>Average kW - Over 50</v>
      </c>
      <c r="O41" s="418">
        <f>+'[1]Exhibit No.__(BDJ-SV RD)'!$D$174</f>
        <v>6.35</v>
      </c>
      <c r="P41" s="418"/>
      <c r="Q41" s="536">
        <f>+'[1]Exhibit No.__(BDJ-SV RD)'!$G$174</f>
        <v>6.35</v>
      </c>
      <c r="S41" s="435">
        <f t="shared" si="1"/>
        <v>0</v>
      </c>
    </row>
    <row r="42" spans="2:19">
      <c r="B42" s="387" t="s">
        <v>177</v>
      </c>
      <c r="N42" s="387" t="str">
        <f>+N27</f>
        <v>kVarh</v>
      </c>
      <c r="O42" s="697">
        <f>+'[1]Exhibit No.__(BDJ-Tariff)'!$D$71</f>
        <v>2.9299999999999999E-3</v>
      </c>
      <c r="P42" s="697"/>
      <c r="Q42" s="698">
        <f>+'[1]Exhibit No.__(BDJ-Tariff)'!$E$71</f>
        <v>2.9299999999999999E-3</v>
      </c>
      <c r="S42" s="435">
        <f t="shared" si="1"/>
        <v>0</v>
      </c>
    </row>
    <row r="43" spans="2:19">
      <c r="B43" s="777" t="s">
        <v>895</v>
      </c>
      <c r="C43" s="777"/>
      <c r="D43" s="777"/>
      <c r="E43" s="777"/>
      <c r="F43" s="777"/>
      <c r="G43" s="777"/>
      <c r="H43" s="777"/>
      <c r="I43" s="777"/>
      <c r="J43" s="777"/>
      <c r="K43" s="777"/>
      <c r="L43" s="777"/>
      <c r="O43" s="402"/>
      <c r="P43" s="402"/>
      <c r="Q43" s="402"/>
    </row>
    <row r="44" spans="2:19" ht="11.4">
      <c r="B44" s="777" t="s">
        <v>860</v>
      </c>
      <c r="C44" s="777"/>
      <c r="D44" s="777"/>
      <c r="E44" s="777"/>
      <c r="F44" s="777"/>
      <c r="G44" s="777"/>
      <c r="H44" s="777"/>
      <c r="I44" s="777"/>
      <c r="J44" s="777"/>
      <c r="K44" s="777"/>
      <c r="L44" s="777"/>
      <c r="N44" s="539" t="str">
        <f>+'Res Bill RY#1'!P23</f>
        <v>Schedule 95 - PCORC</v>
      </c>
      <c r="O44" s="537">
        <f>+'Sch 95 PCORC'!E17</f>
        <v>3.6338751446693849E-3</v>
      </c>
      <c r="P44" s="402"/>
      <c r="Q44" s="540">
        <v>0</v>
      </c>
    </row>
    <row r="45" spans="2:19" ht="11.4">
      <c r="B45" s="777" t="s">
        <v>861</v>
      </c>
      <c r="C45" s="777"/>
      <c r="D45" s="777"/>
      <c r="E45" s="777"/>
      <c r="F45" s="777"/>
      <c r="G45" s="777"/>
      <c r="H45" s="777"/>
      <c r="I45" s="777"/>
      <c r="J45" s="777"/>
      <c r="K45" s="777"/>
      <c r="L45" s="777"/>
      <c r="N45" s="539" t="str">
        <f>+'Res Bill RY#1'!P24</f>
        <v>Schedule 95 - PCA</v>
      </c>
      <c r="O45" s="537">
        <f>+'Sch 95 Imbalance'!E17</f>
        <v>1.8524867967086855E-3</v>
      </c>
      <c r="P45" s="402"/>
      <c r="Q45" s="540">
        <v>0</v>
      </c>
    </row>
    <row r="46" spans="2:19" ht="11.4">
      <c r="B46" s="777" t="s">
        <v>862</v>
      </c>
      <c r="C46" s="777"/>
      <c r="D46" s="777"/>
      <c r="E46" s="777"/>
      <c r="F46" s="777"/>
      <c r="G46" s="777"/>
      <c r="H46" s="777"/>
      <c r="I46" s="777"/>
      <c r="J46" s="777"/>
      <c r="K46" s="777"/>
      <c r="L46" s="777"/>
      <c r="N46" s="539" t="str">
        <f>+'Res Bill RY#1'!P25</f>
        <v>Schedule 95A - Fed Inc Credit</v>
      </c>
      <c r="O46" s="537">
        <f>+'Sch 95a'!E17</f>
        <v>-1.2149999999999999E-3</v>
      </c>
      <c r="P46" s="402"/>
      <c r="Q46" s="537">
        <f t="shared" ref="Q46:Q50" si="4">+O46</f>
        <v>-1.2149999999999999E-3</v>
      </c>
    </row>
    <row r="47" spans="2:19">
      <c r="B47" s="597"/>
      <c r="N47" s="539" t="str">
        <f>+'Res Bill RY#1'!P26</f>
        <v>Schedule 120 - Conservation</v>
      </c>
      <c r="O47" s="537">
        <f>+'Sch 120'!E17</f>
        <v>3.4199999999999999E-3</v>
      </c>
      <c r="P47" s="402"/>
      <c r="Q47" s="537">
        <f t="shared" si="4"/>
        <v>3.4199999999999999E-3</v>
      </c>
    </row>
    <row r="48" spans="2:19">
      <c r="N48" s="539" t="str">
        <f>+'Res Bill RY#1'!P27</f>
        <v>Schedule 129 - Low Income</v>
      </c>
      <c r="O48" s="402">
        <f>+'Sch 137'!E17</f>
        <v>-1.8E-5</v>
      </c>
      <c r="P48" s="402"/>
      <c r="Q48" s="537">
        <f t="shared" si="4"/>
        <v>-1.8E-5</v>
      </c>
    </row>
    <row r="49" spans="14:17">
      <c r="N49" s="539" t="str">
        <f>+'Res Bill RY#1'!P28</f>
        <v>Schedule 137 - REC</v>
      </c>
      <c r="O49" s="402">
        <f>+'Sch 137'!E17</f>
        <v>-1.8E-5</v>
      </c>
      <c r="P49" s="402"/>
      <c r="Q49" s="537">
        <f t="shared" si="4"/>
        <v>-1.8E-5</v>
      </c>
    </row>
    <row r="50" spans="14:17">
      <c r="N50" s="539" t="str">
        <f>+'Res Bill RY#1'!P29</f>
        <v>Schedule 140 - Property Tax</v>
      </c>
      <c r="O50" s="402">
        <f>+'Sch 140'!E17</f>
        <v>2.4289999999999997E-3</v>
      </c>
      <c r="P50" s="418"/>
      <c r="Q50" s="537">
        <f t="shared" si="4"/>
        <v>2.4289999999999997E-3</v>
      </c>
    </row>
    <row r="51" spans="14:17">
      <c r="N51" s="539" t="str">
        <f>+'Res Bill RY#1'!P30</f>
        <v>Schedule 141A -  Sch 139 Energy Charge Credit Recovery</v>
      </c>
      <c r="O51" s="402">
        <v>0</v>
      </c>
      <c r="Q51" s="540">
        <f>+'Sch 141A'!F17</f>
        <v>1.7420000000000001E-3</v>
      </c>
    </row>
    <row r="52" spans="14:17">
      <c r="N52" s="539" t="str">
        <f>+'Res Bill RY#1'!P31</f>
        <v>Schedule 141COL - Colstrip</v>
      </c>
      <c r="O52" s="402">
        <v>0</v>
      </c>
      <c r="Q52" s="540">
        <f>+'Sch 141C'!F17</f>
        <v>4.8299999999999998E-4</v>
      </c>
    </row>
    <row r="53" spans="14:17">
      <c r="N53" s="539" t="str">
        <f>+'Res Bill RY#1'!P32</f>
        <v>Schedule 141N - Non Refundable MYRP</v>
      </c>
      <c r="O53" s="402">
        <v>0</v>
      </c>
      <c r="Q53" s="540">
        <f>+'Sch 141N'!G17</f>
        <v>9.8949999999999993E-3</v>
      </c>
    </row>
    <row r="54" spans="14:17">
      <c r="N54" s="539" t="str">
        <f>+'Res Bill RY#1'!P33</f>
        <v>Schedule 141R - Refundable MYRP</v>
      </c>
      <c r="O54" s="402">
        <v>0</v>
      </c>
      <c r="Q54" s="540">
        <f>+'Sch 141R'!G17</f>
        <v>1.8500000000000001E-3</v>
      </c>
    </row>
    <row r="55" spans="14:17">
      <c r="N55" s="539" t="str">
        <f>+'Res Bill RY#1'!P34</f>
        <v xml:space="preserve">Schedule 141X- Tax Passback </v>
      </c>
      <c r="O55" s="402">
        <f>+'Sch 141X'!E17</f>
        <v>7.1400000000000001E-4</v>
      </c>
      <c r="P55" s="418"/>
      <c r="Q55" s="540">
        <v>0</v>
      </c>
    </row>
    <row r="56" spans="14:17">
      <c r="N56" s="539" t="str">
        <f>+'Res Bill RY#1'!P35</f>
        <v>Schedule 141Z - Tax</v>
      </c>
      <c r="O56" s="402">
        <f>+'Sch 141Z'!E17</f>
        <v>-6.69E-4</v>
      </c>
      <c r="P56" s="402"/>
      <c r="Q56" s="540">
        <v>0</v>
      </c>
    </row>
    <row r="57" spans="14:17">
      <c r="N57" s="539" t="str">
        <f>+'Res Bill RY#1'!P36</f>
        <v>Schedule 142 - Decoupling</v>
      </c>
      <c r="O57" s="402">
        <f>+'Sch 142'!F17</f>
        <v>2.9560000000000003E-3</v>
      </c>
      <c r="P57" s="402"/>
      <c r="Q57" s="540">
        <f>+O57</f>
        <v>2.9560000000000003E-3</v>
      </c>
    </row>
    <row r="58" spans="14:17">
      <c r="N58" s="539" t="str">
        <f>+'Res Bill RY#1'!P37</f>
        <v>Schedule 142 - Decoupling Supplemental</v>
      </c>
      <c r="O58" s="402">
        <f>+'Sch 142'!I17</f>
        <v>-6.1000000000000019E-5</v>
      </c>
      <c r="Q58" s="540">
        <v>0</v>
      </c>
    </row>
    <row r="59" spans="14:17">
      <c r="N59" s="539" t="str">
        <f>+'Res Bill RY#1'!P38</f>
        <v>Schedule 194 - BPA Exch Credit</v>
      </c>
      <c r="O59" s="402">
        <f>+'Sch 194'!E17</f>
        <v>-6.689136E-3</v>
      </c>
      <c r="P59" s="402"/>
      <c r="Q59" s="537">
        <f>+O59</f>
        <v>-6.689136E-3</v>
      </c>
    </row>
    <row r="63" spans="14:17">
      <c r="N63" s="383" t="s">
        <v>284</v>
      </c>
      <c r="O63" s="667">
        <f>+'Rate Impacts_RY#1'!H12</f>
        <v>-1.7031708596919135E-2</v>
      </c>
    </row>
    <row r="64" spans="14:17">
      <c r="N64" s="542" t="s">
        <v>285</v>
      </c>
      <c r="O64" s="667">
        <f>+'Rate Impacts_RY#1'!AP12</f>
        <v>5.1620266081105183E-2</v>
      </c>
    </row>
    <row r="66" spans="2:2">
      <c r="B66" s="397"/>
    </row>
  </sheetData>
  <mergeCells count="7">
    <mergeCell ref="B45:L45"/>
    <mergeCell ref="B46:L46"/>
    <mergeCell ref="N8:O8"/>
    <mergeCell ref="P8:Q8"/>
    <mergeCell ref="G6:I6"/>
    <mergeCell ref="B43:L43"/>
    <mergeCell ref="B44:L44"/>
  </mergeCells>
  <printOptions horizontalCentered="1"/>
  <pageMargins left="0.7" right="0.7" top="0.75" bottom="0.71" header="0.3" footer="0.3"/>
  <pageSetup scale="53" orientation="landscape" r:id="rId1"/>
  <headerFooter alignWithMargins="0">
    <oddFooter>&amp;L&amp;"Times New Roman,Regular"&amp;A&amp;R&amp;"Times New Roman,Regular"Exhibit No.__(BDJ-8)
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"/>
  <sheetViews>
    <sheetView workbookViewId="0">
      <selection activeCell="I37" sqref="I37"/>
    </sheetView>
  </sheetViews>
  <sheetFormatPr defaultRowHeight="13.2"/>
  <sheetData/>
  <pageMargins left="0.7" right="0.7" top="0.75" bottom="0.75" header="0.3" footer="0.3"/>
  <customProperties>
    <customPr name="_pios_id" r:id="rId1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S50"/>
  <sheetViews>
    <sheetView zoomScaleNormal="100" zoomScaleSheetLayoutView="75" workbookViewId="0">
      <pane xSplit="3" ySplit="8" topLeftCell="D9" activePane="bottomRight" state="frozen"/>
      <selection activeCell="F7" sqref="F7:F62"/>
      <selection pane="topRight" activeCell="F7" sqref="F7:F62"/>
      <selection pane="bottomLeft" activeCell="F7" sqref="F7:F62"/>
      <selection pane="bottomRight" activeCell="B40" sqref="B40:K40"/>
    </sheetView>
  </sheetViews>
  <sheetFormatPr defaultColWidth="9.44140625" defaultRowHeight="10.199999999999999"/>
  <cols>
    <col min="1" max="1" width="1.6640625" style="387" customWidth="1"/>
    <col min="2" max="2" width="11.5546875" style="387" customWidth="1"/>
    <col min="3" max="3" width="2.6640625" style="387" customWidth="1"/>
    <col min="4" max="4" width="13.88671875" style="387" bestFit="1" customWidth="1"/>
    <col min="5" max="5" width="10.33203125" style="387" bestFit="1" customWidth="1"/>
    <col min="6" max="6" width="1" style="387" customWidth="1"/>
    <col min="7" max="7" width="13.109375" style="387" bestFit="1" customWidth="1"/>
    <col min="8" max="8" width="1" style="387" customWidth="1"/>
    <col min="9" max="9" width="14.44140625" style="387" bestFit="1" customWidth="1"/>
    <col min="10" max="10" width="1" style="387" customWidth="1"/>
    <col min="11" max="11" width="10" style="387" bestFit="1" customWidth="1"/>
    <col min="12" max="13" width="1" style="387" customWidth="1"/>
    <col min="14" max="14" width="52.109375" style="387" customWidth="1"/>
    <col min="15" max="15" width="14.44140625" style="387" bestFit="1" customWidth="1"/>
    <col min="16" max="16" width="14.33203125" style="387" bestFit="1" customWidth="1"/>
    <col min="17" max="17" width="14.44140625" style="387" bestFit="1" customWidth="1"/>
    <col min="18" max="18" width="2.44140625" style="387" customWidth="1"/>
    <col min="19" max="19" width="7.5546875" style="387" customWidth="1"/>
    <col min="20" max="16384" width="9.44140625" style="387"/>
  </cols>
  <sheetData>
    <row r="1" spans="1:19">
      <c r="B1" s="669" t="s">
        <v>0</v>
      </c>
      <c r="C1" s="669"/>
      <c r="D1" s="669"/>
      <c r="E1" s="669"/>
      <c r="F1" s="669"/>
      <c r="G1" s="669"/>
      <c r="H1" s="669"/>
      <c r="I1" s="669"/>
      <c r="J1" s="669"/>
      <c r="K1" s="669"/>
      <c r="L1" s="674"/>
      <c r="M1" s="674"/>
    </row>
    <row r="2" spans="1:19">
      <c r="B2" s="669" t="s">
        <v>193</v>
      </c>
      <c r="C2" s="669"/>
      <c r="D2" s="669"/>
      <c r="E2" s="669"/>
      <c r="F2" s="669"/>
      <c r="G2" s="669"/>
      <c r="H2" s="669"/>
      <c r="I2" s="669"/>
      <c r="J2" s="669"/>
      <c r="K2" s="669"/>
      <c r="L2" s="674"/>
      <c r="M2" s="674"/>
    </row>
    <row r="3" spans="1:19">
      <c r="B3" s="669" t="s">
        <v>237</v>
      </c>
      <c r="C3" s="669"/>
      <c r="D3" s="669"/>
      <c r="E3" s="669"/>
      <c r="F3" s="669"/>
      <c r="G3" s="669"/>
      <c r="H3" s="669"/>
      <c r="I3" s="669"/>
      <c r="J3" s="669"/>
      <c r="K3" s="669"/>
      <c r="L3" s="674"/>
      <c r="M3" s="674"/>
    </row>
    <row r="4" spans="1:19">
      <c r="B4" s="669" t="s">
        <v>238</v>
      </c>
      <c r="C4" s="669"/>
      <c r="D4" s="669"/>
      <c r="E4" s="669"/>
      <c r="F4" s="669"/>
      <c r="G4" s="669"/>
      <c r="H4" s="669"/>
      <c r="I4" s="669"/>
      <c r="J4" s="669"/>
      <c r="K4" s="669"/>
      <c r="L4" s="674"/>
      <c r="M4" s="674"/>
    </row>
    <row r="5" spans="1:19">
      <c r="A5" s="670"/>
      <c r="B5" s="686"/>
    </row>
    <row r="6" spans="1:19" ht="11.4">
      <c r="A6" s="670"/>
      <c r="B6" s="687" t="s">
        <v>222</v>
      </c>
      <c r="C6" s="670"/>
      <c r="D6" s="670"/>
      <c r="E6" s="670"/>
      <c r="F6" s="670"/>
      <c r="G6" s="782" t="s">
        <v>852</v>
      </c>
      <c r="H6" s="783"/>
      <c r="I6" s="783"/>
      <c r="J6" s="670"/>
      <c r="L6" s="670"/>
      <c r="M6" s="670"/>
    </row>
    <row r="7" spans="1:19" ht="10.8" thickBot="1">
      <c r="A7" s="670"/>
      <c r="B7" s="512" t="s">
        <v>221</v>
      </c>
      <c r="C7" s="672"/>
      <c r="D7" s="687" t="s">
        <v>220</v>
      </c>
      <c r="E7" s="670"/>
      <c r="F7" s="670"/>
      <c r="G7" s="386" t="s">
        <v>219</v>
      </c>
      <c r="I7" s="386" t="s">
        <v>25</v>
      </c>
      <c r="J7" s="670"/>
      <c r="K7" s="672" t="s">
        <v>204</v>
      </c>
      <c r="L7" s="670"/>
      <c r="M7" s="670"/>
    </row>
    <row r="8" spans="1:19" ht="11.4">
      <c r="A8" s="670"/>
      <c r="B8" s="513" t="s">
        <v>218</v>
      </c>
      <c r="C8" s="676"/>
      <c r="D8" s="688" t="s">
        <v>217</v>
      </c>
      <c r="E8" s="513" t="s">
        <v>191</v>
      </c>
      <c r="F8" s="670"/>
      <c r="G8" s="516" t="s">
        <v>867</v>
      </c>
      <c r="H8" s="516"/>
      <c r="I8" s="516" t="s">
        <v>868</v>
      </c>
      <c r="J8" s="670"/>
      <c r="K8" s="673" t="s">
        <v>27</v>
      </c>
      <c r="L8" s="670"/>
      <c r="M8" s="670"/>
      <c r="N8" s="778" t="s">
        <v>201</v>
      </c>
      <c r="O8" s="780"/>
      <c r="P8" s="781" t="s">
        <v>200</v>
      </c>
      <c r="Q8" s="780"/>
      <c r="R8" s="418"/>
    </row>
    <row r="9" spans="1:19">
      <c r="A9" s="670"/>
      <c r="B9" s="670"/>
      <c r="C9" s="670"/>
      <c r="D9" s="670"/>
      <c r="E9" s="670"/>
      <c r="F9" s="670"/>
      <c r="G9" s="676"/>
      <c r="H9" s="676"/>
      <c r="I9" s="676"/>
      <c r="N9" s="522"/>
      <c r="O9" s="677"/>
      <c r="P9" s="523"/>
      <c r="Q9" s="677"/>
      <c r="R9" s="418"/>
    </row>
    <row r="10" spans="1:19">
      <c r="A10" s="670"/>
      <c r="B10" s="670">
        <v>350</v>
      </c>
      <c r="C10" s="670"/>
      <c r="D10" s="670">
        <v>300</v>
      </c>
      <c r="E10" s="525">
        <f>ROUND((B$10*D10),0)</f>
        <v>105000</v>
      </c>
      <c r="F10" s="670"/>
      <c r="G10" s="526">
        <f>+O$10+$B10*O$16+$E10*O$12</f>
        <v>11473.958043015999</v>
      </c>
      <c r="H10" s="526"/>
      <c r="I10" s="526">
        <f>+Q$10+$B10*Q$16+$E10*Q$12</f>
        <v>11605.535</v>
      </c>
      <c r="J10" s="670"/>
      <c r="K10" s="678">
        <f>ROUND((+I10-G10)/G10,3)</f>
        <v>1.0999999999999999E-2</v>
      </c>
      <c r="L10" s="670"/>
      <c r="M10" s="670"/>
      <c r="N10" s="522" t="s">
        <v>197</v>
      </c>
      <c r="O10" s="530">
        <f>SUM(O21)</f>
        <v>358.11</v>
      </c>
      <c r="P10" s="522" t="str">
        <f>+N10</f>
        <v>Basic Charge</v>
      </c>
      <c r="Q10" s="530">
        <f>SUM(Q21)</f>
        <v>358.11</v>
      </c>
      <c r="R10" s="591"/>
      <c r="S10" s="435">
        <f>(Q10-O10)/O10</f>
        <v>0</v>
      </c>
    </row>
    <row r="11" spans="1:19">
      <c r="A11" s="670"/>
      <c r="B11" s="670">
        <f>+B10</f>
        <v>350</v>
      </c>
      <c r="C11" s="670"/>
      <c r="D11" s="670">
        <v>500</v>
      </c>
      <c r="E11" s="525">
        <f>ROUND((B$10*D11),0)</f>
        <v>175000</v>
      </c>
      <c r="F11" s="670"/>
      <c r="G11" s="526">
        <f>+O$10+$B11*O$16+$E11*O$12</f>
        <v>16411.190071693331</v>
      </c>
      <c r="H11" s="526"/>
      <c r="I11" s="526">
        <f>+Q$10+$B11*Q$16+$E11*Q$12</f>
        <v>16679.484999999997</v>
      </c>
      <c r="J11" s="670"/>
      <c r="K11" s="678">
        <f>ROUND((+I11-G11)/G11,3)</f>
        <v>1.6E-2</v>
      </c>
      <c r="L11" s="670"/>
      <c r="M11" s="670"/>
      <c r="N11" s="522"/>
      <c r="O11" s="680"/>
      <c r="P11" s="529"/>
      <c r="Q11" s="680"/>
      <c r="R11" s="418"/>
    </row>
    <row r="12" spans="1:19">
      <c r="A12" s="670"/>
      <c r="B12" s="670">
        <f>+B11</f>
        <v>350</v>
      </c>
      <c r="C12" s="670"/>
      <c r="D12" s="670">
        <v>700</v>
      </c>
      <c r="E12" s="525">
        <f>ROUND((B$10*D12),0)</f>
        <v>245000</v>
      </c>
      <c r="F12" s="670"/>
      <c r="G12" s="526">
        <f>+O$10+$B12*O$16+$E12*O$12</f>
        <v>21348.422100370666</v>
      </c>
      <c r="H12" s="526"/>
      <c r="I12" s="526">
        <f>+Q$10+$B12*Q$16+$E12*Q$12</f>
        <v>21753.434999999998</v>
      </c>
      <c r="J12" s="670"/>
      <c r="K12" s="678">
        <f>ROUND((+I12-G12)/G12,3)</f>
        <v>1.9E-2</v>
      </c>
      <c r="N12" s="527" t="s">
        <v>227</v>
      </c>
      <c r="O12" s="584">
        <f>SUM(O22,O28:O41,O43)</f>
        <v>7.0531886123961898E-2</v>
      </c>
      <c r="P12" s="522" t="str">
        <f>+N12</f>
        <v>kWh - All</v>
      </c>
      <c r="Q12" s="663">
        <f>SUM(Q22,Q28:Q41,Q43)</f>
        <v>7.2484999999999994E-2</v>
      </c>
      <c r="R12" s="668"/>
      <c r="S12" s="435">
        <f>(Q12-O12)/O12</f>
        <v>2.7691218587369684E-2</v>
      </c>
    </row>
    <row r="13" spans="1:19">
      <c r="A13" s="670"/>
      <c r="L13" s="670"/>
      <c r="M13" s="670"/>
      <c r="N13" s="527"/>
      <c r="O13" s="584"/>
      <c r="P13" s="527"/>
      <c r="Q13" s="584"/>
      <c r="R13" s="418"/>
      <c r="S13" s="583"/>
    </row>
    <row r="14" spans="1:19">
      <c r="A14" s="670"/>
      <c r="B14" s="670">
        <f>+B12+50</f>
        <v>400</v>
      </c>
      <c r="C14" s="670"/>
      <c r="D14" s="670">
        <v>300</v>
      </c>
      <c r="E14" s="525">
        <f>ROUND((B$14*D14),0)</f>
        <v>120000</v>
      </c>
      <c r="F14" s="670"/>
      <c r="G14" s="526">
        <f>+O$10+$B14*O$16+$E14*O$12</f>
        <v>13061.936334875429</v>
      </c>
      <c r="H14" s="526"/>
      <c r="I14" s="526">
        <f>+Q$10+$B14*Q$16+$E14*Q$12</f>
        <v>13212.309999999998</v>
      </c>
      <c r="J14" s="670"/>
      <c r="K14" s="678">
        <f>ROUND((+I14-G14)/G14,3)</f>
        <v>1.2E-2</v>
      </c>
      <c r="L14" s="670"/>
      <c r="M14" s="670"/>
      <c r="N14" s="527" t="s">
        <v>226</v>
      </c>
      <c r="O14" s="530">
        <f>SUM(O23,O42,O44)</f>
        <v>12.55</v>
      </c>
      <c r="P14" s="522" t="str">
        <f>+N14</f>
        <v>Winter kW</v>
      </c>
      <c r="Q14" s="530">
        <f>SUM(Q23,Q42,Q44)</f>
        <v>12.34</v>
      </c>
      <c r="R14" s="418"/>
      <c r="S14" s="435">
        <f>(Q14-O14)/O14</f>
        <v>-1.6733067729083732E-2</v>
      </c>
    </row>
    <row r="15" spans="1:19">
      <c r="A15" s="670"/>
      <c r="B15" s="670">
        <f>+B14</f>
        <v>400</v>
      </c>
      <c r="C15" s="670"/>
      <c r="D15" s="670">
        <v>500</v>
      </c>
      <c r="E15" s="525">
        <f>ROUND((B$14*D15),0)</f>
        <v>200000</v>
      </c>
      <c r="F15" s="670"/>
      <c r="G15" s="526">
        <f>+O$10+$B15*O$16+$E15*O$12</f>
        <v>18704.487224792378</v>
      </c>
      <c r="H15" s="526"/>
      <c r="I15" s="526">
        <f>+Q$10+$B15*Q$16+$E15*Q$12</f>
        <v>19011.109999999997</v>
      </c>
      <c r="J15" s="670"/>
      <c r="K15" s="678">
        <f>ROUND((+I15-G15)/G15,3)</f>
        <v>1.6E-2</v>
      </c>
      <c r="L15" s="670"/>
      <c r="M15" s="670"/>
      <c r="N15" s="527" t="s">
        <v>225</v>
      </c>
      <c r="O15" s="530">
        <f>SUM(O24,O42,O44)</f>
        <v>8.57</v>
      </c>
      <c r="P15" s="522" t="str">
        <f>+N15</f>
        <v>Summer kW</v>
      </c>
      <c r="Q15" s="530">
        <f>SUM(Q24,Q42,Q44)</f>
        <v>8.36</v>
      </c>
      <c r="R15" s="418"/>
      <c r="S15" s="435">
        <f>(Q15-O15)/O15</f>
        <v>-2.4504084014002434E-2</v>
      </c>
    </row>
    <row r="16" spans="1:19">
      <c r="A16" s="670"/>
      <c r="B16" s="670">
        <f>+B15</f>
        <v>400</v>
      </c>
      <c r="C16" s="670"/>
      <c r="D16" s="670">
        <v>700</v>
      </c>
      <c r="E16" s="525">
        <f>ROUND((B$14*D16),0)</f>
        <v>280000</v>
      </c>
      <c r="F16" s="670"/>
      <c r="G16" s="526">
        <f>+O$10+$B16*O$16+$E16*O$12</f>
        <v>24347.038114709332</v>
      </c>
      <c r="H16" s="526"/>
      <c r="I16" s="526">
        <f>+Q$10+$B16*Q$16+$E16*Q$12</f>
        <v>24809.91</v>
      </c>
      <c r="J16" s="670"/>
      <c r="K16" s="678">
        <f>ROUND((+I16-G16)/G16,3)</f>
        <v>1.9E-2</v>
      </c>
      <c r="N16" s="527" t="s">
        <v>224</v>
      </c>
      <c r="O16" s="530">
        <f>SUM(O25,O42,O44)</f>
        <v>10.600000000000001</v>
      </c>
      <c r="P16" s="522" t="str">
        <f>+N16</f>
        <v>Average kW</v>
      </c>
      <c r="Q16" s="530">
        <f>SUM(Q25,Q42,Q44)</f>
        <v>10.39</v>
      </c>
      <c r="R16" s="418"/>
      <c r="S16" s="435">
        <f>(Q16-O16)/O16</f>
        <v>-1.981132075471706E-2</v>
      </c>
    </row>
    <row r="17" spans="1:19">
      <c r="A17" s="670"/>
      <c r="B17" s="670"/>
      <c r="C17" s="670"/>
      <c r="D17" s="670"/>
      <c r="E17" s="670"/>
      <c r="F17" s="670"/>
      <c r="G17" s="526"/>
      <c r="H17" s="526"/>
      <c r="I17" s="526"/>
      <c r="K17" s="592"/>
      <c r="L17" s="670"/>
      <c r="M17" s="670"/>
      <c r="N17" s="522"/>
      <c r="O17" s="584"/>
      <c r="P17" s="522"/>
      <c r="Q17" s="584"/>
      <c r="R17" s="418"/>
    </row>
    <row r="18" spans="1:19">
      <c r="A18" s="670"/>
      <c r="B18" s="670">
        <f>+B16+100</f>
        <v>500</v>
      </c>
      <c r="C18" s="670"/>
      <c r="D18" s="670">
        <v>300</v>
      </c>
      <c r="E18" s="525">
        <f>ROUND((B$18*D18),0)</f>
        <v>150000</v>
      </c>
      <c r="F18" s="670"/>
      <c r="G18" s="526">
        <f>+O$10+$B18*O$16+$E18*O$12</f>
        <v>16237.892918594285</v>
      </c>
      <c r="H18" s="526"/>
      <c r="I18" s="526">
        <f>+Q$10+$B18*Q$16+$E18*Q$12</f>
        <v>16425.859999999997</v>
      </c>
      <c r="J18" s="670"/>
      <c r="K18" s="678">
        <f>ROUND((+I18-G18)/G18,3)</f>
        <v>1.2E-2</v>
      </c>
      <c r="L18" s="670"/>
      <c r="M18" s="670"/>
      <c r="N18" s="522" t="s">
        <v>208</v>
      </c>
      <c r="O18" s="689">
        <f>SUM(O26)</f>
        <v>1.1199999999999999E-3</v>
      </c>
      <c r="P18" s="522" t="str">
        <f>+N18</f>
        <v>kVarh</v>
      </c>
      <c r="Q18" s="689">
        <f>SUM(Q26)</f>
        <v>1.1199999999999999E-3</v>
      </c>
      <c r="R18" s="418"/>
      <c r="S18" s="435">
        <f>(Q18-O18)/O18</f>
        <v>0</v>
      </c>
    </row>
    <row r="19" spans="1:19" ht="10.8" thickBot="1">
      <c r="A19" s="670"/>
      <c r="B19" s="670">
        <f>+B18</f>
        <v>500</v>
      </c>
      <c r="C19" s="670"/>
      <c r="D19" s="670">
        <v>500</v>
      </c>
      <c r="E19" s="525">
        <f>ROUND((B$18*D19),0)</f>
        <v>250000</v>
      </c>
      <c r="F19" s="670"/>
      <c r="G19" s="526">
        <f>+O$10+$B19*O$16+$E19*O$12</f>
        <v>23291.081530990476</v>
      </c>
      <c r="H19" s="526"/>
      <c r="I19" s="526">
        <f>+Q$10+$B19*Q$16+$E19*Q$12</f>
        <v>23674.36</v>
      </c>
      <c r="J19" s="670"/>
      <c r="K19" s="678">
        <f>ROUND((+I19-G19)/G19,3)</f>
        <v>1.6E-2</v>
      </c>
      <c r="L19" s="670"/>
      <c r="M19" s="670"/>
      <c r="N19" s="682" t="s">
        <v>20</v>
      </c>
      <c r="O19" s="683" t="s">
        <v>20</v>
      </c>
      <c r="P19" s="682" t="s">
        <v>20</v>
      </c>
      <c r="Q19" s="683" t="s">
        <v>20</v>
      </c>
      <c r="R19" s="418"/>
    </row>
    <row r="20" spans="1:19">
      <c r="A20" s="670"/>
      <c r="B20" s="670">
        <f>+B19</f>
        <v>500</v>
      </c>
      <c r="C20" s="670"/>
      <c r="D20" s="670">
        <v>700</v>
      </c>
      <c r="E20" s="525">
        <f>ROUND((B$18*D20),0)</f>
        <v>350000</v>
      </c>
      <c r="F20" s="670"/>
      <c r="G20" s="526">
        <f>+O$10+$B20*O$16+$E20*O$12</f>
        <v>30344.270143386664</v>
      </c>
      <c r="H20" s="526"/>
      <c r="I20" s="526">
        <f>+Q$10+$B20*Q$16+$E20*Q$12</f>
        <v>30922.859999999997</v>
      </c>
      <c r="J20" s="670"/>
      <c r="K20" s="678">
        <f>ROUND((+I20-G20)/G20,3)</f>
        <v>1.9E-2</v>
      </c>
      <c r="R20" s="418"/>
    </row>
    <row r="21" spans="1:19">
      <c r="A21" s="670"/>
      <c r="B21" s="670"/>
      <c r="C21" s="670"/>
      <c r="D21" s="670"/>
      <c r="E21" s="670"/>
      <c r="F21" s="670"/>
      <c r="G21" s="526"/>
      <c r="H21" s="526"/>
      <c r="I21" s="526"/>
      <c r="K21" s="592"/>
      <c r="L21" s="670"/>
      <c r="M21" s="670"/>
      <c r="N21" s="387" t="str">
        <f>+N10</f>
        <v>Basic Charge</v>
      </c>
      <c r="O21" s="418">
        <f>+'[1]Exhibit No.__(BDJ-Tariff)'!$D$74</f>
        <v>358.11</v>
      </c>
      <c r="P21" s="402"/>
      <c r="Q21" s="536">
        <f>+'[1]Exhibit No.__(BDJ-Tariff)'!$E$74</f>
        <v>358.11</v>
      </c>
      <c r="R21" s="418"/>
      <c r="S21" s="435">
        <f t="shared" ref="S21:S26" si="0">(Q21-O21)/O21</f>
        <v>0</v>
      </c>
    </row>
    <row r="22" spans="1:19">
      <c r="A22" s="670"/>
      <c r="B22" s="670">
        <f>+B20+100</f>
        <v>600</v>
      </c>
      <c r="C22" s="670"/>
      <c r="D22" s="670">
        <v>300</v>
      </c>
      <c r="E22" s="525">
        <f>ROUND((B$22*D22),0)</f>
        <v>180000</v>
      </c>
      <c r="F22" s="670"/>
      <c r="G22" s="526">
        <f>+O$10+$B22*O$16+$E22*O$12</f>
        <v>19413.84950231314</v>
      </c>
      <c r="H22" s="526"/>
      <c r="I22" s="526">
        <f>+Q$10+$B22*Q$16+$E22*Q$12</f>
        <v>19639.41</v>
      </c>
      <c r="J22" s="670"/>
      <c r="K22" s="678">
        <f>ROUND((+I22-G22)/G22,3)</f>
        <v>1.2E-2</v>
      </c>
      <c r="L22" s="670"/>
      <c r="M22" s="670"/>
      <c r="N22" s="387" t="str">
        <f>+N12</f>
        <v>kWh - All</v>
      </c>
      <c r="O22" s="402">
        <f>+'[1]Exhibit No.__(BDJ-Tariff)'!$D$76</f>
        <v>5.7328999999999998E-2</v>
      </c>
      <c r="P22" s="402"/>
      <c r="Q22" s="696">
        <f>+'[1]Exhibit No.__(BDJ-Tariff)'!$E$76</f>
        <v>5.5718999999999998E-2</v>
      </c>
      <c r="R22" s="418"/>
      <c r="S22" s="435">
        <f t="shared" si="0"/>
        <v>-2.8083517940309447E-2</v>
      </c>
    </row>
    <row r="23" spans="1:19">
      <c r="A23" s="670"/>
      <c r="B23" s="670">
        <f>+B22</f>
        <v>600</v>
      </c>
      <c r="C23" s="670"/>
      <c r="D23" s="670">
        <v>500</v>
      </c>
      <c r="E23" s="525">
        <f>ROUND((B$22*D23),0)</f>
        <v>300000</v>
      </c>
      <c r="F23" s="670"/>
      <c r="G23" s="526">
        <f>+O$10+$B23*O$16+$E23*O$12</f>
        <v>27877.67583718857</v>
      </c>
      <c r="H23" s="526"/>
      <c r="I23" s="526">
        <f>+Q$10+$B23*Q$16+$E23*Q$12</f>
        <v>28337.609999999997</v>
      </c>
      <c r="J23" s="670"/>
      <c r="K23" s="678">
        <f>ROUND((+I23-G23)/G23,3)</f>
        <v>1.6E-2</v>
      </c>
      <c r="L23" s="670"/>
      <c r="M23" s="670"/>
      <c r="N23" s="387" t="str">
        <f>+N14</f>
        <v>Winter kW</v>
      </c>
      <c r="O23" s="418">
        <f>+'[1]Exhibit No.__(BDJ-Tariff)'!$D$78</f>
        <v>11.94</v>
      </c>
      <c r="P23" s="402"/>
      <c r="Q23" s="536">
        <f>+'[1]Exhibit No.__(BDJ-Tariff)'!$E$78</f>
        <v>11.94</v>
      </c>
      <c r="R23" s="418"/>
      <c r="S23" s="435">
        <f t="shared" si="0"/>
        <v>0</v>
      </c>
    </row>
    <row r="24" spans="1:19">
      <c r="A24" s="670"/>
      <c r="B24" s="670">
        <f>+B23</f>
        <v>600</v>
      </c>
      <c r="C24" s="670"/>
      <c r="D24" s="670">
        <v>700</v>
      </c>
      <c r="E24" s="525">
        <f>ROUND((B$22*D24),0)</f>
        <v>420000</v>
      </c>
      <c r="F24" s="670"/>
      <c r="G24" s="526">
        <f>+O$10+$B24*O$16+$E24*O$12</f>
        <v>36341.502172063992</v>
      </c>
      <c r="H24" s="526"/>
      <c r="I24" s="526">
        <f>+Q$10+$B24*Q$16+$E24*Q$12</f>
        <v>37035.81</v>
      </c>
      <c r="J24" s="670"/>
      <c r="K24" s="678">
        <f>ROUND((+I24-G24)/G24,3)</f>
        <v>1.9E-2</v>
      </c>
      <c r="N24" s="387" t="str">
        <f t="shared" ref="N24:N25" si="1">+N15</f>
        <v>Summer kW</v>
      </c>
      <c r="O24" s="418">
        <f>+'[1]Exhibit No.__(BDJ-Tariff)'!$D$81</f>
        <v>7.96</v>
      </c>
      <c r="P24" s="402"/>
      <c r="Q24" s="536">
        <f>+'[1]Exhibit No.__(BDJ-Tariff)'!$E$81</f>
        <v>7.96</v>
      </c>
      <c r="R24" s="418"/>
      <c r="S24" s="435">
        <f t="shared" si="0"/>
        <v>0</v>
      </c>
    </row>
    <row r="25" spans="1:19">
      <c r="A25" s="670"/>
      <c r="B25" s="670"/>
      <c r="C25" s="670"/>
      <c r="D25" s="670"/>
      <c r="E25" s="670"/>
      <c r="F25" s="670"/>
      <c r="G25" s="526"/>
      <c r="H25" s="526"/>
      <c r="I25" s="526"/>
      <c r="K25" s="592"/>
      <c r="L25" s="670"/>
      <c r="M25" s="670"/>
      <c r="N25" s="387" t="str">
        <f t="shared" si="1"/>
        <v>Average kW</v>
      </c>
      <c r="O25" s="418">
        <f>+'[1]Exhibit No.__(BDJ-PV RD)'!$D$31</f>
        <v>9.99</v>
      </c>
      <c r="P25" s="402"/>
      <c r="Q25" s="536">
        <f>+'[1]Exhibit No.__(BDJ-PV RD)'!$G$31</f>
        <v>9.99</v>
      </c>
      <c r="R25" s="418"/>
      <c r="S25" s="435">
        <f t="shared" si="0"/>
        <v>0</v>
      </c>
    </row>
    <row r="26" spans="1:19">
      <c r="A26" s="670"/>
      <c r="B26" s="670">
        <f>+B24+100</f>
        <v>700</v>
      </c>
      <c r="C26" s="670"/>
      <c r="D26" s="670">
        <v>300</v>
      </c>
      <c r="E26" s="525">
        <f>ROUND((B$26*D26),0)</f>
        <v>210000</v>
      </c>
      <c r="F26" s="670"/>
      <c r="G26" s="526">
        <f>+O$10+$B26*O$16+$E26*O$12</f>
        <v>22589.806086031997</v>
      </c>
      <c r="H26" s="526"/>
      <c r="I26" s="526">
        <f>+Q$10+$B26*Q$16+$E26*Q$12</f>
        <v>22852.959999999999</v>
      </c>
      <c r="J26" s="670"/>
      <c r="K26" s="678">
        <f>ROUND((+I26-G26)/G26,3)</f>
        <v>1.2E-2</v>
      </c>
      <c r="L26" s="670"/>
      <c r="M26" s="670"/>
      <c r="N26" s="387" t="str">
        <f>+N18</f>
        <v>kVarh</v>
      </c>
      <c r="O26" s="697">
        <f>+'[1]Exhibit No.__(BDJ-Tariff)'!$D$85</f>
        <v>1.1199999999999999E-3</v>
      </c>
      <c r="P26" s="402"/>
      <c r="Q26" s="698">
        <f>+'[1]Exhibit No.__(BDJ-Tariff)'!$E$85</f>
        <v>1.1199999999999999E-3</v>
      </c>
      <c r="R26" s="418"/>
      <c r="S26" s="435">
        <f t="shared" si="0"/>
        <v>0</v>
      </c>
    </row>
    <row r="27" spans="1:19">
      <c r="A27" s="670"/>
      <c r="B27" s="670">
        <f>+B26</f>
        <v>700</v>
      </c>
      <c r="C27" s="670"/>
      <c r="D27" s="670">
        <v>500</v>
      </c>
      <c r="E27" s="525">
        <f>ROUND((B$26*D27),0)</f>
        <v>350000</v>
      </c>
      <c r="F27" s="670"/>
      <c r="G27" s="526">
        <f>+O$10+$B27*O$16+$E27*O$12</f>
        <v>32464.270143386664</v>
      </c>
      <c r="H27" s="526"/>
      <c r="I27" s="526">
        <f>+Q$10+$B27*Q$16+$E27*Q$12</f>
        <v>33000.859999999993</v>
      </c>
      <c r="J27" s="670"/>
      <c r="K27" s="678">
        <f>ROUND((+I27-G27)/G27,3)</f>
        <v>1.7000000000000001E-2</v>
      </c>
      <c r="L27" s="670"/>
      <c r="M27" s="670"/>
      <c r="O27" s="402"/>
      <c r="Q27" s="402"/>
    </row>
    <row r="28" spans="1:19">
      <c r="A28" s="670"/>
      <c r="B28" s="670">
        <f>+B27</f>
        <v>700</v>
      </c>
      <c r="C28" s="670"/>
      <c r="D28" s="670">
        <v>700</v>
      </c>
      <c r="E28" s="525">
        <f>ROUND((B$26*D28),0)</f>
        <v>490000</v>
      </c>
      <c r="F28" s="670"/>
      <c r="G28" s="526">
        <f>+O$10+$B28*O$16+$E28*O$12</f>
        <v>42338.734200741332</v>
      </c>
      <c r="H28" s="526"/>
      <c r="I28" s="526">
        <f>+Q$10+$B28*Q$16+$E28*Q$12</f>
        <v>43148.759999999995</v>
      </c>
      <c r="J28" s="670"/>
      <c r="K28" s="678">
        <f>ROUND((+I28-G28)/G28,3)</f>
        <v>1.9E-2</v>
      </c>
      <c r="N28" s="539" t="str">
        <f>+'Schedule 26 Impacts'!N28</f>
        <v>Schedule 95 - PCORC</v>
      </c>
      <c r="O28" s="537">
        <f>+'Sch 95 PCORC'!E21</f>
        <v>3.1635777349284674E-3</v>
      </c>
      <c r="Q28" s="540">
        <v>0</v>
      </c>
    </row>
    <row r="29" spans="1:19">
      <c r="A29" s="670"/>
      <c r="B29" s="670"/>
      <c r="C29" s="670"/>
      <c r="D29" s="670"/>
      <c r="E29" s="670"/>
      <c r="F29" s="670"/>
      <c r="G29" s="526"/>
      <c r="H29" s="526"/>
      <c r="I29" s="526"/>
      <c r="K29" s="592"/>
      <c r="L29" s="670"/>
      <c r="M29" s="670"/>
      <c r="N29" s="539" t="str">
        <f>+'Schedule 26 Impacts'!N29</f>
        <v>Schedule 95 - PCA</v>
      </c>
      <c r="O29" s="537">
        <f>+'Sch 95 Imbalance'!E21</f>
        <v>2.1293083890334291E-3</v>
      </c>
      <c r="Q29" s="540">
        <v>0</v>
      </c>
    </row>
    <row r="30" spans="1:19">
      <c r="A30" s="670"/>
      <c r="B30" s="670">
        <f>+B28+100</f>
        <v>800</v>
      </c>
      <c r="C30" s="670"/>
      <c r="D30" s="670">
        <v>300</v>
      </c>
      <c r="E30" s="525">
        <f>ROUND((B$30*D30),0)</f>
        <v>240000</v>
      </c>
      <c r="F30" s="670"/>
      <c r="G30" s="526">
        <f>+O$10+$B30*O$16+$E30*O$12</f>
        <v>25765.76266975086</v>
      </c>
      <c r="H30" s="526"/>
      <c r="I30" s="526">
        <f>+Q$10+$B30*Q$16+$E30*Q$12</f>
        <v>26066.51</v>
      </c>
      <c r="J30" s="670"/>
      <c r="K30" s="678">
        <f>ROUND((+I30-G30)/G30,3)</f>
        <v>1.2E-2</v>
      </c>
      <c r="L30" s="670"/>
      <c r="M30" s="670"/>
      <c r="N30" s="539" t="str">
        <f>+'Schedule 26 Impacts'!N30</f>
        <v>Schedule 95A - Fed Inc Credit</v>
      </c>
      <c r="O30" s="537">
        <f>+'Sch 95a'!E21</f>
        <v>-1.3439999999999999E-3</v>
      </c>
      <c r="Q30" s="537">
        <f t="shared" ref="Q30:Q34" si="2">+O30</f>
        <v>-1.3439999999999999E-3</v>
      </c>
    </row>
    <row r="31" spans="1:19">
      <c r="A31" s="670"/>
      <c r="B31" s="670">
        <f>+B30</f>
        <v>800</v>
      </c>
      <c r="C31" s="670"/>
      <c r="D31" s="670">
        <v>500</v>
      </c>
      <c r="E31" s="525">
        <f>ROUND((B$30*D31),0)</f>
        <v>400000</v>
      </c>
      <c r="F31" s="670"/>
      <c r="G31" s="526">
        <f>+O$10+$B31*O$16+$E31*O$12</f>
        <v>37050.864449584762</v>
      </c>
      <c r="H31" s="526"/>
      <c r="I31" s="526">
        <f>+Q$10+$B31*Q$16+$E31*Q$12</f>
        <v>37664.11</v>
      </c>
      <c r="J31" s="670"/>
      <c r="K31" s="678">
        <f>ROUND((+I31-G31)/G31,3)</f>
        <v>1.7000000000000001E-2</v>
      </c>
      <c r="L31" s="670"/>
      <c r="M31" s="670"/>
      <c r="N31" s="539" t="str">
        <f>+'Schedule 26 Impacts'!N31</f>
        <v>Schedule 120 - Conservation</v>
      </c>
      <c r="O31" s="537">
        <f>+'Sch 120'!E21</f>
        <v>3.8219999999999999E-3</v>
      </c>
      <c r="Q31" s="537">
        <f t="shared" si="2"/>
        <v>3.8219999999999999E-3</v>
      </c>
    </row>
    <row r="32" spans="1:19">
      <c r="A32" s="670"/>
      <c r="B32" s="670">
        <f>+B31</f>
        <v>800</v>
      </c>
      <c r="C32" s="670"/>
      <c r="D32" s="670">
        <v>700</v>
      </c>
      <c r="E32" s="525">
        <f>ROUND((B$30*D32),0)</f>
        <v>560000</v>
      </c>
      <c r="F32" s="670"/>
      <c r="G32" s="526">
        <f>+O$10+$B32*O$16+$E32*O$12</f>
        <v>48335.966229418664</v>
      </c>
      <c r="H32" s="526"/>
      <c r="I32" s="526">
        <f>+Q$10+$B32*Q$16+$E32*Q$12</f>
        <v>49261.71</v>
      </c>
      <c r="J32" s="670"/>
      <c r="K32" s="678">
        <f>ROUND((+I32-G32)/G32,3)</f>
        <v>1.9E-2</v>
      </c>
      <c r="N32" s="539" t="str">
        <f>+'Schedule 26 Impacts'!N32</f>
        <v>Schedule 129 - Low Income</v>
      </c>
      <c r="O32" s="537">
        <f>+'Sch 129'!E21</f>
        <v>1.1069999999999999E-3</v>
      </c>
      <c r="Q32" s="537">
        <f t="shared" si="2"/>
        <v>1.1069999999999999E-3</v>
      </c>
    </row>
    <row r="33" spans="1:17">
      <c r="A33" s="670"/>
      <c r="B33" s="670"/>
      <c r="C33" s="670"/>
      <c r="D33" s="670"/>
      <c r="E33" s="670"/>
      <c r="F33" s="670"/>
      <c r="G33" s="526"/>
      <c r="H33" s="526"/>
      <c r="I33" s="526"/>
      <c r="K33" s="592"/>
      <c r="L33" s="670"/>
      <c r="M33" s="670"/>
      <c r="N33" s="539" t="str">
        <f>+'Schedule 26 Impacts'!N33</f>
        <v>Schedule 137 - REC</v>
      </c>
      <c r="O33" s="537">
        <f>+'Sch 137'!E21</f>
        <v>-2.0000000000000002E-5</v>
      </c>
      <c r="Q33" s="537">
        <f t="shared" si="2"/>
        <v>-2.0000000000000002E-5</v>
      </c>
    </row>
    <row r="34" spans="1:17">
      <c r="A34" s="670"/>
      <c r="B34" s="670">
        <f>+B32+200</f>
        <v>1000</v>
      </c>
      <c r="C34" s="670"/>
      <c r="D34" s="670">
        <v>300</v>
      </c>
      <c r="E34" s="525">
        <f>ROUND((B$34*D34),0)</f>
        <v>300000</v>
      </c>
      <c r="F34" s="670"/>
      <c r="G34" s="526">
        <f>+O$10+$B34*O$16+$E34*O$12</f>
        <v>32117.675837188573</v>
      </c>
      <c r="H34" s="526"/>
      <c r="I34" s="526">
        <f>+Q$10+$B34*Q$16+$E34*Q$12</f>
        <v>32493.609999999997</v>
      </c>
      <c r="J34" s="670"/>
      <c r="K34" s="678">
        <f>ROUND((+I34-G34)/G34,3)</f>
        <v>1.2E-2</v>
      </c>
      <c r="L34" s="670"/>
      <c r="M34" s="670"/>
      <c r="N34" s="539" t="str">
        <f>+'Schedule 26 Impacts'!N34</f>
        <v>Schedule 140 - Property Tax</v>
      </c>
      <c r="O34" s="537">
        <f>+'Sch 140'!E21</f>
        <v>2.222E-3</v>
      </c>
      <c r="Q34" s="537">
        <f t="shared" si="2"/>
        <v>2.222E-3</v>
      </c>
    </row>
    <row r="35" spans="1:17">
      <c r="A35" s="670"/>
      <c r="B35" s="670">
        <f>+B34</f>
        <v>1000</v>
      </c>
      <c r="C35" s="670"/>
      <c r="D35" s="670">
        <v>500</v>
      </c>
      <c r="E35" s="525">
        <f>ROUND((B$34*D35),0)</f>
        <v>500000</v>
      </c>
      <c r="F35" s="670"/>
      <c r="G35" s="526">
        <f>+O$10+$B35*O$16+$E35*O$12</f>
        <v>46224.053061980951</v>
      </c>
      <c r="H35" s="526"/>
      <c r="I35" s="526">
        <f>+Q$10+$B35*Q$16+$E35*Q$12</f>
        <v>46990.61</v>
      </c>
      <c r="J35" s="670"/>
      <c r="K35" s="678">
        <f>ROUND((+I35-G35)/G35,3)</f>
        <v>1.7000000000000001E-2</v>
      </c>
      <c r="L35" s="670"/>
      <c r="M35" s="670"/>
      <c r="N35" s="539" t="str">
        <f>+'Schedule 26 Impacts'!N35</f>
        <v>Schedule 141A -  Sch 139 Energy Charge Credit Recovery</v>
      </c>
      <c r="O35" s="537">
        <v>0</v>
      </c>
      <c r="Q35" s="540">
        <f>+'Sch 141A'!F21</f>
        <v>1.6620000000000001E-3</v>
      </c>
    </row>
    <row r="36" spans="1:17">
      <c r="A36" s="670"/>
      <c r="B36" s="670">
        <f>+B35</f>
        <v>1000</v>
      </c>
      <c r="C36" s="670"/>
      <c r="D36" s="670">
        <v>700</v>
      </c>
      <c r="E36" s="525">
        <f>ROUND((B$34*D36),0)</f>
        <v>700000</v>
      </c>
      <c r="F36" s="670"/>
      <c r="G36" s="526">
        <f>+O$10+$B36*O$16+$E36*O$12</f>
        <v>60330.430286773328</v>
      </c>
      <c r="H36" s="526"/>
      <c r="I36" s="526">
        <f>+Q$10+$B36*Q$16+$E36*Q$12</f>
        <v>61487.609999999993</v>
      </c>
      <c r="J36" s="670"/>
      <c r="K36" s="678">
        <f>ROUND((+I36-G36)/G36,3)</f>
        <v>1.9E-2</v>
      </c>
      <c r="N36" s="539" t="str">
        <f>+'Schedule 26 Impacts'!N36</f>
        <v>Schedule 141COL - Colstrip</v>
      </c>
      <c r="O36" s="537">
        <v>0</v>
      </c>
      <c r="Q36" s="540">
        <f>+'Sch 141C'!F21</f>
        <v>4.1199999999999999E-4</v>
      </c>
    </row>
    <row r="37" spans="1:17">
      <c r="A37" s="670"/>
      <c r="B37" s="693"/>
      <c r="C37" s="693"/>
      <c r="D37" s="693"/>
      <c r="E37" s="693"/>
      <c r="F37" s="693"/>
      <c r="G37" s="693"/>
      <c r="H37" s="693"/>
      <c r="I37" s="693"/>
      <c r="J37" s="541"/>
      <c r="K37" s="541"/>
      <c r="L37" s="670"/>
      <c r="M37" s="670"/>
      <c r="N37" s="539" t="str">
        <f>+'Schedule 26 Impacts'!N37</f>
        <v>Schedule 141N - Non Refundable MYRP</v>
      </c>
      <c r="O37" s="537">
        <v>0</v>
      </c>
      <c r="Q37" s="540">
        <f>+'Sch 141N'!G21</f>
        <v>6.0460000000000002E-3</v>
      </c>
    </row>
    <row r="38" spans="1:17">
      <c r="A38" s="670"/>
      <c r="N38" s="539" t="str">
        <f>+'Schedule 26 Impacts'!N38</f>
        <v>Schedule 141R - Refundable MYRP</v>
      </c>
      <c r="O38" s="537">
        <v>0</v>
      </c>
      <c r="Q38" s="540">
        <f>+'Sch 141R'!G21</f>
        <v>1.1299999999999999E-3</v>
      </c>
    </row>
    <row r="39" spans="1:17">
      <c r="B39" s="387" t="s">
        <v>177</v>
      </c>
      <c r="N39" s="539" t="str">
        <f>+'Schedule 26 Impacts'!N39</f>
        <v xml:space="preserve">Schedule 141X- Tax Passback </v>
      </c>
      <c r="O39" s="537">
        <f>+'Sch 141X'!E21</f>
        <v>6.38E-4</v>
      </c>
      <c r="Q39" s="540">
        <v>0</v>
      </c>
    </row>
    <row r="40" spans="1:17">
      <c r="B40" s="777" t="s">
        <v>894</v>
      </c>
      <c r="C40" s="777"/>
      <c r="D40" s="777"/>
      <c r="E40" s="777"/>
      <c r="F40" s="777"/>
      <c r="G40" s="777"/>
      <c r="H40" s="777"/>
      <c r="I40" s="777"/>
      <c r="J40" s="777"/>
      <c r="K40" s="777"/>
      <c r="N40" s="539" t="str">
        <f>+'Schedule 26 Impacts'!N40</f>
        <v>Schedule 141Z - Tax</v>
      </c>
      <c r="O40" s="537">
        <f>+'Sch 141Z'!E21</f>
        <v>-5.9000000000000003E-4</v>
      </c>
      <c r="Q40" s="540">
        <v>0</v>
      </c>
    </row>
    <row r="41" spans="1:17" ht="11.4">
      <c r="A41" s="670"/>
      <c r="B41" s="777" t="s">
        <v>860</v>
      </c>
      <c r="C41" s="777"/>
      <c r="D41" s="777"/>
      <c r="E41" s="777"/>
      <c r="F41" s="777"/>
      <c r="G41" s="777"/>
      <c r="H41" s="777"/>
      <c r="I41" s="777"/>
      <c r="J41" s="777"/>
      <c r="K41" s="777"/>
      <c r="N41" s="539" t="str">
        <f>+'Schedule 26 Impacts'!N41</f>
        <v>Schedule 142 - Decoupling ($-kWh)</v>
      </c>
      <c r="O41" s="537">
        <f>+'Sch 142'!F21</f>
        <v>1.7290000000000003E-3</v>
      </c>
      <c r="P41" s="402"/>
      <c r="Q41" s="540">
        <f>+O41</f>
        <v>1.7290000000000003E-3</v>
      </c>
    </row>
    <row r="42" spans="1:17" ht="11.4">
      <c r="A42" s="670"/>
      <c r="B42" s="777" t="s">
        <v>861</v>
      </c>
      <c r="C42" s="777"/>
      <c r="D42" s="777"/>
      <c r="E42" s="777"/>
      <c r="F42" s="777"/>
      <c r="G42" s="777"/>
      <c r="H42" s="777"/>
      <c r="I42" s="777"/>
      <c r="J42" s="777"/>
      <c r="K42" s="777"/>
      <c r="N42" s="539" t="str">
        <f>+'Schedule 26 Impacts'!N42</f>
        <v>Schedule 142 - Decoupling ($-kW)</v>
      </c>
      <c r="O42" s="589">
        <f>+'Sch 142'!G21</f>
        <v>0.4</v>
      </c>
      <c r="P42" s="418"/>
      <c r="Q42" s="694">
        <f>+O42</f>
        <v>0.4</v>
      </c>
    </row>
    <row r="43" spans="1:17" ht="11.4">
      <c r="A43" s="670"/>
      <c r="B43" s="777" t="s">
        <v>862</v>
      </c>
      <c r="C43" s="777"/>
      <c r="D43" s="777"/>
      <c r="E43" s="777"/>
      <c r="F43" s="777"/>
      <c r="G43" s="777"/>
      <c r="H43" s="777"/>
      <c r="I43" s="777"/>
      <c r="J43" s="777"/>
      <c r="K43" s="777"/>
      <c r="N43" s="539" t="str">
        <f>+'Schedule 26 Impacts'!N43</f>
        <v>Schedule 142 - Decoupling Supplemental ($-kWh)</v>
      </c>
      <c r="O43" s="537">
        <f>+'Sch 142'!I21</f>
        <v>3.4600000000000001E-4</v>
      </c>
      <c r="Q43" s="540">
        <v>0</v>
      </c>
    </row>
    <row r="44" spans="1:17">
      <c r="A44" s="670"/>
      <c r="N44" s="539" t="str">
        <f>+'Schedule 26 Impacts'!N44</f>
        <v>Schedule 142 - Decoupling Supplemental ($-kW)</v>
      </c>
      <c r="O44" s="589">
        <f>+'Sch 142'!J21</f>
        <v>0.21</v>
      </c>
      <c r="Q44" s="694">
        <v>0</v>
      </c>
    </row>
    <row r="45" spans="1:17">
      <c r="A45" s="670"/>
    </row>
    <row r="46" spans="1:17">
      <c r="A46" s="670"/>
    </row>
    <row r="47" spans="1:17">
      <c r="A47" s="670"/>
      <c r="N47" s="383" t="s">
        <v>284</v>
      </c>
      <c r="O47" s="667">
        <f>+'Rate Impacts_RY#1'!H14</f>
        <v>-1.6924587774087323E-2</v>
      </c>
    </row>
    <row r="48" spans="1:17">
      <c r="A48" s="670"/>
      <c r="N48" s="542" t="s">
        <v>285</v>
      </c>
      <c r="O48" s="667">
        <f>+'Rate Impacts_RY#1'!AP14</f>
        <v>4.9762035313395042E-2</v>
      </c>
    </row>
    <row r="49" spans="1:2">
      <c r="A49" s="670"/>
    </row>
    <row r="50" spans="1:2">
      <c r="B50" s="397"/>
    </row>
  </sheetData>
  <mergeCells count="7">
    <mergeCell ref="B42:K42"/>
    <mergeCell ref="B43:K43"/>
    <mergeCell ref="G6:I6"/>
    <mergeCell ref="N8:O8"/>
    <mergeCell ref="P8:Q8"/>
    <mergeCell ref="B40:K40"/>
    <mergeCell ref="B41:K41"/>
  </mergeCells>
  <printOptions horizontalCentered="1"/>
  <pageMargins left="0.7" right="0.7" top="0.75" bottom="0.71" header="0.3" footer="0.3"/>
  <pageSetup scale="65" orientation="landscape" r:id="rId1"/>
  <headerFooter alignWithMargins="0">
    <oddFooter>&amp;L&amp;"Times New Roman,Regular"&amp;A&amp;R&amp;"Times New Roman,Regular"Exhibit No.__(BDJ-8)
Page &amp;P of &amp;N</oddFooter>
  </headerFooter>
  <customProperties>
    <customPr name="_pios_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R55"/>
  <sheetViews>
    <sheetView zoomScaleNormal="100" workbookViewId="0">
      <pane xSplit="2" ySplit="11" topLeftCell="C12" activePane="bottomRight" state="frozen"/>
      <selection activeCell="F7" sqref="F7:F62"/>
      <selection pane="topRight" activeCell="F7" sqref="F7:F62"/>
      <selection pane="bottomLeft" activeCell="F7" sqref="F7:F62"/>
      <selection pane="bottomRight" activeCell="B39" sqref="B39:K39"/>
    </sheetView>
  </sheetViews>
  <sheetFormatPr defaultColWidth="9.44140625" defaultRowHeight="10.199999999999999"/>
  <cols>
    <col min="1" max="1" width="2.33203125" style="387" customWidth="1"/>
    <col min="2" max="2" width="11.6640625" style="387" customWidth="1"/>
    <col min="3" max="3" width="12.5546875" style="387" bestFit="1" customWidth="1"/>
    <col min="4" max="4" width="1.109375" style="387" customWidth="1"/>
    <col min="5" max="5" width="10.88671875" style="387" bestFit="1" customWidth="1"/>
    <col min="6" max="6" width="1.109375" style="387" customWidth="1"/>
    <col min="7" max="7" width="15.6640625" style="387" bestFit="1" customWidth="1"/>
    <col min="8" max="8" width="1.109375" style="387" customWidth="1"/>
    <col min="9" max="9" width="15.6640625" style="387" bestFit="1" customWidth="1"/>
    <col min="10" max="10" width="1.109375" style="387" customWidth="1"/>
    <col min="11" max="11" width="9.5546875" style="387" bestFit="1" customWidth="1"/>
    <col min="12" max="12" width="1.109375" style="453" customWidth="1"/>
    <col min="13" max="13" width="51" style="387" customWidth="1"/>
    <col min="14" max="14" width="15.44140625" style="387" bestFit="1" customWidth="1"/>
    <col min="15" max="15" width="1.88671875" style="387" customWidth="1"/>
    <col min="16" max="16" width="18.33203125" style="387" bestFit="1" customWidth="1"/>
    <col min="17" max="17" width="1.88671875" style="387" customWidth="1"/>
    <col min="18" max="18" width="7.88671875" style="387" bestFit="1" customWidth="1"/>
    <col min="19" max="16384" width="9.44140625" style="387"/>
  </cols>
  <sheetData>
    <row r="1" spans="1:18">
      <c r="B1" s="507" t="s">
        <v>0</v>
      </c>
      <c r="C1" s="507"/>
      <c r="D1" s="507"/>
      <c r="E1" s="507"/>
      <c r="F1" s="507"/>
      <c r="G1" s="507"/>
      <c r="H1" s="507"/>
      <c r="I1" s="507"/>
      <c r="J1" s="507"/>
      <c r="K1" s="507"/>
    </row>
    <row r="2" spans="1:18">
      <c r="B2" s="507" t="s">
        <v>193</v>
      </c>
      <c r="C2" s="507"/>
      <c r="D2" s="507"/>
      <c r="E2" s="507"/>
      <c r="F2" s="507"/>
      <c r="G2" s="507"/>
      <c r="H2" s="507"/>
      <c r="I2" s="507"/>
      <c r="J2" s="507"/>
      <c r="K2" s="507"/>
    </row>
    <row r="3" spans="1:18">
      <c r="B3" s="507" t="s">
        <v>244</v>
      </c>
      <c r="C3" s="507"/>
      <c r="D3" s="507"/>
      <c r="E3" s="507"/>
      <c r="F3" s="507"/>
      <c r="G3" s="507"/>
      <c r="H3" s="507"/>
      <c r="I3" s="507"/>
      <c r="J3" s="507"/>
      <c r="K3" s="507"/>
    </row>
    <row r="4" spans="1:18">
      <c r="B4" s="507"/>
      <c r="C4" s="507"/>
      <c r="D4" s="507"/>
      <c r="E4" s="507"/>
      <c r="F4" s="507"/>
      <c r="G4" s="507"/>
      <c r="H4" s="507"/>
      <c r="I4" s="507"/>
      <c r="J4" s="507"/>
      <c r="K4" s="507"/>
    </row>
    <row r="5" spans="1:18">
      <c r="B5" s="507"/>
      <c r="C5" s="507"/>
      <c r="D5" s="507"/>
      <c r="E5" s="507"/>
      <c r="F5" s="507"/>
      <c r="G5" s="507"/>
      <c r="H5" s="507"/>
      <c r="I5" s="507"/>
      <c r="J5" s="507"/>
      <c r="K5" s="507"/>
    </row>
    <row r="6" spans="1:18">
      <c r="A6" s="508"/>
      <c r="B6" s="508"/>
      <c r="C6" s="508"/>
      <c r="D6" s="508"/>
      <c r="E6" s="508"/>
      <c r="F6" s="508"/>
      <c r="G6" s="508"/>
      <c r="H6" s="508"/>
      <c r="I6" s="508"/>
      <c r="J6" s="508"/>
    </row>
    <row r="7" spans="1:18">
      <c r="A7" s="508"/>
      <c r="B7" s="508"/>
      <c r="C7" s="508"/>
      <c r="D7" s="508"/>
      <c r="E7" s="508"/>
      <c r="F7" s="508"/>
      <c r="G7" s="508"/>
      <c r="H7" s="508"/>
      <c r="I7" s="508"/>
      <c r="J7" s="508"/>
    </row>
    <row r="9" spans="1:18" ht="11.4">
      <c r="B9" s="509" t="s">
        <v>243</v>
      </c>
      <c r="G9" s="782" t="s">
        <v>833</v>
      </c>
      <c r="H9" s="783"/>
      <c r="I9" s="783"/>
    </row>
    <row r="10" spans="1:18" ht="10.8" thickBot="1">
      <c r="B10" s="512" t="s">
        <v>221</v>
      </c>
      <c r="C10" s="389" t="s">
        <v>242</v>
      </c>
      <c r="G10" s="508" t="s">
        <v>24</v>
      </c>
      <c r="I10" s="508" t="s">
        <v>241</v>
      </c>
      <c r="K10" s="508" t="s">
        <v>204</v>
      </c>
    </row>
    <row r="11" spans="1:18" ht="11.4">
      <c r="B11" s="513" t="s">
        <v>218</v>
      </c>
      <c r="C11" s="514" t="s">
        <v>217</v>
      </c>
      <c r="D11" s="515"/>
      <c r="E11" s="459" t="s">
        <v>191</v>
      </c>
      <c r="F11" s="515"/>
      <c r="G11" s="516" t="s">
        <v>869</v>
      </c>
      <c r="H11" s="516"/>
      <c r="I11" s="516" t="s">
        <v>870</v>
      </c>
      <c r="K11" s="517" t="s">
        <v>27</v>
      </c>
      <c r="M11" s="518"/>
      <c r="N11" s="519" t="s">
        <v>201</v>
      </c>
      <c r="O11" s="520"/>
      <c r="P11" s="521" t="s">
        <v>200</v>
      </c>
    </row>
    <row r="12" spans="1:18">
      <c r="G12" s="514"/>
      <c r="H12" s="515"/>
      <c r="I12" s="514"/>
      <c r="M12" s="522"/>
      <c r="N12" s="523"/>
      <c r="O12" s="523"/>
      <c r="P12" s="524"/>
    </row>
    <row r="13" spans="1:18">
      <c r="B13" s="525">
        <v>1000</v>
      </c>
      <c r="C13" s="387">
        <v>300</v>
      </c>
      <c r="E13" s="525">
        <f>ROUND((B$13*C13),0)</f>
        <v>300000</v>
      </c>
      <c r="F13" s="525"/>
      <c r="G13" s="526">
        <f>ROUND(IF($B$13&gt;4400,$B$13*N$13,4400*$N$13)+$E13*N$14,0)</f>
        <v>31837</v>
      </c>
      <c r="H13" s="526"/>
      <c r="I13" s="526">
        <f>ROUND(IF($B$13&gt;4400,$B$13*P$13,4400*$N$13)+$E13*P$14,0)</f>
        <v>31930</v>
      </c>
      <c r="K13" s="592">
        <f>(I13-G13)/G13</f>
        <v>2.9211295034079843E-3</v>
      </c>
      <c r="M13" s="527" t="s">
        <v>240</v>
      </c>
      <c r="N13" s="528">
        <f>SUM(N17)</f>
        <v>3.04</v>
      </c>
      <c r="O13" s="529"/>
      <c r="P13" s="530">
        <f>SUM(P17)</f>
        <v>3.04</v>
      </c>
      <c r="R13" s="435">
        <f>(P13-N13)/N13</f>
        <v>0</v>
      </c>
    </row>
    <row r="14" spans="1:18">
      <c r="C14" s="387">
        <v>500</v>
      </c>
      <c r="E14" s="525">
        <f>ROUND((B$13*C14),0)</f>
        <v>500000</v>
      </c>
      <c r="F14" s="525"/>
      <c r="G14" s="526">
        <f>ROUND(IF($B$13&gt;4400,$B$13*N$13,4400*$N$13)+$E14*N$14,0)</f>
        <v>44145</v>
      </c>
      <c r="H14" s="526"/>
      <c r="I14" s="526">
        <f>ROUND(IF($B$13&gt;4400,$B$13*P$13,4400*$N$13)+$E14*P$14,0)</f>
        <v>44299</v>
      </c>
      <c r="K14" s="592">
        <f>(I14-G14)/G14</f>
        <v>3.4885037943141917E-3</v>
      </c>
      <c r="M14" s="527" t="s">
        <v>239</v>
      </c>
      <c r="N14" s="531">
        <f>SUM(N18,N20:N34)</f>
        <v>6.1538229338682776E-2</v>
      </c>
      <c r="O14" s="529"/>
      <c r="P14" s="663">
        <f>SUM(P18,P20:P34)</f>
        <v>6.1846000000000005E-2</v>
      </c>
      <c r="Q14" s="662"/>
      <c r="R14" s="435">
        <f>(P14-N14)/N14</f>
        <v>5.0012921175124738E-3</v>
      </c>
    </row>
    <row r="15" spans="1:18" ht="10.8" thickBot="1">
      <c r="C15" s="387">
        <v>700</v>
      </c>
      <c r="E15" s="525">
        <f>ROUND((B$13*C15),0)</f>
        <v>700000</v>
      </c>
      <c r="F15" s="525"/>
      <c r="G15" s="526">
        <f>ROUND(IF($B$13&gt;4400,$B$13*N$13,4400*$N$13)+$E15*N$14,0)</f>
        <v>56453</v>
      </c>
      <c r="H15" s="526"/>
      <c r="I15" s="526">
        <f>ROUND(IF($B$13&gt;4400,$B$13*P$13,4400*$N$13)+$E15*P$14,0)</f>
        <v>56668</v>
      </c>
      <c r="K15" s="592">
        <f>(I15-G15)/G15</f>
        <v>3.80847784883E-3</v>
      </c>
      <c r="M15" s="532" t="s">
        <v>20</v>
      </c>
      <c r="N15" s="533" t="s">
        <v>20</v>
      </c>
      <c r="O15" s="534"/>
      <c r="P15" s="535" t="s">
        <v>20</v>
      </c>
    </row>
    <row r="16" spans="1:18">
      <c r="G16" s="526"/>
      <c r="H16" s="526"/>
      <c r="I16" s="526"/>
      <c r="K16" s="592"/>
    </row>
    <row r="17" spans="2:18">
      <c r="B17" s="525">
        <v>2000</v>
      </c>
      <c r="C17" s="387">
        <v>300</v>
      </c>
      <c r="E17" s="525">
        <f>ROUND((B$17*C17),0)</f>
        <v>600000</v>
      </c>
      <c r="F17" s="525"/>
      <c r="G17" s="526">
        <f>ROUND(IF($B$17&gt;4400,$B$17*N$13,4400*$N$13)+$E17*N$14,0)</f>
        <v>50299</v>
      </c>
      <c r="H17" s="526"/>
      <c r="I17" s="526">
        <f>ROUND(IF($B$17&gt;4400,$B$17*P$13,4400*$N$13)+$E17*P$14,0)</f>
        <v>50484</v>
      </c>
      <c r="K17" s="592">
        <f>(I17-G17)/G17</f>
        <v>3.6780055269488459E-3</v>
      </c>
      <c r="M17" s="387" t="str">
        <f>+M13</f>
        <v>Demand ($ per kVa)</v>
      </c>
      <c r="N17" s="418">
        <f>+'[1]Exhibit No.__(BDJ-Tariff)'!$D$127</f>
        <v>3.04</v>
      </c>
      <c r="P17" s="536">
        <f>+'[1]Exhibit No.__(BDJ-Tariff)'!$E$127</f>
        <v>3.04</v>
      </c>
      <c r="R17" s="435">
        <f t="shared" ref="R17:R18" si="0">(P17-N17)/N17</f>
        <v>0</v>
      </c>
    </row>
    <row r="18" spans="2:18">
      <c r="C18" s="387">
        <v>500</v>
      </c>
      <c r="E18" s="525">
        <f>ROUND((B$17*C18),0)</f>
        <v>1000000</v>
      </c>
      <c r="F18" s="525"/>
      <c r="G18" s="526">
        <f>ROUND(IF($B$17&gt;4400,$B$17*N$13,4400*$N$13)+$E18*N$14,0)</f>
        <v>74914</v>
      </c>
      <c r="H18" s="526"/>
      <c r="I18" s="526">
        <f>ROUND(IF($B$17&gt;4400,$B$17*P$13,4400*$N$13)+$E18*P$14,0)</f>
        <v>75222</v>
      </c>
      <c r="K18" s="592">
        <f>(I18-G18)/G18</f>
        <v>4.1113810502709774E-3</v>
      </c>
      <c r="M18" s="387" t="str">
        <f>+M14</f>
        <v>Energy ($ per kWh)</v>
      </c>
      <c r="N18" s="537">
        <f>+'[1]Exhibit No.__(BDJ-Tariff)'!$D$125</f>
        <v>5.2347999999999999E-2</v>
      </c>
      <c r="O18" s="537"/>
      <c r="P18" s="538">
        <f>+'[1]Exhibit No.__(BDJ-Tariff)'!$E$125</f>
        <v>5.0422000000000002E-2</v>
      </c>
      <c r="R18" s="435">
        <f t="shared" si="0"/>
        <v>-3.6792236570642567E-2</v>
      </c>
    </row>
    <row r="19" spans="2:18">
      <c r="C19" s="387">
        <v>700</v>
      </c>
      <c r="E19" s="525">
        <f>ROUND((B$17*C19),0)</f>
        <v>1400000</v>
      </c>
      <c r="F19" s="525"/>
      <c r="G19" s="526">
        <f>ROUND(IF($B$17&gt;4400,$B$17*N$13,4400*$N$13)+$E19*N$14,0)</f>
        <v>99530</v>
      </c>
      <c r="H19" s="526"/>
      <c r="I19" s="526">
        <f>ROUND(IF($B$17&gt;4400,$B$17*P$13,4400*$N$13)+$E19*P$14,0)</f>
        <v>99960</v>
      </c>
      <c r="K19" s="592">
        <f>(I19-G19)/G19</f>
        <v>4.3203054355470715E-3</v>
      </c>
    </row>
    <row r="20" spans="2:18">
      <c r="G20" s="526"/>
      <c r="H20" s="526"/>
      <c r="I20" s="526"/>
      <c r="K20" s="592"/>
      <c r="M20" s="539" t="str">
        <f>+'Res Bill RY#1'!P23</f>
        <v>Schedule 95 - PCORC</v>
      </c>
      <c r="N20" s="537">
        <f>+'Sch 95 PCORC'!E26</f>
        <v>2.2336941320597399E-3</v>
      </c>
      <c r="P20" s="540">
        <v>0</v>
      </c>
    </row>
    <row r="21" spans="2:18">
      <c r="B21" s="525">
        <v>4000</v>
      </c>
      <c r="C21" s="387">
        <v>300</v>
      </c>
      <c r="E21" s="525">
        <f>ROUND((B$21*C21),0)</f>
        <v>1200000</v>
      </c>
      <c r="F21" s="525"/>
      <c r="G21" s="526">
        <f>ROUND(IF($B$21&gt;4400,$B$21*N$13,4400*$N$13)+$E21*N$14,0)</f>
        <v>87222</v>
      </c>
      <c r="H21" s="526"/>
      <c r="I21" s="526">
        <f>ROUND(IF($B$21&gt;4400,$B$21*P$13,4400*$N$13)+$E21*P$14,0)</f>
        <v>87591</v>
      </c>
      <c r="K21" s="592">
        <f>(I21-G21)/G21</f>
        <v>4.2305840269656735E-3</v>
      </c>
      <c r="M21" s="539" t="str">
        <f>+'Res Bill RY#1'!P24</f>
        <v>Schedule 95 - PCA</v>
      </c>
      <c r="N21" s="537">
        <f>+'Sch 95 Imbalance'!E26</f>
        <v>1.8175352066230359E-3</v>
      </c>
      <c r="P21" s="540">
        <v>0</v>
      </c>
    </row>
    <row r="22" spans="2:18">
      <c r="C22" s="387">
        <v>500</v>
      </c>
      <c r="E22" s="525">
        <f>ROUND((B$21*C22),0)</f>
        <v>2000000</v>
      </c>
      <c r="F22" s="525"/>
      <c r="G22" s="526">
        <f>ROUND(IF($B$21&gt;4400,$B$21*N$13,4400*$N$13)+$E22*N$14,0)</f>
        <v>136452</v>
      </c>
      <c r="H22" s="526"/>
      <c r="I22" s="526">
        <f>ROUND(IF($B$21&gt;4400,$B$21*P$13,4400*$N$13)+$E22*P$14,0)</f>
        <v>137068</v>
      </c>
      <c r="K22" s="592">
        <f>(I22-G22)/G22</f>
        <v>4.5144079969513086E-3</v>
      </c>
      <c r="M22" s="539" t="str">
        <f>+'Res Bill RY#1'!P25</f>
        <v>Schedule 95A - Fed Inc Credit</v>
      </c>
      <c r="N22" s="537">
        <f>+'Sch 95a'!E26</f>
        <v>-9.6900000000000003E-4</v>
      </c>
      <c r="P22" s="537">
        <f t="shared" ref="P22:P26" si="1">+N22</f>
        <v>-9.6900000000000003E-4</v>
      </c>
    </row>
    <row r="23" spans="2:18">
      <c r="C23" s="387">
        <v>700</v>
      </c>
      <c r="E23" s="525">
        <f>ROUND((B$21*C23),0)</f>
        <v>2800000</v>
      </c>
      <c r="F23" s="525"/>
      <c r="G23" s="526">
        <f>ROUND(IF($B$21&gt;4400,$B$21*N$13,4400*$N$13)+$E23*N$14,0)</f>
        <v>185683</v>
      </c>
      <c r="H23" s="526"/>
      <c r="I23" s="526">
        <f>ROUND(IF($B$21&gt;4400,$B$21*P$13,4400*$N$13)+$E23*P$14,0)</f>
        <v>186545</v>
      </c>
      <c r="K23" s="592">
        <f>(I23-G23)/G23</f>
        <v>4.6423205139942804E-3</v>
      </c>
      <c r="M23" s="539" t="str">
        <f>+'Res Bill RY#1'!P26</f>
        <v>Schedule 120 - Conservation</v>
      </c>
      <c r="N23" s="537">
        <f>+'Sch 120'!E26</f>
        <v>3.5590000000000001E-3</v>
      </c>
      <c r="P23" s="537">
        <f t="shared" si="1"/>
        <v>3.5590000000000001E-3</v>
      </c>
    </row>
    <row r="24" spans="2:18">
      <c r="G24" s="526"/>
      <c r="H24" s="526"/>
      <c r="I24" s="526"/>
      <c r="K24" s="592"/>
      <c r="M24" s="539" t="str">
        <f>+'Res Bill RY#1'!P27</f>
        <v>Schedule 129 - Low Income</v>
      </c>
      <c r="N24" s="537">
        <f>+'Sch 129'!E26</f>
        <v>8.6200000000000003E-4</v>
      </c>
      <c r="P24" s="537">
        <f t="shared" si="1"/>
        <v>8.6200000000000003E-4</v>
      </c>
    </row>
    <row r="25" spans="2:18">
      <c r="B25" s="525">
        <v>6000</v>
      </c>
      <c r="C25" s="387">
        <v>300</v>
      </c>
      <c r="E25" s="525">
        <f>ROUND((B$25*C25),0)</f>
        <v>1800000</v>
      </c>
      <c r="F25" s="525"/>
      <c r="G25" s="526">
        <f>ROUND(IF($B$25&gt;4400,$B$25*N$13,4400*$N$13)+$E25*N$14,0)</f>
        <v>129009</v>
      </c>
      <c r="H25" s="526"/>
      <c r="I25" s="526">
        <f>ROUND(IF($B$25&gt;4400,$B$25*P$13,4400*$N$13)+$E25*P$14,0)</f>
        <v>129563</v>
      </c>
      <c r="K25" s="592">
        <f>(I25-G25)/G25</f>
        <v>4.2942740428962324E-3</v>
      </c>
      <c r="M25" s="539" t="str">
        <f>+'Res Bill RY#1'!P28</f>
        <v>Schedule 137 - REC</v>
      </c>
      <c r="N25" s="537">
        <f>+'Sch 137'!E26</f>
        <v>-1.5E-5</v>
      </c>
      <c r="P25" s="537">
        <f t="shared" si="1"/>
        <v>-1.5E-5</v>
      </c>
    </row>
    <row r="26" spans="2:18">
      <c r="C26" s="387">
        <v>500</v>
      </c>
      <c r="E26" s="525">
        <f>ROUND((B$25*C26),0)</f>
        <v>3000000</v>
      </c>
      <c r="F26" s="525"/>
      <c r="G26" s="526">
        <f>ROUND(IF($B$25&gt;4400,$B$25*N$13,4400*$N$13)+$E26*N$14,0)</f>
        <v>202855</v>
      </c>
      <c r="H26" s="526"/>
      <c r="I26" s="526">
        <f>ROUND(IF($B$25&gt;4400,$B$25*P$13,4400*$N$13)+$E26*P$14,0)</f>
        <v>203778</v>
      </c>
      <c r="K26" s="592">
        <f>(I26-G26)/G26</f>
        <v>4.5500480638879992E-3</v>
      </c>
      <c r="M26" s="539" t="str">
        <f>+'Res Bill RY#1'!P29</f>
        <v>Schedule 140 - Property Tax</v>
      </c>
      <c r="N26" s="537">
        <f>+'Sch 140'!E26</f>
        <v>1.668E-3</v>
      </c>
      <c r="P26" s="537">
        <f t="shared" si="1"/>
        <v>1.668E-3</v>
      </c>
    </row>
    <row r="27" spans="2:18">
      <c r="C27" s="387">
        <v>700</v>
      </c>
      <c r="E27" s="525">
        <f>ROUND((B$25*C27),0)</f>
        <v>4200000</v>
      </c>
      <c r="F27" s="525"/>
      <c r="G27" s="526">
        <f>ROUND(IF($B$25&gt;4400,$B$25*N$13,4400*$N$13)+$E27*N$14,0)</f>
        <v>276701</v>
      </c>
      <c r="H27" s="526"/>
      <c r="I27" s="526">
        <f>ROUND(IF($B$25&gt;4400,$B$25*P$13,4400*$N$13)+$E27*P$14,0)</f>
        <v>277993</v>
      </c>
      <c r="K27" s="592">
        <f>(I27-G27)/G27</f>
        <v>4.6693000748099936E-3</v>
      </c>
      <c r="M27" s="539" t="str">
        <f>+'Res Bill RY#1'!P30</f>
        <v>Schedule 141A -  Sch 139 Energy Charge Credit Recovery</v>
      </c>
      <c r="N27" s="537">
        <v>0</v>
      </c>
      <c r="P27" s="540">
        <f>+'Sch 141A'!F26</f>
        <v>1.7340000000000001E-3</v>
      </c>
    </row>
    <row r="28" spans="2:18">
      <c r="E28" s="525"/>
      <c r="F28" s="525"/>
      <c r="G28" s="526"/>
      <c r="H28" s="526"/>
      <c r="I28" s="526"/>
      <c r="K28" s="592"/>
      <c r="M28" s="539" t="str">
        <f>+'Res Bill RY#1'!P31</f>
        <v>Schedule 141COL - Colstrip</v>
      </c>
      <c r="N28" s="537">
        <v>0</v>
      </c>
      <c r="P28" s="540">
        <f>+'Sch 141C'!F26</f>
        <v>1.02E-4</v>
      </c>
    </row>
    <row r="29" spans="2:18">
      <c r="B29" s="525">
        <v>8000</v>
      </c>
      <c r="C29" s="387">
        <v>300</v>
      </c>
      <c r="E29" s="525">
        <f>ROUND((B$29*C29),0)</f>
        <v>2400000</v>
      </c>
      <c r="F29" s="525"/>
      <c r="G29" s="526">
        <f>ROUND(IF($B$29&gt;4400,$B$29*N$13,4400*$N$13)+$E29*N$14,0)</f>
        <v>172012</v>
      </c>
      <c r="H29" s="526"/>
      <c r="I29" s="526">
        <f>ROUND(IF($B$29&gt;4400,$B$29*P$13,4400*$N$13)+$E29*P$14,0)</f>
        <v>172750</v>
      </c>
      <c r="K29" s="592">
        <f>(I29-G29)/G29</f>
        <v>4.2903983443015603E-3</v>
      </c>
      <c r="M29" s="539" t="str">
        <f>+'Res Bill RY#1'!P32</f>
        <v>Schedule 141N - Non Refundable MYRP</v>
      </c>
      <c r="N29" s="537">
        <v>0</v>
      </c>
      <c r="P29" s="540">
        <f>+'Sch 141N'!G26</f>
        <v>3.777E-3</v>
      </c>
    </row>
    <row r="30" spans="2:18">
      <c r="C30" s="387">
        <v>500</v>
      </c>
      <c r="E30" s="525">
        <f>ROUND((B$29*C30),0)</f>
        <v>4000000</v>
      </c>
      <c r="F30" s="525"/>
      <c r="G30" s="526">
        <f>ROUND(IF($B$29&gt;4400,$B$29*N$13,4400*$N$13)+$E30*N$14,0)</f>
        <v>270473</v>
      </c>
      <c r="H30" s="526"/>
      <c r="I30" s="526">
        <f>ROUND(IF($B$29&gt;4400,$B$29*P$13,4400*$N$13)+$E30*P$14,0)</f>
        <v>271704</v>
      </c>
      <c r="K30" s="592">
        <f>(I30-G30)/G30</f>
        <v>4.5512860803111586E-3</v>
      </c>
      <c r="M30" s="539" t="str">
        <f>+'Res Bill RY#1'!P33</f>
        <v>Schedule 141R - Refundable MYRP</v>
      </c>
      <c r="N30" s="537">
        <v>0</v>
      </c>
      <c r="P30" s="540">
        <f>+'Sch 141R'!G26</f>
        <v>7.0600000000000003E-4</v>
      </c>
    </row>
    <row r="31" spans="2:18">
      <c r="C31" s="387">
        <v>700</v>
      </c>
      <c r="E31" s="525">
        <f>ROUND((B$29*C31),0)</f>
        <v>5600000</v>
      </c>
      <c r="F31" s="525"/>
      <c r="G31" s="526">
        <f>ROUND(IF($B$29&gt;4400,$B$29*N$13,4400*$N$13)+$E31*N$14,0)</f>
        <v>368934</v>
      </c>
      <c r="H31" s="526"/>
      <c r="I31" s="526">
        <f>ROUND(IF($B$29&gt;4400,$B$29*P$13,4400*$N$13)+$E31*P$14,0)</f>
        <v>370658</v>
      </c>
      <c r="K31" s="592">
        <f>(I31-G31)/G31</f>
        <v>4.6729225281486658E-3</v>
      </c>
      <c r="M31" s="539" t="str">
        <f>+'Res Bill RY#1'!P34</f>
        <v xml:space="preserve">Schedule 141X- Tax Passback </v>
      </c>
      <c r="N31" s="537">
        <f>+'Sch 141X'!E26</f>
        <v>4.84E-4</v>
      </c>
      <c r="P31" s="540">
        <v>0</v>
      </c>
    </row>
    <row r="32" spans="2:18">
      <c r="E32" s="525"/>
      <c r="F32" s="525"/>
      <c r="G32" s="526"/>
      <c r="H32" s="526"/>
      <c r="I32" s="526"/>
      <c r="K32" s="592"/>
      <c r="M32" s="539" t="str">
        <f>+'Res Bill RY#1'!P35</f>
        <v>Schedule 141Z - Tax</v>
      </c>
      <c r="N32" s="537">
        <f>+'Sch 141Z'!E26</f>
        <v>-4.4999999999999999E-4</v>
      </c>
      <c r="P32" s="540">
        <v>0</v>
      </c>
    </row>
    <row r="33" spans="2:16">
      <c r="B33" s="525">
        <v>10000</v>
      </c>
      <c r="C33" s="387">
        <v>300</v>
      </c>
      <c r="E33" s="525">
        <f>ROUND((B$33*C33),0)</f>
        <v>3000000</v>
      </c>
      <c r="F33" s="525"/>
      <c r="G33" s="526">
        <f>ROUND(IF($B$33&gt;4400,$B$33*N$13,4400*$N$13)+$E33*N$14,0)</f>
        <v>215015</v>
      </c>
      <c r="H33" s="526"/>
      <c r="I33" s="526">
        <f>ROUND(IF($B$33&gt;4400,$B$33*P$13,4400*$N$13)+$E33*P$14,0)</f>
        <v>215938</v>
      </c>
      <c r="K33" s="592">
        <f>(I33-G33)/G33</f>
        <v>4.2927237634583634E-3</v>
      </c>
      <c r="M33" s="539" t="str">
        <f>+'Res Bill RY#1'!P36</f>
        <v>Schedule 142 - Decoupling</v>
      </c>
      <c r="N33" s="537">
        <f>+'Sch 142'!F26</f>
        <v>0</v>
      </c>
      <c r="P33" s="540">
        <f>+N33</f>
        <v>0</v>
      </c>
    </row>
    <row r="34" spans="2:16">
      <c r="C34" s="387">
        <v>500</v>
      </c>
      <c r="E34" s="525">
        <f>ROUND((B$33*C34),0)</f>
        <v>5000000</v>
      </c>
      <c r="F34" s="525"/>
      <c r="G34" s="526">
        <f>ROUND(IF($B$33&gt;4400,$B$33*N$13,4400*$N$13)+$E34*N$14,0)</f>
        <v>338091</v>
      </c>
      <c r="H34" s="526"/>
      <c r="I34" s="526">
        <f>ROUND(IF($B$33&gt;4400,$B$33*P$13,4400*$N$13)+$E34*P$14,0)</f>
        <v>339630</v>
      </c>
      <c r="K34" s="592">
        <f>(I34-G34)/G34</f>
        <v>4.5520288916297679E-3</v>
      </c>
      <c r="M34" s="539" t="str">
        <f>+'Res Bill RY#1'!P37</f>
        <v>Schedule 142 - Decoupling Supplemental</v>
      </c>
      <c r="N34" s="537">
        <f>+'Sch 142'!I26</f>
        <v>0</v>
      </c>
      <c r="P34" s="540">
        <f>+N34</f>
        <v>0</v>
      </c>
    </row>
    <row r="35" spans="2:16">
      <c r="C35" s="387">
        <v>700</v>
      </c>
      <c r="E35" s="525">
        <f>ROUND((B$33*C35),0)</f>
        <v>7000000</v>
      </c>
      <c r="F35" s="525"/>
      <c r="G35" s="526">
        <f>ROUND(IF($B$33&gt;4400,$B$33*N$13,4400*$N$13)+$E35*N$14,0)</f>
        <v>461168</v>
      </c>
      <c r="H35" s="526"/>
      <c r="I35" s="526">
        <f>ROUND(IF($B$33&gt;4400,$B$33*P$13,4400*$N$13)+$E35*P$14,0)</f>
        <v>463322</v>
      </c>
      <c r="K35" s="592">
        <f>(I35-G35)/G35</f>
        <v>4.6707490545744718E-3</v>
      </c>
    </row>
    <row r="36" spans="2:16">
      <c r="B36" s="541"/>
      <c r="C36" s="541"/>
      <c r="D36" s="541"/>
      <c r="E36" s="541"/>
      <c r="F36" s="541"/>
      <c r="G36" s="541"/>
      <c r="H36" s="541"/>
      <c r="I36" s="541"/>
      <c r="J36" s="541"/>
      <c r="K36" s="541"/>
    </row>
    <row r="37" spans="2:16">
      <c r="M37" s="383" t="s">
        <v>284</v>
      </c>
      <c r="N37" s="667">
        <f>+'Rate Impacts_RY#1'!H17</f>
        <v>-2.698701745658498E-2</v>
      </c>
    </row>
    <row r="38" spans="2:16">
      <c r="M38" s="542" t="s">
        <v>285</v>
      </c>
      <c r="N38" s="667">
        <f>+'Rate Impacts_RY#1'!AP17</f>
        <v>-1.042804163849698E-3</v>
      </c>
    </row>
    <row r="39" spans="2:16">
      <c r="B39" s="777" t="s">
        <v>894</v>
      </c>
      <c r="C39" s="777"/>
      <c r="D39" s="777"/>
      <c r="E39" s="777"/>
      <c r="F39" s="777"/>
      <c r="G39" s="777"/>
      <c r="H39" s="777"/>
      <c r="I39" s="777"/>
      <c r="J39" s="777"/>
      <c r="K39" s="777"/>
    </row>
    <row r="40" spans="2:16" ht="11.4">
      <c r="B40" s="777" t="s">
        <v>836</v>
      </c>
      <c r="C40" s="777"/>
      <c r="D40" s="777"/>
      <c r="E40" s="777"/>
      <c r="F40" s="777"/>
      <c r="G40" s="777"/>
      <c r="H40" s="777"/>
      <c r="I40" s="777"/>
      <c r="J40" s="777"/>
      <c r="K40" s="777"/>
    </row>
    <row r="41" spans="2:16" ht="11.4">
      <c r="B41" s="777" t="s">
        <v>837</v>
      </c>
      <c r="C41" s="777"/>
      <c r="D41" s="777"/>
      <c r="E41" s="777"/>
      <c r="F41" s="777"/>
      <c r="G41" s="777"/>
      <c r="H41" s="777"/>
      <c r="I41" s="777"/>
      <c r="J41" s="777"/>
      <c r="K41" s="777"/>
    </row>
    <row r="42" spans="2:16">
      <c r="B42" s="597"/>
    </row>
    <row r="43" spans="2:16">
      <c r="B43" s="397"/>
    </row>
    <row r="55" spans="15:15">
      <c r="O55" s="543"/>
    </row>
  </sheetData>
  <mergeCells count="4">
    <mergeCell ref="G9:I9"/>
    <mergeCell ref="B39:K39"/>
    <mergeCell ref="B40:K40"/>
    <mergeCell ref="B41:K41"/>
  </mergeCells>
  <printOptions horizontalCentered="1"/>
  <pageMargins left="0.7" right="0.7" top="0.75" bottom="0.71" header="0.3" footer="0.3"/>
  <pageSetup scale="66" orientation="landscape" r:id="rId1"/>
  <headerFooter alignWithMargins="0">
    <oddFooter>&amp;L&amp;"Times New Roman,Regular"&amp;A&amp;R&amp;"Times New Roman,Regular"Exhibit No.__(BDJ-8)
Page &amp;P of &amp;N</oddFooter>
  </headerFooter>
  <customProperties>
    <customPr name="_pios_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R55"/>
  <sheetViews>
    <sheetView zoomScaleNormal="100" workbookViewId="0">
      <pane xSplit="2" ySplit="11" topLeftCell="C12" activePane="bottomRight" state="frozen"/>
      <selection activeCell="F7" sqref="F7:F62"/>
      <selection pane="topRight" activeCell="F7" sqref="F7:F62"/>
      <selection pane="bottomLeft" activeCell="F7" sqref="F7:F62"/>
      <selection pane="bottomRight" activeCell="B39" sqref="B39:K39"/>
    </sheetView>
  </sheetViews>
  <sheetFormatPr defaultColWidth="9.44140625" defaultRowHeight="10.199999999999999"/>
  <cols>
    <col min="1" max="1" width="2.33203125" style="387" customWidth="1"/>
    <col min="2" max="2" width="12.44140625" style="387" customWidth="1"/>
    <col min="3" max="3" width="13.33203125" style="387" bestFit="1" customWidth="1"/>
    <col min="4" max="4" width="1.109375" style="387" customWidth="1"/>
    <col min="5" max="5" width="10.88671875" style="387" bestFit="1" customWidth="1"/>
    <col min="6" max="6" width="1.109375" style="387" customWidth="1"/>
    <col min="7" max="7" width="13.44140625" style="387" bestFit="1" customWidth="1"/>
    <col min="8" max="8" width="1.109375" style="387" customWidth="1"/>
    <col min="9" max="9" width="13.44140625" style="387" bestFit="1" customWidth="1"/>
    <col min="10" max="10" width="1.109375" style="387" customWidth="1"/>
    <col min="11" max="11" width="10.44140625" style="387" bestFit="1" customWidth="1"/>
    <col min="12" max="12" width="1.109375" style="453" customWidth="1"/>
    <col min="13" max="13" width="53.44140625" style="387" customWidth="1"/>
    <col min="14" max="14" width="16.44140625" style="387" bestFit="1" customWidth="1"/>
    <col min="15" max="15" width="2.44140625" style="387" customWidth="1"/>
    <col min="16" max="16" width="18.109375" style="387" bestFit="1" customWidth="1"/>
    <col min="17" max="17" width="3.44140625" style="387" customWidth="1"/>
    <col min="18" max="18" width="7" style="387" bestFit="1" customWidth="1"/>
    <col min="19" max="16384" width="9.44140625" style="387"/>
  </cols>
  <sheetData>
    <row r="1" spans="1:18">
      <c r="B1" s="507" t="s">
        <v>0</v>
      </c>
      <c r="C1" s="507"/>
      <c r="D1" s="507"/>
      <c r="E1" s="507"/>
      <c r="F1" s="507"/>
      <c r="G1" s="507"/>
      <c r="H1" s="507"/>
      <c r="I1" s="507"/>
      <c r="J1" s="507"/>
      <c r="K1" s="507"/>
    </row>
    <row r="2" spans="1:18">
      <c r="B2" s="507" t="s">
        <v>193</v>
      </c>
      <c r="C2" s="507"/>
      <c r="D2" s="507"/>
      <c r="E2" s="507"/>
      <c r="F2" s="507"/>
      <c r="G2" s="507"/>
      <c r="H2" s="507"/>
      <c r="I2" s="507"/>
      <c r="J2" s="507"/>
      <c r="K2" s="507"/>
    </row>
    <row r="3" spans="1:18">
      <c r="B3" s="507" t="s">
        <v>245</v>
      </c>
      <c r="C3" s="507"/>
      <c r="D3" s="507"/>
      <c r="E3" s="507"/>
      <c r="F3" s="507"/>
      <c r="G3" s="507"/>
      <c r="H3" s="507"/>
      <c r="I3" s="507"/>
      <c r="J3" s="507"/>
      <c r="K3" s="507"/>
    </row>
    <row r="4" spans="1:18">
      <c r="B4" s="507"/>
      <c r="C4" s="507"/>
      <c r="D4" s="507"/>
      <c r="E4" s="507"/>
      <c r="F4" s="507"/>
      <c r="G4" s="507"/>
      <c r="H4" s="507"/>
      <c r="I4" s="507"/>
      <c r="J4" s="507"/>
      <c r="K4" s="507"/>
    </row>
    <row r="5" spans="1:18">
      <c r="B5" s="507"/>
      <c r="C5" s="507"/>
      <c r="D5" s="507"/>
      <c r="E5" s="507"/>
      <c r="F5" s="507"/>
      <c r="G5" s="507"/>
      <c r="H5" s="507"/>
      <c r="I5" s="507"/>
      <c r="J5" s="507"/>
      <c r="K5" s="507"/>
    </row>
    <row r="6" spans="1:18">
      <c r="A6" s="508"/>
      <c r="B6" s="508"/>
      <c r="C6" s="508"/>
      <c r="D6" s="508"/>
      <c r="E6" s="508"/>
      <c r="F6" s="508"/>
      <c r="G6" s="508"/>
      <c r="H6" s="508"/>
      <c r="I6" s="508"/>
      <c r="J6" s="508"/>
    </row>
    <row r="7" spans="1:18">
      <c r="A7" s="508"/>
      <c r="B7" s="508"/>
      <c r="C7" s="508"/>
      <c r="D7" s="508"/>
      <c r="E7" s="508"/>
      <c r="F7" s="508"/>
      <c r="G7" s="508"/>
      <c r="H7" s="508"/>
      <c r="I7" s="508"/>
      <c r="J7" s="508"/>
    </row>
    <row r="9" spans="1:18" ht="11.4">
      <c r="B9" s="509" t="s">
        <v>243</v>
      </c>
      <c r="G9" s="782" t="s">
        <v>833</v>
      </c>
      <c r="H9" s="783"/>
      <c r="I9" s="783"/>
    </row>
    <row r="10" spans="1:18" ht="10.8" thickBot="1">
      <c r="B10" s="512" t="s">
        <v>221</v>
      </c>
      <c r="C10" s="389" t="s">
        <v>242</v>
      </c>
      <c r="G10" s="508" t="s">
        <v>24</v>
      </c>
      <c r="I10" s="508" t="s">
        <v>241</v>
      </c>
      <c r="K10" s="508" t="s">
        <v>204</v>
      </c>
    </row>
    <row r="11" spans="1:18" ht="11.4">
      <c r="B11" s="513" t="s">
        <v>218</v>
      </c>
      <c r="C11" s="514" t="s">
        <v>217</v>
      </c>
      <c r="D11" s="515"/>
      <c r="E11" s="459" t="s">
        <v>191</v>
      </c>
      <c r="F11" s="515"/>
      <c r="G11" s="516" t="s">
        <v>834</v>
      </c>
      <c r="H11" s="516"/>
      <c r="I11" s="516" t="s">
        <v>835</v>
      </c>
      <c r="K11" s="517" t="s">
        <v>27</v>
      </c>
      <c r="M11" s="518"/>
      <c r="N11" s="519" t="s">
        <v>201</v>
      </c>
      <c r="O11" s="520"/>
      <c r="P11" s="521" t="s">
        <v>200</v>
      </c>
    </row>
    <row r="12" spans="1:18">
      <c r="G12" s="514"/>
      <c r="H12" s="515"/>
      <c r="I12" s="514"/>
      <c r="M12" s="522"/>
      <c r="N12" s="523"/>
      <c r="O12" s="523"/>
      <c r="P12" s="524"/>
    </row>
    <row r="13" spans="1:18">
      <c r="B13" s="525">
        <v>1000</v>
      </c>
      <c r="C13" s="387">
        <v>300</v>
      </c>
      <c r="E13" s="525">
        <f>ROUND((B$13*C13),0)</f>
        <v>300000</v>
      </c>
      <c r="F13" s="525"/>
      <c r="G13" s="526">
        <f>ROUND(IF($B$13&gt;4400,$B$13*N$13,4400*$N$13)+$E13*N$14,0)</f>
        <v>44296</v>
      </c>
      <c r="H13" s="526"/>
      <c r="I13" s="526">
        <f>ROUND(IF($B$13&gt;4400,$B$13*P$13,4400*$N$13)+$E13*P$14,0)</f>
        <v>44239</v>
      </c>
      <c r="K13" s="592">
        <f>(I13-G13)/G13</f>
        <v>-1.286797905002709E-3</v>
      </c>
      <c r="M13" s="527" t="s">
        <v>240</v>
      </c>
      <c r="N13" s="528">
        <f>SUM(N17)</f>
        <v>5.65</v>
      </c>
      <c r="O13" s="529"/>
      <c r="P13" s="530">
        <f>SUM(P17)</f>
        <v>5.65</v>
      </c>
      <c r="R13" s="435">
        <f>(P13-N13)/N13</f>
        <v>0</v>
      </c>
    </row>
    <row r="14" spans="1:18">
      <c r="C14" s="387">
        <v>500</v>
      </c>
      <c r="E14" s="525">
        <f>ROUND((B$13*C14),0)</f>
        <v>500000</v>
      </c>
      <c r="F14" s="525"/>
      <c r="G14" s="526">
        <f>ROUND(IF($B$13&gt;4400,$B$13*N$13,4400*$N$13)+$E14*N$14,0)</f>
        <v>57253</v>
      </c>
      <c r="H14" s="526"/>
      <c r="I14" s="526">
        <f>ROUND(IF($B$13&gt;4400,$B$13*P$13,4400*$N$13)+$E14*P$14,0)</f>
        <v>57159</v>
      </c>
      <c r="K14" s="592">
        <f>(I14-G14)/G14</f>
        <v>-1.6418353623390914E-3</v>
      </c>
      <c r="M14" s="527" t="s">
        <v>239</v>
      </c>
      <c r="N14" s="531">
        <f>SUM(N18,N20:N34)</f>
        <v>6.478517951131213E-2</v>
      </c>
      <c r="O14" s="529"/>
      <c r="P14" s="663">
        <f>SUM(P18,P20:P34)</f>
        <v>6.4597000000000016E-2</v>
      </c>
      <c r="Q14" s="662"/>
      <c r="R14" s="435">
        <f>(P14-N14)/N14</f>
        <v>-2.9046691346939356E-3</v>
      </c>
    </row>
    <row r="15" spans="1:18" ht="10.8" thickBot="1">
      <c r="C15" s="387">
        <v>700</v>
      </c>
      <c r="E15" s="525">
        <f>ROUND((B$13*C15),0)</f>
        <v>700000</v>
      </c>
      <c r="F15" s="525"/>
      <c r="G15" s="526">
        <f>ROUND(IF($B$13&gt;4400,$B$13*N$13,4400*$N$13)+$E15*N$14,0)</f>
        <v>70210</v>
      </c>
      <c r="H15" s="526"/>
      <c r="I15" s="526">
        <f>ROUND(IF($B$13&gt;4400,$B$13*P$13,4400*$N$13)+$E15*P$14,0)</f>
        <v>70078</v>
      </c>
      <c r="K15" s="592">
        <f>(I15-G15)/G15</f>
        <v>-1.8800740635237145E-3</v>
      </c>
      <c r="M15" s="532" t="s">
        <v>20</v>
      </c>
      <c r="N15" s="533" t="s">
        <v>20</v>
      </c>
      <c r="O15" s="534"/>
      <c r="P15" s="535" t="s">
        <v>20</v>
      </c>
    </row>
    <row r="16" spans="1:18">
      <c r="G16" s="526"/>
      <c r="H16" s="526"/>
      <c r="I16" s="526"/>
      <c r="K16" s="592"/>
    </row>
    <row r="17" spans="2:18">
      <c r="B17" s="525">
        <v>2000</v>
      </c>
      <c r="C17" s="387">
        <v>300</v>
      </c>
      <c r="E17" s="525">
        <f>ROUND((B$17*C17),0)</f>
        <v>600000</v>
      </c>
      <c r="F17" s="525"/>
      <c r="G17" s="526">
        <f>ROUND(IF($B$17&gt;4400,$B$17*N$13,4400*$N$13)+$E17*N$14,0)</f>
        <v>63731</v>
      </c>
      <c r="H17" s="526"/>
      <c r="I17" s="526">
        <f>ROUND(IF($B$17&gt;4400,$B$17*P$13,4400*$N$13)+$E17*P$14,0)</f>
        <v>63618</v>
      </c>
      <c r="K17" s="592">
        <f>(I17-G17)/G17</f>
        <v>-1.773077466225228E-3</v>
      </c>
      <c r="M17" s="387" t="str">
        <f>+M13</f>
        <v>Demand ($ per kVa)</v>
      </c>
      <c r="N17" s="418">
        <f>+'[1]Exhibit No.__(BDJ-Tariff)'!$D$135</f>
        <v>5.65</v>
      </c>
      <c r="P17" s="536">
        <f>+'[1]Exhibit No.__(BDJ-Tariff)'!$E$135</f>
        <v>5.65</v>
      </c>
      <c r="R17" s="435">
        <f t="shared" ref="R17:R18" si="0">(P17-N17)/N17</f>
        <v>0</v>
      </c>
    </row>
    <row r="18" spans="2:18">
      <c r="C18" s="387">
        <v>500</v>
      </c>
      <c r="E18" s="525">
        <f>ROUND((B$17*C18),0)</f>
        <v>1000000</v>
      </c>
      <c r="F18" s="525"/>
      <c r="G18" s="526">
        <f>ROUND(IF($B$17&gt;4400,$B$17*N$13,4400*$N$13)+$E18*N$14,0)</f>
        <v>89645</v>
      </c>
      <c r="H18" s="526"/>
      <c r="I18" s="526">
        <f>ROUND(IF($B$17&gt;4400,$B$17*P$13,4400*$N$13)+$E18*P$14,0)</f>
        <v>89457</v>
      </c>
      <c r="K18" s="592">
        <f>(I18-G18)/G18</f>
        <v>-2.097161024039266E-3</v>
      </c>
      <c r="M18" s="387" t="str">
        <f>+M14</f>
        <v>Energy ($ per kWh)</v>
      </c>
      <c r="N18" s="537">
        <f>+'[1]Exhibit No.__(BDJ-Tariff)'!$D$133</f>
        <v>5.2347999999999999E-2</v>
      </c>
      <c r="P18" s="538">
        <f>+'[1]Exhibit No.__(BDJ-Tariff)'!$E$133</f>
        <v>5.0422000000000002E-2</v>
      </c>
      <c r="R18" s="435">
        <f t="shared" si="0"/>
        <v>-3.6792236570642567E-2</v>
      </c>
    </row>
    <row r="19" spans="2:18">
      <c r="C19" s="387">
        <v>700</v>
      </c>
      <c r="E19" s="525">
        <f>ROUND((B$17*C19),0)</f>
        <v>1400000</v>
      </c>
      <c r="F19" s="525"/>
      <c r="G19" s="526">
        <f>ROUND(IF($B$17&gt;4400,$B$17*N$13,4400*$N$13)+$E19*N$14,0)</f>
        <v>115559</v>
      </c>
      <c r="H19" s="526"/>
      <c r="I19" s="526">
        <f>ROUND(IF($B$17&gt;4400,$B$17*P$13,4400*$N$13)+$E19*P$14,0)</f>
        <v>115296</v>
      </c>
      <c r="K19" s="592">
        <f>(I19-G19)/G19</f>
        <v>-2.2758936993224239E-3</v>
      </c>
    </row>
    <row r="20" spans="2:18">
      <c r="G20" s="526"/>
      <c r="H20" s="526"/>
      <c r="I20" s="526"/>
      <c r="K20" s="592"/>
      <c r="M20" s="539" t="str">
        <f>+'Res Bill RY#1'!P23</f>
        <v>Schedule 95 - PCORC</v>
      </c>
      <c r="N20" s="537">
        <f>+'Sch 95 PCORC'!E27</f>
        <v>2.7772155560288891E-3</v>
      </c>
      <c r="P20" s="540">
        <v>0</v>
      </c>
    </row>
    <row r="21" spans="2:18">
      <c r="B21" s="525">
        <v>4000</v>
      </c>
      <c r="C21" s="387">
        <v>300</v>
      </c>
      <c r="E21" s="525">
        <f>ROUND((B$21*C21),0)</f>
        <v>1200000</v>
      </c>
      <c r="F21" s="525"/>
      <c r="G21" s="526">
        <f>ROUND(IF($B$21&gt;4400,$B$21*N$13,4400*$N$13)+$E21*N$14,0)</f>
        <v>102602</v>
      </c>
      <c r="H21" s="526"/>
      <c r="I21" s="526">
        <f>ROUND(IF($B$21&gt;4400,$B$21*P$13,4400*$N$13)+$E21*P$14,0)</f>
        <v>102376</v>
      </c>
      <c r="K21" s="592">
        <f>(I21-G21)/G21</f>
        <v>-2.202686107483285E-3</v>
      </c>
      <c r="M21" s="539" t="str">
        <f>+'Res Bill RY#1'!P24</f>
        <v>Schedule 95 - PCA</v>
      </c>
      <c r="N21" s="537">
        <f>+'Sch 95 Imbalance'!E27</f>
        <v>1.9669639552832604E-3</v>
      </c>
      <c r="P21" s="540">
        <v>0</v>
      </c>
    </row>
    <row r="22" spans="2:18">
      <c r="C22" s="387">
        <v>500</v>
      </c>
      <c r="E22" s="525">
        <f>ROUND((B$21*C22),0)</f>
        <v>2000000</v>
      </c>
      <c r="F22" s="525"/>
      <c r="G22" s="526">
        <f>ROUND(IF($B$21&gt;4400,$B$21*N$13,4400*$N$13)+$E22*N$14,0)</f>
        <v>154430</v>
      </c>
      <c r="H22" s="526"/>
      <c r="I22" s="526">
        <f>ROUND(IF($B$21&gt;4400,$B$21*P$13,4400*$N$13)+$E22*P$14,0)</f>
        <v>154054</v>
      </c>
      <c r="K22" s="592">
        <f>(I22-G22)/G22</f>
        <v>-2.4347600854756199E-3</v>
      </c>
      <c r="M22" s="539" t="str">
        <f>+'Res Bill RY#1'!P25</f>
        <v>Schedule 95A - Fed Inc Credit</v>
      </c>
      <c r="N22" s="537">
        <f>+'Sch 95a'!E26</f>
        <v>-9.6900000000000003E-4</v>
      </c>
      <c r="P22" s="537">
        <f t="shared" ref="P22:P26" si="1">+N22</f>
        <v>-9.6900000000000003E-4</v>
      </c>
    </row>
    <row r="23" spans="2:18">
      <c r="C23" s="387">
        <v>700</v>
      </c>
      <c r="E23" s="525">
        <f>ROUND((B$21*C23),0)</f>
        <v>2800000</v>
      </c>
      <c r="F23" s="525"/>
      <c r="G23" s="526">
        <f>ROUND(IF($B$21&gt;4400,$B$21*N$13,4400*$N$13)+$E23*N$14,0)</f>
        <v>206259</v>
      </c>
      <c r="H23" s="526"/>
      <c r="I23" s="526">
        <f>ROUND(IF($B$21&gt;4400,$B$21*P$13,4400*$N$13)+$E23*P$14,0)</f>
        <v>205732</v>
      </c>
      <c r="K23" s="592">
        <f>(I23-G23)/G23</f>
        <v>-2.5550400224959879E-3</v>
      </c>
      <c r="M23" s="539" t="str">
        <f>+'Res Bill RY#1'!P26</f>
        <v>Schedule 120 - Conservation</v>
      </c>
      <c r="N23" s="537">
        <f>+'Sch 120'!E27</f>
        <v>3.49E-3</v>
      </c>
      <c r="P23" s="537">
        <f t="shared" si="1"/>
        <v>3.49E-3</v>
      </c>
    </row>
    <row r="24" spans="2:18">
      <c r="G24" s="526"/>
      <c r="H24" s="526"/>
      <c r="I24" s="526"/>
      <c r="K24" s="592"/>
      <c r="M24" s="539" t="str">
        <f>+'Res Bill RY#1'!P27</f>
        <v>Schedule 129 - Low Income</v>
      </c>
      <c r="N24" s="402">
        <f>+'Sch 120'!E27</f>
        <v>3.49E-3</v>
      </c>
      <c r="P24" s="537">
        <f t="shared" si="1"/>
        <v>3.49E-3</v>
      </c>
    </row>
    <row r="25" spans="2:18">
      <c r="B25" s="525">
        <v>6000</v>
      </c>
      <c r="C25" s="387">
        <v>300</v>
      </c>
      <c r="E25" s="525">
        <f>ROUND((B$25*C25),0)</f>
        <v>1800000</v>
      </c>
      <c r="F25" s="525"/>
      <c r="G25" s="526">
        <f>ROUND(IF($B$25&gt;4400,$B$25*N$13,4400*$N$13)+$E25*N$14,0)</f>
        <v>150513</v>
      </c>
      <c r="H25" s="526"/>
      <c r="I25" s="526">
        <f>ROUND(IF($B$25&gt;4400,$B$25*P$13,4400*$N$13)+$E25*P$14,0)</f>
        <v>150175</v>
      </c>
      <c r="K25" s="592">
        <f>(I25-G25)/G25</f>
        <v>-2.2456531993914146E-3</v>
      </c>
      <c r="M25" s="539" t="str">
        <f>+'Res Bill RY#1'!P28</f>
        <v>Schedule 137 - REC</v>
      </c>
      <c r="N25" s="402">
        <f>+'Sch 137'!E27</f>
        <v>-2.0000000000000002E-5</v>
      </c>
      <c r="P25" s="537">
        <f t="shared" si="1"/>
        <v>-2.0000000000000002E-5</v>
      </c>
    </row>
    <row r="26" spans="2:18">
      <c r="C26" s="387">
        <v>500</v>
      </c>
      <c r="E26" s="525">
        <f>ROUND((B$25*C26),0)</f>
        <v>3000000</v>
      </c>
      <c r="F26" s="525"/>
      <c r="G26" s="526">
        <f>ROUND(IF($B$25&gt;4400,$B$25*N$13,4400*$N$13)+$E26*N$14,0)</f>
        <v>228256</v>
      </c>
      <c r="H26" s="526"/>
      <c r="I26" s="526">
        <f>ROUND(IF($B$25&gt;4400,$B$25*P$13,4400*$N$13)+$E26*P$14,0)</f>
        <v>227691</v>
      </c>
      <c r="K26" s="592">
        <f>(I26-G26)/G26</f>
        <v>-2.4752909014439926E-3</v>
      </c>
      <c r="M26" s="539" t="str">
        <f>+'Res Bill RY#1'!P29</f>
        <v>Schedule 140 - Property Tax</v>
      </c>
      <c r="N26" s="402">
        <f>+'Sch 140'!E27</f>
        <v>1.668E-3</v>
      </c>
      <c r="P26" s="537">
        <f t="shared" si="1"/>
        <v>1.668E-3</v>
      </c>
    </row>
    <row r="27" spans="2:18">
      <c r="C27" s="387">
        <v>700</v>
      </c>
      <c r="E27" s="525">
        <f>ROUND((B$25*C27),0)</f>
        <v>4200000</v>
      </c>
      <c r="F27" s="525"/>
      <c r="G27" s="526">
        <f>ROUND(IF($B$25&gt;4400,$B$25*N$13,4400*$N$13)+$E27*N$14,0)</f>
        <v>305998</v>
      </c>
      <c r="H27" s="526"/>
      <c r="I27" s="526">
        <f>ROUND(IF($B$25&gt;4400,$B$25*P$13,4400*$N$13)+$E27*P$14,0)</f>
        <v>305207</v>
      </c>
      <c r="K27" s="592">
        <f>(I27-G27)/G27</f>
        <v>-2.5849842155831085E-3</v>
      </c>
      <c r="M27" s="539" t="str">
        <f>+'Res Bill RY#1'!P30</f>
        <v>Schedule 141A -  Sch 139 Energy Charge Credit Recovery</v>
      </c>
      <c r="N27" s="402">
        <v>0</v>
      </c>
      <c r="P27" s="540">
        <f>+'Sch 141A'!F27</f>
        <v>1.7340000000000001E-3</v>
      </c>
    </row>
    <row r="28" spans="2:18">
      <c r="E28" s="525"/>
      <c r="F28" s="525"/>
      <c r="G28" s="526"/>
      <c r="H28" s="526"/>
      <c r="I28" s="526"/>
      <c r="K28" s="592"/>
      <c r="M28" s="539" t="str">
        <f>+'Res Bill RY#1'!P31</f>
        <v>Schedule 141COL - Colstrip</v>
      </c>
      <c r="N28" s="402">
        <v>0</v>
      </c>
      <c r="P28" s="540">
        <f>+'Sch 141C'!F27</f>
        <v>3.8400000000000001E-4</v>
      </c>
    </row>
    <row r="29" spans="2:18">
      <c r="B29" s="525">
        <v>8000</v>
      </c>
      <c r="C29" s="387">
        <v>300</v>
      </c>
      <c r="E29" s="525">
        <f>ROUND((B$29*C29),0)</f>
        <v>2400000</v>
      </c>
      <c r="F29" s="525"/>
      <c r="G29" s="526">
        <f>ROUND(IF($B$29&gt;4400,$B$29*N$13,4400*$N$13)+$E29*N$14,0)</f>
        <v>200684</v>
      </c>
      <c r="H29" s="526"/>
      <c r="I29" s="526">
        <f>ROUND(IF($B$29&gt;4400,$B$29*P$13,4400*$N$13)+$E29*P$14,0)</f>
        <v>200233</v>
      </c>
      <c r="K29" s="592">
        <f>(I29-G29)/G29</f>
        <v>-2.2473141854856393E-3</v>
      </c>
      <c r="M29" s="539" t="str">
        <f>+'Res Bill RY#1'!P32</f>
        <v>Schedule 141N - Non Refundable MYRP</v>
      </c>
      <c r="N29" s="402">
        <v>0</v>
      </c>
      <c r="P29" s="540">
        <f>+'Sch 141N'!G27</f>
        <v>3.705E-3</v>
      </c>
    </row>
    <row r="30" spans="2:18">
      <c r="C30" s="387">
        <v>500</v>
      </c>
      <c r="E30" s="525">
        <f>ROUND((B$29*C30),0)</f>
        <v>4000000</v>
      </c>
      <c r="F30" s="525"/>
      <c r="G30" s="526">
        <f>ROUND(IF($B$29&gt;4400,$B$29*N$13,4400*$N$13)+$E30*N$14,0)</f>
        <v>304341</v>
      </c>
      <c r="H30" s="526"/>
      <c r="I30" s="526">
        <f>ROUND(IF($B$29&gt;4400,$B$29*P$13,4400*$N$13)+$E30*P$14,0)</f>
        <v>303588</v>
      </c>
      <c r="K30" s="592">
        <f>(I30-G30)/G30</f>
        <v>-2.474198349877276E-3</v>
      </c>
      <c r="M30" s="539" t="str">
        <f>+'Res Bill RY#1'!P33</f>
        <v>Schedule 141R - Refundable MYRP</v>
      </c>
      <c r="N30" s="402">
        <v>0</v>
      </c>
      <c r="P30" s="540">
        <f>+'Sch 141R'!G27</f>
        <v>6.9300000000000004E-4</v>
      </c>
    </row>
    <row r="31" spans="2:18">
      <c r="C31" s="387">
        <v>700</v>
      </c>
      <c r="E31" s="525">
        <f>ROUND((B$29*C31),0)</f>
        <v>5600000</v>
      </c>
      <c r="F31" s="525"/>
      <c r="G31" s="526">
        <f>ROUND(IF($B$29&gt;4400,$B$29*N$13,4400*$N$13)+$E31*N$14,0)</f>
        <v>407997</v>
      </c>
      <c r="H31" s="526"/>
      <c r="I31" s="526">
        <f>ROUND(IF($B$29&gt;4400,$B$29*P$13,4400*$N$13)+$E31*P$14,0)</f>
        <v>406943</v>
      </c>
      <c r="K31" s="592">
        <f>(I31-G31)/G31</f>
        <v>-2.5833523285710433E-3</v>
      </c>
      <c r="M31" s="539" t="str">
        <f>+'Res Bill RY#1'!P34</f>
        <v xml:space="preserve">Schedule 141X- Tax Passback </v>
      </c>
      <c r="N31" s="402">
        <f>+'Sch 141X'!E27</f>
        <v>4.84E-4</v>
      </c>
      <c r="P31" s="540">
        <v>0</v>
      </c>
    </row>
    <row r="32" spans="2:18">
      <c r="E32" s="525"/>
      <c r="F32" s="525"/>
      <c r="G32" s="526"/>
      <c r="H32" s="526"/>
      <c r="I32" s="526"/>
      <c r="K32" s="592"/>
      <c r="M32" s="539" t="str">
        <f>+'Res Bill RY#1'!P35</f>
        <v>Schedule 141Z - Tax</v>
      </c>
      <c r="N32" s="402">
        <f>+'Sch 141Z'!E27</f>
        <v>-4.4999999999999999E-4</v>
      </c>
      <c r="P32" s="540">
        <v>0</v>
      </c>
    </row>
    <row r="33" spans="2:16">
      <c r="B33" s="525">
        <v>10000</v>
      </c>
      <c r="C33" s="387">
        <v>300</v>
      </c>
      <c r="E33" s="525">
        <f>ROUND((B$33*C33),0)</f>
        <v>3000000</v>
      </c>
      <c r="F33" s="525"/>
      <c r="G33" s="526">
        <f>ROUND(IF($B$33&gt;4400,$B$33*N$13,4400*$N$13)+$E33*N$14,0)</f>
        <v>250856</v>
      </c>
      <c r="H33" s="526"/>
      <c r="I33" s="526">
        <f>ROUND(IF($B$33&gt;4400,$B$33*P$13,4400*$N$13)+$E33*P$14,0)</f>
        <v>250291</v>
      </c>
      <c r="K33" s="592">
        <f>(I33-G33)/G33</f>
        <v>-2.2522881653219379E-3</v>
      </c>
      <c r="M33" s="539" t="str">
        <f>+'Res Bill RY#1'!P36</f>
        <v>Schedule 142 - Decoupling</v>
      </c>
      <c r="N33" s="402">
        <f>+'Sch 142'!F27</f>
        <v>0</v>
      </c>
      <c r="P33" s="540">
        <f>+N33</f>
        <v>0</v>
      </c>
    </row>
    <row r="34" spans="2:16">
      <c r="C34" s="387">
        <v>500</v>
      </c>
      <c r="E34" s="525">
        <f>ROUND((B$33*C34),0)</f>
        <v>5000000</v>
      </c>
      <c r="F34" s="525"/>
      <c r="G34" s="526">
        <f>ROUND(IF($B$33&gt;4400,$B$33*N$13,4400*$N$13)+$E34*N$14,0)</f>
        <v>380426</v>
      </c>
      <c r="H34" s="526"/>
      <c r="I34" s="526">
        <f>ROUND(IF($B$33&gt;4400,$B$33*P$13,4400*$N$13)+$E34*P$14,0)</f>
        <v>379485</v>
      </c>
      <c r="K34" s="592">
        <f>(I34-G34)/G34</f>
        <v>-2.4735428177884793E-3</v>
      </c>
      <c r="M34" s="539" t="str">
        <f>+'Res Bill RY#1'!P37</f>
        <v>Schedule 142 - Decoupling Supplemental</v>
      </c>
      <c r="N34" s="402">
        <f>+'Sch 142'!I27</f>
        <v>0</v>
      </c>
      <c r="P34" s="540">
        <f>+N34</f>
        <v>0</v>
      </c>
    </row>
    <row r="35" spans="2:16">
      <c r="C35" s="387">
        <v>700</v>
      </c>
      <c r="E35" s="525">
        <f>ROUND((B$33*C35),0)</f>
        <v>7000000</v>
      </c>
      <c r="F35" s="525"/>
      <c r="G35" s="526">
        <f>ROUND(IF($B$33&gt;4400,$B$33*N$13,4400*$N$13)+$E35*N$14,0)</f>
        <v>509996</v>
      </c>
      <c r="H35" s="526"/>
      <c r="I35" s="526">
        <f>ROUND(IF($B$33&gt;4400,$B$33*P$13,4400*$N$13)+$E35*P$14,0)</f>
        <v>508679</v>
      </c>
      <c r="K35" s="592">
        <f>(I35-G35)/G35</f>
        <v>-2.5823731950838829E-3</v>
      </c>
      <c r="P35" s="537"/>
    </row>
    <row r="36" spans="2:16">
      <c r="B36" s="541"/>
      <c r="C36" s="541"/>
      <c r="D36" s="541"/>
      <c r="E36" s="541"/>
      <c r="F36" s="541"/>
      <c r="G36" s="541"/>
      <c r="H36" s="541"/>
      <c r="I36" s="541"/>
      <c r="J36" s="541"/>
      <c r="K36" s="541"/>
      <c r="P36" s="537"/>
    </row>
    <row r="37" spans="2:16">
      <c r="M37" s="383" t="s">
        <v>284</v>
      </c>
      <c r="N37" s="667">
        <f>+'Rate Impacts_RY#1'!H18</f>
        <v>-2.4019839725842485E-2</v>
      </c>
      <c r="P37" s="537"/>
    </row>
    <row r="38" spans="2:16">
      <c r="M38" s="542" t="s">
        <v>285</v>
      </c>
      <c r="N38" s="667">
        <f>+'Rate Impacts_RY#1'!AP18</f>
        <v>1.6323698080372641E-3</v>
      </c>
    </row>
    <row r="39" spans="2:16">
      <c r="B39" s="777" t="s">
        <v>894</v>
      </c>
      <c r="C39" s="777"/>
      <c r="D39" s="777"/>
      <c r="E39" s="777"/>
      <c r="F39" s="777"/>
      <c r="G39" s="777"/>
      <c r="H39" s="777"/>
      <c r="I39" s="777"/>
      <c r="J39" s="777"/>
      <c r="K39" s="777"/>
    </row>
    <row r="40" spans="2:16" ht="11.4">
      <c r="B40" s="777" t="s">
        <v>836</v>
      </c>
      <c r="C40" s="777"/>
      <c r="D40" s="777"/>
      <c r="E40" s="777"/>
      <c r="F40" s="777"/>
      <c r="G40" s="777"/>
      <c r="H40" s="777"/>
      <c r="I40" s="777"/>
      <c r="J40" s="777"/>
      <c r="K40" s="777"/>
    </row>
    <row r="41" spans="2:16" ht="11.4">
      <c r="B41" s="777" t="s">
        <v>837</v>
      </c>
      <c r="C41" s="777"/>
      <c r="D41" s="777"/>
      <c r="E41" s="777"/>
      <c r="F41" s="777"/>
      <c r="G41" s="777"/>
      <c r="H41" s="777"/>
      <c r="I41" s="777"/>
      <c r="J41" s="777"/>
      <c r="K41" s="777"/>
    </row>
    <row r="43" spans="2:16">
      <c r="B43" s="397"/>
    </row>
    <row r="55" spans="15:15">
      <c r="O55" s="543"/>
    </row>
  </sheetData>
  <mergeCells count="4">
    <mergeCell ref="G9:I9"/>
    <mergeCell ref="B39:K39"/>
    <mergeCell ref="B40:K40"/>
    <mergeCell ref="B41:K41"/>
  </mergeCells>
  <printOptions horizontalCentered="1"/>
  <pageMargins left="0.7" right="0.7" top="0.75" bottom="0.71" header="0.3" footer="0.3"/>
  <pageSetup scale="71" orientation="landscape" r:id="rId1"/>
  <headerFooter alignWithMargins="0">
    <oddFooter>&amp;L&amp;"Times New Roman,Regular"&amp;A&amp;R&amp;"Times New Roman,Regular"Exhibit No.__(BDJ-8)
Page &amp;P of &amp;N</oddFooter>
  </headerFooter>
  <customProperties>
    <customPr name="_pios_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"/>
  <sheetViews>
    <sheetView workbookViewId="0">
      <selection activeCell="U35" sqref="U35"/>
    </sheetView>
  </sheetViews>
  <sheetFormatPr defaultRowHeight="13.2"/>
  <sheetData/>
  <pageMargins left="0.7" right="0.7" top="0.75" bottom="0.75" header="0.3" footer="0.3"/>
  <customProperties>
    <customPr name="_pios_id" r:id="rId1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"/>
  <sheetViews>
    <sheetView workbookViewId="0">
      <selection activeCell="B39" sqref="B39:K39"/>
    </sheetView>
  </sheetViews>
  <sheetFormatPr defaultRowHeight="13.2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N28"/>
  <sheetViews>
    <sheetView workbookViewId="0">
      <selection activeCell="I13" sqref="I13"/>
    </sheetView>
  </sheetViews>
  <sheetFormatPr defaultColWidth="9.109375" defaultRowHeight="10.199999999999999"/>
  <cols>
    <col min="1" max="1" width="9.109375" style="392"/>
    <col min="2" max="2" width="35.6640625" style="392" bestFit="1" customWidth="1"/>
    <col min="3" max="3" width="14" style="392" bestFit="1" customWidth="1"/>
    <col min="4" max="5" width="15.33203125" style="392" bestFit="1" customWidth="1"/>
    <col min="6" max="6" width="12" style="392" bestFit="1" customWidth="1"/>
    <col min="7" max="7" width="1.6640625" style="392" customWidth="1"/>
    <col min="8" max="9" width="15.33203125" style="392" bestFit="1" customWidth="1"/>
    <col min="10" max="10" width="12" style="392" bestFit="1" customWidth="1"/>
    <col min="11" max="11" width="1.6640625" style="392" customWidth="1"/>
    <col min="12" max="12" width="11.109375" style="392" bestFit="1" customWidth="1"/>
    <col min="13" max="13" width="1.33203125" style="392" customWidth="1"/>
    <col min="14" max="16384" width="9.109375" style="392"/>
  </cols>
  <sheetData>
    <row r="1" spans="1:14" s="410" customFormat="1">
      <c r="B1" s="504" t="s">
        <v>0</v>
      </c>
      <c r="C1" s="504"/>
      <c r="D1" s="504"/>
      <c r="E1" s="504"/>
      <c r="F1" s="504"/>
      <c r="G1" s="504"/>
      <c r="H1" s="504"/>
      <c r="I1" s="504"/>
      <c r="J1" s="504"/>
      <c r="K1" s="504"/>
      <c r="L1" s="504"/>
    </row>
    <row r="2" spans="1:14" s="410" customFormat="1">
      <c r="B2" s="504" t="s">
        <v>604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</row>
    <row r="3" spans="1:14" s="410" customFormat="1">
      <c r="B3" s="482" t="s">
        <v>673</v>
      </c>
      <c r="C3" s="482"/>
      <c r="D3" s="482"/>
      <c r="E3" s="482"/>
      <c r="F3" s="482"/>
      <c r="G3" s="482"/>
      <c r="H3" s="482"/>
      <c r="I3" s="482"/>
      <c r="J3" s="482"/>
      <c r="K3" s="482"/>
      <c r="L3" s="482"/>
    </row>
    <row r="4" spans="1:14" s="410" customFormat="1">
      <c r="B4" s="482" t="s">
        <v>606</v>
      </c>
      <c r="C4" s="482"/>
      <c r="D4" s="482"/>
      <c r="E4" s="482"/>
      <c r="F4" s="482"/>
      <c r="G4" s="482"/>
      <c r="H4" s="482"/>
      <c r="I4" s="482"/>
      <c r="J4" s="482"/>
      <c r="K4" s="482"/>
      <c r="L4" s="482"/>
    </row>
    <row r="5" spans="1:14" s="410" customFormat="1">
      <c r="B5" s="483"/>
      <c r="C5" s="483"/>
      <c r="D5" s="483"/>
      <c r="E5" s="483"/>
      <c r="F5" s="483"/>
      <c r="G5" s="483"/>
      <c r="H5" s="483"/>
      <c r="I5" s="483"/>
      <c r="J5" s="483"/>
      <c r="K5" s="483"/>
      <c r="L5" s="483"/>
    </row>
    <row r="6" spans="1:14" s="410" customFormat="1">
      <c r="D6" s="784" t="s">
        <v>661</v>
      </c>
      <c r="E6" s="784"/>
      <c r="F6" s="784"/>
      <c r="G6" s="483"/>
      <c r="H6" s="784" t="s">
        <v>662</v>
      </c>
      <c r="I6" s="784"/>
      <c r="J6" s="784"/>
    </row>
    <row r="7" spans="1:14" s="410" customFormat="1">
      <c r="B7" s="484"/>
      <c r="C7" s="484"/>
      <c r="D7" s="484" t="s">
        <v>663</v>
      </c>
      <c r="E7" s="484" t="s">
        <v>663</v>
      </c>
      <c r="F7" s="484"/>
      <c r="G7" s="484"/>
      <c r="H7" s="484" t="s">
        <v>663</v>
      </c>
      <c r="I7" s="484" t="s">
        <v>663</v>
      </c>
      <c r="J7" s="484"/>
      <c r="K7" s="484"/>
      <c r="L7" s="484"/>
    </row>
    <row r="8" spans="1:14" s="410" customFormat="1">
      <c r="B8" s="484"/>
      <c r="C8" s="484" t="s">
        <v>664</v>
      </c>
      <c r="D8" s="485" t="s">
        <v>648</v>
      </c>
      <c r="E8" s="484" t="s">
        <v>666</v>
      </c>
      <c r="F8" s="484" t="s">
        <v>667</v>
      </c>
      <c r="G8" s="484"/>
      <c r="H8" s="484" t="s">
        <v>665</v>
      </c>
      <c r="I8" s="484" t="s">
        <v>666</v>
      </c>
      <c r="J8" s="484" t="s">
        <v>667</v>
      </c>
      <c r="K8" s="484"/>
      <c r="L8" s="484" t="s">
        <v>18</v>
      </c>
    </row>
    <row r="9" spans="1:14" s="410" customFormat="1">
      <c r="A9" s="505" t="s">
        <v>2</v>
      </c>
      <c r="B9" s="505" t="s">
        <v>579</v>
      </c>
      <c r="C9" s="505" t="s">
        <v>315</v>
      </c>
      <c r="D9" s="506" t="s">
        <v>668</v>
      </c>
      <c r="E9" s="487" t="str">
        <f>D9</f>
        <v>12ME Dec. 2023</v>
      </c>
      <c r="F9" s="488" t="s">
        <v>675</v>
      </c>
      <c r="G9" s="484"/>
      <c r="H9" s="487" t="str">
        <f>D9</f>
        <v>12ME Dec. 2023</v>
      </c>
      <c r="I9" s="487" t="str">
        <f>D9</f>
        <v>12ME Dec. 2023</v>
      </c>
      <c r="J9" s="488" t="s">
        <v>675</v>
      </c>
      <c r="K9" s="484"/>
      <c r="L9" s="489" t="s">
        <v>234</v>
      </c>
      <c r="N9" s="487" t="s">
        <v>676</v>
      </c>
    </row>
    <row r="10" spans="1:14">
      <c r="A10" s="490"/>
      <c r="B10" s="490" t="s">
        <v>106</v>
      </c>
      <c r="C10" s="490" t="s">
        <v>107</v>
      </c>
      <c r="D10" s="458" t="s">
        <v>266</v>
      </c>
      <c r="E10" s="458" t="s">
        <v>274</v>
      </c>
      <c r="F10" s="460" t="s">
        <v>669</v>
      </c>
      <c r="G10" s="458"/>
      <c r="H10" s="458" t="s">
        <v>670</v>
      </c>
      <c r="I10" s="458" t="s">
        <v>621</v>
      </c>
      <c r="J10" s="460" t="s">
        <v>671</v>
      </c>
      <c r="K10" s="460"/>
      <c r="L10" s="461" t="s">
        <v>672</v>
      </c>
    </row>
    <row r="11" spans="1:14">
      <c r="A11" s="491">
        <v>1</v>
      </c>
      <c r="B11" s="492" t="s">
        <v>11</v>
      </c>
      <c r="C11" s="492">
        <v>7</v>
      </c>
      <c r="D11" s="493">
        <f>+'Rate Impacts_RY#1'!D9</f>
        <v>10963050.375499999</v>
      </c>
      <c r="E11" s="494">
        <f>+'Rate Impacts_RY#1'!E9</f>
        <v>1252945.8622809658</v>
      </c>
      <c r="F11" s="495">
        <f>E11/D11</f>
        <v>0.11428806941186949</v>
      </c>
      <c r="G11" s="465"/>
      <c r="H11" s="466">
        <f>+D11</f>
        <v>10963050.375499999</v>
      </c>
      <c r="I11" s="494">
        <f>+'Rate Impacts_RY#1'!AN9</f>
        <v>1371660.7378289965</v>
      </c>
      <c r="J11" s="495">
        <f>I11/H11</f>
        <v>0.12511670482645559</v>
      </c>
      <c r="K11" s="496"/>
      <c r="L11" s="468">
        <f>(I11-E11)/E11</f>
        <v>9.4748607359548945E-2</v>
      </c>
      <c r="N11" s="497">
        <f>L11-'Rate Impacts_RY#1'!AP9</f>
        <v>0</v>
      </c>
    </row>
    <row r="12" spans="1:14">
      <c r="A12" s="491">
        <f>+A11+1</f>
        <v>2</v>
      </c>
      <c r="B12" s="492" t="s">
        <v>568</v>
      </c>
      <c r="C12" s="492" t="s">
        <v>62</v>
      </c>
      <c r="D12" s="493">
        <f>+'Rate Impacts_RY#1'!D10</f>
        <v>2697633</v>
      </c>
      <c r="E12" s="494">
        <f>+'Rate Impacts_RY#1'!E10</f>
        <v>318694.06554000004</v>
      </c>
      <c r="F12" s="495">
        <f t="shared" ref="F12:F25" si="0">E12/D12</f>
        <v>0.11813840709243995</v>
      </c>
      <c r="G12" s="465"/>
      <c r="H12" s="466">
        <f t="shared" ref="H12:H24" si="1">+D12</f>
        <v>2697633</v>
      </c>
      <c r="I12" s="494">
        <f>+'Rate Impacts_RY#1'!AN10</f>
        <v>335651.75139550335</v>
      </c>
      <c r="J12" s="495">
        <f t="shared" ref="J12:J23" si="2">I12/H12</f>
        <v>0.12442454232859079</v>
      </c>
      <c r="K12" s="496"/>
      <c r="L12" s="468">
        <f t="shared" ref="L12:L25" si="3">(I12-E12)/E12</f>
        <v>5.3209920387974438E-2</v>
      </c>
      <c r="N12" s="497">
        <f>L12-'Rate Impacts_RY#1'!AP10</f>
        <v>0</v>
      </c>
    </row>
    <row r="13" spans="1:14">
      <c r="A13" s="491">
        <f>+A12+1</f>
        <v>3</v>
      </c>
      <c r="B13" s="498" t="s">
        <v>570</v>
      </c>
      <c r="C13" s="492" t="s">
        <v>166</v>
      </c>
      <c r="D13" s="493">
        <f>+'Rate Impacts_RY#1'!D11</f>
        <v>2911699.0000000005</v>
      </c>
      <c r="E13" s="494">
        <f>+'Rate Impacts_RY#1'!E11</f>
        <v>315215.63184349728</v>
      </c>
      <c r="F13" s="495">
        <f t="shared" si="0"/>
        <v>0.10825831648240331</v>
      </c>
      <c r="G13" s="465"/>
      <c r="H13" s="466">
        <f t="shared" si="1"/>
        <v>2911699.0000000005</v>
      </c>
      <c r="I13" s="494">
        <f>+'Rate Impacts_RY#1'!AN11</f>
        <v>338423.54100381472</v>
      </c>
      <c r="J13" s="495">
        <f t="shared" si="2"/>
        <v>0.11622888938857165</v>
      </c>
      <c r="K13" s="496"/>
      <c r="L13" s="468">
        <f t="shared" si="3"/>
        <v>7.3625502087536182E-2</v>
      </c>
      <c r="N13" s="497">
        <f>L13-'Rate Impacts_RY#1'!AP11</f>
        <v>0</v>
      </c>
    </row>
    <row r="14" spans="1:14">
      <c r="A14" s="491">
        <f t="shared" ref="A14:A25" si="4">+A13+1</f>
        <v>4</v>
      </c>
      <c r="B14" s="498" t="s">
        <v>569</v>
      </c>
      <c r="C14" s="492" t="s">
        <v>63</v>
      </c>
      <c r="D14" s="493">
        <f>+'Rate Impacts_RY#1'!D12</f>
        <v>1831289</v>
      </c>
      <c r="E14" s="494">
        <f>+'Rate Impacts_RY#1'!E12</f>
        <v>183650.94462513478</v>
      </c>
      <c r="F14" s="495">
        <f t="shared" si="0"/>
        <v>0.100285069492109</v>
      </c>
      <c r="G14" s="465"/>
      <c r="H14" s="466">
        <f t="shared" si="1"/>
        <v>1831289</v>
      </c>
      <c r="I14" s="494">
        <f>+'Rate Impacts_RY#1'!AN12</f>
        <v>193131.05525273056</v>
      </c>
      <c r="J14" s="495">
        <f t="shared" si="2"/>
        <v>0.10546181146325379</v>
      </c>
      <c r="K14" s="496"/>
      <c r="L14" s="468">
        <f t="shared" si="3"/>
        <v>5.1620266081105183E-2</v>
      </c>
      <c r="N14" s="497">
        <f>L14-'Rate Impacts_RY#1'!AP12</f>
        <v>0</v>
      </c>
    </row>
    <row r="15" spans="1:14">
      <c r="A15" s="491">
        <f t="shared" si="4"/>
        <v>5</v>
      </c>
      <c r="B15" s="492" t="s">
        <v>571</v>
      </c>
      <c r="C15" s="492">
        <v>29</v>
      </c>
      <c r="D15" s="493">
        <f>+'Rate Impacts_RY#1'!D13</f>
        <v>15100.966499999999</v>
      </c>
      <c r="E15" s="494">
        <f>+'Rate Impacts_RY#1'!E13</f>
        <v>1428.6643270637867</v>
      </c>
      <c r="F15" s="495">
        <f t="shared" si="0"/>
        <v>9.4607476088619011E-2</v>
      </c>
      <c r="G15" s="465"/>
      <c r="H15" s="466">
        <f t="shared" si="1"/>
        <v>15100.966499999999</v>
      </c>
      <c r="I15" s="494">
        <f>+'Rate Impacts_RY#1'!AN13</f>
        <v>1546.0950863902658</v>
      </c>
      <c r="J15" s="495">
        <f t="shared" si="2"/>
        <v>0.10238384982777532</v>
      </c>
      <c r="K15" s="496"/>
      <c r="L15" s="468">
        <f t="shared" si="3"/>
        <v>8.2196186397279658E-2</v>
      </c>
      <c r="N15" s="497">
        <f>L15-'Rate Impacts_RY#1'!AP13</f>
        <v>0</v>
      </c>
    </row>
    <row r="16" spans="1:14">
      <c r="A16" s="491">
        <f t="shared" si="4"/>
        <v>6</v>
      </c>
      <c r="B16" s="498" t="s">
        <v>572</v>
      </c>
      <c r="C16" s="492" t="s">
        <v>64</v>
      </c>
      <c r="D16" s="493">
        <f>+'Rate Impacts_RY#1'!D14</f>
        <v>1332008</v>
      </c>
      <c r="E16" s="494">
        <f>+'Rate Impacts_RY#1'!E14</f>
        <v>131885.5205557844</v>
      </c>
      <c r="F16" s="495">
        <f t="shared" si="0"/>
        <v>9.9012558900385281E-2</v>
      </c>
      <c r="G16" s="465"/>
      <c r="H16" s="466">
        <f t="shared" si="1"/>
        <v>1332008</v>
      </c>
      <c r="I16" s="494">
        <f>+'Rate Impacts_RY#1'!AN14</f>
        <v>138448.41248700683</v>
      </c>
      <c r="J16" s="495">
        <f>I16/H16</f>
        <v>0.10393962535285586</v>
      </c>
      <c r="K16" s="496"/>
      <c r="L16" s="468">
        <f t="shared" si="3"/>
        <v>4.9762035313395042E-2</v>
      </c>
      <c r="N16" s="497">
        <f>L16-'Rate Impacts_RY#1'!AP14</f>
        <v>0</v>
      </c>
    </row>
    <row r="17" spans="1:14">
      <c r="A17" s="491">
        <f t="shared" si="4"/>
        <v>7</v>
      </c>
      <c r="B17" s="498" t="s">
        <v>573</v>
      </c>
      <c r="C17" s="492">
        <v>35</v>
      </c>
      <c r="D17" s="493">
        <f>+'Rate Impacts_RY#1'!D15</f>
        <v>4663</v>
      </c>
      <c r="E17" s="494">
        <f>+'Rate Impacts_RY#1'!E15</f>
        <v>311.0139698738783</v>
      </c>
      <c r="F17" s="495">
        <f t="shared" si="0"/>
        <v>6.6698256460192645E-2</v>
      </c>
      <c r="G17" s="465"/>
      <c r="H17" s="466">
        <f t="shared" si="1"/>
        <v>4663</v>
      </c>
      <c r="I17" s="494">
        <f>+'Rate Impacts_RY#1'!AN15</f>
        <v>372.62140407105153</v>
      </c>
      <c r="J17" s="495">
        <f t="shared" si="2"/>
        <v>7.9910230339063165E-2</v>
      </c>
      <c r="K17" s="496"/>
      <c r="L17" s="468">
        <f t="shared" si="3"/>
        <v>0.19808574586587266</v>
      </c>
      <c r="N17" s="497">
        <f>L17-'Rate Impacts_RY#1'!AP15</f>
        <v>0</v>
      </c>
    </row>
    <row r="18" spans="1:14">
      <c r="A18" s="491">
        <f t="shared" si="4"/>
        <v>8</v>
      </c>
      <c r="B18" s="492" t="s">
        <v>574</v>
      </c>
      <c r="C18" s="492">
        <v>43</v>
      </c>
      <c r="D18" s="493">
        <f>+'Rate Impacts_RY#1'!D16</f>
        <v>118190</v>
      </c>
      <c r="E18" s="494">
        <f>+'Rate Impacts_RY#1'!E16</f>
        <v>12421.279326430144</v>
      </c>
      <c r="F18" s="495">
        <f t="shared" si="0"/>
        <v>0.1050958568950854</v>
      </c>
      <c r="G18" s="465"/>
      <c r="H18" s="466">
        <f t="shared" si="1"/>
        <v>118190</v>
      </c>
      <c r="I18" s="494">
        <f>+'Rate Impacts_RY#1'!AN16</f>
        <v>13046.786251428652</v>
      </c>
      <c r="J18" s="495">
        <f t="shared" si="2"/>
        <v>0.11038824140306838</v>
      </c>
      <c r="K18" s="496"/>
      <c r="L18" s="468">
        <f t="shared" si="3"/>
        <v>5.0357689297554652E-2</v>
      </c>
      <c r="N18" s="497">
        <f>L18-'Rate Impacts_RY#1'!AP16</f>
        <v>0</v>
      </c>
    </row>
    <row r="19" spans="1:14">
      <c r="A19" s="491">
        <f t="shared" si="4"/>
        <v>9</v>
      </c>
      <c r="B19" s="492" t="s">
        <v>575</v>
      </c>
      <c r="C19" s="492">
        <v>46</v>
      </c>
      <c r="D19" s="493">
        <f>+'Rate Impacts_RY#1'!D17</f>
        <v>89530.525500000018</v>
      </c>
      <c r="E19" s="494">
        <f>+'Rate Impacts_RY#1'!E17</f>
        <v>6706.6978688740001</v>
      </c>
      <c r="F19" s="495">
        <f t="shared" si="0"/>
        <v>7.4909622516110427E-2</v>
      </c>
      <c r="G19" s="465"/>
      <c r="H19" s="466">
        <f t="shared" si="1"/>
        <v>89530.525500000018</v>
      </c>
      <c r="I19" s="494">
        <f>+'Rate Impacts_RY#1'!AN17</f>
        <v>6699.7040964106563</v>
      </c>
      <c r="J19" s="495">
        <f t="shared" si="2"/>
        <v>7.4831506449838214E-2</v>
      </c>
      <c r="K19" s="496"/>
      <c r="L19" s="468">
        <f t="shared" si="3"/>
        <v>-1.042804163849698E-3</v>
      </c>
      <c r="N19" s="497">
        <f>L19-'Rate Impacts_RY#1'!AP17</f>
        <v>0</v>
      </c>
    </row>
    <row r="20" spans="1:14">
      <c r="A20" s="491">
        <f t="shared" si="4"/>
        <v>10</v>
      </c>
      <c r="B20" s="498" t="s">
        <v>576</v>
      </c>
      <c r="C20" s="492">
        <v>49</v>
      </c>
      <c r="D20" s="493">
        <f>+'Rate Impacts_RY#1'!D18</f>
        <v>504715</v>
      </c>
      <c r="E20" s="494">
        <f>+'Rate Impacts_RY#1'!E18</f>
        <v>38866.047725176562</v>
      </c>
      <c r="F20" s="495">
        <f t="shared" si="0"/>
        <v>7.700592953483959E-2</v>
      </c>
      <c r="G20" s="465"/>
      <c r="H20" s="466">
        <f t="shared" si="1"/>
        <v>504715</v>
      </c>
      <c r="I20" s="494">
        <f>+'Rate Impacts_RY#1'!AN18</f>
        <v>38929.491488040876</v>
      </c>
      <c r="J20" s="495">
        <f t="shared" si="2"/>
        <v>7.7131631689252106E-2</v>
      </c>
      <c r="K20" s="496"/>
      <c r="L20" s="468">
        <f t="shared" si="3"/>
        <v>1.6323698080372641E-3</v>
      </c>
      <c r="N20" s="497">
        <f>L20-'Rate Impacts_RY#1'!AP18</f>
        <v>0</v>
      </c>
    </row>
    <row r="21" spans="1:14">
      <c r="A21" s="491">
        <f t="shared" si="4"/>
        <v>11</v>
      </c>
      <c r="B21" s="492" t="s">
        <v>577</v>
      </c>
      <c r="C21" s="492" t="s">
        <v>16</v>
      </c>
      <c r="D21" s="493">
        <f>+'Rate Impacts_RY#1'!D19</f>
        <v>62703</v>
      </c>
      <c r="E21" s="494">
        <f>+'Rate Impacts_RY#1'!E19</f>
        <v>17200.345846223234</v>
      </c>
      <c r="F21" s="495">
        <f t="shared" si="0"/>
        <v>0.27431455984918157</v>
      </c>
      <c r="G21" s="465"/>
      <c r="H21" s="466">
        <f t="shared" si="1"/>
        <v>62703</v>
      </c>
      <c r="I21" s="494">
        <f>+'Rate Impacts_RY#1'!AN19</f>
        <v>19507.723814339377</v>
      </c>
      <c r="J21" s="495">
        <f t="shared" si="2"/>
        <v>0.31111308572698876</v>
      </c>
      <c r="K21" s="496"/>
      <c r="L21" s="468">
        <f t="shared" si="3"/>
        <v>0.1341471845243615</v>
      </c>
      <c r="N21" s="497">
        <f>L21-'Rate Impacts_RY#1'!AP19</f>
        <v>0</v>
      </c>
    </row>
    <row r="22" spans="1:14">
      <c r="A22" s="491">
        <f t="shared" si="4"/>
        <v>12</v>
      </c>
      <c r="B22" s="492" t="s">
        <v>112</v>
      </c>
      <c r="C22" s="492" t="s">
        <v>17</v>
      </c>
      <c r="D22" s="493">
        <f>+'Rate Impacts_RY#1'!D20</f>
        <v>1895530</v>
      </c>
      <c r="E22" s="494">
        <f>+'Rate Impacts_RY#1'!E20</f>
        <v>11482.98</v>
      </c>
      <c r="F22" s="495">
        <f t="shared" si="0"/>
        <v>6.0579257516367455E-3</v>
      </c>
      <c r="G22" s="465"/>
      <c r="H22" s="466">
        <f t="shared" si="1"/>
        <v>1895530</v>
      </c>
      <c r="I22" s="494">
        <f>+'Rate Impacts_RY#1'!AN20</f>
        <v>11608.503294229786</v>
      </c>
      <c r="J22" s="495">
        <f t="shared" si="2"/>
        <v>6.12414643621034E-3</v>
      </c>
      <c r="K22" s="496"/>
      <c r="L22" s="468">
        <f t="shared" si="3"/>
        <v>1.0931247309477697E-2</v>
      </c>
      <c r="N22" s="497">
        <f>L22-'Rate Impacts_RY#1'!AP20</f>
        <v>0</v>
      </c>
    </row>
    <row r="23" spans="1:14">
      <c r="A23" s="491">
        <f t="shared" si="4"/>
        <v>13</v>
      </c>
      <c r="B23" s="492" t="s">
        <v>262</v>
      </c>
      <c r="C23" s="492" t="s">
        <v>262</v>
      </c>
      <c r="D23" s="493">
        <f>+'Rate Impacts_RY#1'!D21</f>
        <v>289426</v>
      </c>
      <c r="E23" s="494">
        <f>+'Rate Impacts_RY#1'!E21</f>
        <v>6419.3731384850562</v>
      </c>
      <c r="F23" s="495">
        <f t="shared" si="0"/>
        <v>2.2179669893116222E-2</v>
      </c>
      <c r="G23" s="470"/>
      <c r="H23" s="466">
        <f t="shared" si="1"/>
        <v>289426</v>
      </c>
      <c r="I23" s="494">
        <f>+'Rate Impacts_RY#1'!AN21</f>
        <v>5474.6131098225896</v>
      </c>
      <c r="J23" s="495">
        <f t="shared" si="2"/>
        <v>1.8915415718776439E-2</v>
      </c>
      <c r="K23" s="496"/>
      <c r="L23" s="468">
        <f t="shared" si="3"/>
        <v>-0.14717325325715927</v>
      </c>
      <c r="M23" s="471"/>
      <c r="N23" s="497">
        <f>L23-'Rate Impacts_RY#1'!AP21</f>
        <v>0</v>
      </c>
    </row>
    <row r="24" spans="1:14">
      <c r="A24" s="491">
        <f t="shared" si="4"/>
        <v>14</v>
      </c>
      <c r="B24" s="492" t="s">
        <v>67</v>
      </c>
      <c r="C24" s="492">
        <v>5</v>
      </c>
      <c r="D24" s="493">
        <f>+'Rate Impacts_RY#1'!D22</f>
        <v>7521</v>
      </c>
      <c r="E24" s="494">
        <f>+'Rate Impacts_RY#1'!E22</f>
        <v>371.26370234227704</v>
      </c>
      <c r="F24" s="495">
        <f t="shared" si="0"/>
        <v>4.9363608874122729E-2</v>
      </c>
      <c r="G24" s="470"/>
      <c r="H24" s="466">
        <f t="shared" si="1"/>
        <v>7521</v>
      </c>
      <c r="I24" s="494">
        <f>+'Rate Impacts_RY#1'!AN22</f>
        <v>684.14586138784273</v>
      </c>
      <c r="J24" s="495">
        <f>I24/H24</f>
        <v>9.0964746893743217E-2</v>
      </c>
      <c r="K24" s="472"/>
      <c r="L24" s="468">
        <f t="shared" si="3"/>
        <v>0.84274912163945404</v>
      </c>
      <c r="M24" s="473"/>
      <c r="N24" s="497">
        <f>L24-'Rate Impacts_RY#1'!AP22</f>
        <v>0</v>
      </c>
    </row>
    <row r="25" spans="1:14">
      <c r="A25" s="491">
        <f t="shared" si="4"/>
        <v>15</v>
      </c>
      <c r="B25" s="492"/>
      <c r="C25" s="492" t="s">
        <v>19</v>
      </c>
      <c r="D25" s="474">
        <f>SUM(D11:D24)</f>
        <v>22723058.8675</v>
      </c>
      <c r="E25" s="475">
        <f>SUM(E11:E24)</f>
        <v>2297599.6907498511</v>
      </c>
      <c r="F25" s="499">
        <f t="shared" si="0"/>
        <v>0.10111313376193501</v>
      </c>
      <c r="G25" s="500"/>
      <c r="H25" s="474">
        <f>SUM(H11:H24)</f>
        <v>22723058.8675</v>
      </c>
      <c r="I25" s="475">
        <f>SUM(I11:I24)</f>
        <v>2475185.1823741724</v>
      </c>
      <c r="J25" s="499">
        <f t="shared" ref="J25" si="5">I25/H25</f>
        <v>0.10892834441028287</v>
      </c>
      <c r="K25" s="501"/>
      <c r="L25" s="478">
        <f t="shared" si="3"/>
        <v>7.7291745963964695E-2</v>
      </c>
      <c r="M25" s="502"/>
      <c r="N25" s="497">
        <f>L25-'Rate Impacts_RY#1'!AP23</f>
        <v>-2.0816681711721685E-16</v>
      </c>
    </row>
    <row r="26" spans="1:14">
      <c r="B26" s="503" t="s">
        <v>674</v>
      </c>
      <c r="F26" s="480"/>
      <c r="I26" s="420"/>
      <c r="K26" s="471"/>
    </row>
    <row r="27" spans="1:14">
      <c r="F27" s="480"/>
    </row>
    <row r="28" spans="1:14">
      <c r="B28" s="481"/>
    </row>
  </sheetData>
  <mergeCells count="2">
    <mergeCell ref="D6:F6"/>
    <mergeCell ref="H6:J6"/>
  </mergeCells>
  <pageMargins left="0.7" right="0.7" top="0.75" bottom="0.75" header="0.3" footer="0.3"/>
  <pageSetup scale="78" orientation="landscape" r:id="rId1"/>
  <headerFooter>
    <oddFooter>&amp;L&amp;A&amp;RExhibit No.___(BDJ-7)
Page &amp;P of &amp;N</oddFooter>
  </headerFooter>
  <customProperties>
    <customPr name="_pios_id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N28"/>
  <sheetViews>
    <sheetView workbookViewId="0">
      <selection activeCell="J20" sqref="J20"/>
    </sheetView>
  </sheetViews>
  <sheetFormatPr defaultColWidth="9.109375" defaultRowHeight="10.199999999999999"/>
  <cols>
    <col min="1" max="1" width="9.109375" style="392"/>
    <col min="2" max="2" width="35.6640625" style="392" bestFit="1" customWidth="1"/>
    <col min="3" max="3" width="14" style="392" bestFit="1" customWidth="1"/>
    <col min="4" max="5" width="15.33203125" style="392" bestFit="1" customWidth="1"/>
    <col min="6" max="6" width="12" style="392" bestFit="1" customWidth="1"/>
    <col min="7" max="7" width="1.6640625" style="392" customWidth="1"/>
    <col min="8" max="9" width="15.33203125" style="392" bestFit="1" customWidth="1"/>
    <col min="10" max="10" width="12" style="392" bestFit="1" customWidth="1"/>
    <col min="11" max="11" width="1.6640625" style="392" customWidth="1"/>
    <col min="12" max="12" width="11.109375" style="392" bestFit="1" customWidth="1"/>
    <col min="13" max="13" width="1.109375" style="392" customWidth="1"/>
    <col min="14" max="16384" width="9.109375" style="392"/>
  </cols>
  <sheetData>
    <row r="1" spans="1:14" s="410" customFormat="1">
      <c r="B1" s="482" t="s">
        <v>0</v>
      </c>
      <c r="C1" s="482"/>
      <c r="D1" s="482"/>
      <c r="E1" s="482"/>
      <c r="F1" s="482"/>
      <c r="G1" s="482"/>
      <c r="H1" s="482"/>
      <c r="I1" s="482"/>
      <c r="J1" s="482"/>
      <c r="K1" s="482"/>
      <c r="L1" s="482"/>
    </row>
    <row r="2" spans="1:14" s="410" customFormat="1">
      <c r="B2" s="482" t="s">
        <v>604</v>
      </c>
      <c r="C2" s="482"/>
      <c r="D2" s="482"/>
      <c r="E2" s="482"/>
      <c r="F2" s="482"/>
      <c r="G2" s="482"/>
      <c r="H2" s="482"/>
      <c r="I2" s="482"/>
      <c r="J2" s="482"/>
      <c r="K2" s="482"/>
      <c r="L2" s="482"/>
    </row>
    <row r="3" spans="1:14" s="410" customFormat="1">
      <c r="B3" s="482" t="s">
        <v>678</v>
      </c>
      <c r="C3" s="482"/>
      <c r="D3" s="482"/>
      <c r="E3" s="482"/>
      <c r="F3" s="482"/>
      <c r="G3" s="482"/>
      <c r="H3" s="482"/>
      <c r="I3" s="482"/>
      <c r="J3" s="482"/>
      <c r="K3" s="482"/>
      <c r="L3" s="482"/>
    </row>
    <row r="4" spans="1:14" s="410" customFormat="1">
      <c r="B4" s="482" t="s">
        <v>607</v>
      </c>
      <c r="C4" s="482"/>
      <c r="D4" s="482"/>
      <c r="E4" s="482"/>
      <c r="F4" s="482"/>
      <c r="G4" s="482"/>
      <c r="H4" s="482"/>
      <c r="I4" s="482"/>
      <c r="J4" s="482"/>
      <c r="K4" s="482"/>
      <c r="L4" s="482"/>
    </row>
    <row r="5" spans="1:14" s="410" customFormat="1">
      <c r="B5" s="483"/>
      <c r="C5" s="483"/>
      <c r="D5" s="483"/>
      <c r="E5" s="483"/>
      <c r="F5" s="483"/>
      <c r="G5" s="483"/>
      <c r="H5" s="483"/>
      <c r="I5" s="483"/>
      <c r="J5" s="483"/>
      <c r="K5" s="483"/>
      <c r="L5" s="483"/>
    </row>
    <row r="6" spans="1:14" s="410" customFormat="1">
      <c r="D6" s="784" t="s">
        <v>661</v>
      </c>
      <c r="E6" s="784"/>
      <c r="F6" s="784"/>
      <c r="G6" s="483"/>
      <c r="H6" s="784" t="s">
        <v>662</v>
      </c>
      <c r="I6" s="784"/>
      <c r="J6" s="784"/>
    </row>
    <row r="7" spans="1:14" s="410" customFormat="1">
      <c r="B7" s="484"/>
      <c r="C7" s="484"/>
      <c r="D7" s="484" t="s">
        <v>663</v>
      </c>
      <c r="E7" s="484" t="s">
        <v>663</v>
      </c>
      <c r="F7" s="484"/>
      <c r="G7" s="484"/>
      <c r="H7" s="484" t="s">
        <v>663</v>
      </c>
      <c r="I7" s="484" t="s">
        <v>663</v>
      </c>
      <c r="J7" s="484"/>
      <c r="K7" s="484"/>
      <c r="L7" s="484"/>
    </row>
    <row r="8" spans="1:14" s="410" customFormat="1">
      <c r="B8" s="484"/>
      <c r="C8" s="484" t="s">
        <v>664</v>
      </c>
      <c r="D8" s="485" t="s">
        <v>648</v>
      </c>
      <c r="E8" s="484" t="s">
        <v>666</v>
      </c>
      <c r="F8" s="484" t="s">
        <v>667</v>
      </c>
      <c r="G8" s="484"/>
      <c r="H8" s="484" t="s">
        <v>665</v>
      </c>
      <c r="I8" s="484" t="s">
        <v>666</v>
      </c>
      <c r="J8" s="484" t="s">
        <v>667</v>
      </c>
      <c r="K8" s="484"/>
      <c r="L8" s="484" t="s">
        <v>18</v>
      </c>
    </row>
    <row r="9" spans="1:14" s="410" customFormat="1">
      <c r="A9" s="399" t="s">
        <v>2</v>
      </c>
      <c r="B9" s="399" t="s">
        <v>579</v>
      </c>
      <c r="C9" s="399" t="s">
        <v>315</v>
      </c>
      <c r="D9" s="486" t="s">
        <v>677</v>
      </c>
      <c r="E9" s="487" t="str">
        <f>D9</f>
        <v>12ME Dec. 2024</v>
      </c>
      <c r="F9" s="488" t="s">
        <v>675</v>
      </c>
      <c r="G9" s="484"/>
      <c r="H9" s="487" t="str">
        <f>D9</f>
        <v>12ME Dec. 2024</v>
      </c>
      <c r="I9" s="487" t="str">
        <f>D9</f>
        <v>12ME Dec. 2024</v>
      </c>
      <c r="J9" s="488" t="s">
        <v>675</v>
      </c>
      <c r="K9" s="484"/>
      <c r="L9" s="489" t="s">
        <v>234</v>
      </c>
      <c r="N9" s="487" t="s">
        <v>676</v>
      </c>
    </row>
    <row r="10" spans="1:14">
      <c r="A10" s="430"/>
      <c r="B10" s="430" t="s">
        <v>106</v>
      </c>
      <c r="C10" s="430" t="s">
        <v>107</v>
      </c>
      <c r="D10" s="458" t="s">
        <v>266</v>
      </c>
      <c r="E10" s="458" t="s">
        <v>274</v>
      </c>
      <c r="F10" s="460" t="s">
        <v>669</v>
      </c>
      <c r="G10" s="458"/>
      <c r="H10" s="458" t="s">
        <v>670</v>
      </c>
      <c r="I10" s="458" t="s">
        <v>621</v>
      </c>
      <c r="J10" s="460" t="s">
        <v>671</v>
      </c>
      <c r="K10" s="460"/>
      <c r="L10" s="461" t="s">
        <v>672</v>
      </c>
    </row>
    <row r="11" spans="1:14">
      <c r="A11" s="386">
        <v>1</v>
      </c>
      <c r="B11" s="434" t="s">
        <v>11</v>
      </c>
      <c r="C11" s="434">
        <v>7</v>
      </c>
      <c r="D11" s="462">
        <f>+'Rate Impacts_RY#2'!D9</f>
        <v>11064440.8695</v>
      </c>
      <c r="E11" s="463">
        <f>+'Rate Impacts_RY#2'!E9</f>
        <v>1384797.0741398777</v>
      </c>
      <c r="F11" s="464">
        <f>E11/D11</f>
        <v>0.12515743818173222</v>
      </c>
      <c r="G11" s="465"/>
      <c r="H11" s="466">
        <f>+D11</f>
        <v>11064440.8695</v>
      </c>
      <c r="I11" s="463">
        <f>+'Rate Impacts_RY#2'!V9</f>
        <v>1404614.0741398777</v>
      </c>
      <c r="J11" s="464">
        <f>I11/H11</f>
        <v>0.12694849118058976</v>
      </c>
      <c r="K11" s="467"/>
      <c r="L11" s="468">
        <f>(I11-E11)/E11</f>
        <v>1.4310399964058773E-2</v>
      </c>
      <c r="N11" s="469">
        <f>L11-'Rate Impacts_RY#2'!X9</f>
        <v>0</v>
      </c>
    </row>
    <row r="12" spans="1:14">
      <c r="A12" s="386">
        <f>+A11+1</f>
        <v>2</v>
      </c>
      <c r="B12" s="434" t="s">
        <v>568</v>
      </c>
      <c r="C12" s="434" t="s">
        <v>62</v>
      </c>
      <c r="D12" s="462">
        <f>+'Rate Impacts_RY#2'!D10</f>
        <v>2730372</v>
      </c>
      <c r="E12" s="463">
        <f>+'Rate Impacts_RY#2'!E10</f>
        <v>339070.43306399998</v>
      </c>
      <c r="F12" s="464">
        <f t="shared" ref="F12:F25" si="0">E12/D12</f>
        <v>0.12418470196149095</v>
      </c>
      <c r="G12" s="465"/>
      <c r="H12" s="466">
        <f t="shared" ref="H12:H24" si="1">+D12</f>
        <v>2730372</v>
      </c>
      <c r="I12" s="463">
        <f>+'Rate Impacts_RY#2'!V10</f>
        <v>342796.43306399998</v>
      </c>
      <c r="J12" s="464">
        <f t="shared" ref="J12:J23" si="2">I12/H12</f>
        <v>0.12554935117412572</v>
      </c>
      <c r="K12" s="467"/>
      <c r="L12" s="468">
        <f t="shared" ref="L12:L25" si="3">(I12-E12)/E12</f>
        <v>1.0988867316828868E-2</v>
      </c>
      <c r="N12" s="469">
        <f>L12-'Rate Impacts_RY#2'!X10</f>
        <v>0</v>
      </c>
    </row>
    <row r="13" spans="1:14">
      <c r="A13" s="386">
        <f>+A12+1</f>
        <v>3</v>
      </c>
      <c r="B13" s="391" t="s">
        <v>570</v>
      </c>
      <c r="C13" s="434" t="s">
        <v>166</v>
      </c>
      <c r="D13" s="462">
        <f>+'Rate Impacts_RY#2'!D11</f>
        <v>2948172</v>
      </c>
      <c r="E13" s="463">
        <f>+'Rate Impacts_RY#2'!E11</f>
        <v>342154.85321436683</v>
      </c>
      <c r="F13" s="464">
        <f t="shared" si="0"/>
        <v>0.11605661176293881</v>
      </c>
      <c r="G13" s="465"/>
      <c r="H13" s="466">
        <f t="shared" si="1"/>
        <v>2948172</v>
      </c>
      <c r="I13" s="463">
        <f>+'Rate Impacts_RY#2'!V11</f>
        <v>346316.85321436683</v>
      </c>
      <c r="J13" s="464">
        <f t="shared" si="2"/>
        <v>0.11746833400980906</v>
      </c>
      <c r="K13" s="467"/>
      <c r="L13" s="468">
        <f t="shared" si="3"/>
        <v>1.2164082902522572E-2</v>
      </c>
      <c r="N13" s="469">
        <f>L13-'Rate Impacts_RY#2'!X11</f>
        <v>0</v>
      </c>
    </row>
    <row r="14" spans="1:14">
      <c r="A14" s="386">
        <f t="shared" ref="A14:A25" si="4">+A13+1</f>
        <v>4</v>
      </c>
      <c r="B14" s="391" t="s">
        <v>569</v>
      </c>
      <c r="C14" s="434" t="s">
        <v>63</v>
      </c>
      <c r="D14" s="462">
        <f>+'Rate Impacts_RY#2'!D12</f>
        <v>1853862</v>
      </c>
      <c r="E14" s="463">
        <f>+'Rate Impacts_RY#2'!E12</f>
        <v>195135.74323055093</v>
      </c>
      <c r="F14" s="464">
        <f t="shared" si="0"/>
        <v>0.10525904475659512</v>
      </c>
      <c r="G14" s="465"/>
      <c r="H14" s="466">
        <f t="shared" si="1"/>
        <v>1853862</v>
      </c>
      <c r="I14" s="463">
        <f>+'Rate Impacts_RY#2'!V12</f>
        <v>197511.74323055093</v>
      </c>
      <c r="J14" s="464">
        <f t="shared" si="2"/>
        <v>0.10654069355246018</v>
      </c>
      <c r="K14" s="467"/>
      <c r="L14" s="468">
        <f t="shared" si="3"/>
        <v>1.2176139341077969E-2</v>
      </c>
      <c r="N14" s="469">
        <f>L14-'Rate Impacts_RY#2'!X12</f>
        <v>0</v>
      </c>
    </row>
    <row r="15" spans="1:14">
      <c r="A15" s="386">
        <f t="shared" si="4"/>
        <v>5</v>
      </c>
      <c r="B15" s="434" t="s">
        <v>571</v>
      </c>
      <c r="C15" s="434">
        <v>29</v>
      </c>
      <c r="D15" s="462">
        <f>+'Rate Impacts_RY#2'!D13</f>
        <v>15233.452499999999</v>
      </c>
      <c r="E15" s="463">
        <f>+'Rate Impacts_RY#2'!E13</f>
        <v>1569.0961887460082</v>
      </c>
      <c r="F15" s="464">
        <f t="shared" si="0"/>
        <v>0.10300332040592954</v>
      </c>
      <c r="G15" s="465"/>
      <c r="H15" s="466">
        <f t="shared" si="1"/>
        <v>15233.452499999999</v>
      </c>
      <c r="I15" s="463">
        <f>+'Rate Impacts_RY#2'!V13</f>
        <v>1590.0961887460082</v>
      </c>
      <c r="J15" s="464">
        <f t="shared" si="2"/>
        <v>0.10438186542059381</v>
      </c>
      <c r="K15" s="467"/>
      <c r="L15" s="468">
        <f t="shared" si="3"/>
        <v>1.3383500737952081E-2</v>
      </c>
      <c r="N15" s="469">
        <f>L15-'Rate Impacts_RY#2'!X13</f>
        <v>0</v>
      </c>
    </row>
    <row r="16" spans="1:14">
      <c r="A16" s="386">
        <f t="shared" si="4"/>
        <v>6</v>
      </c>
      <c r="B16" s="391" t="s">
        <v>572</v>
      </c>
      <c r="C16" s="434" t="s">
        <v>64</v>
      </c>
      <c r="D16" s="462">
        <f>+'Rate Impacts_RY#2'!D14</f>
        <v>1335448</v>
      </c>
      <c r="E16" s="463">
        <f>+'Rate Impacts_RY#2'!E14</f>
        <v>138561.9344936033</v>
      </c>
      <c r="F16" s="464">
        <f t="shared" si="0"/>
        <v>0.10375689243879455</v>
      </c>
      <c r="G16" s="465"/>
      <c r="H16" s="466">
        <f t="shared" si="1"/>
        <v>1335448</v>
      </c>
      <c r="I16" s="463">
        <f>+'Rate Impacts_RY#2'!V14</f>
        <v>140380.9344936033</v>
      </c>
      <c r="J16" s="464">
        <f>I16/H16</f>
        <v>0.1051189821644896</v>
      </c>
      <c r="K16" s="467"/>
      <c r="L16" s="468">
        <f t="shared" si="3"/>
        <v>1.3127703554715988E-2</v>
      </c>
      <c r="N16" s="469">
        <f>L16-'Rate Impacts_RY#2'!X14</f>
        <v>0</v>
      </c>
    </row>
    <row r="17" spans="1:14">
      <c r="A17" s="386">
        <f t="shared" si="4"/>
        <v>7</v>
      </c>
      <c r="B17" s="391" t="s">
        <v>573</v>
      </c>
      <c r="C17" s="434">
        <v>35</v>
      </c>
      <c r="D17" s="462">
        <f>+'Rate Impacts_RY#2'!D15</f>
        <v>4695</v>
      </c>
      <c r="E17" s="463">
        <f>+'Rate Impacts_RY#2'!E15</f>
        <v>376.08723693641753</v>
      </c>
      <c r="F17" s="464">
        <f t="shared" si="0"/>
        <v>8.0103777835232703E-2</v>
      </c>
      <c r="G17" s="465"/>
      <c r="H17" s="466">
        <f t="shared" si="1"/>
        <v>4695</v>
      </c>
      <c r="I17" s="463">
        <f>+'Rate Impacts_RY#2'!V15</f>
        <v>384.08723693641753</v>
      </c>
      <c r="J17" s="464">
        <f t="shared" si="2"/>
        <v>8.1807718197320023E-2</v>
      </c>
      <c r="K17" s="467"/>
      <c r="L17" s="468">
        <f t="shared" si="3"/>
        <v>2.1271660440187988E-2</v>
      </c>
      <c r="N17" s="469">
        <f>L17-'Rate Impacts_RY#2'!X15</f>
        <v>0</v>
      </c>
    </row>
    <row r="18" spans="1:14">
      <c r="A18" s="386">
        <f t="shared" si="4"/>
        <v>8</v>
      </c>
      <c r="B18" s="434" t="s">
        <v>574</v>
      </c>
      <c r="C18" s="434">
        <v>43</v>
      </c>
      <c r="D18" s="462">
        <f>+'Rate Impacts_RY#2'!D16</f>
        <v>119782</v>
      </c>
      <c r="E18" s="463">
        <f>+'Rate Impacts_RY#2'!E16</f>
        <v>13028.074082303612</v>
      </c>
      <c r="F18" s="464">
        <f t="shared" si="0"/>
        <v>0.10876487353946013</v>
      </c>
      <c r="G18" s="465"/>
      <c r="H18" s="466">
        <f t="shared" si="1"/>
        <v>119782</v>
      </c>
      <c r="I18" s="463">
        <f>+'Rate Impacts_RY#2'!V16</f>
        <v>13142.074082303612</v>
      </c>
      <c r="J18" s="464">
        <f t="shared" si="2"/>
        <v>0.10971660251376344</v>
      </c>
      <c r="K18" s="467"/>
      <c r="L18" s="468">
        <f t="shared" si="3"/>
        <v>8.7503340309408664E-3</v>
      </c>
      <c r="N18" s="469">
        <f>L18-'Rate Impacts_RY#2'!X16</f>
        <v>0</v>
      </c>
    </row>
    <row r="19" spans="1:14">
      <c r="A19" s="386">
        <f t="shared" si="4"/>
        <v>9</v>
      </c>
      <c r="B19" s="434" t="s">
        <v>575</v>
      </c>
      <c r="C19" s="434">
        <v>46</v>
      </c>
      <c r="D19" s="462">
        <f>+'Rate Impacts_RY#2'!D17</f>
        <v>89210.525500000018</v>
      </c>
      <c r="E19" s="463">
        <f>+'Rate Impacts_RY#2'!E17</f>
        <v>6684.3069567610009</v>
      </c>
      <c r="F19" s="464">
        <f t="shared" si="0"/>
        <v>7.4927335303736103E-2</v>
      </c>
      <c r="G19" s="465"/>
      <c r="H19" s="466">
        <f t="shared" si="1"/>
        <v>89210.525500000018</v>
      </c>
      <c r="I19" s="463">
        <f>+'Rate Impacts_RY#2'!V17</f>
        <v>6755.3069567610009</v>
      </c>
      <c r="J19" s="464">
        <f t="shared" si="2"/>
        <v>7.5723205517503639E-2</v>
      </c>
      <c r="K19" s="467"/>
      <c r="L19" s="468">
        <f t="shared" si="3"/>
        <v>1.0621894006256754E-2</v>
      </c>
      <c r="N19" s="469">
        <f>L19-'Rate Impacts_RY#2'!X17</f>
        <v>0</v>
      </c>
    </row>
    <row r="20" spans="1:14">
      <c r="A20" s="386">
        <f t="shared" si="4"/>
        <v>10</v>
      </c>
      <c r="B20" s="391" t="s">
        <v>576</v>
      </c>
      <c r="C20" s="434">
        <v>49</v>
      </c>
      <c r="D20" s="462">
        <f>+'Rate Impacts_RY#2'!D18</f>
        <v>499683</v>
      </c>
      <c r="E20" s="463">
        <f>+'Rate Impacts_RY#2'!E18</f>
        <v>38520.934112939227</v>
      </c>
      <c r="F20" s="464">
        <f t="shared" si="0"/>
        <v>7.7090743757420657E-2</v>
      </c>
      <c r="G20" s="465"/>
      <c r="H20" s="466">
        <f t="shared" si="1"/>
        <v>499683</v>
      </c>
      <c r="I20" s="463">
        <f>+'Rate Impacts_RY#2'!V18</f>
        <v>38962.934112939227</v>
      </c>
      <c r="J20" s="464">
        <f t="shared" si="2"/>
        <v>7.7975304568975182E-2</v>
      </c>
      <c r="K20" s="467"/>
      <c r="L20" s="468">
        <f t="shared" si="3"/>
        <v>1.1474280418644669E-2</v>
      </c>
      <c r="N20" s="469">
        <f>L20-'Rate Impacts_RY#2'!X18</f>
        <v>0</v>
      </c>
    </row>
    <row r="21" spans="1:14">
      <c r="A21" s="386">
        <f t="shared" si="4"/>
        <v>11</v>
      </c>
      <c r="B21" s="434" t="s">
        <v>577</v>
      </c>
      <c r="C21" s="434" t="s">
        <v>16</v>
      </c>
      <c r="D21" s="462">
        <f>+'Rate Impacts_RY#2'!D19</f>
        <v>61382</v>
      </c>
      <c r="E21" s="463">
        <f>+'Rate Impacts_RY#2'!E19</f>
        <v>19493.545299997822</v>
      </c>
      <c r="F21" s="464">
        <f t="shared" si="0"/>
        <v>0.31757755205105442</v>
      </c>
      <c r="G21" s="465"/>
      <c r="H21" s="466">
        <f t="shared" si="1"/>
        <v>61382</v>
      </c>
      <c r="I21" s="463">
        <f>+'Rate Impacts_RY#2'!V19</f>
        <v>19960.545299997822</v>
      </c>
      <c r="J21" s="464">
        <f t="shared" si="2"/>
        <v>0.32518564562897628</v>
      </c>
      <c r="K21" s="467"/>
      <c r="L21" s="468">
        <f t="shared" si="3"/>
        <v>2.3956647844866483E-2</v>
      </c>
      <c r="N21" s="469">
        <f>L21-'Rate Impacts_RY#2'!X19</f>
        <v>0</v>
      </c>
    </row>
    <row r="22" spans="1:14">
      <c r="A22" s="386">
        <f t="shared" si="4"/>
        <v>12</v>
      </c>
      <c r="B22" s="434" t="s">
        <v>112</v>
      </c>
      <c r="C22" s="434" t="s">
        <v>17</v>
      </c>
      <c r="D22" s="462">
        <f>+'Rate Impacts_RY#2'!D20</f>
        <v>1895104</v>
      </c>
      <c r="E22" s="463">
        <f>+'Rate Impacts_RY#2'!E20</f>
        <v>11530.090999999999</v>
      </c>
      <c r="F22" s="464">
        <f t="shared" si="0"/>
        <v>6.0841468331025621E-3</v>
      </c>
      <c r="G22" s="465"/>
      <c r="H22" s="466">
        <f t="shared" si="1"/>
        <v>1895104</v>
      </c>
      <c r="I22" s="463">
        <f>+'Rate Impacts_RY#2'!V20</f>
        <v>11550.250999999998</v>
      </c>
      <c r="J22" s="464">
        <f t="shared" si="2"/>
        <v>6.0947847717064598E-3</v>
      </c>
      <c r="K22" s="467"/>
      <c r="L22" s="468">
        <f t="shared" si="3"/>
        <v>1.7484684205874748E-3</v>
      </c>
      <c r="N22" s="469">
        <f>L22-'Rate Impacts_RY#2'!X20</f>
        <v>0</v>
      </c>
    </row>
    <row r="23" spans="1:14">
      <c r="A23" s="386">
        <f t="shared" si="4"/>
        <v>13</v>
      </c>
      <c r="B23" s="434" t="s">
        <v>262</v>
      </c>
      <c r="C23" s="434" t="s">
        <v>262</v>
      </c>
      <c r="D23" s="462">
        <f>+'Rate Impacts_RY#2'!D21</f>
        <v>289426</v>
      </c>
      <c r="E23" s="463">
        <f>+'Rate Impacts_RY#2'!E21</f>
        <v>5420.1232504366453</v>
      </c>
      <c r="F23" s="464">
        <f t="shared" si="0"/>
        <v>1.8727147009724922E-2</v>
      </c>
      <c r="G23" s="470"/>
      <c r="H23" s="466">
        <f t="shared" si="1"/>
        <v>289426</v>
      </c>
      <c r="I23" s="463">
        <f>+'Rate Impacts_RY#2'!V21</f>
        <v>5511.1232504366453</v>
      </c>
      <c r="J23" s="464">
        <f t="shared" si="2"/>
        <v>1.9041562438884708E-2</v>
      </c>
      <c r="K23" s="467"/>
      <c r="L23" s="468">
        <f t="shared" si="3"/>
        <v>1.6789286109438386E-2</v>
      </c>
      <c r="M23" s="471"/>
      <c r="N23" s="469">
        <f>L23-'Rate Impacts_RY#2'!X21</f>
        <v>0</v>
      </c>
    </row>
    <row r="24" spans="1:14">
      <c r="A24" s="386">
        <f t="shared" si="4"/>
        <v>14</v>
      </c>
      <c r="B24" s="434" t="s">
        <v>67</v>
      </c>
      <c r="C24" s="434">
        <v>5</v>
      </c>
      <c r="D24" s="462">
        <f>+'Rate Impacts_RY#2'!D22</f>
        <v>7552</v>
      </c>
      <c r="E24" s="463">
        <f>+'Rate Impacts_RY#2'!E22</f>
        <v>676.5834219176636</v>
      </c>
      <c r="F24" s="464">
        <f t="shared" si="0"/>
        <v>8.9589965825961806E-2</v>
      </c>
      <c r="G24" s="470"/>
      <c r="H24" s="466">
        <f t="shared" si="1"/>
        <v>7552</v>
      </c>
      <c r="I24" s="463">
        <f>+'Rate Impacts_RY#2'!V22</f>
        <v>666.5834219176636</v>
      </c>
      <c r="J24" s="464">
        <f>I24/H24</f>
        <v>8.8265813283588929E-2</v>
      </c>
      <c r="K24" s="472"/>
      <c r="L24" s="468">
        <f t="shared" si="3"/>
        <v>-1.4780143402947499E-2</v>
      </c>
      <c r="M24" s="473"/>
      <c r="N24" s="469">
        <f>L24-'Rate Impacts_RY#2'!X22</f>
        <v>0</v>
      </c>
    </row>
    <row r="25" spans="1:14">
      <c r="A25" s="386">
        <f t="shared" si="4"/>
        <v>15</v>
      </c>
      <c r="B25" s="434"/>
      <c r="C25" s="434" t="s">
        <v>19</v>
      </c>
      <c r="D25" s="474">
        <f>SUM(D11:D24)</f>
        <v>22914362.8475</v>
      </c>
      <c r="E25" s="475">
        <f>SUM(E11:E24)</f>
        <v>2497018.8796924367</v>
      </c>
      <c r="F25" s="476">
        <f t="shared" si="0"/>
        <v>0.10897177880574874</v>
      </c>
      <c r="G25" s="477"/>
      <c r="H25" s="474">
        <f>SUM(H11:H24)</f>
        <v>22914362.8475</v>
      </c>
      <c r="I25" s="475">
        <f>SUM(I11:I24)</f>
        <v>2530143.0396924368</v>
      </c>
      <c r="J25" s="476">
        <f t="shared" ref="J25" si="5">I25/H25</f>
        <v>0.11041734201954824</v>
      </c>
      <c r="K25" s="412"/>
      <c r="L25" s="478">
        <f t="shared" si="3"/>
        <v>1.3265482399588474E-2</v>
      </c>
      <c r="M25" s="471"/>
      <c r="N25" s="469">
        <f>L25-'Rate Impacts_RY#2'!X23</f>
        <v>5.7245874707234634E-17</v>
      </c>
    </row>
    <row r="26" spans="1:14">
      <c r="B26" s="479" t="s">
        <v>679</v>
      </c>
      <c r="F26" s="480"/>
      <c r="I26" s="420"/>
      <c r="K26" s="471"/>
    </row>
    <row r="27" spans="1:14">
      <c r="F27" s="480"/>
    </row>
    <row r="28" spans="1:14">
      <c r="B28" s="481"/>
    </row>
  </sheetData>
  <mergeCells count="2">
    <mergeCell ref="D6:F6"/>
    <mergeCell ref="H6:J6"/>
  </mergeCells>
  <pageMargins left="0.7" right="0.7" top="0.75" bottom="0.75" header="0.3" footer="0.3"/>
  <pageSetup scale="78" orientation="landscape" r:id="rId1"/>
  <headerFooter>
    <oddFooter>&amp;L&amp;A&amp;RExhibit No.___(BDJ-7)
Page &amp;P of &amp;N</oddFooter>
  </headerFooter>
  <customProperties>
    <customPr name="_pios_id" r:id="rId2"/>
  </customPropertie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N28"/>
  <sheetViews>
    <sheetView workbookViewId="0">
      <selection sqref="A1:XFD9"/>
    </sheetView>
  </sheetViews>
  <sheetFormatPr defaultColWidth="9.109375" defaultRowHeight="10.199999999999999"/>
  <cols>
    <col min="1" max="1" width="9.109375" style="392"/>
    <col min="2" max="2" width="35.6640625" style="392" bestFit="1" customWidth="1"/>
    <col min="3" max="3" width="14" style="392" bestFit="1" customWidth="1"/>
    <col min="4" max="5" width="15.33203125" style="392" bestFit="1" customWidth="1"/>
    <col min="6" max="6" width="12" style="392" bestFit="1" customWidth="1"/>
    <col min="7" max="7" width="1.6640625" style="392" customWidth="1"/>
    <col min="8" max="9" width="15.33203125" style="392" bestFit="1" customWidth="1"/>
    <col min="10" max="10" width="12" style="392" bestFit="1" customWidth="1"/>
    <col min="11" max="11" width="1.6640625" style="392" customWidth="1"/>
    <col min="12" max="12" width="11.109375" style="392" bestFit="1" customWidth="1"/>
    <col min="13" max="16384" width="9.109375" style="392"/>
  </cols>
  <sheetData>
    <row r="1" spans="1:14" s="410" customFormat="1">
      <c r="B1" s="482" t="s">
        <v>0</v>
      </c>
      <c r="C1" s="482"/>
      <c r="D1" s="482"/>
      <c r="E1" s="482"/>
      <c r="F1" s="482"/>
      <c r="G1" s="482"/>
      <c r="H1" s="482"/>
      <c r="I1" s="482"/>
      <c r="J1" s="482"/>
      <c r="K1" s="482"/>
      <c r="L1" s="482"/>
    </row>
    <row r="2" spans="1:14" s="410" customFormat="1">
      <c r="B2" s="482" t="s">
        <v>604</v>
      </c>
      <c r="C2" s="482"/>
      <c r="D2" s="482"/>
      <c r="E2" s="482"/>
      <c r="F2" s="482"/>
      <c r="G2" s="482"/>
      <c r="H2" s="482"/>
      <c r="I2" s="482"/>
      <c r="J2" s="482"/>
      <c r="K2" s="482"/>
      <c r="L2" s="482"/>
    </row>
    <row r="3" spans="1:14" s="410" customFormat="1">
      <c r="B3" s="482" t="s">
        <v>680</v>
      </c>
      <c r="C3" s="482"/>
      <c r="D3" s="482"/>
      <c r="E3" s="482"/>
      <c r="F3" s="482"/>
      <c r="G3" s="482"/>
      <c r="H3" s="482"/>
      <c r="I3" s="482"/>
      <c r="J3" s="482"/>
      <c r="K3" s="482"/>
      <c r="L3" s="482"/>
    </row>
    <row r="4" spans="1:14" s="410" customFormat="1">
      <c r="B4" s="482" t="s">
        <v>608</v>
      </c>
      <c r="C4" s="482"/>
      <c r="D4" s="482"/>
      <c r="E4" s="482"/>
      <c r="F4" s="482"/>
      <c r="G4" s="482"/>
      <c r="H4" s="482"/>
      <c r="I4" s="482"/>
      <c r="J4" s="482"/>
      <c r="K4" s="482"/>
      <c r="L4" s="482"/>
    </row>
    <row r="5" spans="1:14" s="410" customFormat="1">
      <c r="B5" s="483"/>
      <c r="C5" s="483"/>
      <c r="D5" s="483"/>
      <c r="E5" s="483"/>
      <c r="F5" s="483"/>
      <c r="G5" s="483"/>
      <c r="H5" s="483"/>
      <c r="I5" s="483"/>
      <c r="J5" s="483"/>
      <c r="K5" s="483"/>
      <c r="L5" s="483"/>
    </row>
    <row r="6" spans="1:14" s="410" customFormat="1">
      <c r="D6" s="784" t="s">
        <v>661</v>
      </c>
      <c r="E6" s="784"/>
      <c r="F6" s="784"/>
      <c r="G6" s="483"/>
      <c r="H6" s="784" t="s">
        <v>662</v>
      </c>
      <c r="I6" s="784"/>
      <c r="J6" s="784"/>
    </row>
    <row r="7" spans="1:14" s="410" customFormat="1">
      <c r="B7" s="484"/>
      <c r="C7" s="484"/>
      <c r="D7" s="484" t="s">
        <v>663</v>
      </c>
      <c r="E7" s="484" t="s">
        <v>663</v>
      </c>
      <c r="F7" s="484"/>
      <c r="G7" s="484"/>
      <c r="H7" s="484" t="s">
        <v>663</v>
      </c>
      <c r="I7" s="484" t="s">
        <v>663</v>
      </c>
      <c r="J7" s="484"/>
      <c r="K7" s="484"/>
      <c r="L7" s="484"/>
    </row>
    <row r="8" spans="1:14" s="410" customFormat="1">
      <c r="B8" s="484"/>
      <c r="C8" s="484" t="s">
        <v>664</v>
      </c>
      <c r="D8" s="485" t="s">
        <v>648</v>
      </c>
      <c r="E8" s="484" t="s">
        <v>666</v>
      </c>
      <c r="F8" s="484" t="s">
        <v>667</v>
      </c>
      <c r="G8" s="484"/>
      <c r="H8" s="484" t="s">
        <v>665</v>
      </c>
      <c r="I8" s="484" t="s">
        <v>666</v>
      </c>
      <c r="J8" s="484" t="s">
        <v>667</v>
      </c>
      <c r="K8" s="484"/>
      <c r="L8" s="484" t="s">
        <v>18</v>
      </c>
    </row>
    <row r="9" spans="1:14" s="410" customFormat="1">
      <c r="A9" s="399" t="s">
        <v>2</v>
      </c>
      <c r="B9" s="399" t="s">
        <v>579</v>
      </c>
      <c r="C9" s="399" t="s">
        <v>315</v>
      </c>
      <c r="D9" s="486" t="s">
        <v>682</v>
      </c>
      <c r="E9" s="487" t="str">
        <f>D9</f>
        <v>12ME Dec. 2025</v>
      </c>
      <c r="F9" s="488" t="s">
        <v>675</v>
      </c>
      <c r="G9" s="484"/>
      <c r="H9" s="487" t="str">
        <f>D9</f>
        <v>12ME Dec. 2025</v>
      </c>
      <c r="I9" s="487" t="str">
        <f>D9</f>
        <v>12ME Dec. 2025</v>
      </c>
      <c r="J9" s="488" t="s">
        <v>675</v>
      </c>
      <c r="K9" s="484"/>
      <c r="L9" s="489" t="s">
        <v>234</v>
      </c>
      <c r="N9" s="487" t="s">
        <v>676</v>
      </c>
    </row>
    <row r="10" spans="1:14">
      <c r="A10" s="430"/>
      <c r="B10" s="430" t="s">
        <v>106</v>
      </c>
      <c r="C10" s="430" t="s">
        <v>107</v>
      </c>
      <c r="D10" s="458" t="s">
        <v>266</v>
      </c>
      <c r="E10" s="458" t="s">
        <v>274</v>
      </c>
      <c r="F10" s="460" t="s">
        <v>669</v>
      </c>
      <c r="G10" s="458"/>
      <c r="H10" s="458" t="s">
        <v>670</v>
      </c>
      <c r="I10" s="458" t="s">
        <v>621</v>
      </c>
      <c r="J10" s="460" t="s">
        <v>671</v>
      </c>
      <c r="K10" s="460"/>
      <c r="L10" s="461" t="s">
        <v>672</v>
      </c>
    </row>
    <row r="11" spans="1:14">
      <c r="A11" s="386">
        <v>1</v>
      </c>
      <c r="B11" s="434" t="s">
        <v>11</v>
      </c>
      <c r="C11" s="434">
        <v>7</v>
      </c>
      <c r="D11" s="462"/>
      <c r="E11" s="463"/>
      <c r="F11" s="464"/>
      <c r="G11" s="465"/>
      <c r="H11" s="466"/>
      <c r="I11" s="463"/>
      <c r="J11" s="464"/>
      <c r="K11" s="467"/>
      <c r="L11" s="468"/>
      <c r="N11" s="469"/>
    </row>
    <row r="12" spans="1:14">
      <c r="A12" s="386">
        <f>+A11+1</f>
        <v>2</v>
      </c>
      <c r="B12" s="434" t="s">
        <v>568</v>
      </c>
      <c r="C12" s="434" t="s">
        <v>62</v>
      </c>
      <c r="D12" s="462"/>
      <c r="E12" s="463"/>
      <c r="F12" s="464"/>
      <c r="G12" s="465"/>
      <c r="H12" s="466"/>
      <c r="I12" s="463"/>
      <c r="J12" s="464"/>
      <c r="K12" s="467"/>
      <c r="L12" s="468"/>
      <c r="N12" s="469"/>
    </row>
    <row r="13" spans="1:14">
      <c r="A13" s="386">
        <f>+A12+1</f>
        <v>3</v>
      </c>
      <c r="B13" s="391" t="s">
        <v>570</v>
      </c>
      <c r="C13" s="434" t="s">
        <v>166</v>
      </c>
      <c r="D13" s="462"/>
      <c r="E13" s="463"/>
      <c r="F13" s="464"/>
      <c r="G13" s="465"/>
      <c r="H13" s="466"/>
      <c r="I13" s="463"/>
      <c r="J13" s="464"/>
      <c r="K13" s="467"/>
      <c r="L13" s="468"/>
      <c r="N13" s="469"/>
    </row>
    <row r="14" spans="1:14">
      <c r="A14" s="386">
        <f t="shared" ref="A14:A25" si="0">+A13+1</f>
        <v>4</v>
      </c>
      <c r="B14" s="391" t="s">
        <v>569</v>
      </c>
      <c r="C14" s="434" t="s">
        <v>63</v>
      </c>
      <c r="D14" s="462"/>
      <c r="E14" s="463"/>
      <c r="F14" s="464"/>
      <c r="G14" s="465"/>
      <c r="H14" s="466"/>
      <c r="I14" s="463"/>
      <c r="J14" s="464"/>
      <c r="K14" s="467"/>
      <c r="L14" s="468"/>
      <c r="N14" s="469"/>
    </row>
    <row r="15" spans="1:14">
      <c r="A15" s="386">
        <f t="shared" si="0"/>
        <v>5</v>
      </c>
      <c r="B15" s="434" t="s">
        <v>571</v>
      </c>
      <c r="C15" s="434">
        <v>29</v>
      </c>
      <c r="D15" s="462"/>
      <c r="E15" s="463"/>
      <c r="F15" s="464"/>
      <c r="G15" s="465"/>
      <c r="H15" s="466"/>
      <c r="I15" s="463"/>
      <c r="J15" s="464"/>
      <c r="K15" s="467"/>
      <c r="L15" s="468"/>
      <c r="N15" s="469"/>
    </row>
    <row r="16" spans="1:14">
      <c r="A16" s="386">
        <f t="shared" si="0"/>
        <v>6</v>
      </c>
      <c r="B16" s="391" t="s">
        <v>572</v>
      </c>
      <c r="C16" s="434" t="s">
        <v>64</v>
      </c>
      <c r="D16" s="462"/>
      <c r="E16" s="463"/>
      <c r="F16" s="464"/>
      <c r="G16" s="465"/>
      <c r="H16" s="466"/>
      <c r="I16" s="463"/>
      <c r="J16" s="464"/>
      <c r="K16" s="467"/>
      <c r="L16" s="468"/>
      <c r="N16" s="469"/>
    </row>
    <row r="17" spans="1:14">
      <c r="A17" s="386">
        <f t="shared" si="0"/>
        <v>7</v>
      </c>
      <c r="B17" s="391" t="s">
        <v>573</v>
      </c>
      <c r="C17" s="434">
        <v>35</v>
      </c>
      <c r="D17" s="462"/>
      <c r="E17" s="463"/>
      <c r="F17" s="464"/>
      <c r="G17" s="465"/>
      <c r="H17" s="466"/>
      <c r="I17" s="463"/>
      <c r="J17" s="464"/>
      <c r="K17" s="467"/>
      <c r="L17" s="468"/>
      <c r="N17" s="469"/>
    </row>
    <row r="18" spans="1:14">
      <c r="A18" s="386">
        <f t="shared" si="0"/>
        <v>8</v>
      </c>
      <c r="B18" s="434" t="s">
        <v>574</v>
      </c>
      <c r="C18" s="434">
        <v>43</v>
      </c>
      <c r="D18" s="462"/>
      <c r="E18" s="463"/>
      <c r="F18" s="464"/>
      <c r="G18" s="465"/>
      <c r="H18" s="466"/>
      <c r="I18" s="463"/>
      <c r="J18" s="464"/>
      <c r="K18" s="467"/>
      <c r="L18" s="468"/>
      <c r="N18" s="469"/>
    </row>
    <row r="19" spans="1:14">
      <c r="A19" s="386">
        <f t="shared" si="0"/>
        <v>9</v>
      </c>
      <c r="B19" s="434" t="s">
        <v>575</v>
      </c>
      <c r="C19" s="434">
        <v>46</v>
      </c>
      <c r="D19" s="462"/>
      <c r="E19" s="463"/>
      <c r="F19" s="464"/>
      <c r="G19" s="465"/>
      <c r="H19" s="466"/>
      <c r="I19" s="463"/>
      <c r="J19" s="464"/>
      <c r="K19" s="467"/>
      <c r="L19" s="468"/>
      <c r="N19" s="469"/>
    </row>
    <row r="20" spans="1:14">
      <c r="A20" s="386">
        <f t="shared" si="0"/>
        <v>10</v>
      </c>
      <c r="B20" s="391" t="s">
        <v>576</v>
      </c>
      <c r="C20" s="434">
        <v>49</v>
      </c>
      <c r="D20" s="462"/>
      <c r="E20" s="463"/>
      <c r="F20" s="464"/>
      <c r="G20" s="465"/>
      <c r="H20" s="466"/>
      <c r="I20" s="463"/>
      <c r="J20" s="464"/>
      <c r="K20" s="467"/>
      <c r="L20" s="468"/>
      <c r="N20" s="469"/>
    </row>
    <row r="21" spans="1:14">
      <c r="A21" s="386">
        <f t="shared" si="0"/>
        <v>11</v>
      </c>
      <c r="B21" s="434" t="s">
        <v>577</v>
      </c>
      <c r="C21" s="434" t="s">
        <v>16</v>
      </c>
      <c r="D21" s="462"/>
      <c r="E21" s="463"/>
      <c r="F21" s="464"/>
      <c r="G21" s="465"/>
      <c r="H21" s="466"/>
      <c r="I21" s="463"/>
      <c r="J21" s="464"/>
      <c r="K21" s="467"/>
      <c r="L21" s="468"/>
      <c r="N21" s="469"/>
    </row>
    <row r="22" spans="1:14">
      <c r="A22" s="386">
        <f t="shared" si="0"/>
        <v>12</v>
      </c>
      <c r="B22" s="434" t="s">
        <v>112</v>
      </c>
      <c r="C22" s="434" t="s">
        <v>17</v>
      </c>
      <c r="D22" s="462"/>
      <c r="E22" s="463"/>
      <c r="F22" s="464"/>
      <c r="G22" s="465"/>
      <c r="H22" s="466"/>
      <c r="I22" s="463"/>
      <c r="J22" s="464"/>
      <c r="K22" s="467"/>
      <c r="L22" s="468"/>
      <c r="N22" s="469"/>
    </row>
    <row r="23" spans="1:14">
      <c r="A23" s="386">
        <f t="shared" si="0"/>
        <v>13</v>
      </c>
      <c r="B23" s="434" t="s">
        <v>262</v>
      </c>
      <c r="C23" s="434" t="s">
        <v>262</v>
      </c>
      <c r="D23" s="462"/>
      <c r="E23" s="463"/>
      <c r="F23" s="464"/>
      <c r="G23" s="470"/>
      <c r="H23" s="466"/>
      <c r="I23" s="463"/>
      <c r="J23" s="464"/>
      <c r="K23" s="467"/>
      <c r="L23" s="468"/>
      <c r="M23" s="471"/>
      <c r="N23" s="469"/>
    </row>
    <row r="24" spans="1:14">
      <c r="A24" s="386">
        <f t="shared" si="0"/>
        <v>14</v>
      </c>
      <c r="B24" s="434" t="s">
        <v>67</v>
      </c>
      <c r="C24" s="434">
        <v>5</v>
      </c>
      <c r="D24" s="462"/>
      <c r="E24" s="463"/>
      <c r="F24" s="464"/>
      <c r="G24" s="470"/>
      <c r="H24" s="466"/>
      <c r="I24" s="463"/>
      <c r="J24" s="464"/>
      <c r="K24" s="472"/>
      <c r="L24" s="468"/>
      <c r="M24" s="473"/>
      <c r="N24" s="469"/>
    </row>
    <row r="25" spans="1:14">
      <c r="A25" s="386">
        <f t="shared" si="0"/>
        <v>15</v>
      </c>
      <c r="B25" s="434"/>
      <c r="C25" s="434" t="s">
        <v>19</v>
      </c>
      <c r="D25" s="474"/>
      <c r="E25" s="475"/>
      <c r="F25" s="476"/>
      <c r="G25" s="477"/>
      <c r="H25" s="474"/>
      <c r="I25" s="475"/>
      <c r="J25" s="476"/>
      <c r="K25" s="412"/>
      <c r="L25" s="478"/>
      <c r="M25" s="471"/>
      <c r="N25" s="469"/>
    </row>
    <row r="26" spans="1:14">
      <c r="B26" s="479" t="s">
        <v>681</v>
      </c>
      <c r="F26" s="480"/>
      <c r="I26" s="420"/>
      <c r="K26" s="471"/>
    </row>
    <row r="27" spans="1:14">
      <c r="F27" s="480"/>
    </row>
    <row r="28" spans="1:14">
      <c r="B28" s="481"/>
    </row>
  </sheetData>
  <mergeCells count="2">
    <mergeCell ref="D6:F6"/>
    <mergeCell ref="H6:J6"/>
  </mergeCells>
  <pageMargins left="0.7" right="0.7" top="0.75" bottom="0.75" header="0.3" footer="0.3"/>
  <pageSetup scale="78" orientation="landscape" r:id="rId1"/>
  <headerFooter>
    <oddFooter>&amp;L&amp;A&amp;RExhibit No.___(BDJ-7)
Page &amp;P of &amp;N</oddFooter>
  </headerFooter>
  <customProperties>
    <customPr name="_pios_id" r:id="rId2"/>
  </customPropertie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"/>
  <sheetViews>
    <sheetView workbookViewId="0">
      <selection activeCell="U35" sqref="U35"/>
    </sheetView>
  </sheetViews>
  <sheetFormatPr defaultRowHeight="13.2"/>
  <sheetData/>
  <pageMargins left="0.7" right="0.7" top="0.75" bottom="0.75" header="0.3" footer="0.3"/>
  <customProperties>
    <customPr name="_pios_id" r:id="rId1"/>
  </customPropertie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30"/>
  <sheetViews>
    <sheetView zoomScaleNormal="100" workbookViewId="0">
      <pane xSplit="5" ySplit="7" topLeftCell="R8" activePane="bottomRight" state="frozen"/>
      <selection pane="topRight"/>
      <selection pane="bottomLeft"/>
      <selection pane="bottomRight" activeCell="AF7" sqref="AF7"/>
    </sheetView>
  </sheetViews>
  <sheetFormatPr defaultColWidth="6.33203125" defaultRowHeight="10.199999999999999"/>
  <cols>
    <col min="1" max="1" width="4.44140625" style="387" bestFit="1" customWidth="1"/>
    <col min="2" max="2" width="20.33203125" style="387" bestFit="1" customWidth="1"/>
    <col min="3" max="3" width="12.33203125" style="387" bestFit="1" customWidth="1"/>
    <col min="4" max="4" width="13.33203125" style="387" bestFit="1" customWidth="1"/>
    <col min="5" max="5" width="13.6640625" style="387" bestFit="1" customWidth="1"/>
    <col min="6" max="7" width="10.44140625" style="387" bestFit="1" customWidth="1"/>
    <col min="8" max="8" width="14.5546875" style="387" bestFit="1" customWidth="1"/>
    <col min="9" max="9" width="11.5546875" style="387" bestFit="1" customWidth="1"/>
    <col min="10" max="14" width="11.33203125" style="387" bestFit="1" customWidth="1"/>
    <col min="15" max="16" width="12.109375" style="387" bestFit="1" customWidth="1"/>
    <col min="17" max="17" width="11.33203125" style="387" bestFit="1" customWidth="1"/>
    <col min="18" max="18" width="11.88671875" style="387" bestFit="1" customWidth="1"/>
    <col min="19" max="19" width="11.5546875" style="387" bestFit="1" customWidth="1"/>
    <col min="20" max="20" width="8.5546875" style="387" bestFit="1" customWidth="1"/>
    <col min="21" max="21" width="12.33203125" style="387" bestFit="1" customWidth="1"/>
    <col min="22" max="22" width="1.6640625" style="387" customWidth="1"/>
    <col min="23" max="23" width="12.5546875" style="387" bestFit="1" customWidth="1"/>
    <col min="24" max="24" width="8.5546875" style="387" bestFit="1" customWidth="1"/>
    <col min="25" max="26" width="10.44140625" style="387" bestFit="1" customWidth="1"/>
    <col min="27" max="27" width="11.33203125" style="387" bestFit="1" customWidth="1"/>
    <col min="28" max="28" width="8.33203125" style="387" bestFit="1" customWidth="1"/>
    <col min="29" max="29" width="11.88671875" style="387" bestFit="1" customWidth="1"/>
    <col min="30" max="30" width="11.33203125" style="387" bestFit="1" customWidth="1"/>
    <col min="31" max="31" width="12.6640625" style="387" bestFit="1" customWidth="1"/>
    <col min="32" max="32" width="12.44140625" style="387" bestFit="1" customWidth="1"/>
    <col min="33" max="33" width="13.5546875" style="387" bestFit="1" customWidth="1"/>
    <col min="34" max="34" width="12.33203125" style="387" bestFit="1" customWidth="1"/>
    <col min="35" max="35" width="12.44140625" style="387" bestFit="1" customWidth="1"/>
    <col min="36" max="36" width="12.33203125" style="387" bestFit="1" customWidth="1"/>
    <col min="37" max="37" width="8.33203125" style="387" bestFit="1" customWidth="1"/>
    <col min="38" max="38" width="11.44140625" style="387" bestFit="1" customWidth="1"/>
    <col min="39" max="39" width="7.6640625" style="387" bestFit="1" customWidth="1"/>
    <col min="40" max="40" width="10.5546875" style="387" bestFit="1" customWidth="1"/>
    <col min="41" max="16384" width="6.33203125" style="387"/>
  </cols>
  <sheetData>
    <row r="1" spans="1:43" s="409" customFormat="1">
      <c r="A1" s="772" t="s">
        <v>0</v>
      </c>
      <c r="B1" s="772"/>
      <c r="C1" s="772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436"/>
      <c r="X1" s="436"/>
      <c r="Y1" s="436"/>
      <c r="Z1" s="436"/>
      <c r="AA1" s="436"/>
      <c r="AB1" s="436"/>
      <c r="AC1" s="436"/>
      <c r="AD1" s="436"/>
      <c r="AE1" s="436"/>
      <c r="AF1" s="436"/>
      <c r="AG1" s="436"/>
      <c r="AH1" s="436"/>
      <c r="AI1" s="436"/>
      <c r="AJ1" s="436"/>
      <c r="AK1" s="436"/>
      <c r="AL1" s="436"/>
      <c r="AM1" s="436"/>
    </row>
    <row r="2" spans="1:43" s="409" customFormat="1">
      <c r="A2" s="772" t="s">
        <v>61</v>
      </c>
      <c r="B2" s="772"/>
      <c r="C2" s="772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</row>
    <row r="3" spans="1:43" s="409" customFormat="1">
      <c r="A3" s="773" t="s">
        <v>302</v>
      </c>
      <c r="B3" s="773"/>
      <c r="C3" s="772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</row>
    <row r="4" spans="1:43" s="409" customFormat="1">
      <c r="A4" s="772" t="s">
        <v>174</v>
      </c>
      <c r="B4" s="772"/>
      <c r="C4" s="772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6"/>
      <c r="AB4" s="436"/>
      <c r="AC4" s="436"/>
      <c r="AD4" s="436"/>
      <c r="AE4" s="436"/>
      <c r="AF4" s="436"/>
      <c r="AG4" s="436"/>
      <c r="AH4" s="436"/>
      <c r="AI4" s="436"/>
      <c r="AJ4" s="436"/>
      <c r="AK4" s="436"/>
      <c r="AL4" s="436"/>
      <c r="AM4" s="436"/>
    </row>
    <row r="5" spans="1:43" s="409" customFormat="1" ht="10.8" thickBot="1">
      <c r="A5" s="773" t="s">
        <v>303</v>
      </c>
      <c r="B5" s="773"/>
      <c r="C5" s="772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</row>
    <row r="6" spans="1:43" s="409" customFormat="1" ht="10.8" thickBot="1">
      <c r="A6" s="411"/>
      <c r="B6" s="411"/>
      <c r="C6" s="398"/>
      <c r="D6" s="398"/>
      <c r="E6" s="398"/>
      <c r="F6" s="43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437"/>
      <c r="V6" s="437"/>
      <c r="W6" s="437"/>
      <c r="X6" s="437"/>
      <c r="Y6" s="789" t="s">
        <v>1</v>
      </c>
      <c r="Z6" s="787"/>
      <c r="AA6" s="787"/>
      <c r="AB6" s="787"/>
      <c r="AC6" s="788"/>
      <c r="AD6" s="785" t="s">
        <v>500</v>
      </c>
      <c r="AE6" s="786"/>
      <c r="AF6" s="787"/>
      <c r="AG6" s="787"/>
      <c r="AH6" s="788"/>
      <c r="AI6" s="457"/>
    </row>
    <row r="7" spans="1:43" s="409" customFormat="1" ht="51">
      <c r="A7" s="399" t="s">
        <v>2</v>
      </c>
      <c r="B7" s="399" t="s">
        <v>579</v>
      </c>
      <c r="C7" s="399" t="s">
        <v>315</v>
      </c>
      <c r="D7" s="400" t="s">
        <v>521</v>
      </c>
      <c r="E7" s="438" t="s">
        <v>289</v>
      </c>
      <c r="F7" s="438" t="s">
        <v>4</v>
      </c>
      <c r="G7" s="438" t="s">
        <v>456</v>
      </c>
      <c r="H7" s="438" t="s">
        <v>5</v>
      </c>
      <c r="I7" s="438" t="s">
        <v>6</v>
      </c>
      <c r="J7" s="438" t="s">
        <v>7</v>
      </c>
      <c r="K7" s="438" t="s">
        <v>264</v>
      </c>
      <c r="L7" s="438" t="s">
        <v>460</v>
      </c>
      <c r="M7" s="438" t="s">
        <v>8</v>
      </c>
      <c r="N7" s="438" t="s">
        <v>9</v>
      </c>
      <c r="O7" s="438" t="s">
        <v>258</v>
      </c>
      <c r="P7" s="438" t="s">
        <v>286</v>
      </c>
      <c r="Q7" s="438" t="s">
        <v>257</v>
      </c>
      <c r="R7" s="438" t="s">
        <v>457</v>
      </c>
      <c r="S7" s="438" t="s">
        <v>469</v>
      </c>
      <c r="T7" s="438" t="s">
        <v>173</v>
      </c>
      <c r="U7" s="438" t="s">
        <v>287</v>
      </c>
      <c r="V7" s="439"/>
      <c r="W7" s="438" t="s">
        <v>510</v>
      </c>
      <c r="X7" s="438" t="s">
        <v>173</v>
      </c>
      <c r="Y7" s="438" t="str">
        <f>+F7</f>
        <v>Schedule 95
PCORC</v>
      </c>
      <c r="Z7" s="438" t="str">
        <f>+G7</f>
        <v>Schedule 95
PCA Imbalance</v>
      </c>
      <c r="AA7" s="438" t="str">
        <f>+L7</f>
        <v>Schedule 139
Green Direct</v>
      </c>
      <c r="AB7" s="438" t="str">
        <f>+O7</f>
        <v>Schedule 141x
Tax</v>
      </c>
      <c r="AC7" s="438" t="str">
        <f>+R7</f>
        <v>Schedule
142
Supplemental</v>
      </c>
      <c r="AD7" s="438" t="str">
        <f>+AA7</f>
        <v>Schedule 139
Green Direct</v>
      </c>
      <c r="AE7" s="438" t="s">
        <v>827</v>
      </c>
      <c r="AF7" s="438" t="s">
        <v>896</v>
      </c>
      <c r="AG7" s="438" t="s">
        <v>494</v>
      </c>
      <c r="AH7" s="438" t="s">
        <v>495</v>
      </c>
      <c r="AI7" s="438" t="s">
        <v>265</v>
      </c>
      <c r="AJ7" s="438" t="s">
        <v>290</v>
      </c>
      <c r="AK7" s="438" t="s">
        <v>291</v>
      </c>
      <c r="AL7" s="438" t="s">
        <v>288</v>
      </c>
      <c r="AM7" s="400" t="s">
        <v>292</v>
      </c>
      <c r="AN7" s="400" t="s">
        <v>293</v>
      </c>
    </row>
    <row r="8" spans="1:43" s="433" customFormat="1" ht="20.399999999999999">
      <c r="A8" s="430"/>
      <c r="B8" s="430"/>
      <c r="C8" s="430"/>
      <c r="D8" s="431" t="s">
        <v>73</v>
      </c>
      <c r="E8" s="432" t="s">
        <v>74</v>
      </c>
      <c r="F8" s="432" t="s">
        <v>75</v>
      </c>
      <c r="G8" s="432" t="s">
        <v>76</v>
      </c>
      <c r="H8" s="432" t="s">
        <v>159</v>
      </c>
      <c r="I8" s="432" t="s">
        <v>160</v>
      </c>
      <c r="J8" s="432" t="s">
        <v>161</v>
      </c>
      <c r="K8" s="432" t="s">
        <v>169</v>
      </c>
      <c r="L8" s="432" t="s">
        <v>170</v>
      </c>
      <c r="M8" s="432" t="s">
        <v>171</v>
      </c>
      <c r="N8" s="432" t="s">
        <v>172</v>
      </c>
      <c r="O8" s="432" t="s">
        <v>259</v>
      </c>
      <c r="P8" s="432" t="s">
        <v>458</v>
      </c>
      <c r="Q8" s="432" t="s">
        <v>459</v>
      </c>
      <c r="R8" s="440" t="s">
        <v>260</v>
      </c>
      <c r="S8" s="440" t="s">
        <v>461</v>
      </c>
      <c r="T8" s="432" t="s">
        <v>470</v>
      </c>
      <c r="U8" s="432" t="s">
        <v>471</v>
      </c>
      <c r="V8" s="432"/>
      <c r="W8" s="432" t="s">
        <v>472</v>
      </c>
      <c r="X8" s="432" t="s">
        <v>473</v>
      </c>
      <c r="Y8" s="432" t="s">
        <v>476</v>
      </c>
      <c r="Z8" s="432" t="s">
        <v>477</v>
      </c>
      <c r="AA8" s="432" t="s">
        <v>496</v>
      </c>
      <c r="AB8" s="432" t="s">
        <v>497</v>
      </c>
      <c r="AC8" s="432" t="s">
        <v>533</v>
      </c>
      <c r="AD8" s="432" t="s">
        <v>534</v>
      </c>
      <c r="AE8" s="432" t="s">
        <v>478</v>
      </c>
      <c r="AF8" s="432" t="s">
        <v>479</v>
      </c>
      <c r="AG8" s="432" t="s">
        <v>480</v>
      </c>
      <c r="AH8" s="432" t="s">
        <v>689</v>
      </c>
      <c r="AI8" s="432" t="s">
        <v>801</v>
      </c>
      <c r="AJ8" s="432" t="s">
        <v>802</v>
      </c>
      <c r="AK8" s="432" t="s">
        <v>803</v>
      </c>
      <c r="AL8" s="432" t="s">
        <v>804</v>
      </c>
      <c r="AM8" s="432" t="s">
        <v>805</v>
      </c>
      <c r="AN8" s="431" t="s">
        <v>806</v>
      </c>
    </row>
    <row r="9" spans="1:43">
      <c r="A9" s="386">
        <v>1</v>
      </c>
      <c r="B9" s="434" t="s">
        <v>11</v>
      </c>
      <c r="C9" s="434">
        <v>7</v>
      </c>
      <c r="D9" s="388">
        <f>'[1]Exhibit No.__(BDJ-Prof-Prop)'!I17</f>
        <v>11355354.571603522</v>
      </c>
      <c r="E9" s="403">
        <f>'[1]Exhibit No.__(BDJ-Prof-Prop)'!L17</f>
        <v>1231055.182</v>
      </c>
      <c r="F9" s="403">
        <f>+'Sch 95 PCORC'!G7</f>
        <v>37634</v>
      </c>
      <c r="G9" s="403">
        <f>+'Sch 95 Imbalance'!G7</f>
        <v>24239</v>
      </c>
      <c r="H9" s="403">
        <f>+'Sch 95a'!F7</f>
        <v>-15795</v>
      </c>
      <c r="I9" s="403">
        <f>+'Sch 120'!F7</f>
        <v>43434</v>
      </c>
      <c r="J9" s="403">
        <f>+'Sch 129'!F7</f>
        <v>15352</v>
      </c>
      <c r="K9" s="403">
        <f>+'Sch 137'!F7</f>
        <v>-238</v>
      </c>
      <c r="L9" s="721">
        <f>+'Sch 139'!O7</f>
        <v>0</v>
      </c>
      <c r="M9" s="403">
        <f>+'Sch 140'!F7</f>
        <v>34884</v>
      </c>
      <c r="N9" s="403">
        <f>+'Sch 141'!F7</f>
        <v>0</v>
      </c>
      <c r="O9" s="403">
        <f>+'Sch 141X'!G7</f>
        <v>9652</v>
      </c>
      <c r="P9" s="403">
        <f>+'Sch 141Z'!F7</f>
        <v>-10038</v>
      </c>
      <c r="Q9" s="403">
        <f>+'Sch 142'!H7</f>
        <v>-4735</v>
      </c>
      <c r="R9" s="403">
        <f>+'Sch 142'!K7</f>
        <v>3566</v>
      </c>
      <c r="S9" s="403">
        <f>+'Sch 194'!F7</f>
        <v>-75958</v>
      </c>
      <c r="T9" s="403">
        <f t="shared" ref="T9:T22" si="0">SUM(G9:S9)</f>
        <v>24363</v>
      </c>
      <c r="U9" s="403">
        <f t="shared" ref="U9:U22" si="1">SUM(T9,E9)</f>
        <v>1255418.182</v>
      </c>
      <c r="V9" s="412"/>
      <c r="W9" s="403">
        <f>'[1]Exhibit No.__(BDJ-Prof-Prop)'!N17</f>
        <v>1207350</v>
      </c>
      <c r="X9" s="403">
        <f>+T9</f>
        <v>24363</v>
      </c>
      <c r="Y9" s="403">
        <f>-F9</f>
        <v>-37634</v>
      </c>
      <c r="Z9" s="403">
        <f>-G9</f>
        <v>-24239</v>
      </c>
      <c r="AA9" s="403">
        <f t="shared" ref="AA9:AA22" si="2">-L9</f>
        <v>0</v>
      </c>
      <c r="AB9" s="403">
        <f>-O9</f>
        <v>-9652</v>
      </c>
      <c r="AC9" s="403">
        <f t="shared" ref="AC9:AC22" si="3">-R9</f>
        <v>-3566</v>
      </c>
      <c r="AD9" s="403">
        <f>+'Sch 139'!T7</f>
        <v>0</v>
      </c>
      <c r="AE9" s="403">
        <f>+'Sch 141A'!G7</f>
        <v>20758</v>
      </c>
      <c r="AF9" s="403">
        <f>+'Sch 141C'!H7</f>
        <v>30307</v>
      </c>
      <c r="AG9" s="403">
        <f>+'Sch 141N'!I7</f>
        <v>143850</v>
      </c>
      <c r="AH9" s="403">
        <f>+'Sch 141R'!I7</f>
        <v>26889</v>
      </c>
      <c r="AI9" s="403">
        <f t="shared" ref="AI9:AI22" si="4">SUM(Y9:AH9)</f>
        <v>146713</v>
      </c>
      <c r="AJ9" s="403">
        <f t="shared" ref="AJ9:AJ22" si="5">SUM(W9,X9,AI9)</f>
        <v>1378426</v>
      </c>
      <c r="AK9" s="403">
        <f t="shared" ref="AK9:AK22" si="6">+W9-E9</f>
        <v>-23705.18200000003</v>
      </c>
      <c r="AL9" s="403">
        <f t="shared" ref="AL9:AL22" si="7">+AJ9-U9</f>
        <v>123007.81799999997</v>
      </c>
      <c r="AM9" s="453">
        <f t="shared" ref="AM9:AM22" si="8">+AK9/E9</f>
        <v>-1.925598652814901E-2</v>
      </c>
      <c r="AN9" s="453">
        <f t="shared" ref="AN9:AN22" si="9">+AL9/U9</f>
        <v>9.7981548908298327E-2</v>
      </c>
      <c r="AO9" s="435"/>
      <c r="AQ9" s="402"/>
    </row>
    <row r="10" spans="1:43">
      <c r="A10" s="386">
        <f>+A9+1</f>
        <v>2</v>
      </c>
      <c r="B10" s="434" t="s">
        <v>568</v>
      </c>
      <c r="C10" s="434" t="s">
        <v>62</v>
      </c>
      <c r="D10" s="388">
        <f>'[1]Exhibit No.__(BDJ-Prof-Prop)'!I21</f>
        <v>2658833.1030243803</v>
      </c>
      <c r="E10" s="403">
        <f>'[1]Exhibit No.__(BDJ-Prof-Prop)'!L21</f>
        <v>271509.06</v>
      </c>
      <c r="F10" s="403">
        <f>+'Sch 95 PCORC'!G12</f>
        <v>9170</v>
      </c>
      <c r="G10" s="403">
        <f>+'Sch 95 Imbalance'!G12</f>
        <v>5729</v>
      </c>
      <c r="H10" s="403">
        <f>+'Sch 95a'!F12</f>
        <v>-3784</v>
      </c>
      <c r="I10" s="403">
        <f>+'Sch 120'!F12</f>
        <v>10237</v>
      </c>
      <c r="J10" s="403">
        <f>+'Sch 129'!F12</f>
        <v>3547</v>
      </c>
      <c r="K10" s="403">
        <f>+'Sch 137'!F12</f>
        <v>-56</v>
      </c>
      <c r="L10" s="721">
        <f>+'Sch 139'!O12</f>
        <v>449</v>
      </c>
      <c r="M10" s="403">
        <f>+'Sch 140'!F12</f>
        <v>7017</v>
      </c>
      <c r="N10" s="403">
        <f>+'Sch 141'!F12</f>
        <v>0</v>
      </c>
      <c r="O10" s="403">
        <f>+'Sch 141X'!G12</f>
        <v>1976</v>
      </c>
      <c r="P10" s="403">
        <f>+'Sch 141Z'!F12</f>
        <v>-1896</v>
      </c>
      <c r="Q10" s="403">
        <f>+'Sch 142'!H12</f>
        <v>8721</v>
      </c>
      <c r="R10" s="403">
        <f>+'Sch 142'!K12</f>
        <v>3193</v>
      </c>
      <c r="S10" s="403">
        <f>+'Sch 194'!F12</f>
        <v>-1713</v>
      </c>
      <c r="T10" s="403">
        <f t="shared" si="0"/>
        <v>33420</v>
      </c>
      <c r="U10" s="403">
        <f t="shared" si="1"/>
        <v>304929.06</v>
      </c>
      <c r="V10" s="412"/>
      <c r="W10" s="403">
        <f>'[1]Exhibit No.__(BDJ-Prof-Prop)'!N21</f>
        <v>266283</v>
      </c>
      <c r="X10" s="403">
        <f t="shared" ref="X10:X13" si="10">+T10</f>
        <v>33420</v>
      </c>
      <c r="Y10" s="403">
        <f t="shared" ref="Y10:Z13" si="11">-F10</f>
        <v>-9170</v>
      </c>
      <c r="Z10" s="403">
        <f t="shared" si="11"/>
        <v>-5729</v>
      </c>
      <c r="AA10" s="403">
        <f t="shared" si="2"/>
        <v>-449</v>
      </c>
      <c r="AB10" s="403">
        <f t="shared" ref="AB10:AB13" si="12">-O10</f>
        <v>-1976</v>
      </c>
      <c r="AC10" s="403">
        <f t="shared" si="3"/>
        <v>-3193</v>
      </c>
      <c r="AD10" s="403">
        <f>SUM('Sch 139'!T11:T12)</f>
        <v>-148</v>
      </c>
      <c r="AE10" s="403">
        <f>SUM('Sch 141A'!G11:G12)</f>
        <v>4500</v>
      </c>
      <c r="AF10" s="403">
        <f>SUM('Sch 141C'!H11:H12)</f>
        <v>6238</v>
      </c>
      <c r="AG10" s="403">
        <f>SUM('Sch 141N'!I11:J12)</f>
        <v>26264</v>
      </c>
      <c r="AH10" s="403">
        <f>SUM('Sch 141R'!I11:I12)</f>
        <v>4911</v>
      </c>
      <c r="AI10" s="403">
        <f t="shared" si="4"/>
        <v>21248</v>
      </c>
      <c r="AJ10" s="403">
        <f t="shared" si="5"/>
        <v>320951</v>
      </c>
      <c r="AK10" s="403">
        <f t="shared" si="6"/>
        <v>-5226.0599999999977</v>
      </c>
      <c r="AL10" s="403">
        <f t="shared" si="7"/>
        <v>16021.940000000002</v>
      </c>
      <c r="AM10" s="453">
        <f t="shared" si="8"/>
        <v>-1.9248197463465851E-2</v>
      </c>
      <c r="AN10" s="453">
        <f t="shared" si="9"/>
        <v>5.2543171844625113E-2</v>
      </c>
      <c r="AO10" s="435"/>
      <c r="AQ10" s="402"/>
    </row>
    <row r="11" spans="1:43">
      <c r="A11" s="386">
        <f t="shared" ref="A11:A24" si="13">+A10+1</f>
        <v>3</v>
      </c>
      <c r="B11" s="391" t="s">
        <v>570</v>
      </c>
      <c r="C11" s="434" t="s">
        <v>166</v>
      </c>
      <c r="D11" s="388">
        <f>'[1]Exhibit No.__(BDJ-Prof-Prop)'!I22</f>
        <v>2856045.8325844579</v>
      </c>
      <c r="E11" s="403">
        <f>'[1]Exhibit No.__(BDJ-Prof-Prop)'!L22</f>
        <v>266281.60100000002</v>
      </c>
      <c r="F11" s="403">
        <f>+'Sch 95 PCORC'!G14</f>
        <v>9687</v>
      </c>
      <c r="G11" s="403">
        <f>+'Sch 95 Imbalance'!G14</f>
        <v>6350</v>
      </c>
      <c r="H11" s="403">
        <f>+'Sch 95a'!F14</f>
        <v>-4130</v>
      </c>
      <c r="I11" s="403">
        <f>+'Sch 120'!F14</f>
        <v>11676</v>
      </c>
      <c r="J11" s="403">
        <f>+'Sch 129'!F14</f>
        <v>3444</v>
      </c>
      <c r="K11" s="403">
        <f>+'Sch 137'!F14</f>
        <v>-63</v>
      </c>
      <c r="L11" s="721">
        <f>+'Sch 139'!O14</f>
        <v>665</v>
      </c>
      <c r="M11" s="403">
        <f>+'Sch 140'!F14</f>
        <v>6937</v>
      </c>
      <c r="N11" s="403">
        <f>SUM('Sch 141'!F8,'Sch 141'!F14)</f>
        <v>0</v>
      </c>
      <c r="O11" s="403">
        <f>SUM('Sch 141X'!G8,'Sch 141X'!G14)</f>
        <v>2039</v>
      </c>
      <c r="P11" s="403">
        <f>SUM('Sch 141Z'!F8,'Sch 141Z'!F14)</f>
        <v>-1911</v>
      </c>
      <c r="Q11" s="403">
        <f>+'Sch 142'!H14</f>
        <v>8442</v>
      </c>
      <c r="R11" s="403">
        <f>+'Sch 142'!K14</f>
        <v>-174</v>
      </c>
      <c r="S11" s="403">
        <f>+'Sch 194'!F14+'Sch 194'!F8</f>
        <v>-904</v>
      </c>
      <c r="T11" s="403">
        <f t="shared" si="0"/>
        <v>32371</v>
      </c>
      <c r="U11" s="403">
        <f t="shared" si="1"/>
        <v>298652.60100000002</v>
      </c>
      <c r="V11" s="412"/>
      <c r="W11" s="403">
        <f>'[1]Exhibit No.__(BDJ-Prof-Prop)'!N22</f>
        <v>261154</v>
      </c>
      <c r="X11" s="403">
        <f t="shared" si="10"/>
        <v>32371</v>
      </c>
      <c r="Y11" s="403">
        <f t="shared" si="11"/>
        <v>-9687</v>
      </c>
      <c r="Z11" s="403">
        <f t="shared" si="11"/>
        <v>-6350</v>
      </c>
      <c r="AA11" s="403">
        <f t="shared" si="2"/>
        <v>-665</v>
      </c>
      <c r="AB11" s="403">
        <f t="shared" si="12"/>
        <v>-2039</v>
      </c>
      <c r="AC11" s="403">
        <f t="shared" si="3"/>
        <v>174</v>
      </c>
      <c r="AD11" s="403">
        <f>SUM('Sch 139'!T13:T14,'Sch 139'!T17)</f>
        <v>-216</v>
      </c>
      <c r="AE11" s="403">
        <f>SUM('Sch 141A'!G8,'Sch 141A'!G13:G14)</f>
        <v>4756</v>
      </c>
      <c r="AF11" s="403">
        <f>SUM('Sch 141C'!H8,'Sch 141C'!H13:H14)</f>
        <v>6343</v>
      </c>
      <c r="AG11" s="403">
        <f>SUM('Sch 141N'!I8,'Sch 141N'!I13:J14)</f>
        <v>28994</v>
      </c>
      <c r="AH11" s="403">
        <f>SUM('Sch 141R'!I8,'Sch 141R'!I13:I14)</f>
        <v>5415</v>
      </c>
      <c r="AI11" s="403">
        <f t="shared" si="4"/>
        <v>26725</v>
      </c>
      <c r="AJ11" s="403">
        <f t="shared" si="5"/>
        <v>320250</v>
      </c>
      <c r="AK11" s="403">
        <f t="shared" si="6"/>
        <v>-5127.6010000000242</v>
      </c>
      <c r="AL11" s="403">
        <f t="shared" si="7"/>
        <v>21597.398999999976</v>
      </c>
      <c r="AM11" s="453">
        <f t="shared" si="8"/>
        <v>-1.9256309789124421E-2</v>
      </c>
      <c r="AN11" s="453">
        <f t="shared" si="9"/>
        <v>7.2316125584320545E-2</v>
      </c>
      <c r="AO11" s="435"/>
      <c r="AQ11" s="402"/>
    </row>
    <row r="12" spans="1:43">
      <c r="A12" s="386">
        <f t="shared" si="13"/>
        <v>4</v>
      </c>
      <c r="B12" s="391" t="s">
        <v>569</v>
      </c>
      <c r="C12" s="434" t="s">
        <v>63</v>
      </c>
      <c r="D12" s="388">
        <f>'[1]Exhibit No.__(BDJ-Prof-Prop)'!I23</f>
        <v>1761911.047761543</v>
      </c>
      <c r="E12" s="403">
        <f>'[1]Exhibit No.__(BDJ-Prof-Prop)'!L23</f>
        <v>151320.842</v>
      </c>
      <c r="F12" s="403">
        <f>+'Sch 95 PCORC'!G16</f>
        <v>5793</v>
      </c>
      <c r="G12" s="403">
        <f>+'Sch 95 Imbalance'!G16</f>
        <v>4100</v>
      </c>
      <c r="H12" s="403">
        <f>+'Sch 95a'!F16</f>
        <v>-2500</v>
      </c>
      <c r="I12" s="403">
        <f>+'Sch 120'!F16</f>
        <v>7400</v>
      </c>
      <c r="J12" s="403">
        <f>+'Sch 129'!F16</f>
        <v>1970</v>
      </c>
      <c r="K12" s="403">
        <f>+'Sch 137'!F16</f>
        <v>-37</v>
      </c>
      <c r="L12" s="721">
        <f>+'Sch 139'!O16</f>
        <v>1230</v>
      </c>
      <c r="M12" s="403">
        <f>+'Sch 140'!F16</f>
        <v>4065</v>
      </c>
      <c r="N12" s="403">
        <f>+'Sch 141'!F16</f>
        <v>0</v>
      </c>
      <c r="O12" s="403">
        <f>+'Sch 141X'!G16</f>
        <v>1117</v>
      </c>
      <c r="P12" s="403">
        <f>+'Sch 141Z'!F16</f>
        <v>-1017</v>
      </c>
      <c r="Q12" s="403">
        <f>+'Sch 142'!H16</f>
        <v>4828</v>
      </c>
      <c r="R12" s="403">
        <f>+'Sch 142'!K16</f>
        <v>533</v>
      </c>
      <c r="S12" s="403">
        <f>+'Sch 194'!F16</f>
        <v>-107</v>
      </c>
      <c r="T12" s="403">
        <f t="shared" si="0"/>
        <v>21582</v>
      </c>
      <c r="U12" s="403">
        <f t="shared" si="1"/>
        <v>172902.842</v>
      </c>
      <c r="V12" s="412"/>
      <c r="W12" s="403">
        <f>'[1]Exhibit No.__(BDJ-Prof-Prop)'!N23</f>
        <v>148407.04199999999</v>
      </c>
      <c r="X12" s="403">
        <f t="shared" si="10"/>
        <v>21582</v>
      </c>
      <c r="Y12" s="403">
        <f t="shared" si="11"/>
        <v>-5793</v>
      </c>
      <c r="Z12" s="403">
        <f t="shared" si="11"/>
        <v>-4100</v>
      </c>
      <c r="AA12" s="403">
        <f t="shared" si="2"/>
        <v>-1230</v>
      </c>
      <c r="AB12" s="403">
        <f t="shared" si="12"/>
        <v>-1117</v>
      </c>
      <c r="AC12" s="403">
        <f t="shared" si="3"/>
        <v>-533</v>
      </c>
      <c r="AD12" s="403">
        <f>SUM('Sch 139'!T15:T16)</f>
        <v>-360</v>
      </c>
      <c r="AE12" s="403">
        <f>SUM('Sch 141A'!G15:G16)</f>
        <v>2648</v>
      </c>
      <c r="AF12" s="403">
        <f>SUM('Sch 141C'!H15:H16)</f>
        <v>3838</v>
      </c>
      <c r="AG12" s="403">
        <f>SUM('Sch 141N'!I15:J16)</f>
        <v>15907</v>
      </c>
      <c r="AH12" s="403">
        <f>SUM('Sch 141R'!I15:I16)</f>
        <v>2985</v>
      </c>
      <c r="AI12" s="403">
        <f t="shared" si="4"/>
        <v>12245</v>
      </c>
      <c r="AJ12" s="403">
        <f t="shared" si="5"/>
        <v>182234.04199999999</v>
      </c>
      <c r="AK12" s="403">
        <f t="shared" si="6"/>
        <v>-2913.8000000000175</v>
      </c>
      <c r="AL12" s="403">
        <f t="shared" si="7"/>
        <v>9331.1999999999825</v>
      </c>
      <c r="AM12" s="453">
        <f t="shared" si="8"/>
        <v>-1.9255774429275362E-2</v>
      </c>
      <c r="AN12" s="453">
        <f t="shared" si="9"/>
        <v>5.3967880990643188E-2</v>
      </c>
      <c r="AO12" s="435"/>
      <c r="AQ12" s="402"/>
    </row>
    <row r="13" spans="1:43">
      <c r="A13" s="386">
        <f t="shared" si="13"/>
        <v>5</v>
      </c>
      <c r="B13" s="434" t="s">
        <v>571</v>
      </c>
      <c r="C13" s="434">
        <v>29</v>
      </c>
      <c r="D13" s="388">
        <f>'[1]Exhibit No.__(BDJ-Prof-Prop)'!I24</f>
        <v>15293.727999999999</v>
      </c>
      <c r="E13" s="403">
        <f>'[1]Exhibit No.__(BDJ-Prof-Prop)'!L24</f>
        <v>1332.0119999999999</v>
      </c>
      <c r="F13" s="403">
        <f>+'Sch 95 PCORC'!G17</f>
        <v>56</v>
      </c>
      <c r="G13" s="403">
        <f>+'Sch 95 Imbalance'!G17</f>
        <v>28</v>
      </c>
      <c r="H13" s="403">
        <f>+'Sch 95a'!F17</f>
        <v>-19</v>
      </c>
      <c r="I13" s="403">
        <f>+'Sch 120'!F17</f>
        <v>52</v>
      </c>
      <c r="J13" s="403">
        <f>+'Sch 129'!F17</f>
        <v>16</v>
      </c>
      <c r="K13" s="403">
        <f>+'Sch 137'!F17</f>
        <v>0</v>
      </c>
      <c r="L13" s="721">
        <f>+'Sch 139'!O17</f>
        <v>0</v>
      </c>
      <c r="M13" s="403">
        <f>+'Sch 140'!F17</f>
        <v>37</v>
      </c>
      <c r="N13" s="403">
        <f>+'Sch 141'!F17</f>
        <v>0</v>
      </c>
      <c r="O13" s="403">
        <f>+'Sch 141X'!G17</f>
        <v>11</v>
      </c>
      <c r="P13" s="403">
        <f>+'Sch 141Z'!F17</f>
        <v>-10</v>
      </c>
      <c r="Q13" s="403">
        <f>+'Sch 142'!H17</f>
        <v>45</v>
      </c>
      <c r="R13" s="403">
        <f>+'Sch 142'!K17</f>
        <v>-1</v>
      </c>
      <c r="S13" s="403">
        <f>+'Sch 194'!F17</f>
        <v>-102</v>
      </c>
      <c r="T13" s="403">
        <f t="shared" si="0"/>
        <v>57</v>
      </c>
      <c r="U13" s="403">
        <f t="shared" si="1"/>
        <v>1389.0119999999999</v>
      </c>
      <c r="V13" s="412"/>
      <c r="W13" s="403">
        <f>'[1]Exhibit No.__(BDJ-Prof-Prop)'!N24</f>
        <v>1306.3699999999999</v>
      </c>
      <c r="X13" s="403">
        <f t="shared" si="10"/>
        <v>57</v>
      </c>
      <c r="Y13" s="403">
        <f t="shared" si="11"/>
        <v>-56</v>
      </c>
      <c r="Z13" s="403">
        <f t="shared" si="11"/>
        <v>-28</v>
      </c>
      <c r="AA13" s="403">
        <f t="shared" si="2"/>
        <v>0</v>
      </c>
      <c r="AB13" s="403">
        <f t="shared" si="12"/>
        <v>-11</v>
      </c>
      <c r="AC13" s="403">
        <f t="shared" si="3"/>
        <v>1</v>
      </c>
      <c r="AD13" s="403">
        <f>+'Sch 139'!T17</f>
        <v>0</v>
      </c>
      <c r="AE13" s="403">
        <f>+'Sch 141A'!G17</f>
        <v>27</v>
      </c>
      <c r="AF13" s="403">
        <f>+'Sch 141C'!H17</f>
        <v>40</v>
      </c>
      <c r="AG13" s="403">
        <f>+'Sch 141N'!I17</f>
        <v>157</v>
      </c>
      <c r="AH13" s="403">
        <f>+'Sch 141R'!I17</f>
        <v>29</v>
      </c>
      <c r="AI13" s="403">
        <f t="shared" si="4"/>
        <v>159</v>
      </c>
      <c r="AJ13" s="403">
        <f t="shared" si="5"/>
        <v>1522.37</v>
      </c>
      <c r="AK13" s="403">
        <f t="shared" si="6"/>
        <v>-25.642000000000053</v>
      </c>
      <c r="AL13" s="403">
        <f t="shared" si="7"/>
        <v>133.35799999999995</v>
      </c>
      <c r="AM13" s="453">
        <f t="shared" si="8"/>
        <v>-1.9250577322126268E-2</v>
      </c>
      <c r="AN13" s="453">
        <f t="shared" si="9"/>
        <v>9.6009249740102998E-2</v>
      </c>
      <c r="AO13" s="435"/>
      <c r="AQ13" s="402"/>
    </row>
    <row r="14" spans="1:43">
      <c r="A14" s="386">
        <f t="shared" si="13"/>
        <v>6</v>
      </c>
      <c r="B14" s="391" t="s">
        <v>572</v>
      </c>
      <c r="C14" s="434" t="s">
        <v>64</v>
      </c>
      <c r="D14" s="388">
        <f>'[1]Exhibit No.__(BDJ-Prof-Prop)'!I28</f>
        <v>1307770.0591754341</v>
      </c>
      <c r="E14" s="403">
        <f>'[1]Exhibit No.__(BDJ-Prof-Prop)'!L28</f>
        <v>110792.823</v>
      </c>
      <c r="F14" s="403">
        <f>+'Sch 95 PCORC'!G21</f>
        <v>4137</v>
      </c>
      <c r="G14" s="403">
        <f>+'Sch 95 Imbalance'!G21</f>
        <v>2785</v>
      </c>
      <c r="H14" s="403">
        <f>+'Sch 95a'!F21</f>
        <v>-1758</v>
      </c>
      <c r="I14" s="403">
        <f>+'Sch 120'!F21</f>
        <v>4998</v>
      </c>
      <c r="J14" s="403">
        <f>+'Sch 129'!F21</f>
        <v>1448</v>
      </c>
      <c r="K14" s="403">
        <f>+'Sch 137'!F21</f>
        <v>-26</v>
      </c>
      <c r="L14" s="721">
        <f>+'Sch 139'!O21</f>
        <v>546</v>
      </c>
      <c r="M14" s="403">
        <f>+'Sch 140'!F21</f>
        <v>2906</v>
      </c>
      <c r="N14" s="403">
        <f>+'Sch 141'!F21</f>
        <v>0</v>
      </c>
      <c r="O14" s="403">
        <f>+'Sch 141X'!G21</f>
        <v>834</v>
      </c>
      <c r="P14" s="403">
        <f>+'Sch 141Z'!F21</f>
        <v>-772</v>
      </c>
      <c r="Q14" s="403">
        <f>+'Sch 142'!H21</f>
        <v>3544</v>
      </c>
      <c r="R14" s="403">
        <f>+'Sch 142'!K21</f>
        <v>1126</v>
      </c>
      <c r="S14" s="403">
        <f>+'Sch 194'!F21</f>
        <v>-145</v>
      </c>
      <c r="T14" s="403">
        <f t="shared" si="0"/>
        <v>15486</v>
      </c>
      <c r="U14" s="403">
        <f t="shared" si="1"/>
        <v>126278.823</v>
      </c>
      <c r="V14" s="412"/>
      <c r="W14" s="403">
        <f>'[1]Exhibit No.__(BDJ-Prof-Prop)'!N28</f>
        <v>108660.724</v>
      </c>
      <c r="X14" s="403">
        <f t="shared" ref="X14:X16" si="14">+T14</f>
        <v>15486</v>
      </c>
      <c r="Y14" s="403">
        <f t="shared" ref="Y14:Z16" si="15">-F14</f>
        <v>-4137</v>
      </c>
      <c r="Z14" s="403">
        <f t="shared" si="15"/>
        <v>-2785</v>
      </c>
      <c r="AA14" s="403">
        <f t="shared" si="2"/>
        <v>-546</v>
      </c>
      <c r="AB14" s="403">
        <f t="shared" ref="AB14:AB16" si="16">-O14</f>
        <v>-834</v>
      </c>
      <c r="AC14" s="403">
        <f t="shared" si="3"/>
        <v>-1126</v>
      </c>
      <c r="AD14" s="403">
        <f>SUM('Sch 139'!T20:T21)</f>
        <v>-164</v>
      </c>
      <c r="AE14" s="403">
        <f>SUM('Sch 141A'!G20:G21)</f>
        <v>2006</v>
      </c>
      <c r="AF14" s="403">
        <f>SUM('Sch 141C'!H20:H21)</f>
        <v>2688</v>
      </c>
      <c r="AG14" s="403">
        <f>SUM('Sch 141N'!I20:J21)</f>
        <v>11371</v>
      </c>
      <c r="AH14" s="403">
        <f>SUM('Sch 141R'!I20:I21)</f>
        <v>2119</v>
      </c>
      <c r="AI14" s="403">
        <f t="shared" si="4"/>
        <v>8592</v>
      </c>
      <c r="AJ14" s="403">
        <f t="shared" si="5"/>
        <v>132738.72399999999</v>
      </c>
      <c r="AK14" s="403">
        <f t="shared" si="6"/>
        <v>-2132.099000000002</v>
      </c>
      <c r="AL14" s="403">
        <f t="shared" si="7"/>
        <v>6459.9009999999835</v>
      </c>
      <c r="AM14" s="453">
        <f t="shared" si="8"/>
        <v>-1.9244017277184118E-2</v>
      </c>
      <c r="AN14" s="453">
        <f t="shared" si="9"/>
        <v>5.1155853741208714E-2</v>
      </c>
      <c r="AO14" s="435"/>
      <c r="AQ14" s="402"/>
    </row>
    <row r="15" spans="1:43">
      <c r="A15" s="386">
        <f t="shared" si="13"/>
        <v>7</v>
      </c>
      <c r="B15" s="391" t="s">
        <v>573</v>
      </c>
      <c r="C15" s="434">
        <v>35</v>
      </c>
      <c r="D15" s="388">
        <f>'[1]Exhibit No.__(BDJ-Prof-Prop)'!I29</f>
        <v>4387.6440000000002</v>
      </c>
      <c r="E15" s="403">
        <f>'[1]Exhibit No.__(BDJ-Prof-Prop)'!L29</f>
        <v>275.553</v>
      </c>
      <c r="F15" s="403">
        <f>+'Sch 95 PCORC'!G22</f>
        <v>8</v>
      </c>
      <c r="G15" s="403">
        <f>+'Sch 95 Imbalance'!G22</f>
        <v>7</v>
      </c>
      <c r="H15" s="403">
        <f>+'Sch 95a'!F22</f>
        <v>-4</v>
      </c>
      <c r="I15" s="403">
        <f>+'Sch 120'!F22</f>
        <v>12</v>
      </c>
      <c r="J15" s="403">
        <f>+'Sch 129'!F22</f>
        <v>4</v>
      </c>
      <c r="K15" s="403">
        <f>+'Sch 137'!F22</f>
        <v>0</v>
      </c>
      <c r="L15" s="721">
        <f>+'Sch 139'!O22</f>
        <v>0</v>
      </c>
      <c r="M15" s="403">
        <f>+'Sch 140'!F22</f>
        <v>10</v>
      </c>
      <c r="N15" s="403">
        <f>+'Sch 141'!F22</f>
        <v>0</v>
      </c>
      <c r="O15" s="403">
        <f>+'Sch 141X'!G22</f>
        <v>4</v>
      </c>
      <c r="P15" s="403">
        <f>+'Sch 141Z'!F22</f>
        <v>-4</v>
      </c>
      <c r="Q15" s="403">
        <f>+'Sch 142'!H22</f>
        <v>13</v>
      </c>
      <c r="R15" s="403">
        <f>+'Sch 142'!K22</f>
        <v>0</v>
      </c>
      <c r="S15" s="403">
        <f>+'Sch 194'!F22</f>
        <v>-29</v>
      </c>
      <c r="T15" s="403">
        <f t="shared" si="0"/>
        <v>13</v>
      </c>
      <c r="U15" s="403">
        <f t="shared" si="1"/>
        <v>288.553</v>
      </c>
      <c r="V15" s="412"/>
      <c r="W15" s="403">
        <f>'[1]Exhibit No.__(BDJ-Prof-Prop)'!N29</f>
        <v>275.553</v>
      </c>
      <c r="X15" s="403">
        <f t="shared" si="14"/>
        <v>13</v>
      </c>
      <c r="Y15" s="403">
        <f t="shared" si="15"/>
        <v>-8</v>
      </c>
      <c r="Z15" s="403">
        <f t="shared" si="15"/>
        <v>-7</v>
      </c>
      <c r="AA15" s="403">
        <f t="shared" si="2"/>
        <v>0</v>
      </c>
      <c r="AB15" s="403">
        <f t="shared" si="16"/>
        <v>-4</v>
      </c>
      <c r="AC15" s="403">
        <f t="shared" si="3"/>
        <v>0</v>
      </c>
      <c r="AD15" s="403">
        <f>+'Sch 139'!T22</f>
        <v>0</v>
      </c>
      <c r="AE15" s="403">
        <f>+'Sch 141A'!G22</f>
        <v>7</v>
      </c>
      <c r="AF15" s="403">
        <f>+'Sch 141C'!H22</f>
        <v>7</v>
      </c>
      <c r="AG15" s="403">
        <f>+'Sch 141N'!I22</f>
        <v>54</v>
      </c>
      <c r="AH15" s="403">
        <f>+'Sch 141R'!I22</f>
        <v>10</v>
      </c>
      <c r="AI15" s="403">
        <f t="shared" si="4"/>
        <v>59</v>
      </c>
      <c r="AJ15" s="403">
        <f t="shared" si="5"/>
        <v>347.553</v>
      </c>
      <c r="AK15" s="403">
        <f t="shared" si="6"/>
        <v>0</v>
      </c>
      <c r="AL15" s="403">
        <f t="shared" si="7"/>
        <v>59</v>
      </c>
      <c r="AM15" s="453">
        <f t="shared" si="8"/>
        <v>0</v>
      </c>
      <c r="AN15" s="453">
        <f t="shared" si="9"/>
        <v>0.20446850318658963</v>
      </c>
      <c r="AO15" s="435"/>
      <c r="AQ15" s="402"/>
    </row>
    <row r="16" spans="1:43">
      <c r="A16" s="386">
        <f t="shared" si="13"/>
        <v>8</v>
      </c>
      <c r="B16" s="434" t="s">
        <v>574</v>
      </c>
      <c r="C16" s="434">
        <v>43</v>
      </c>
      <c r="D16" s="388">
        <f>'[1]Exhibit No.__(BDJ-Prof-Prop)'!I30</f>
        <v>114099.11728442684</v>
      </c>
      <c r="E16" s="403">
        <f>'[1]Exhibit No.__(BDJ-Prof-Prop)'!L30</f>
        <v>10372.369000000001</v>
      </c>
      <c r="F16" s="403">
        <f>+'Sch 95 PCORC'!G23</f>
        <v>285</v>
      </c>
      <c r="G16" s="403">
        <f>+'Sch 95 Imbalance'!G23</f>
        <v>194</v>
      </c>
      <c r="H16" s="403">
        <f>+'Sch 95a'!F23</f>
        <v>-121</v>
      </c>
      <c r="I16" s="403">
        <f>+'Sch 120'!F23</f>
        <v>350</v>
      </c>
      <c r="J16" s="403">
        <f>+'Sch 129'!F23</f>
        <v>132</v>
      </c>
      <c r="K16" s="403">
        <f>+'Sch 137'!F23</f>
        <v>-2</v>
      </c>
      <c r="L16" s="721">
        <f>+'Sch 139'!O23</f>
        <v>39</v>
      </c>
      <c r="M16" s="403">
        <f>+'Sch 140'!F23</f>
        <v>349</v>
      </c>
      <c r="N16" s="403">
        <f>+'Sch 141'!F23</f>
        <v>0</v>
      </c>
      <c r="O16" s="403">
        <f>+'Sch 141X'!G23</f>
        <v>99</v>
      </c>
      <c r="P16" s="403">
        <f>+'Sch 141Z'!F23</f>
        <v>-93</v>
      </c>
      <c r="Q16" s="403">
        <f>+'Sch 142'!H23</f>
        <v>337</v>
      </c>
      <c r="R16" s="403">
        <f>+'Sch 142'!K23</f>
        <v>-7</v>
      </c>
      <c r="S16" s="403">
        <f>+'Sch 194'!F23</f>
        <v>0</v>
      </c>
      <c r="T16" s="403">
        <f t="shared" si="0"/>
        <v>1277</v>
      </c>
      <c r="U16" s="403">
        <f t="shared" si="1"/>
        <v>11649.369000000001</v>
      </c>
      <c r="V16" s="412"/>
      <c r="W16" s="403">
        <f>'[1]Exhibit No.__(BDJ-Prof-Prop)'!N30</f>
        <v>10122.748</v>
      </c>
      <c r="X16" s="403">
        <f t="shared" si="14"/>
        <v>1277</v>
      </c>
      <c r="Y16" s="403">
        <f t="shared" si="15"/>
        <v>-285</v>
      </c>
      <c r="Z16" s="403">
        <f t="shared" si="15"/>
        <v>-194</v>
      </c>
      <c r="AA16" s="403">
        <f t="shared" si="2"/>
        <v>-39</v>
      </c>
      <c r="AB16" s="403">
        <f t="shared" si="16"/>
        <v>-99</v>
      </c>
      <c r="AC16" s="403">
        <f t="shared" si="3"/>
        <v>7</v>
      </c>
      <c r="AD16" s="403">
        <f>+'Sch 139'!T23</f>
        <v>-10</v>
      </c>
      <c r="AE16" s="403">
        <f>+'Sch 141A'!G23</f>
        <v>172</v>
      </c>
      <c r="AF16" s="403">
        <f>+'Sch 141C'!H23</f>
        <v>48</v>
      </c>
      <c r="AG16" s="403">
        <f>+'Sch 141N'!I23</f>
        <v>883</v>
      </c>
      <c r="AH16" s="403">
        <f>+'Sch 141R'!I23</f>
        <v>165</v>
      </c>
      <c r="AI16" s="403">
        <f t="shared" si="4"/>
        <v>648</v>
      </c>
      <c r="AJ16" s="403">
        <f t="shared" si="5"/>
        <v>12047.748</v>
      </c>
      <c r="AK16" s="403">
        <f t="shared" si="6"/>
        <v>-249.621000000001</v>
      </c>
      <c r="AL16" s="403">
        <f t="shared" si="7"/>
        <v>398.378999999999</v>
      </c>
      <c r="AM16" s="453">
        <f t="shared" si="8"/>
        <v>-2.4065958316754926E-2</v>
      </c>
      <c r="AN16" s="453">
        <f t="shared" si="9"/>
        <v>3.4197474558493167E-2</v>
      </c>
      <c r="AO16" s="435"/>
      <c r="AQ16" s="402"/>
    </row>
    <row r="17" spans="1:43">
      <c r="A17" s="386">
        <f t="shared" si="13"/>
        <v>9</v>
      </c>
      <c r="B17" s="434" t="s">
        <v>575</v>
      </c>
      <c r="C17" s="434">
        <v>46</v>
      </c>
      <c r="D17" s="388">
        <f>'[1]Exhibit No.__(BDJ-Prof-Prop)'!I34</f>
        <v>100810.05100000001</v>
      </c>
      <c r="E17" s="403">
        <f>'[1]Exhibit No.__(BDJ-Prof-Prop)'!L34</f>
        <v>6647.8249999999998</v>
      </c>
      <c r="F17" s="403">
        <f>+'Sch 95 PCORC'!G26</f>
        <v>225</v>
      </c>
      <c r="G17" s="403">
        <f>+'Sch 95 Imbalance'!G26</f>
        <v>183</v>
      </c>
      <c r="H17" s="403">
        <f>+'Sch 95a'!F26</f>
        <v>-98</v>
      </c>
      <c r="I17" s="403">
        <f>+'Sch 120'!F26</f>
        <v>359</v>
      </c>
      <c r="J17" s="403">
        <f>+'Sch 129'!F26</f>
        <v>87</v>
      </c>
      <c r="K17" s="403">
        <f>+'Sch 137'!F26</f>
        <v>-2</v>
      </c>
      <c r="L17" s="721">
        <f>+'Sch 139'!O26</f>
        <v>60</v>
      </c>
      <c r="M17" s="403">
        <f>+'Sch 140'!F26</f>
        <v>168</v>
      </c>
      <c r="N17" s="403">
        <f>+'Sch 141'!F26</f>
        <v>0</v>
      </c>
      <c r="O17" s="403">
        <f>+'Sch 141X'!G26</f>
        <v>49</v>
      </c>
      <c r="P17" s="403">
        <f>+'Sch 141Z'!F26</f>
        <v>-45</v>
      </c>
      <c r="Q17" s="403">
        <f>+'Sch 142'!H26</f>
        <v>0</v>
      </c>
      <c r="R17" s="403">
        <f>+'Sch 142'!K26</f>
        <v>0</v>
      </c>
      <c r="S17" s="403">
        <f>+'Sch 194'!F28</f>
        <v>0</v>
      </c>
      <c r="T17" s="403">
        <f t="shared" si="0"/>
        <v>761</v>
      </c>
      <c r="U17" s="403">
        <f t="shared" si="1"/>
        <v>7408.8249999999998</v>
      </c>
      <c r="V17" s="412"/>
      <c r="W17" s="403">
        <f>'[1]Exhibit No.__(BDJ-Prof-Prop)'!N34</f>
        <v>6449.1220000000003</v>
      </c>
      <c r="X17" s="403">
        <f t="shared" ref="X17:X18" si="17">+T17</f>
        <v>761</v>
      </c>
      <c r="Y17" s="403">
        <f t="shared" ref="Y17:Z18" si="18">-F17</f>
        <v>-225</v>
      </c>
      <c r="Z17" s="403">
        <f t="shared" si="18"/>
        <v>-183</v>
      </c>
      <c r="AA17" s="403">
        <f t="shared" si="2"/>
        <v>-60</v>
      </c>
      <c r="AB17" s="403">
        <f t="shared" ref="AB17:AB22" si="19">-O17</f>
        <v>-49</v>
      </c>
      <c r="AC17" s="403">
        <f t="shared" si="3"/>
        <v>0</v>
      </c>
      <c r="AD17" s="403">
        <f>+'Sch 139'!T26</f>
        <v>-25</v>
      </c>
      <c r="AE17" s="403">
        <f>+'Sch 141A'!G26</f>
        <v>136</v>
      </c>
      <c r="AF17" s="403">
        <f>+'Sch 141C'!H26</f>
        <v>51</v>
      </c>
      <c r="AG17" s="403">
        <f>+'Sch 141N'!I26</f>
        <v>475</v>
      </c>
      <c r="AH17" s="403">
        <f>+'Sch 141R'!I26</f>
        <v>88</v>
      </c>
      <c r="AI17" s="403">
        <f t="shared" si="4"/>
        <v>208</v>
      </c>
      <c r="AJ17" s="403">
        <f t="shared" si="5"/>
        <v>7418.1220000000003</v>
      </c>
      <c r="AK17" s="403">
        <f t="shared" si="6"/>
        <v>-198.70299999999952</v>
      </c>
      <c r="AL17" s="403">
        <f t="shared" si="7"/>
        <v>9.2970000000004802</v>
      </c>
      <c r="AM17" s="453">
        <f t="shared" si="8"/>
        <v>-2.9889926404500649E-2</v>
      </c>
      <c r="AN17" s="453">
        <f t="shared" si="9"/>
        <v>1.2548548521527341E-3</v>
      </c>
      <c r="AO17" s="435"/>
      <c r="AQ17" s="402"/>
    </row>
    <row r="18" spans="1:43">
      <c r="A18" s="386">
        <f t="shared" si="13"/>
        <v>10</v>
      </c>
      <c r="B18" s="391" t="s">
        <v>576</v>
      </c>
      <c r="C18" s="434">
        <v>49</v>
      </c>
      <c r="D18" s="388">
        <f>'[1]Exhibit No.__(BDJ-Prof-Prop)'!I35</f>
        <v>513293.73700000002</v>
      </c>
      <c r="E18" s="403">
        <f>'[1]Exhibit No.__(BDJ-Prof-Prop)'!L35</f>
        <v>34295.991999999998</v>
      </c>
      <c r="F18" s="403">
        <f>+'Sch 95 PCORC'!G27</f>
        <v>1426</v>
      </c>
      <c r="G18" s="403">
        <f>+'Sch 95 Imbalance'!G27</f>
        <v>1010</v>
      </c>
      <c r="H18" s="403">
        <f>+'Sch 95a'!F27</f>
        <v>-668</v>
      </c>
      <c r="I18" s="403">
        <f>+'Sch 120'!F27</f>
        <v>1791</v>
      </c>
      <c r="J18" s="403">
        <f>+'Sch 129'!F27</f>
        <v>435</v>
      </c>
      <c r="K18" s="403">
        <f>+'Sch 137'!F27</f>
        <v>-10</v>
      </c>
      <c r="L18" s="721">
        <f>+'Sch 139'!O27</f>
        <v>635</v>
      </c>
      <c r="M18" s="403">
        <f>+'Sch 140'!F27</f>
        <v>856</v>
      </c>
      <c r="N18" s="403">
        <f>+'Sch 141'!F27</f>
        <v>0</v>
      </c>
      <c r="O18" s="403">
        <f>+'Sch 141X'!G27</f>
        <v>248</v>
      </c>
      <c r="P18" s="403">
        <f>+'Sch 141Z'!F27</f>
        <v>-231</v>
      </c>
      <c r="Q18" s="403">
        <f>+'Sch 142'!H27</f>
        <v>0</v>
      </c>
      <c r="R18" s="403">
        <f>+'Sch 142'!K27</f>
        <v>0</v>
      </c>
      <c r="S18" s="403">
        <f>+'Sch 194'!F29</f>
        <v>0</v>
      </c>
      <c r="T18" s="403">
        <f t="shared" si="0"/>
        <v>4066</v>
      </c>
      <c r="U18" s="403">
        <f t="shared" si="1"/>
        <v>38361.991999999998</v>
      </c>
      <c r="V18" s="412"/>
      <c r="W18" s="403">
        <f>'[1]Exhibit No.__(BDJ-Prof-Prop)'!N35</f>
        <v>33312.345000000001</v>
      </c>
      <c r="X18" s="403">
        <f t="shared" si="17"/>
        <v>4066</v>
      </c>
      <c r="Y18" s="403">
        <f t="shared" si="18"/>
        <v>-1426</v>
      </c>
      <c r="Z18" s="403">
        <f t="shared" si="18"/>
        <v>-1010</v>
      </c>
      <c r="AA18" s="403">
        <f t="shared" si="2"/>
        <v>-635</v>
      </c>
      <c r="AB18" s="403">
        <f t="shared" si="19"/>
        <v>-248</v>
      </c>
      <c r="AC18" s="403">
        <f t="shared" si="3"/>
        <v>0</v>
      </c>
      <c r="AD18" s="403">
        <f>+'Sch 139'!T27</f>
        <v>-194</v>
      </c>
      <c r="AE18" s="403">
        <f>+'Sch 141A'!G27</f>
        <v>693</v>
      </c>
      <c r="AF18" s="403">
        <f>+'Sch 141C'!H27</f>
        <v>1027</v>
      </c>
      <c r="AG18" s="403">
        <f>+'Sch 141N'!I27</f>
        <v>2464</v>
      </c>
      <c r="AH18" s="403">
        <f>+'Sch 141R'!I27</f>
        <v>463</v>
      </c>
      <c r="AI18" s="403">
        <f t="shared" si="4"/>
        <v>1134</v>
      </c>
      <c r="AJ18" s="403">
        <f t="shared" si="5"/>
        <v>38512.345000000001</v>
      </c>
      <c r="AK18" s="403">
        <f t="shared" si="6"/>
        <v>-983.64699999999721</v>
      </c>
      <c r="AL18" s="403">
        <f t="shared" si="7"/>
        <v>150.35300000000279</v>
      </c>
      <c r="AM18" s="453">
        <f t="shared" si="8"/>
        <v>-2.8681106526966687E-2</v>
      </c>
      <c r="AN18" s="453">
        <f t="shared" si="9"/>
        <v>3.9193220206083876E-3</v>
      </c>
      <c r="AO18" s="435"/>
      <c r="AQ18" s="402"/>
    </row>
    <row r="19" spans="1:43">
      <c r="A19" s="386">
        <f t="shared" si="13"/>
        <v>11</v>
      </c>
      <c r="B19" s="434" t="s">
        <v>577</v>
      </c>
      <c r="C19" s="434" t="s">
        <v>16</v>
      </c>
      <c r="D19" s="388">
        <f>'[1]Exhibit No.__(BDJ-Prof-Prop)'!I43</f>
        <v>69892.887000000002</v>
      </c>
      <c r="E19" s="403">
        <f>'[1]Exhibit No.__(BDJ-Prof-Prop)'!L43</f>
        <v>17783.762999999999</v>
      </c>
      <c r="F19" s="403">
        <f>+'Sch 95 PCORC'!G30</f>
        <v>212</v>
      </c>
      <c r="G19" s="403">
        <f>+'Sch 95 Imbalance'!G30</f>
        <v>149</v>
      </c>
      <c r="H19" s="403">
        <f>+'Sch 95a'!F30</f>
        <v>-95</v>
      </c>
      <c r="I19" s="403">
        <f>+'Sch 120'!F30</f>
        <v>252</v>
      </c>
      <c r="J19" s="403">
        <f>+'Sch 129'!F30</f>
        <v>206</v>
      </c>
      <c r="K19" s="403">
        <f>+'Sch 137'!F30</f>
        <v>-1</v>
      </c>
      <c r="L19" s="721">
        <f>+'Sch 139'!O30</f>
        <v>0</v>
      </c>
      <c r="M19" s="403">
        <f>+'Sch 140'!F30</f>
        <v>649</v>
      </c>
      <c r="N19" s="403">
        <f>+'Sch 141'!F30</f>
        <v>0</v>
      </c>
      <c r="O19" s="403">
        <f>+'Sch 141X'!G30</f>
        <v>190</v>
      </c>
      <c r="P19" s="403">
        <f>+'Sch 141Z'!F30</f>
        <v>-175</v>
      </c>
      <c r="Q19" s="403">
        <f>+'Sch 142'!H30</f>
        <v>0</v>
      </c>
      <c r="R19" s="403">
        <f>+'Sch 142'!K30</f>
        <v>0</v>
      </c>
      <c r="S19" s="403">
        <f>+'Sch 194'!F32</f>
        <v>-12</v>
      </c>
      <c r="T19" s="403">
        <f t="shared" si="0"/>
        <v>1163</v>
      </c>
      <c r="U19" s="403">
        <f t="shared" si="1"/>
        <v>18946.762999999999</v>
      </c>
      <c r="V19" s="412"/>
      <c r="W19" s="403">
        <f>'[1]Exhibit No.__(BDJ-Prof-Prop)'!N43</f>
        <v>17441.391006648999</v>
      </c>
      <c r="X19" s="403">
        <f>+T19</f>
        <v>1163</v>
      </c>
      <c r="Y19" s="403">
        <f>-F19</f>
        <v>-212</v>
      </c>
      <c r="Z19" s="403">
        <f>-G19</f>
        <v>-149</v>
      </c>
      <c r="AA19" s="403">
        <f t="shared" si="2"/>
        <v>0</v>
      </c>
      <c r="AB19" s="403">
        <f t="shared" si="19"/>
        <v>-190</v>
      </c>
      <c r="AC19" s="403">
        <f t="shared" si="3"/>
        <v>0</v>
      </c>
      <c r="AD19" s="403">
        <f>+'Sch 139'!T30</f>
        <v>0</v>
      </c>
      <c r="AE19" s="403">
        <f>+'Sch 141A'!G30</f>
        <v>138</v>
      </c>
      <c r="AF19" s="403">
        <f>+'Sch 141C'!H30</f>
        <v>85</v>
      </c>
      <c r="AG19" s="403">
        <f>+'Sch 141N'!I30</f>
        <v>3113</v>
      </c>
      <c r="AH19" s="403">
        <f>+'Sch 141R'!I30</f>
        <v>582</v>
      </c>
      <c r="AI19" s="403">
        <f t="shared" si="4"/>
        <v>3367</v>
      </c>
      <c r="AJ19" s="403">
        <f t="shared" si="5"/>
        <v>21971.391006648999</v>
      </c>
      <c r="AK19" s="403">
        <f t="shared" si="6"/>
        <v>-342.37199335100013</v>
      </c>
      <c r="AL19" s="403">
        <f t="shared" si="7"/>
        <v>3024.6280066489999</v>
      </c>
      <c r="AM19" s="453">
        <f t="shared" si="8"/>
        <v>-1.9251943098375756E-2</v>
      </c>
      <c r="AN19" s="453">
        <f t="shared" si="9"/>
        <v>0.15963824568075297</v>
      </c>
      <c r="AO19" s="435"/>
      <c r="AQ19" s="402"/>
    </row>
    <row r="20" spans="1:43">
      <c r="A20" s="386">
        <f t="shared" si="13"/>
        <v>12</v>
      </c>
      <c r="B20" s="434" t="s">
        <v>112</v>
      </c>
      <c r="C20" s="434" t="s">
        <v>17</v>
      </c>
      <c r="D20" s="388">
        <f>'[1]Exhibit No.__(BDJ-Prof-Prop)'!I39</f>
        <v>1945214.1669999999</v>
      </c>
      <c r="E20" s="403">
        <f>'[1]Exhibit No.__(BDJ-Prof-Prop)'!L39</f>
        <v>9528.5470000000005</v>
      </c>
      <c r="F20" s="403">
        <f>+'Sch 95 PCORC'!G32</f>
        <v>0</v>
      </c>
      <c r="G20" s="403">
        <f>+'Sch 95 Imbalance'!G32</f>
        <v>0</v>
      </c>
      <c r="H20" s="403">
        <f>+'Sch 95a'!F32</f>
        <v>0</v>
      </c>
      <c r="I20" s="403">
        <f>+'Sch 120'!F32</f>
        <v>2037</v>
      </c>
      <c r="J20" s="403">
        <f>+'Sch 129'!F32</f>
        <v>117</v>
      </c>
      <c r="K20" s="403">
        <f>+'Sch 137'!F32</f>
        <v>0</v>
      </c>
      <c r="L20" s="721">
        <f>+'Sch 139'!O32</f>
        <v>0</v>
      </c>
      <c r="M20" s="403">
        <f>+'Sch 140'!F32</f>
        <v>43</v>
      </c>
      <c r="N20" s="403">
        <f>+'Sch 141'!F32</f>
        <v>0</v>
      </c>
      <c r="O20" s="403">
        <f>+'Sch 141X'!G32</f>
        <v>10</v>
      </c>
      <c r="P20" s="403">
        <f>+'Sch 141Z'!F32</f>
        <v>-10</v>
      </c>
      <c r="Q20" s="403">
        <f>+'Sch 142'!H32</f>
        <v>0</v>
      </c>
      <c r="R20" s="403">
        <f>+'Sch 142'!K32</f>
        <v>0</v>
      </c>
      <c r="S20" s="403">
        <f>+'Sch 194'!F34</f>
        <v>0</v>
      </c>
      <c r="T20" s="403">
        <f t="shared" si="0"/>
        <v>2197</v>
      </c>
      <c r="U20" s="403">
        <f t="shared" si="1"/>
        <v>11725.547</v>
      </c>
      <c r="V20" s="412"/>
      <c r="W20" s="403">
        <f>'[1]Exhibit No.__(BDJ-Prof-Prop)'!N39</f>
        <v>9411.8940000000002</v>
      </c>
      <c r="X20" s="403">
        <f t="shared" ref="X20:X21" si="20">+T20</f>
        <v>2197</v>
      </c>
      <c r="Y20" s="403">
        <f t="shared" ref="Y20:Z21" si="21">-F20</f>
        <v>0</v>
      </c>
      <c r="Z20" s="403">
        <f t="shared" si="21"/>
        <v>0</v>
      </c>
      <c r="AA20" s="403">
        <f t="shared" si="2"/>
        <v>0</v>
      </c>
      <c r="AB20" s="403">
        <f t="shared" si="19"/>
        <v>-10</v>
      </c>
      <c r="AC20" s="403">
        <f t="shared" si="3"/>
        <v>0</v>
      </c>
      <c r="AD20" s="403">
        <f>+'Sch 139'!T32</f>
        <v>0</v>
      </c>
      <c r="AE20" s="403">
        <f>+'Sch 141A'!G32</f>
        <v>0</v>
      </c>
      <c r="AF20" s="403">
        <f>+'Sch 141C'!H32</f>
        <v>0</v>
      </c>
      <c r="AG20" s="403">
        <f>+'Sch 141N'!I32</f>
        <v>147.12</v>
      </c>
      <c r="AH20" s="403">
        <f>+'Sch 141R'!I32</f>
        <v>27.6</v>
      </c>
      <c r="AI20" s="403">
        <f t="shared" si="4"/>
        <v>164.72</v>
      </c>
      <c r="AJ20" s="403">
        <f t="shared" si="5"/>
        <v>11773.614</v>
      </c>
      <c r="AK20" s="403">
        <f t="shared" si="6"/>
        <v>-116.65300000000025</v>
      </c>
      <c r="AL20" s="403">
        <f t="shared" si="7"/>
        <v>48.066999999999098</v>
      </c>
      <c r="AM20" s="453">
        <f t="shared" si="8"/>
        <v>-1.2242475164366639E-2</v>
      </c>
      <c r="AN20" s="453">
        <f t="shared" si="9"/>
        <v>4.0993396725968597E-3</v>
      </c>
      <c r="AO20" s="435"/>
      <c r="AQ20" s="402"/>
    </row>
    <row r="21" spans="1:43">
      <c r="A21" s="386">
        <f t="shared" si="13"/>
        <v>13</v>
      </c>
      <c r="B21" s="434" t="s">
        <v>262</v>
      </c>
      <c r="C21" s="434" t="s">
        <v>262</v>
      </c>
      <c r="D21" s="388">
        <f>'[1]Exhibit No.__(BDJ-Prof-Prop)'!I40</f>
        <v>278070.311162</v>
      </c>
      <c r="E21" s="403">
        <f>'[1]Exhibit No.__(BDJ-Prof-Prop)'!L40</f>
        <v>3788.1259300000002</v>
      </c>
      <c r="F21" s="403">
        <f>+'Sch 95 PCORC'!G33</f>
        <v>0</v>
      </c>
      <c r="G21" s="403">
        <f>+'Sch 95 Imbalance'!G33</f>
        <v>0</v>
      </c>
      <c r="H21" s="403">
        <f>+'Sch 95a'!F33</f>
        <v>0</v>
      </c>
      <c r="I21" s="403">
        <f>+'Sch 120'!F33</f>
        <v>632</v>
      </c>
      <c r="J21" s="403">
        <f>+'Sch 129'!F33</f>
        <v>171</v>
      </c>
      <c r="K21" s="403">
        <f>+'Sch 137'!F33</f>
        <v>0</v>
      </c>
      <c r="L21" s="721">
        <f>+'Sch 139'!O33</f>
        <v>0</v>
      </c>
      <c r="M21" s="403">
        <f>+'Sch 140'!F33</f>
        <v>135</v>
      </c>
      <c r="N21" s="403">
        <f>+'Sch 141'!F33</f>
        <v>0</v>
      </c>
      <c r="O21" s="403">
        <f>+'Sch 141X'!G33</f>
        <v>92</v>
      </c>
      <c r="P21" s="403">
        <f>+'Sch 141Z'!F33</f>
        <v>-78</v>
      </c>
      <c r="Q21" s="403">
        <f>+'Sch 142'!H33</f>
        <v>175</v>
      </c>
      <c r="R21" s="403">
        <f>+'Sch 142'!K33</f>
        <v>717</v>
      </c>
      <c r="S21" s="403">
        <f>+'Sch 194'!F35</f>
        <v>0</v>
      </c>
      <c r="T21" s="403">
        <f t="shared" si="0"/>
        <v>1844</v>
      </c>
      <c r="U21" s="403">
        <f t="shared" si="1"/>
        <v>5632.1259300000002</v>
      </c>
      <c r="V21" s="412"/>
      <c r="W21" s="403">
        <f>'[1]Exhibit No.__(BDJ-Prof-Prop)'!N40</f>
        <v>3014.6379900000002</v>
      </c>
      <c r="X21" s="403">
        <f t="shared" si="20"/>
        <v>1844</v>
      </c>
      <c r="Y21" s="403">
        <f t="shared" si="21"/>
        <v>0</v>
      </c>
      <c r="Z21" s="403">
        <f t="shared" si="21"/>
        <v>0</v>
      </c>
      <c r="AA21" s="403">
        <f t="shared" si="2"/>
        <v>0</v>
      </c>
      <c r="AB21" s="403">
        <f t="shared" si="19"/>
        <v>-92</v>
      </c>
      <c r="AC21" s="403">
        <f t="shared" si="3"/>
        <v>-717</v>
      </c>
      <c r="AD21" s="403">
        <f>+'Sch 139'!T33</f>
        <v>0</v>
      </c>
      <c r="AE21" s="403">
        <f>+'Sch 141A'!G33</f>
        <v>0</v>
      </c>
      <c r="AF21" s="403">
        <f>+'Sch 141C'!H33</f>
        <v>0</v>
      </c>
      <c r="AG21" s="403">
        <f>+'Sch 141N'!I33</f>
        <v>635</v>
      </c>
      <c r="AH21" s="403">
        <f>+'Sch 141R'!I33</f>
        <v>119</v>
      </c>
      <c r="AI21" s="403">
        <f t="shared" si="4"/>
        <v>-55</v>
      </c>
      <c r="AJ21" s="403">
        <f t="shared" si="5"/>
        <v>4803.6379900000002</v>
      </c>
      <c r="AK21" s="403">
        <f t="shared" si="6"/>
        <v>-773.48793999999998</v>
      </c>
      <c r="AL21" s="403">
        <f t="shared" si="7"/>
        <v>-828.48793999999998</v>
      </c>
      <c r="AM21" s="453">
        <f t="shared" si="8"/>
        <v>-0.20418749384078685</v>
      </c>
      <c r="AN21" s="453">
        <f t="shared" si="9"/>
        <v>-0.14710039340331296</v>
      </c>
      <c r="AO21" s="435"/>
      <c r="AQ21" s="402"/>
    </row>
    <row r="22" spans="1:43">
      <c r="A22" s="386">
        <f t="shared" si="13"/>
        <v>14</v>
      </c>
      <c r="B22" s="434" t="s">
        <v>67</v>
      </c>
      <c r="C22" s="434">
        <v>5</v>
      </c>
      <c r="D22" s="388">
        <f>'[1]Exhibit No.__(BDJ-Prof-Prop)'!I47</f>
        <v>7372.3372879022108</v>
      </c>
      <c r="E22" s="403">
        <f>'[1]Exhibit No.__(BDJ-Prof-Prop)'!L47</f>
        <v>345.54538000000002</v>
      </c>
      <c r="F22" s="403">
        <f>+'Sch 95 PCORC'!G38</f>
        <v>23</v>
      </c>
      <c r="G22" s="403">
        <f>+'Sch 95 Imbalance'!G38</f>
        <v>15</v>
      </c>
      <c r="H22" s="403">
        <f>+'Sch 95a'!F38</f>
        <v>-10</v>
      </c>
      <c r="I22" s="403">
        <f>+'Sch 120'!F38</f>
        <v>0</v>
      </c>
      <c r="J22" s="403">
        <f>+'Sch 129'!F38</f>
        <v>0</v>
      </c>
      <c r="K22" s="403">
        <f>+'Sch 137'!F38</f>
        <v>0</v>
      </c>
      <c r="L22" s="721">
        <f>+'Sch 139'!O38</f>
        <v>0</v>
      </c>
      <c r="M22" s="403">
        <f>+'Sch 140'!F38</f>
        <v>0</v>
      </c>
      <c r="N22" s="403">
        <f>+'Sch 141'!F38</f>
        <v>0</v>
      </c>
      <c r="O22" s="403">
        <f>+'Sch 141X'!G38</f>
        <v>5</v>
      </c>
      <c r="P22" s="403">
        <f>+'Sch 141Z'!F38</f>
        <v>-6</v>
      </c>
      <c r="Q22" s="403">
        <f>+'Sch 142'!H38</f>
        <v>0</v>
      </c>
      <c r="R22" s="403">
        <f>+'Sch 142'!K38</f>
        <v>0</v>
      </c>
      <c r="S22" s="403">
        <f>+'Sch 194'!F40</f>
        <v>0</v>
      </c>
      <c r="T22" s="403">
        <f t="shared" si="0"/>
        <v>4</v>
      </c>
      <c r="U22" s="403">
        <f t="shared" si="1"/>
        <v>349.54538000000002</v>
      </c>
      <c r="V22" s="412"/>
      <c r="W22" s="403">
        <f>'[1]Exhibit No.__(BDJ-Prof-Prop)'!N47</f>
        <v>573.82263999999998</v>
      </c>
      <c r="X22" s="403">
        <f>+T22</f>
        <v>4</v>
      </c>
      <c r="Y22" s="403">
        <f>-F22</f>
        <v>-23</v>
      </c>
      <c r="Z22" s="403">
        <f>-G22</f>
        <v>-15</v>
      </c>
      <c r="AA22" s="403">
        <f t="shared" si="2"/>
        <v>0</v>
      </c>
      <c r="AB22" s="403">
        <f t="shared" si="19"/>
        <v>-5</v>
      </c>
      <c r="AC22" s="403">
        <f t="shared" si="3"/>
        <v>0</v>
      </c>
      <c r="AD22" s="403">
        <f>+'Sch 139'!T38</f>
        <v>0</v>
      </c>
      <c r="AE22" s="403">
        <f>+'Sch 141A'!G38</f>
        <v>12</v>
      </c>
      <c r="AF22" s="403">
        <f>+'Sch 141C'!H38</f>
        <v>14</v>
      </c>
      <c r="AG22" s="403">
        <f>+'Sch 141N'!I38</f>
        <v>60</v>
      </c>
      <c r="AH22" s="403">
        <f>+'Sch 141R'!I38</f>
        <v>32</v>
      </c>
      <c r="AI22" s="403">
        <f t="shared" si="4"/>
        <v>75</v>
      </c>
      <c r="AJ22" s="403">
        <f t="shared" si="5"/>
        <v>652.82263999999998</v>
      </c>
      <c r="AK22" s="403">
        <f t="shared" si="6"/>
        <v>228.27725999999996</v>
      </c>
      <c r="AL22" s="403">
        <f t="shared" si="7"/>
        <v>303.27725999999996</v>
      </c>
      <c r="AM22" s="453">
        <f t="shared" si="8"/>
        <v>0.66062888758634231</v>
      </c>
      <c r="AN22" s="453">
        <f t="shared" si="9"/>
        <v>0.86763343861103226</v>
      </c>
      <c r="AO22" s="435"/>
      <c r="AQ22" s="402"/>
    </row>
    <row r="23" spans="1:43">
      <c r="A23" s="386">
        <f t="shared" si="13"/>
        <v>15</v>
      </c>
      <c r="B23" s="386"/>
      <c r="C23" s="386"/>
      <c r="D23" s="388"/>
      <c r="E23" s="403"/>
      <c r="F23" s="403"/>
      <c r="G23" s="403"/>
      <c r="H23" s="403"/>
      <c r="I23" s="403"/>
      <c r="J23" s="403"/>
      <c r="K23" s="403"/>
      <c r="L23" s="721"/>
      <c r="M23" s="403"/>
      <c r="N23" s="403"/>
      <c r="O23" s="403"/>
      <c r="P23" s="403"/>
      <c r="Q23" s="403"/>
      <c r="R23" s="403"/>
      <c r="S23" s="403"/>
      <c r="T23" s="403"/>
      <c r="U23" s="403"/>
      <c r="V23" s="412"/>
      <c r="W23" s="403"/>
      <c r="X23" s="403"/>
      <c r="Y23" s="403"/>
      <c r="Z23" s="403"/>
      <c r="AA23" s="403"/>
      <c r="AB23" s="403"/>
      <c r="AC23" s="403"/>
      <c r="AD23" s="403"/>
      <c r="AE23" s="403"/>
      <c r="AF23" s="403"/>
      <c r="AG23" s="403"/>
      <c r="AH23" s="403"/>
      <c r="AI23" s="403"/>
      <c r="AJ23" s="403"/>
      <c r="AK23" s="403"/>
      <c r="AL23" s="403"/>
      <c r="AM23" s="453"/>
      <c r="AN23" s="453"/>
      <c r="AO23" s="435"/>
      <c r="AQ23" s="402"/>
    </row>
    <row r="24" spans="1:43" ht="10.8" thickBot="1">
      <c r="A24" s="386">
        <f t="shared" si="13"/>
        <v>16</v>
      </c>
      <c r="B24" s="386"/>
      <c r="C24" s="386" t="s">
        <v>19</v>
      </c>
      <c r="D24" s="393">
        <f>SUM(D9:D23)</f>
        <v>22988348.593883667</v>
      </c>
      <c r="E24" s="407">
        <f>SUM(E9:E23)</f>
        <v>2115329.2403100003</v>
      </c>
      <c r="F24" s="407">
        <f t="shared" ref="F24:U24" si="22">SUM(F9:F23)</f>
        <v>68656</v>
      </c>
      <c r="G24" s="407">
        <f t="shared" si="22"/>
        <v>44789</v>
      </c>
      <c r="H24" s="407">
        <f t="shared" si="22"/>
        <v>-28982</v>
      </c>
      <c r="I24" s="407">
        <f t="shared" si="22"/>
        <v>83230</v>
      </c>
      <c r="J24" s="407">
        <f t="shared" si="22"/>
        <v>26929</v>
      </c>
      <c r="K24" s="407">
        <f t="shared" si="22"/>
        <v>-435</v>
      </c>
      <c r="L24" s="722">
        <f t="shared" si="22"/>
        <v>3624</v>
      </c>
      <c r="M24" s="407">
        <f t="shared" si="22"/>
        <v>58056</v>
      </c>
      <c r="N24" s="407">
        <f t="shared" si="22"/>
        <v>0</v>
      </c>
      <c r="O24" s="407">
        <f t="shared" si="22"/>
        <v>16326</v>
      </c>
      <c r="P24" s="407">
        <f t="shared" si="22"/>
        <v>-16286</v>
      </c>
      <c r="Q24" s="407">
        <f t="shared" si="22"/>
        <v>21370</v>
      </c>
      <c r="R24" s="407">
        <f t="shared" si="22"/>
        <v>8953</v>
      </c>
      <c r="S24" s="407">
        <f t="shared" si="22"/>
        <v>-78970</v>
      </c>
      <c r="T24" s="407">
        <f t="shared" si="22"/>
        <v>138604</v>
      </c>
      <c r="U24" s="407">
        <f t="shared" si="22"/>
        <v>2253933.2403099998</v>
      </c>
      <c r="V24" s="412"/>
      <c r="W24" s="407">
        <f t="shared" ref="W24" si="23">SUM(W9:W23)</f>
        <v>2073762.6496366488</v>
      </c>
      <c r="X24" s="407">
        <f t="shared" ref="X24" si="24">SUM(X9:X23)</f>
        <v>138604</v>
      </c>
      <c r="Y24" s="407">
        <f t="shared" ref="Y24" si="25">SUM(Y9:Y23)</f>
        <v>-68656</v>
      </c>
      <c r="Z24" s="407">
        <f t="shared" ref="Z24" si="26">SUM(Z9:Z23)</f>
        <v>-44789</v>
      </c>
      <c r="AA24" s="407">
        <f t="shared" ref="AA24" si="27">SUM(AA9:AA23)</f>
        <v>-3624</v>
      </c>
      <c r="AB24" s="407">
        <f t="shared" ref="AB24" si="28">SUM(AB9:AB23)</f>
        <v>-16326</v>
      </c>
      <c r="AC24" s="407">
        <f t="shared" ref="AC24" si="29">SUM(AC9:AC23)</f>
        <v>-8953</v>
      </c>
      <c r="AD24" s="407">
        <f t="shared" ref="AD24" si="30">SUM(AD9:AD23)</f>
        <v>-1117</v>
      </c>
      <c r="AE24" s="407">
        <f t="shared" ref="AE24:AG24" si="31">SUM(AE9:AE23)</f>
        <v>35853</v>
      </c>
      <c r="AF24" s="407">
        <f t="shared" ref="AF24" si="32">SUM(AF9:AF23)</f>
        <v>50686</v>
      </c>
      <c r="AG24" s="407">
        <f t="shared" si="31"/>
        <v>234374.12</v>
      </c>
      <c r="AH24" s="407">
        <f t="shared" ref="AH24" si="33">SUM(AH9:AH23)</f>
        <v>43834.6</v>
      </c>
      <c r="AI24" s="407">
        <f t="shared" ref="AI24" si="34">SUM(AI9:AI23)</f>
        <v>221282.72</v>
      </c>
      <c r="AJ24" s="407">
        <f t="shared" ref="AJ24" si="35">SUM(AJ9:AJ23)</f>
        <v>2433649.3696366493</v>
      </c>
      <c r="AK24" s="407">
        <f t="shared" ref="AK24" si="36">SUM(AK9:AK23)</f>
        <v>-41566.590673351064</v>
      </c>
      <c r="AL24" s="407">
        <f t="shared" ref="AL24" si="37">SUM(AL9:AL23)</f>
        <v>179716.12932664892</v>
      </c>
      <c r="AM24" s="454">
        <f>+AK24/E24</f>
        <v>-1.9650175434278733E-2</v>
      </c>
      <c r="AN24" s="454">
        <f>+AL24/U24</f>
        <v>7.9734450920086367E-2</v>
      </c>
      <c r="AO24" s="403"/>
      <c r="AQ24" s="402"/>
    </row>
    <row r="25" spans="1:43" ht="10.8" thickTop="1">
      <c r="E25" s="403"/>
      <c r="F25" s="403"/>
      <c r="G25" s="403"/>
      <c r="H25" s="403"/>
      <c r="I25" s="403"/>
      <c r="J25" s="403"/>
      <c r="K25" s="403"/>
      <c r="L25" s="721"/>
      <c r="M25" s="403"/>
      <c r="N25" s="403"/>
      <c r="O25" s="403"/>
      <c r="P25" s="403"/>
      <c r="Q25" s="403"/>
      <c r="R25" s="403"/>
      <c r="S25" s="403"/>
      <c r="T25" s="403"/>
      <c r="U25" s="403"/>
      <c r="V25" s="412"/>
      <c r="W25" s="403"/>
      <c r="X25" s="403"/>
      <c r="Y25" s="403"/>
      <c r="Z25" s="403"/>
      <c r="AA25" s="403"/>
      <c r="AB25" s="403"/>
      <c r="AC25" s="403"/>
      <c r="AD25" s="403"/>
      <c r="AE25" s="403"/>
      <c r="AF25" s="403"/>
      <c r="AG25" s="403"/>
      <c r="AH25" s="403"/>
      <c r="AI25" s="403"/>
      <c r="AJ25" s="403"/>
      <c r="AK25" s="403"/>
      <c r="AL25" s="403"/>
      <c r="AQ25" s="402"/>
    </row>
    <row r="26" spans="1:43">
      <c r="D26" s="388">
        <f>'[1]Exhibit No.__(BDJ-Prof-Prop)'!I49</f>
        <v>22988348.593883667</v>
      </c>
      <c r="E26" s="403">
        <f>'[1]Exhibit No.__(BDJ-Prof-Prop)'!L49</f>
        <v>2115329.2403100003</v>
      </c>
      <c r="F26" s="403">
        <f>+'Sch 95 PCORC'!G40</f>
        <v>68656</v>
      </c>
      <c r="G26" s="403">
        <f>+'Sch 95 Imbalance'!G40</f>
        <v>44789</v>
      </c>
      <c r="H26" s="403">
        <f>+'Sch 95a'!F40</f>
        <v>-28982</v>
      </c>
      <c r="I26" s="403">
        <f>+'Sch 120'!F40</f>
        <v>83230</v>
      </c>
      <c r="J26" s="403">
        <f>+'Sch 129'!F40</f>
        <v>26929</v>
      </c>
      <c r="K26" s="403">
        <f>+'Sch 137'!F40</f>
        <v>-435</v>
      </c>
      <c r="L26" s="721">
        <f>+'Sch 139'!O40</f>
        <v>3624</v>
      </c>
      <c r="M26" s="403">
        <f>+'Sch 140'!F40</f>
        <v>58056</v>
      </c>
      <c r="N26" s="403">
        <f>+'Sch 141'!F40</f>
        <v>0</v>
      </c>
      <c r="O26" s="403">
        <f>+'Sch 141X'!G40</f>
        <v>16326</v>
      </c>
      <c r="P26" s="403">
        <f>+'Sch 141Z'!F40</f>
        <v>-16286</v>
      </c>
      <c r="Q26" s="403">
        <f>+'Sch 142'!H40</f>
        <v>21370</v>
      </c>
      <c r="R26" s="403">
        <f>+'Sch 142'!K40</f>
        <v>8953</v>
      </c>
      <c r="S26" s="403">
        <f>+'Sch 194'!F42</f>
        <v>-78970</v>
      </c>
      <c r="T26" s="403"/>
      <c r="U26" s="403"/>
      <c r="V26" s="403"/>
      <c r="W26" s="403">
        <f>'[1]Exhibit No.__(BDJ-Prof-Prop)'!N49</f>
        <v>2073762.6496366491</v>
      </c>
      <c r="X26" s="403"/>
      <c r="Y26" s="403"/>
      <c r="Z26" s="403"/>
      <c r="AA26" s="403"/>
      <c r="AB26" s="403"/>
      <c r="AC26" s="403"/>
      <c r="AD26" s="403"/>
      <c r="AE26" s="403"/>
      <c r="AF26" s="403"/>
      <c r="AG26" s="403"/>
      <c r="AH26" s="403"/>
      <c r="AI26" s="403"/>
      <c r="AJ26" s="403"/>
      <c r="AK26" s="403"/>
      <c r="AL26" s="403"/>
      <c r="AQ26" s="402"/>
    </row>
    <row r="27" spans="1:43" s="425" customFormat="1">
      <c r="D27" s="426">
        <f>+D26-D24</f>
        <v>0</v>
      </c>
      <c r="E27" s="427">
        <f>+E26-E24</f>
        <v>0</v>
      </c>
      <c r="F27" s="427">
        <f t="shared" ref="F27:S27" si="38">+F26-F24</f>
        <v>0</v>
      </c>
      <c r="G27" s="427">
        <f t="shared" si="38"/>
        <v>0</v>
      </c>
      <c r="H27" s="427">
        <f t="shared" si="38"/>
        <v>0</v>
      </c>
      <c r="I27" s="427">
        <f t="shared" si="38"/>
        <v>0</v>
      </c>
      <c r="J27" s="427">
        <f t="shared" si="38"/>
        <v>0</v>
      </c>
      <c r="K27" s="427">
        <f t="shared" si="38"/>
        <v>0</v>
      </c>
      <c r="L27" s="427">
        <f t="shared" si="38"/>
        <v>0</v>
      </c>
      <c r="M27" s="427">
        <f t="shared" si="38"/>
        <v>0</v>
      </c>
      <c r="N27" s="427">
        <f t="shared" si="38"/>
        <v>0</v>
      </c>
      <c r="O27" s="427">
        <f t="shared" si="38"/>
        <v>0</v>
      </c>
      <c r="P27" s="427">
        <f t="shared" si="38"/>
        <v>0</v>
      </c>
      <c r="Q27" s="427">
        <f t="shared" si="38"/>
        <v>0</v>
      </c>
      <c r="R27" s="427">
        <f t="shared" si="38"/>
        <v>0</v>
      </c>
      <c r="S27" s="427">
        <f t="shared" si="38"/>
        <v>0</v>
      </c>
      <c r="T27" s="427"/>
      <c r="U27" s="427"/>
      <c r="V27" s="427"/>
      <c r="W27" s="427">
        <f>+W26-W24</f>
        <v>0</v>
      </c>
      <c r="X27" s="427"/>
      <c r="Y27" s="427"/>
      <c r="Z27" s="427"/>
      <c r="AA27" s="427"/>
      <c r="AB27" s="427"/>
      <c r="AC27" s="427"/>
      <c r="AD27" s="427"/>
      <c r="AE27" s="427"/>
      <c r="AF27" s="427"/>
      <c r="AG27" s="427"/>
      <c r="AH27" s="427"/>
      <c r="AL27" s="427"/>
      <c r="AM27" s="427"/>
      <c r="AQ27" s="451"/>
    </row>
    <row r="28" spans="1:43" ht="12.75" customHeight="1">
      <c r="AD28" s="403"/>
      <c r="AE28" s="403"/>
      <c r="AF28" s="403"/>
      <c r="AG28" s="403"/>
      <c r="AH28" s="403"/>
      <c r="AQ28" s="402"/>
    </row>
    <row r="29" spans="1:43">
      <c r="AD29" s="403"/>
      <c r="AE29" s="403"/>
      <c r="AF29" s="403"/>
      <c r="AG29" s="403"/>
      <c r="AH29" s="403"/>
    </row>
    <row r="30" spans="1:43">
      <c r="B30" s="449"/>
      <c r="AD30" s="403"/>
      <c r="AE30" s="403"/>
      <c r="AF30" s="403"/>
      <c r="AG30" s="403"/>
      <c r="AH30" s="403"/>
    </row>
  </sheetData>
  <mergeCells count="7">
    <mergeCell ref="AD6:AH6"/>
    <mergeCell ref="A1:C1"/>
    <mergeCell ref="A2:C2"/>
    <mergeCell ref="A3:C3"/>
    <mergeCell ref="A4:C4"/>
    <mergeCell ref="Y6:AC6"/>
    <mergeCell ref="A5:C5"/>
  </mergeCells>
  <pageMargins left="0.25" right="0.25" top="0.75" bottom="0.75" header="0.3" footer="0.3"/>
  <pageSetup scale="63" orientation="landscape" r:id="rId1"/>
  <headerFooter>
    <oddFooter>&amp;L&amp;"Times New Roman,Regular"&amp;F
&amp;A&amp;R&amp;"Times New Roman,Regular"Page &amp;P of &amp;N</oddFooter>
  </headerFooter>
  <colBreaks count="1" manualBreakCount="1">
    <brk id="20" max="36" man="1"/>
  </col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P56"/>
  <sheetViews>
    <sheetView tabSelected="1" zoomScaleNormal="100" workbookViewId="0">
      <pane xSplit="5" ySplit="7" topLeftCell="V8" activePane="bottomRight" state="frozen"/>
      <selection activeCell="F7" sqref="F7:F62"/>
      <selection pane="topRight" activeCell="F7" sqref="F7:F62"/>
      <selection pane="bottomLeft" activeCell="F7" sqref="F7:F62"/>
      <selection pane="bottomRight" sqref="A1:B1"/>
    </sheetView>
  </sheetViews>
  <sheetFormatPr defaultColWidth="6.33203125" defaultRowHeight="10.199999999999999"/>
  <cols>
    <col min="1" max="1" width="4.88671875" style="387" bestFit="1" customWidth="1"/>
    <col min="2" max="2" width="30.88671875" style="387" bestFit="1" customWidth="1"/>
    <col min="3" max="3" width="15.109375" style="387" bestFit="1" customWidth="1"/>
    <col min="4" max="4" width="14.5546875" style="387" bestFit="1" customWidth="1"/>
    <col min="5" max="5" width="13.33203125" style="387" bestFit="1" customWidth="1"/>
    <col min="6" max="6" width="0.6640625" style="387" customWidth="1"/>
    <col min="7" max="7" width="11.109375" style="387" bestFit="1" customWidth="1"/>
    <col min="8" max="8" width="11.5546875" style="387" bestFit="1" customWidth="1"/>
    <col min="9" max="9" width="0.6640625" style="387" customWidth="1"/>
    <col min="10" max="11" width="11.109375" style="387" bestFit="1" customWidth="1"/>
    <col min="12" max="12" width="0.6640625" style="387" customWidth="1"/>
    <col min="13" max="14" width="12.109375" style="387" bestFit="1" customWidth="1"/>
    <col min="15" max="15" width="0.6640625" style="387" customWidth="1"/>
    <col min="16" max="16" width="10.88671875" style="387" bestFit="1" customWidth="1"/>
    <col min="17" max="17" width="11.109375" style="387" bestFit="1" customWidth="1"/>
    <col min="18" max="18" width="0.6640625" style="387" customWidth="1"/>
    <col min="19" max="19" width="10.88671875" style="387" bestFit="1" customWidth="1"/>
    <col min="20" max="20" width="11.109375" style="387" bestFit="1" customWidth="1"/>
    <col min="21" max="21" width="0.6640625" style="387" customWidth="1"/>
    <col min="22" max="22" width="10.88671875" style="387" bestFit="1" customWidth="1"/>
    <col min="23" max="23" width="11.109375" style="387" bestFit="1" customWidth="1"/>
    <col min="24" max="24" width="0.6640625" style="387" customWidth="1"/>
    <col min="25" max="25" width="10.88671875" style="387" bestFit="1" customWidth="1"/>
    <col min="26" max="26" width="11.109375" style="387" bestFit="1" customWidth="1"/>
    <col min="27" max="27" width="0.6640625" style="387" customWidth="1"/>
    <col min="28" max="28" width="14.5546875" style="387" bestFit="1" customWidth="1"/>
    <col min="29" max="29" width="10.44140625" style="387" bestFit="1" customWidth="1"/>
    <col min="30" max="30" width="0.6640625" style="387" customWidth="1"/>
    <col min="31" max="31" width="14" style="387" bestFit="1" customWidth="1"/>
    <col min="32" max="32" width="11.88671875" style="387" bestFit="1" customWidth="1"/>
    <col min="33" max="33" width="0.6640625" style="387" customWidth="1"/>
    <col min="34" max="34" width="10.88671875" style="387" bestFit="1" customWidth="1"/>
    <col min="35" max="35" width="11.109375" style="387" bestFit="1" customWidth="1"/>
    <col min="36" max="36" width="0.6640625" style="387" customWidth="1"/>
    <col min="37" max="38" width="9.5546875" style="387" customWidth="1"/>
    <col min="39" max="39" width="0.6640625" style="387" customWidth="1"/>
    <col min="40" max="40" width="11.5546875" style="387" customWidth="1"/>
    <col min="41" max="41" width="11.33203125" style="387" customWidth="1"/>
    <col min="42" max="42" width="10" style="387" bestFit="1" customWidth="1"/>
    <col min="43" max="16384" width="6.33203125" style="387"/>
  </cols>
  <sheetData>
    <row r="1" spans="1:42" s="409" customFormat="1">
      <c r="A1" s="772" t="s">
        <v>0</v>
      </c>
      <c r="B1" s="772"/>
      <c r="C1" s="401"/>
      <c r="D1" s="436"/>
      <c r="E1" s="436"/>
      <c r="Z1" s="611"/>
      <c r="AB1" s="619"/>
    </row>
    <row r="2" spans="1:42" s="409" customFormat="1">
      <c r="A2" s="772" t="s">
        <v>61</v>
      </c>
      <c r="B2" s="772"/>
      <c r="C2" s="401"/>
      <c r="D2" s="436"/>
      <c r="E2" s="436"/>
      <c r="Z2" s="611"/>
      <c r="AB2" s="619"/>
    </row>
    <row r="3" spans="1:42" s="409" customFormat="1">
      <c r="A3" s="773" t="s">
        <v>519</v>
      </c>
      <c r="B3" s="772"/>
      <c r="C3" s="401"/>
      <c r="D3" s="436"/>
      <c r="E3" s="436"/>
    </row>
    <row r="4" spans="1:42" s="409" customFormat="1">
      <c r="A4" s="772" t="s">
        <v>174</v>
      </c>
      <c r="B4" s="772"/>
      <c r="C4" s="401"/>
      <c r="D4" s="436"/>
      <c r="E4" s="436"/>
    </row>
    <row r="5" spans="1:42" s="409" customFormat="1">
      <c r="A5" s="773" t="s">
        <v>303</v>
      </c>
      <c r="B5" s="772"/>
      <c r="C5" s="401"/>
      <c r="D5" s="401"/>
      <c r="E5" s="401"/>
      <c r="G5" s="702" t="s">
        <v>872</v>
      </c>
    </row>
    <row r="6" spans="1:42" s="409" customFormat="1">
      <c r="A6" s="411"/>
      <c r="B6" s="401"/>
      <c r="C6" s="401"/>
      <c r="D6" s="401"/>
      <c r="E6" s="401"/>
      <c r="G6" s="766" t="s">
        <v>873</v>
      </c>
      <c r="H6" s="767"/>
      <c r="I6" s="767"/>
      <c r="J6" s="767"/>
      <c r="K6" s="767"/>
      <c r="L6" s="767"/>
      <c r="M6" s="767"/>
      <c r="N6" s="767"/>
      <c r="O6" s="767"/>
      <c r="P6" s="767"/>
      <c r="Q6" s="767"/>
      <c r="R6" s="767"/>
      <c r="S6" s="767"/>
      <c r="T6" s="767"/>
      <c r="U6" s="767"/>
      <c r="V6" s="767"/>
      <c r="W6" s="767"/>
      <c r="X6" s="767"/>
      <c r="Y6" s="767"/>
      <c r="Z6" s="767"/>
      <c r="AA6" s="767"/>
      <c r="AB6" s="767"/>
      <c r="AC6" s="768"/>
      <c r="AE6" s="769" t="s">
        <v>707</v>
      </c>
      <c r="AF6" s="770"/>
      <c r="AG6" s="770"/>
      <c r="AH6" s="770"/>
      <c r="AI6" s="770"/>
      <c r="AJ6" s="770"/>
      <c r="AK6" s="770"/>
      <c r="AL6" s="771"/>
    </row>
    <row r="7" spans="1:42" s="409" customFormat="1" ht="61.2">
      <c r="A7" s="568" t="s">
        <v>2</v>
      </c>
      <c r="B7" s="568" t="s">
        <v>579</v>
      </c>
      <c r="C7" s="568" t="s">
        <v>315</v>
      </c>
      <c r="D7" s="400" t="s">
        <v>520</v>
      </c>
      <c r="E7" s="438" t="s">
        <v>578</v>
      </c>
      <c r="F7" s="620"/>
      <c r="G7" s="438" t="s">
        <v>580</v>
      </c>
      <c r="H7" s="438" t="s">
        <v>581</v>
      </c>
      <c r="I7" s="438"/>
      <c r="J7" s="438" t="s">
        <v>589</v>
      </c>
      <c r="K7" s="438" t="s">
        <v>590</v>
      </c>
      <c r="L7" s="438"/>
      <c r="M7" s="438" t="s">
        <v>593</v>
      </c>
      <c r="N7" s="438" t="s">
        <v>594</v>
      </c>
      <c r="O7" s="620"/>
      <c r="P7" s="438" t="s">
        <v>887</v>
      </c>
      <c r="Q7" s="438" t="s">
        <v>888</v>
      </c>
      <c r="R7" s="620"/>
      <c r="S7" s="438" t="s">
        <v>818</v>
      </c>
      <c r="T7" s="438" t="s">
        <v>819</v>
      </c>
      <c r="U7" s="620"/>
      <c r="V7" s="732" t="s">
        <v>582</v>
      </c>
      <c r="W7" s="732" t="s">
        <v>583</v>
      </c>
      <c r="X7" s="620"/>
      <c r="Y7" s="732" t="s">
        <v>584</v>
      </c>
      <c r="Z7" s="732" t="s">
        <v>585</v>
      </c>
      <c r="AA7" s="620"/>
      <c r="AB7" s="438" t="s">
        <v>695</v>
      </c>
      <c r="AC7" s="438" t="s">
        <v>696</v>
      </c>
      <c r="AD7" s="620"/>
      <c r="AE7" s="438" t="s">
        <v>591</v>
      </c>
      <c r="AF7" s="438" t="s">
        <v>592</v>
      </c>
      <c r="AG7" s="438"/>
      <c r="AH7" s="438" t="s">
        <v>586</v>
      </c>
      <c r="AI7" s="438" t="s">
        <v>587</v>
      </c>
      <c r="AJ7" s="620"/>
      <c r="AK7" s="438" t="s">
        <v>596</v>
      </c>
      <c r="AL7" s="438" t="s">
        <v>694</v>
      </c>
      <c r="AM7" s="620"/>
      <c r="AN7" s="438" t="s">
        <v>616</v>
      </c>
      <c r="AO7" s="438" t="s">
        <v>597</v>
      </c>
      <c r="AP7" s="438" t="s">
        <v>598</v>
      </c>
    </row>
    <row r="8" spans="1:42" s="440" customFormat="1" ht="30.6">
      <c r="A8" s="430"/>
      <c r="B8" s="430" t="s">
        <v>106</v>
      </c>
      <c r="C8" s="430" t="s">
        <v>107</v>
      </c>
      <c r="D8" s="431" t="s">
        <v>266</v>
      </c>
      <c r="E8" s="432" t="s">
        <v>274</v>
      </c>
      <c r="G8" s="440" t="s">
        <v>620</v>
      </c>
      <c r="H8" s="440" t="s">
        <v>619</v>
      </c>
      <c r="J8" s="440" t="s">
        <v>621</v>
      </c>
      <c r="K8" s="440" t="s">
        <v>622</v>
      </c>
      <c r="M8" s="440" t="s">
        <v>623</v>
      </c>
      <c r="N8" s="440" t="s">
        <v>624</v>
      </c>
      <c r="P8" s="440" t="s">
        <v>625</v>
      </c>
      <c r="Q8" s="440" t="s">
        <v>626</v>
      </c>
      <c r="S8" s="440" t="s">
        <v>627</v>
      </c>
      <c r="T8" s="440" t="s">
        <v>628</v>
      </c>
      <c r="V8" s="733" t="s">
        <v>629</v>
      </c>
      <c r="W8" s="733" t="s">
        <v>630</v>
      </c>
      <c r="Y8" s="733" t="s">
        <v>807</v>
      </c>
      <c r="Z8" s="733" t="s">
        <v>631</v>
      </c>
      <c r="AB8" s="441" t="s">
        <v>808</v>
      </c>
      <c r="AC8" s="441" t="s">
        <v>632</v>
      </c>
      <c r="AE8" s="440" t="s">
        <v>633</v>
      </c>
      <c r="AF8" s="441" t="s">
        <v>634</v>
      </c>
      <c r="AH8" s="440" t="s">
        <v>708</v>
      </c>
      <c r="AI8" s="440" t="s">
        <v>709</v>
      </c>
      <c r="AK8" s="440" t="s">
        <v>813</v>
      </c>
      <c r="AL8" s="441" t="s">
        <v>814</v>
      </c>
      <c r="AN8" s="441" t="s">
        <v>815</v>
      </c>
      <c r="AO8" s="441" t="s">
        <v>816</v>
      </c>
      <c r="AP8" s="441" t="s">
        <v>817</v>
      </c>
    </row>
    <row r="9" spans="1:42">
      <c r="A9" s="386">
        <v>1</v>
      </c>
      <c r="B9" s="434" t="s">
        <v>11</v>
      </c>
      <c r="C9" s="434" t="s">
        <v>902</v>
      </c>
      <c r="D9" s="613">
        <f>'[1]Exhibit No.__(BDJ-MYRP-SUM)'!K14</f>
        <v>10963050.375499999</v>
      </c>
      <c r="E9" s="612">
        <f>+'Revenue by Sch RY#1'!T9+'[1]Exhibit No.__(BDJ-MYRP-SUM)'!L14</f>
        <v>1252945.8622809658</v>
      </c>
      <c r="F9" s="614"/>
      <c r="G9" s="701">
        <v>-22929.124451969317</v>
      </c>
      <c r="H9" s="599">
        <f>+G9/$E9</f>
        <v>-1.8300171733060557E-2</v>
      </c>
      <c r="I9" s="599"/>
      <c r="J9" s="612">
        <f>SUM('Revenue by Sch RY#1'!W9,'Revenue by Sch RY#1'!AC9)</f>
        <v>-36334</v>
      </c>
      <c r="K9" s="599">
        <f>+J9/$E9</f>
        <v>-2.8998858684807494E-2</v>
      </c>
      <c r="L9" s="599"/>
      <c r="M9" s="706">
        <f>SUM('Revenue by Sch RY#1'!Y9,'Revenue by Sch RY#1'!AE9)</f>
        <v>0</v>
      </c>
      <c r="N9" s="599">
        <f>+M9/$E9</f>
        <v>0</v>
      </c>
      <c r="O9" s="383"/>
      <c r="P9" s="612">
        <f>+'Revenue by Sch RY#1'!AG9</f>
        <v>29260</v>
      </c>
      <c r="Q9" s="599">
        <f>+P9/$E9</f>
        <v>2.3352964306640262E-2</v>
      </c>
      <c r="R9" s="383"/>
      <c r="S9" s="706">
        <f>+'Revenue by Sch RY#1'!AF9</f>
        <v>20040</v>
      </c>
      <c r="T9" s="599">
        <f>+S9/$E9</f>
        <v>1.5994306380897841E-2</v>
      </c>
      <c r="U9" s="383"/>
      <c r="V9" s="736">
        <f>+'Revenue by Sch RY#1'!AH9</f>
        <v>138880</v>
      </c>
      <c r="W9" s="734">
        <f>+V9/$E9</f>
        <v>0.11084277795304852</v>
      </c>
      <c r="X9" s="383"/>
      <c r="Y9" s="736">
        <f>+'Revenue by Sch RY#1'!AI9</f>
        <v>25961</v>
      </c>
      <c r="Z9" s="734">
        <f>+Y9/$E9</f>
        <v>2.0719969458806831E-2</v>
      </c>
      <c r="AA9" s="383"/>
      <c r="AB9" s="612">
        <f>+G9+J9+M9+V9+Y9+P9+S9</f>
        <v>154877.87554803069</v>
      </c>
      <c r="AC9" s="599">
        <f>+AB9/$E9</f>
        <v>0.1236109876815254</v>
      </c>
      <c r="AD9" s="383"/>
      <c r="AE9" s="612">
        <f>SUM('Revenue by Sch RY#1'!X9,'Revenue by Sch RY#1'!AD9)</f>
        <v>-23402</v>
      </c>
      <c r="AF9" s="599">
        <f t="shared" ref="AF9:AF23" si="0">+AE9/$E9</f>
        <v>-1.8677582730826911E-2</v>
      </c>
      <c r="AG9" s="599"/>
      <c r="AH9" s="612">
        <f>SUM('Revenue by Sch RY#1'!Z9,'Revenue by Sch RY#1'!AJ9)</f>
        <v>-9319</v>
      </c>
      <c r="AI9" s="599">
        <f>+AH9/$E9</f>
        <v>-7.4376717147498494E-3</v>
      </c>
      <c r="AJ9" s="383"/>
      <c r="AK9" s="612">
        <f>SUM('Revenue by Sch RY#1'!AK9,'Revenue by Sch RY#1'!AA9)</f>
        <v>-3442</v>
      </c>
      <c r="AL9" s="599">
        <f>+AK9/$E9</f>
        <v>-2.7471258763997193E-3</v>
      </c>
      <c r="AM9" s="383"/>
      <c r="AN9" s="612">
        <f>SUM(E9,AB9,AE9,AH9,AK9)</f>
        <v>1371660.7378289965</v>
      </c>
      <c r="AO9" s="612">
        <f t="shared" ref="AO9:AO22" si="1">+AN9-E9</f>
        <v>118714.87554803072</v>
      </c>
      <c r="AP9" s="599">
        <f>+AO9/$E9</f>
        <v>9.4748607359548945E-2</v>
      </c>
    </row>
    <row r="10" spans="1:42">
      <c r="A10" s="386">
        <f>+A9+1</f>
        <v>2</v>
      </c>
      <c r="B10" s="434" t="s">
        <v>568</v>
      </c>
      <c r="C10" s="434" t="s">
        <v>901</v>
      </c>
      <c r="D10" s="613">
        <f>'[1]Exhibit No.__(BDJ-MYRP-SUM)'!K15</f>
        <v>2697633</v>
      </c>
      <c r="E10" s="612">
        <f>+'Revenue by Sch RY#1'!T10+'[1]Exhibit No.__(BDJ-MYRP-SUM)'!L15</f>
        <v>318694.06554000004</v>
      </c>
      <c r="F10" s="614"/>
      <c r="G10" s="701">
        <v>-4598.3141444966805</v>
      </c>
      <c r="H10" s="599">
        <f t="shared" ref="H10:H23" si="2">+G10/$E10</f>
        <v>-1.4428615533537557E-2</v>
      </c>
      <c r="I10" s="599"/>
      <c r="J10" s="612">
        <f>SUM('Revenue by Sch RY#1'!W10,'Revenue by Sch RY#1'!AC10)</f>
        <v>-9303</v>
      </c>
      <c r="K10" s="599">
        <f t="shared" ref="K10:K22" si="3">+J10/$E10</f>
        <v>-2.9191004809696899E-2</v>
      </c>
      <c r="L10" s="599"/>
      <c r="M10" s="706">
        <f>SUM('Revenue by Sch RY#1'!Y10,'Revenue by Sch RY#1'!AE10)</f>
        <v>-597</v>
      </c>
      <c r="N10" s="599">
        <f t="shared" ref="N10:N23" si="4">+M10/$E10</f>
        <v>-1.8732698991066376E-3</v>
      </c>
      <c r="O10" s="383"/>
      <c r="P10" s="612">
        <f>+'Revenue by Sch RY#1'!AG10</f>
        <v>6329</v>
      </c>
      <c r="Q10" s="599">
        <f t="shared" ref="Q10:Q23" si="5">+P10/$E10</f>
        <v>1.9859171174951271E-2</v>
      </c>
      <c r="R10" s="383"/>
      <c r="S10" s="706">
        <f>+'Revenue by Sch RY#1'!AF10</f>
        <v>4554</v>
      </c>
      <c r="T10" s="599">
        <f t="shared" ref="T10:T23" si="6">+S10/$E10</f>
        <v>1.4289566366049626E-2</v>
      </c>
      <c r="U10" s="383"/>
      <c r="V10" s="736">
        <f>+'Revenue by Sch RY#1'!AH10</f>
        <v>26647</v>
      </c>
      <c r="W10" s="734">
        <f t="shared" ref="W10:W23" si="7">+V10/$E10</f>
        <v>8.3613103855099777E-2</v>
      </c>
      <c r="X10" s="383"/>
      <c r="Y10" s="736">
        <f>+'Revenue by Sch RY#1'!AI10</f>
        <v>4983</v>
      </c>
      <c r="Z10" s="734">
        <f t="shared" ref="Z10:Z23" si="8">+Y10/$E10</f>
        <v>1.5635684936764448E-2</v>
      </c>
      <c r="AA10" s="383"/>
      <c r="AB10" s="612">
        <f t="shared" ref="AB10:AB23" si="9">+G10+J10+M10+V10+Y10+P10+S10</f>
        <v>28014.685855503318</v>
      </c>
      <c r="AC10" s="599">
        <f t="shared" ref="AC10:AC23" si="10">+AB10/$E10</f>
        <v>8.7904636090524027E-2</v>
      </c>
      <c r="AD10" s="383"/>
      <c r="AE10" s="612">
        <f>SUM('Revenue by Sch RY#1'!X10,'Revenue by Sch RY#1'!AD10)</f>
        <v>-5813</v>
      </c>
      <c r="AF10" s="599">
        <f t="shared" si="0"/>
        <v>-1.8240063523462118E-2</v>
      </c>
      <c r="AG10" s="599"/>
      <c r="AH10" s="612">
        <f>SUM('Revenue by Sch RY#1'!Z10,'Revenue by Sch RY#1'!AJ10)</f>
        <v>-2004</v>
      </c>
      <c r="AI10" s="599">
        <f t="shared" ref="AI10:AI23" si="11">+AH10/$E10</f>
        <v>-6.2881622743881102E-3</v>
      </c>
      <c r="AJ10" s="383"/>
      <c r="AK10" s="612">
        <f>SUM('Revenue by Sch RY#1'!AK10,'Revenue by Sch RY#1'!AA10)</f>
        <v>-3240</v>
      </c>
      <c r="AL10" s="599">
        <f t="shared" ref="AL10:AL23" si="12">+AK10/$E10</f>
        <v>-1.0166489904699339E-2</v>
      </c>
      <c r="AM10" s="383"/>
      <c r="AN10" s="612">
        <f t="shared" ref="AN10:AN22" si="13">SUM(E10,AB10,AE10,AH10,AK10)</f>
        <v>335651.75139550335</v>
      </c>
      <c r="AO10" s="612">
        <f t="shared" si="1"/>
        <v>16957.68585550331</v>
      </c>
      <c r="AP10" s="599">
        <f t="shared" ref="AP10:AP23" si="14">+AO10/$E10</f>
        <v>5.3209920387974438E-2</v>
      </c>
    </row>
    <row r="11" spans="1:42">
      <c r="A11" s="386">
        <f>+A10+1</f>
        <v>3</v>
      </c>
      <c r="B11" s="391" t="s">
        <v>570</v>
      </c>
      <c r="C11" s="434" t="s">
        <v>166</v>
      </c>
      <c r="D11" s="613">
        <f>'[1]Exhibit No.__(BDJ-MYRP-SUM)'!K16</f>
        <v>2911699.0000000005</v>
      </c>
      <c r="E11" s="612">
        <f>+'Revenue by Sch RY#1'!T11+'[1]Exhibit No.__(BDJ-MYRP-SUM)'!L16</f>
        <v>315215.63184349728</v>
      </c>
      <c r="F11" s="614"/>
      <c r="G11" s="701">
        <v>-4655.0908396825344</v>
      </c>
      <c r="H11" s="599">
        <f t="shared" si="2"/>
        <v>-1.4767956818822233E-2</v>
      </c>
      <c r="I11" s="599"/>
      <c r="J11" s="612">
        <f>SUM('Revenue by Sch RY#1'!W11,'Revenue by Sch RY#1'!AC11)</f>
        <v>-9876</v>
      </c>
      <c r="K11" s="599">
        <f t="shared" si="3"/>
        <v>-3.1330933501747704E-2</v>
      </c>
      <c r="L11" s="599"/>
      <c r="M11" s="706">
        <f>SUM('Revenue by Sch RY#1'!Y11,'Revenue by Sch RY#1'!AE11)</f>
        <v>-881</v>
      </c>
      <c r="N11" s="599">
        <f t="shared" si="4"/>
        <v>-2.794912152191143E-3</v>
      </c>
      <c r="O11" s="383"/>
      <c r="P11" s="612">
        <f>+'Revenue by Sch RY#1'!AG11</f>
        <v>6781</v>
      </c>
      <c r="Q11" s="599">
        <f t="shared" si="5"/>
        <v>2.1512258006819683E-2</v>
      </c>
      <c r="R11" s="383"/>
      <c r="S11" s="706">
        <f>+'Revenue by Sch RY#1'!AF11</f>
        <v>4833</v>
      </c>
      <c r="T11" s="599">
        <f t="shared" si="6"/>
        <v>1.5332361443291481E-2</v>
      </c>
      <c r="U11" s="383"/>
      <c r="V11" s="736">
        <f>+'Revenue by Sch RY#1'!AH11</f>
        <v>29813</v>
      </c>
      <c r="W11" s="734">
        <f t="shared" si="7"/>
        <v>9.4579700332888247E-2</v>
      </c>
      <c r="X11" s="383"/>
      <c r="Y11" s="736">
        <f>+'Revenue by Sch RY#1'!AI11</f>
        <v>5568</v>
      </c>
      <c r="Z11" s="734">
        <f t="shared" si="8"/>
        <v>1.7664098596368086E-2</v>
      </c>
      <c r="AA11" s="383"/>
      <c r="AB11" s="612">
        <f t="shared" si="9"/>
        <v>31582.909160317467</v>
      </c>
      <c r="AC11" s="599">
        <f t="shared" si="10"/>
        <v>0.10019461590660643</v>
      </c>
      <c r="AD11" s="383"/>
      <c r="AE11" s="612">
        <f>SUM('Revenue by Sch RY#1'!X11,'Revenue by Sch RY#1'!AD11)</f>
        <v>-6474</v>
      </c>
      <c r="AF11" s="599">
        <f t="shared" si="0"/>
        <v>-2.0538321536078843E-2</v>
      </c>
      <c r="AG11" s="599"/>
      <c r="AH11" s="612">
        <f>SUM('Revenue by Sch RY#1'!Z11,'Revenue by Sch RY#1'!AJ11)</f>
        <v>-2079</v>
      </c>
      <c r="AI11" s="599">
        <f t="shared" si="11"/>
        <v>-6.595485090130972E-3</v>
      </c>
      <c r="AJ11" s="383"/>
      <c r="AK11" s="612">
        <f>SUM('Revenue by Sch RY#1'!AK11,'Revenue by Sch RY#1'!AA11)</f>
        <v>178</v>
      </c>
      <c r="AL11" s="599">
        <f t="shared" si="12"/>
        <v>5.6469280713964071E-4</v>
      </c>
      <c r="AM11" s="383"/>
      <c r="AN11" s="612">
        <f t="shared" si="13"/>
        <v>338423.54100381472</v>
      </c>
      <c r="AO11" s="612">
        <f t="shared" si="1"/>
        <v>23207.909160317446</v>
      </c>
      <c r="AP11" s="599">
        <f t="shared" si="14"/>
        <v>7.3625502087536182E-2</v>
      </c>
    </row>
    <row r="12" spans="1:42">
      <c r="A12" s="386">
        <f t="shared" ref="A12:A23" si="15">+A11+1</f>
        <v>4</v>
      </c>
      <c r="B12" s="391" t="s">
        <v>569</v>
      </c>
      <c r="C12" s="434" t="s">
        <v>63</v>
      </c>
      <c r="D12" s="613">
        <f>'[1]Exhibit No.__(BDJ-MYRP-SUM)'!K17</f>
        <v>1831289</v>
      </c>
      <c r="E12" s="612">
        <f>+'Revenue by Sch RY#1'!T12+'[1]Exhibit No.__(BDJ-MYRP-SUM)'!L17</f>
        <v>183650.94462513478</v>
      </c>
      <c r="F12" s="614"/>
      <c r="G12" s="701">
        <v>-3127.8893724042282</v>
      </c>
      <c r="H12" s="599">
        <f t="shared" si="2"/>
        <v>-1.7031708596919135E-2</v>
      </c>
      <c r="I12" s="599"/>
      <c r="J12" s="612">
        <f>SUM('Revenue by Sch RY#1'!W12,'Revenue by Sch RY#1'!AC12)</f>
        <v>-6021</v>
      </c>
      <c r="K12" s="599">
        <f t="shared" si="3"/>
        <v>-3.278502058505587E-2</v>
      </c>
      <c r="L12" s="599"/>
      <c r="M12" s="706">
        <f>SUM('Revenue by Sch RY#1'!Y12,'Revenue by Sch RY#1'!AE12)</f>
        <v>-1590</v>
      </c>
      <c r="N12" s="599">
        <f t="shared" si="4"/>
        <v>-8.6577284056201364E-3</v>
      </c>
      <c r="O12" s="383"/>
      <c r="P12" s="612">
        <f>+'Revenue by Sch RY#1'!AG12</f>
        <v>3929</v>
      </c>
      <c r="Q12" s="599">
        <f t="shared" si="5"/>
        <v>2.1393845852629882E-2</v>
      </c>
      <c r="R12" s="383"/>
      <c r="S12" s="706">
        <f>+'Revenue by Sch RY#1'!AF12</f>
        <v>2732</v>
      </c>
      <c r="T12" s="599">
        <f t="shared" si="6"/>
        <v>1.4876046543493214E-2</v>
      </c>
      <c r="U12" s="383"/>
      <c r="V12" s="736">
        <f>+'Revenue by Sch RY#1'!AH12</f>
        <v>16440</v>
      </c>
      <c r="W12" s="734">
        <f t="shared" si="7"/>
        <v>8.9517644646789324E-2</v>
      </c>
      <c r="X12" s="383"/>
      <c r="Y12" s="736">
        <f>+'Revenue by Sch RY#1'!AI12</f>
        <v>3085</v>
      </c>
      <c r="Z12" s="734">
        <f t="shared" si="8"/>
        <v>1.6798171151784981E-2</v>
      </c>
      <c r="AA12" s="383"/>
      <c r="AB12" s="612">
        <f t="shared" si="9"/>
        <v>15447.110627595772</v>
      </c>
      <c r="AC12" s="599">
        <f t="shared" si="10"/>
        <v>8.4111250607102256E-2</v>
      </c>
      <c r="AD12" s="383"/>
      <c r="AE12" s="612">
        <f>SUM('Revenue by Sch RY#1'!X12,'Revenue by Sch RY#1'!AD12)</f>
        <v>-4261</v>
      </c>
      <c r="AF12" s="599">
        <f t="shared" si="0"/>
        <v>-2.3201623104621004E-2</v>
      </c>
      <c r="AG12" s="599"/>
      <c r="AH12" s="612">
        <f>SUM('Revenue by Sch RY#1'!Z12,'Revenue by Sch RY#1'!AJ12)</f>
        <v>-1161</v>
      </c>
      <c r="AI12" s="599">
        <f t="shared" si="11"/>
        <v>-6.3217752697641372E-3</v>
      </c>
      <c r="AJ12" s="383"/>
      <c r="AK12" s="612">
        <f>SUM('Revenue by Sch RY#1'!AK12,'Revenue by Sch RY#1'!AA12)</f>
        <v>-545</v>
      </c>
      <c r="AL12" s="599">
        <f t="shared" si="12"/>
        <v>-2.9675861516119334E-3</v>
      </c>
      <c r="AM12" s="383"/>
      <c r="AN12" s="612">
        <f t="shared" si="13"/>
        <v>193131.05525273056</v>
      </c>
      <c r="AO12" s="612">
        <f t="shared" si="1"/>
        <v>9480.1106275957718</v>
      </c>
      <c r="AP12" s="599">
        <f t="shared" si="14"/>
        <v>5.1620266081105183E-2</v>
      </c>
    </row>
    <row r="13" spans="1:42">
      <c r="A13" s="386">
        <f t="shared" si="15"/>
        <v>5</v>
      </c>
      <c r="B13" s="434" t="s">
        <v>571</v>
      </c>
      <c r="C13" s="434">
        <v>29</v>
      </c>
      <c r="D13" s="613">
        <f>'[1]Exhibit No.__(BDJ-MYRP-SUM)'!K18</f>
        <v>15100.966499999999</v>
      </c>
      <c r="E13" s="612">
        <f>+'Revenue by Sch RY#1'!T13+'[1]Exhibit No.__(BDJ-MYRP-SUM)'!L18</f>
        <v>1428.6643270637867</v>
      </c>
      <c r="F13" s="614"/>
      <c r="G13" s="701">
        <v>-35.569240673520923</v>
      </c>
      <c r="H13" s="599">
        <f t="shared" si="2"/>
        <v>-2.4896849455619419E-2</v>
      </c>
      <c r="I13" s="599"/>
      <c r="J13" s="612">
        <f>SUM('Revenue by Sch RY#1'!W13,'Revenue by Sch RY#1'!AC13)</f>
        <v>-55</v>
      </c>
      <c r="K13" s="599">
        <f t="shared" si="3"/>
        <v>-3.8497496548427761E-2</v>
      </c>
      <c r="L13" s="599"/>
      <c r="M13" s="706">
        <f>SUM('Revenue by Sch RY#1'!Y13,'Revenue by Sch RY#1'!AE13)</f>
        <v>0</v>
      </c>
      <c r="N13" s="599">
        <f t="shared" si="4"/>
        <v>0</v>
      </c>
      <c r="O13" s="383"/>
      <c r="P13" s="612">
        <f>+'Revenue by Sch RY#1'!AG13</f>
        <v>36</v>
      </c>
      <c r="Q13" s="599">
        <f t="shared" si="5"/>
        <v>2.5198361377152718E-2</v>
      </c>
      <c r="R13" s="383"/>
      <c r="S13" s="706">
        <f>+'Revenue by Sch RY#1'!AF13</f>
        <v>26</v>
      </c>
      <c r="T13" s="599">
        <f t="shared" si="6"/>
        <v>1.819881655016585E-2</v>
      </c>
      <c r="U13" s="383"/>
      <c r="V13" s="736">
        <f>+'Revenue by Sch RY#1'!AH13</f>
        <v>155</v>
      </c>
      <c r="W13" s="734">
        <f t="shared" si="7"/>
        <v>0.10849294481829642</v>
      </c>
      <c r="X13" s="383"/>
      <c r="Y13" s="736">
        <f>+'Revenue by Sch RY#1'!AI13</f>
        <v>29</v>
      </c>
      <c r="Z13" s="734">
        <f t="shared" si="8"/>
        <v>2.0298679998261911E-2</v>
      </c>
      <c r="AA13" s="383"/>
      <c r="AB13" s="612">
        <f t="shared" si="9"/>
        <v>155.43075932647906</v>
      </c>
      <c r="AC13" s="599">
        <f t="shared" si="10"/>
        <v>0.10879445673982971</v>
      </c>
      <c r="AD13" s="383"/>
      <c r="AE13" s="612">
        <f>SUM('Revenue by Sch RY#1'!X13,'Revenue by Sch RY#1'!AD13)</f>
        <v>-28</v>
      </c>
      <c r="AF13" s="599">
        <f t="shared" si="0"/>
        <v>-1.9598725515563225E-2</v>
      </c>
      <c r="AG13" s="599"/>
      <c r="AH13" s="612">
        <f>SUM('Revenue by Sch RY#1'!Z13,'Revenue by Sch RY#1'!AJ13)</f>
        <v>-11</v>
      </c>
      <c r="AI13" s="599">
        <f t="shared" si="11"/>
        <v>-7.6994993096855526E-3</v>
      </c>
      <c r="AJ13" s="383"/>
      <c r="AK13" s="612">
        <f>SUM('Revenue by Sch RY#1'!AK13,'Revenue by Sch RY#1'!AA13)</f>
        <v>1</v>
      </c>
      <c r="AL13" s="599">
        <f t="shared" si="12"/>
        <v>6.999544826986866E-4</v>
      </c>
      <c r="AM13" s="383"/>
      <c r="AN13" s="612">
        <f t="shared" si="13"/>
        <v>1546.0950863902658</v>
      </c>
      <c r="AO13" s="612">
        <f t="shared" si="1"/>
        <v>117.43075932647912</v>
      </c>
      <c r="AP13" s="599">
        <f t="shared" si="14"/>
        <v>8.2196186397279658E-2</v>
      </c>
    </row>
    <row r="14" spans="1:42">
      <c r="A14" s="386">
        <f t="shared" si="15"/>
        <v>6</v>
      </c>
      <c r="B14" s="391" t="s">
        <v>572</v>
      </c>
      <c r="C14" s="434" t="s">
        <v>64</v>
      </c>
      <c r="D14" s="613">
        <f>'[1]Exhibit No.__(BDJ-MYRP-SUM)'!K19</f>
        <v>1332008</v>
      </c>
      <c r="E14" s="612">
        <f>+'Revenue by Sch RY#1'!T14+'[1]Exhibit No.__(BDJ-MYRP-SUM)'!L19</f>
        <v>131885.5205557844</v>
      </c>
      <c r="F14" s="614"/>
      <c r="G14" s="701">
        <v>-2232.1080687775711</v>
      </c>
      <c r="H14" s="599">
        <f t="shared" si="2"/>
        <v>-1.6924587774087323E-2</v>
      </c>
      <c r="I14" s="599"/>
      <c r="J14" s="612">
        <f>SUM('Revenue by Sch RY#1'!W14,'Revenue by Sch RY#1'!AC14)</f>
        <v>-4214</v>
      </c>
      <c r="K14" s="599">
        <f t="shared" si="3"/>
        <v>-3.195195334743043E-2</v>
      </c>
      <c r="L14" s="599"/>
      <c r="M14" s="706">
        <f>SUM('Revenue by Sch RY#1'!Y14,'Revenue by Sch RY#1'!AE14)</f>
        <v>-710</v>
      </c>
      <c r="N14" s="599">
        <f t="shared" si="4"/>
        <v>-5.3834567813658288E-3</v>
      </c>
      <c r="O14" s="383"/>
      <c r="P14" s="612">
        <f>+'Revenue by Sch RY#1'!AG14</f>
        <v>2755</v>
      </c>
      <c r="Q14" s="599">
        <f t="shared" si="5"/>
        <v>2.0889328778398393E-2</v>
      </c>
      <c r="R14" s="383"/>
      <c r="S14" s="706">
        <f>+'Revenue by Sch RY#1'!AF14</f>
        <v>2031</v>
      </c>
      <c r="T14" s="599">
        <f t="shared" si="6"/>
        <v>1.5399719328104224E-2</v>
      </c>
      <c r="U14" s="383"/>
      <c r="V14" s="736">
        <f>+'Revenue by Sch RY#1'!AH14</f>
        <v>11608</v>
      </c>
      <c r="W14" s="734">
        <f t="shared" si="7"/>
        <v>8.801572720858386E-2</v>
      </c>
      <c r="X14" s="383"/>
      <c r="Y14" s="736">
        <f>+'Revenue by Sch RY#1'!AI14</f>
        <v>2163</v>
      </c>
      <c r="Z14" s="734">
        <f t="shared" si="8"/>
        <v>1.6400587349428574E-2</v>
      </c>
      <c r="AA14" s="383"/>
      <c r="AB14" s="612">
        <f t="shared" si="9"/>
        <v>11400.891931222428</v>
      </c>
      <c r="AC14" s="599">
        <f t="shared" si="10"/>
        <v>8.6445364761631477E-2</v>
      </c>
      <c r="AD14" s="383"/>
      <c r="AE14" s="612">
        <f>SUM('Revenue by Sch RY#1'!X14,'Revenue by Sch RY#1'!AD14)</f>
        <v>-2836</v>
      </c>
      <c r="AF14" s="599">
        <f t="shared" si="0"/>
        <v>-2.1503497791483792E-2</v>
      </c>
      <c r="AG14" s="599"/>
      <c r="AH14" s="612">
        <f>SUM('Revenue by Sch RY#1'!Z14,'Revenue by Sch RY#1'!AJ14)</f>
        <v>-850</v>
      </c>
      <c r="AI14" s="599">
        <f t="shared" si="11"/>
        <v>-6.4449834706492319E-3</v>
      </c>
      <c r="AJ14" s="383"/>
      <c r="AK14" s="612">
        <f>SUM('Revenue by Sch RY#1'!AK14,'Revenue by Sch RY#1'!AA14)</f>
        <v>-1152</v>
      </c>
      <c r="AL14" s="599">
        <f t="shared" si="12"/>
        <v>-8.7348481861034295E-3</v>
      </c>
      <c r="AM14" s="383"/>
      <c r="AN14" s="612">
        <f t="shared" si="13"/>
        <v>138448.41248700683</v>
      </c>
      <c r="AO14" s="612">
        <f t="shared" si="1"/>
        <v>6562.8919312224316</v>
      </c>
      <c r="AP14" s="599">
        <f t="shared" si="14"/>
        <v>4.9762035313395042E-2</v>
      </c>
    </row>
    <row r="15" spans="1:42">
      <c r="A15" s="386">
        <f t="shared" si="15"/>
        <v>7</v>
      </c>
      <c r="B15" s="391" t="s">
        <v>573</v>
      </c>
      <c r="C15" s="434">
        <v>35</v>
      </c>
      <c r="D15" s="613">
        <f>'[1]Exhibit No.__(BDJ-MYRP-SUM)'!K20</f>
        <v>4663</v>
      </c>
      <c r="E15" s="612">
        <f>+'Revenue by Sch RY#1'!T15+'[1]Exhibit No.__(BDJ-MYRP-SUM)'!L20</f>
        <v>311.0139698738783</v>
      </c>
      <c r="F15" s="614"/>
      <c r="G15" s="701">
        <v>-0.39256580282677894</v>
      </c>
      <c r="H15" s="599">
        <f t="shared" si="2"/>
        <v>-1.2622127648670295E-3</v>
      </c>
      <c r="I15" s="599"/>
      <c r="J15" s="612">
        <f>SUM('Revenue by Sch RY#1'!W15,'Revenue by Sch RY#1'!AC15)</f>
        <v>-8</v>
      </c>
      <c r="K15" s="599">
        <f t="shared" si="3"/>
        <v>-2.5722317242676086E-2</v>
      </c>
      <c r="L15" s="599"/>
      <c r="M15" s="706">
        <f>SUM('Revenue by Sch RY#1'!Y15,'Revenue by Sch RY#1'!AE15)</f>
        <v>0</v>
      </c>
      <c r="N15" s="599">
        <f t="shared" si="4"/>
        <v>0</v>
      </c>
      <c r="O15" s="383"/>
      <c r="P15" s="612">
        <f>+'Revenue by Sch RY#1'!AG15</f>
        <v>7</v>
      </c>
      <c r="Q15" s="599">
        <f t="shared" si="5"/>
        <v>2.2507027587341574E-2</v>
      </c>
      <c r="R15" s="383"/>
      <c r="S15" s="706">
        <f>+'Revenue by Sch RY#1'!AF15</f>
        <v>7</v>
      </c>
      <c r="T15" s="599">
        <f t="shared" si="6"/>
        <v>2.2507027587341574E-2</v>
      </c>
      <c r="U15" s="383"/>
      <c r="V15" s="736">
        <f>+'Revenue by Sch RY#1'!AH15</f>
        <v>57</v>
      </c>
      <c r="W15" s="734">
        <f t="shared" si="7"/>
        <v>0.18327151035406711</v>
      </c>
      <c r="X15" s="383"/>
      <c r="Y15" s="736">
        <f>+'Revenue by Sch RY#1'!AI15</f>
        <v>11</v>
      </c>
      <c r="Z15" s="734">
        <f t="shared" si="8"/>
        <v>3.5368186208679618E-2</v>
      </c>
      <c r="AA15" s="383"/>
      <c r="AB15" s="612">
        <f t="shared" si="9"/>
        <v>73.60743419717322</v>
      </c>
      <c r="AC15" s="599">
        <f t="shared" si="10"/>
        <v>0.23666922172988675</v>
      </c>
      <c r="AD15" s="383"/>
      <c r="AE15" s="612">
        <f>SUM('Revenue by Sch RY#1'!X15,'Revenue by Sch RY#1'!AD15)</f>
        <v>-7</v>
      </c>
      <c r="AF15" s="599">
        <f t="shared" si="0"/>
        <v>-2.2507027587341574E-2</v>
      </c>
      <c r="AG15" s="599"/>
      <c r="AH15" s="612">
        <f>SUM('Revenue by Sch RY#1'!Z15,'Revenue by Sch RY#1'!AJ15)</f>
        <v>-5</v>
      </c>
      <c r="AI15" s="599">
        <f t="shared" si="11"/>
        <v>-1.6076448276672553E-2</v>
      </c>
      <c r="AJ15" s="383"/>
      <c r="AK15" s="612">
        <f>SUM('Revenue by Sch RY#1'!AK15,'Revenue by Sch RY#1'!AA15)</f>
        <v>0</v>
      </c>
      <c r="AL15" s="599">
        <f t="shared" si="12"/>
        <v>0</v>
      </c>
      <c r="AM15" s="383"/>
      <c r="AN15" s="612">
        <f t="shared" si="13"/>
        <v>372.62140407105153</v>
      </c>
      <c r="AO15" s="612">
        <f t="shared" si="1"/>
        <v>61.607434197173234</v>
      </c>
      <c r="AP15" s="599">
        <f t="shared" si="14"/>
        <v>0.19808574586587266</v>
      </c>
    </row>
    <row r="16" spans="1:42">
      <c r="A16" s="386">
        <f t="shared" si="15"/>
        <v>8</v>
      </c>
      <c r="B16" s="434" t="s">
        <v>574</v>
      </c>
      <c r="C16" s="434">
        <v>43</v>
      </c>
      <c r="D16" s="613">
        <f>'[1]Exhibit No.__(BDJ-MYRP-SUM)'!K21</f>
        <v>118190</v>
      </c>
      <c r="E16" s="612">
        <f>+'Revenue by Sch RY#1'!T16+'[1]Exhibit No.__(BDJ-MYRP-SUM)'!L21</f>
        <v>12421.279326430144</v>
      </c>
      <c r="F16" s="614"/>
      <c r="G16" s="701">
        <v>-65.493075001491462</v>
      </c>
      <c r="H16" s="599">
        <f t="shared" si="2"/>
        <v>-5.2726513332756741E-3</v>
      </c>
      <c r="I16" s="599"/>
      <c r="J16" s="612">
        <f>SUM('Revenue by Sch RY#1'!W16,'Revenue by Sch RY#1'!AC16)</f>
        <v>-296</v>
      </c>
      <c r="K16" s="599">
        <f t="shared" si="3"/>
        <v>-2.383007355531952E-2</v>
      </c>
      <c r="L16" s="599"/>
      <c r="M16" s="706">
        <f>SUM('Revenue by Sch RY#1'!Y16,'Revenue by Sch RY#1'!AE16)</f>
        <v>-49</v>
      </c>
      <c r="N16" s="599">
        <f t="shared" si="4"/>
        <v>-3.9448432574684337E-3</v>
      </c>
      <c r="O16" s="383"/>
      <c r="P16" s="612">
        <f>+'Revenue by Sch RY#1'!AG16</f>
        <v>52</v>
      </c>
      <c r="Q16" s="599">
        <f t="shared" si="5"/>
        <v>4.1863642732318075E-3</v>
      </c>
      <c r="R16" s="383"/>
      <c r="S16" s="706">
        <f>+'Revenue by Sch RY#1'!AF16</f>
        <v>177</v>
      </c>
      <c r="T16" s="599">
        <f t="shared" si="6"/>
        <v>1.4249739930039036E-2</v>
      </c>
      <c r="U16" s="383"/>
      <c r="V16" s="736">
        <f>+'Revenue by Sch RY#1'!AH16</f>
        <v>930</v>
      </c>
      <c r="W16" s="734">
        <f t="shared" si="7"/>
        <v>7.4871514886645785E-2</v>
      </c>
      <c r="X16" s="383"/>
      <c r="Y16" s="736">
        <f>+'Revenue by Sch RY#1'!AI16</f>
        <v>174</v>
      </c>
      <c r="Z16" s="734">
        <f t="shared" si="8"/>
        <v>1.4008218914275663E-2</v>
      </c>
      <c r="AA16" s="383"/>
      <c r="AB16" s="612">
        <f t="shared" si="9"/>
        <v>922.50692499850857</v>
      </c>
      <c r="AC16" s="599">
        <f t="shared" si="10"/>
        <v>7.4268269858128663E-2</v>
      </c>
      <c r="AD16" s="383"/>
      <c r="AE16" s="612">
        <f>SUM('Revenue by Sch RY#1'!X16,'Revenue by Sch RY#1'!AD16)</f>
        <v>-201</v>
      </c>
      <c r="AF16" s="599">
        <f t="shared" si="0"/>
        <v>-1.6181908056146024E-2</v>
      </c>
      <c r="AG16" s="599"/>
      <c r="AH16" s="612">
        <f>SUM('Revenue by Sch RY#1'!Z16,'Revenue by Sch RY#1'!AJ16)</f>
        <v>-103</v>
      </c>
      <c r="AI16" s="599">
        <f t="shared" si="11"/>
        <v>-8.2922215412091563E-3</v>
      </c>
      <c r="AJ16" s="383"/>
      <c r="AK16" s="612">
        <f>SUM('Revenue by Sch RY#1'!AK16,'Revenue by Sch RY#1'!AA16)</f>
        <v>7</v>
      </c>
      <c r="AL16" s="599">
        <f t="shared" si="12"/>
        <v>5.6354903678120481E-4</v>
      </c>
      <c r="AM16" s="383"/>
      <c r="AN16" s="612">
        <f t="shared" si="13"/>
        <v>13046.786251428652</v>
      </c>
      <c r="AO16" s="612">
        <f t="shared" si="1"/>
        <v>625.50692499850811</v>
      </c>
      <c r="AP16" s="599">
        <f t="shared" si="14"/>
        <v>5.0357689297554652E-2</v>
      </c>
    </row>
    <row r="17" spans="1:42">
      <c r="A17" s="386">
        <f t="shared" si="15"/>
        <v>9</v>
      </c>
      <c r="B17" s="434" t="s">
        <v>575</v>
      </c>
      <c r="C17" s="434">
        <v>46</v>
      </c>
      <c r="D17" s="613">
        <f>'[1]Exhibit No.__(BDJ-MYRP-SUM)'!K22</f>
        <v>89530.525500000018</v>
      </c>
      <c r="E17" s="612">
        <f>+'Revenue by Sch RY#1'!T17+'[1]Exhibit No.__(BDJ-MYRP-SUM)'!L22</f>
        <v>6706.6978688740001</v>
      </c>
      <c r="F17" s="614"/>
      <c r="G17" s="701">
        <v>-180.99377246334393</v>
      </c>
      <c r="H17" s="599">
        <f t="shared" si="2"/>
        <v>-2.698701745658498E-2</v>
      </c>
      <c r="I17" s="599"/>
      <c r="J17" s="612">
        <f>SUM('Revenue by Sch RY#1'!W17,'Revenue by Sch RY#1'!AC17)</f>
        <v>-200</v>
      </c>
      <c r="K17" s="599">
        <f t="shared" si="3"/>
        <v>-2.9820934819235919E-2</v>
      </c>
      <c r="L17" s="599"/>
      <c r="M17" s="706">
        <f>SUM('Revenue by Sch RY#1'!Y17,'Revenue by Sch RY#1'!AE17)</f>
        <v>-85</v>
      </c>
      <c r="N17" s="599">
        <f t="shared" si="4"/>
        <v>-1.2673897298175266E-2</v>
      </c>
      <c r="O17" s="383"/>
      <c r="P17" s="612">
        <f>+'Revenue by Sch RY#1'!AG17</f>
        <v>47</v>
      </c>
      <c r="Q17" s="599">
        <f t="shared" si="5"/>
        <v>7.0079196825204408E-3</v>
      </c>
      <c r="R17" s="383"/>
      <c r="S17" s="706">
        <f>+'Revenue by Sch RY#1'!AF17</f>
        <v>116</v>
      </c>
      <c r="T17" s="599">
        <f t="shared" si="6"/>
        <v>1.7296142195156832E-2</v>
      </c>
      <c r="U17" s="383"/>
      <c r="V17" s="736">
        <f>+'Revenue by Sch RY#1'!AH17</f>
        <v>424</v>
      </c>
      <c r="W17" s="734">
        <f t="shared" si="7"/>
        <v>6.322038181678015E-2</v>
      </c>
      <c r="X17" s="383"/>
      <c r="Y17" s="736">
        <f>+'Revenue by Sch RY#1'!AI17</f>
        <v>78</v>
      </c>
      <c r="Z17" s="734">
        <f t="shared" si="8"/>
        <v>1.1630164579502009E-2</v>
      </c>
      <c r="AA17" s="383"/>
      <c r="AB17" s="612">
        <f t="shared" si="9"/>
        <v>199.00622753665607</v>
      </c>
      <c r="AC17" s="599">
        <f t="shared" si="10"/>
        <v>2.9672758699963265E-2</v>
      </c>
      <c r="AD17" s="383"/>
      <c r="AE17" s="612">
        <f>SUM('Revenue by Sch RY#1'!X17,'Revenue by Sch RY#1'!AD17)</f>
        <v>-163</v>
      </c>
      <c r="AF17" s="599">
        <f t="shared" si="0"/>
        <v>-2.4304061877677273E-2</v>
      </c>
      <c r="AG17" s="599"/>
      <c r="AH17" s="612">
        <f>SUM('Revenue by Sch RY#1'!Z17,'Revenue by Sch RY#1'!AJ17)</f>
        <v>-43</v>
      </c>
      <c r="AI17" s="599">
        <f t="shared" si="11"/>
        <v>-6.4115009861357222E-3</v>
      </c>
      <c r="AJ17" s="383"/>
      <c r="AK17" s="612">
        <f>SUM('Revenue by Sch RY#1'!AK17,'Revenue by Sch RY#1'!AA17)</f>
        <v>0</v>
      </c>
      <c r="AL17" s="599">
        <f t="shared" si="12"/>
        <v>0</v>
      </c>
      <c r="AM17" s="383"/>
      <c r="AN17" s="612">
        <f t="shared" si="13"/>
        <v>6699.7040964106563</v>
      </c>
      <c r="AO17" s="612">
        <f t="shared" si="1"/>
        <v>-6.9937724633437028</v>
      </c>
      <c r="AP17" s="599">
        <f t="shared" si="14"/>
        <v>-1.042804163849698E-3</v>
      </c>
    </row>
    <row r="18" spans="1:42">
      <c r="A18" s="386">
        <f t="shared" si="15"/>
        <v>10</v>
      </c>
      <c r="B18" s="391" t="s">
        <v>576</v>
      </c>
      <c r="C18" s="434">
        <v>49</v>
      </c>
      <c r="D18" s="613">
        <f>'[1]Exhibit No.__(BDJ-MYRP-SUM)'!K23</f>
        <v>504715</v>
      </c>
      <c r="E18" s="612">
        <f>+'Revenue by Sch RY#1'!T18+'[1]Exhibit No.__(BDJ-MYRP-SUM)'!L23</f>
        <v>38866.047725176562</v>
      </c>
      <c r="F18" s="614"/>
      <c r="G18" s="701">
        <v>-933.55623713568593</v>
      </c>
      <c r="H18" s="599">
        <f t="shared" si="2"/>
        <v>-2.4019839725842485E-2</v>
      </c>
      <c r="I18" s="599"/>
      <c r="J18" s="612">
        <f>SUM('Revenue by Sch RY#1'!W18,'Revenue by Sch RY#1'!AC18)</f>
        <v>-1402</v>
      </c>
      <c r="K18" s="599">
        <f t="shared" si="3"/>
        <v>-3.6072615613339444E-2</v>
      </c>
      <c r="L18" s="599"/>
      <c r="M18" s="706">
        <f>SUM('Revenue by Sch RY#1'!Y18,'Revenue by Sch RY#1'!AE18)</f>
        <v>-829</v>
      </c>
      <c r="N18" s="599">
        <f t="shared" si="4"/>
        <v>-2.1329670715733523E-2</v>
      </c>
      <c r="O18" s="383"/>
      <c r="P18" s="612">
        <f>+'Revenue by Sch RY#1'!AG18</f>
        <v>966</v>
      </c>
      <c r="Q18" s="599">
        <f t="shared" si="5"/>
        <v>2.4854598204340873E-2</v>
      </c>
      <c r="R18" s="383"/>
      <c r="S18" s="706">
        <f>+'Revenue by Sch RY#1'!AF18</f>
        <v>657</v>
      </c>
      <c r="T18" s="599">
        <f t="shared" si="6"/>
        <v>1.6904214306679041E-2</v>
      </c>
      <c r="U18" s="383"/>
      <c r="V18" s="736">
        <f>+'Revenue by Sch RY#1'!AH18</f>
        <v>2393</v>
      </c>
      <c r="W18" s="734">
        <f t="shared" si="7"/>
        <v>6.1570448760856836E-2</v>
      </c>
      <c r="X18" s="383"/>
      <c r="Y18" s="736">
        <f>+'Revenue by Sch RY#1'!AI18</f>
        <v>449</v>
      </c>
      <c r="Z18" s="734">
        <f t="shared" si="8"/>
        <v>1.1552499579450363E-2</v>
      </c>
      <c r="AA18" s="383"/>
      <c r="AB18" s="612">
        <f t="shared" si="9"/>
        <v>1300.4437628643141</v>
      </c>
      <c r="AC18" s="599">
        <f t="shared" si="10"/>
        <v>3.3459634796411661E-2</v>
      </c>
      <c r="AD18" s="383"/>
      <c r="AE18" s="612">
        <f>SUM('Revenue by Sch RY#1'!X18,'Revenue by Sch RY#1'!AD18)</f>
        <v>-993</v>
      </c>
      <c r="AF18" s="599">
        <f t="shared" si="0"/>
        <v>-2.5549291942971519E-2</v>
      </c>
      <c r="AG18" s="599"/>
      <c r="AH18" s="612">
        <f>SUM('Revenue by Sch RY#1'!Z18,'Revenue by Sch RY#1'!AJ18)</f>
        <v>-244</v>
      </c>
      <c r="AI18" s="599">
        <f t="shared" si="11"/>
        <v>-6.2779730454028699E-3</v>
      </c>
      <c r="AJ18" s="383"/>
      <c r="AK18" s="612">
        <f>SUM('Revenue by Sch RY#1'!AK18,'Revenue by Sch RY#1'!AA18)</f>
        <v>0</v>
      </c>
      <c r="AL18" s="599">
        <f t="shared" si="12"/>
        <v>0</v>
      </c>
      <c r="AM18" s="383"/>
      <c r="AN18" s="612">
        <f t="shared" si="13"/>
        <v>38929.491488040876</v>
      </c>
      <c r="AO18" s="612">
        <f t="shared" si="1"/>
        <v>63.443762864313612</v>
      </c>
      <c r="AP18" s="599">
        <f t="shared" si="14"/>
        <v>1.6323698080372641E-3</v>
      </c>
    </row>
    <row r="19" spans="1:42">
      <c r="A19" s="386">
        <f t="shared" si="15"/>
        <v>11</v>
      </c>
      <c r="B19" s="434" t="s">
        <v>577</v>
      </c>
      <c r="C19" s="434" t="s">
        <v>16</v>
      </c>
      <c r="D19" s="613">
        <f>'[1]Exhibit No.__(BDJ-MYRP-SUM)'!K24</f>
        <v>62703</v>
      </c>
      <c r="E19" s="612">
        <f>+'Revenue by Sch RY#1'!T19+'[1]Exhibit No.__(BDJ-MYRP-SUM)'!L24</f>
        <v>17200.345846223234</v>
      </c>
      <c r="F19" s="614"/>
      <c r="G19" s="701">
        <v>-712.62203188385831</v>
      </c>
      <c r="H19" s="599">
        <f t="shared" si="2"/>
        <v>-4.1430680420901672E-2</v>
      </c>
      <c r="I19" s="599"/>
      <c r="J19" s="612">
        <f>SUM('Revenue by Sch RY#1'!W19,'Revenue by Sch RY#1'!AC19)</f>
        <v>-190</v>
      </c>
      <c r="K19" s="599">
        <f t="shared" si="3"/>
        <v>-1.1046289516423837E-2</v>
      </c>
      <c r="L19" s="599"/>
      <c r="M19" s="706">
        <f>SUM('Revenue by Sch RY#1'!Y19,'Revenue by Sch RY#1'!AE19)</f>
        <v>0</v>
      </c>
      <c r="N19" s="599">
        <f t="shared" si="4"/>
        <v>0</v>
      </c>
      <c r="O19" s="383"/>
      <c r="P19" s="612">
        <f>+'Revenue by Sch RY#1'!AG19</f>
        <v>77</v>
      </c>
      <c r="Q19" s="599">
        <f t="shared" si="5"/>
        <v>4.4766541724454495E-3</v>
      </c>
      <c r="R19" s="383"/>
      <c r="S19" s="706">
        <f>+'Revenue by Sch RY#1'!AF19</f>
        <v>124</v>
      </c>
      <c r="T19" s="599">
        <f t="shared" si="6"/>
        <v>7.2091573686134513E-3</v>
      </c>
      <c r="U19" s="383"/>
      <c r="V19" s="736">
        <f>+'Revenue by Sch RY#1'!AH19</f>
        <v>2792</v>
      </c>
      <c r="W19" s="734">
        <f t="shared" si="7"/>
        <v>0.16232231752555448</v>
      </c>
      <c r="X19" s="383"/>
      <c r="Y19" s="736">
        <f>+'Revenue by Sch RY#1'!AI19</f>
        <v>522</v>
      </c>
      <c r="Z19" s="734">
        <f t="shared" si="8"/>
        <v>3.0348226987227594E-2</v>
      </c>
      <c r="AA19" s="383"/>
      <c r="AB19" s="612">
        <f t="shared" si="9"/>
        <v>2612.3779681161418</v>
      </c>
      <c r="AC19" s="599">
        <f t="shared" si="10"/>
        <v>0.1518793861165155</v>
      </c>
      <c r="AD19" s="383"/>
      <c r="AE19" s="612">
        <f>SUM('Revenue by Sch RY#1'!X19,'Revenue by Sch RY#1'!AD19)</f>
        <v>-134</v>
      </c>
      <c r="AF19" s="599">
        <f t="shared" si="0"/>
        <v>-7.7905410273726005E-3</v>
      </c>
      <c r="AG19" s="599"/>
      <c r="AH19" s="612">
        <f>SUM('Revenue by Sch RY#1'!Z19,'Revenue by Sch RY#1'!AJ19)</f>
        <v>-171</v>
      </c>
      <c r="AI19" s="599">
        <f t="shared" si="11"/>
        <v>-9.941660564781454E-3</v>
      </c>
      <c r="AJ19" s="383"/>
      <c r="AK19" s="612">
        <f>SUM('Revenue by Sch RY#1'!AK19,'Revenue by Sch RY#1'!AA19)</f>
        <v>0</v>
      </c>
      <c r="AL19" s="599">
        <f t="shared" si="12"/>
        <v>0</v>
      </c>
      <c r="AM19" s="383"/>
      <c r="AN19" s="612">
        <f t="shared" si="13"/>
        <v>19507.723814339377</v>
      </c>
      <c r="AO19" s="612">
        <f t="shared" si="1"/>
        <v>2307.3779681161432</v>
      </c>
      <c r="AP19" s="599">
        <f t="shared" si="14"/>
        <v>0.1341471845243615</v>
      </c>
    </row>
    <row r="20" spans="1:42">
      <c r="A20" s="386">
        <f t="shared" si="15"/>
        <v>12</v>
      </c>
      <c r="B20" s="434" t="s">
        <v>112</v>
      </c>
      <c r="C20" s="434" t="s">
        <v>17</v>
      </c>
      <c r="D20" s="613">
        <f>'[1]Exhibit No.__(BDJ-MYRP-SUM)'!K25</f>
        <v>1895530</v>
      </c>
      <c r="E20" s="612">
        <f>+'Revenue by Sch RY#1'!T20+'[1]Exhibit No.__(BDJ-MYRP-SUM)'!L25</f>
        <v>11482.98</v>
      </c>
      <c r="F20" s="614"/>
      <c r="G20" s="701">
        <v>-39.196705770214464</v>
      </c>
      <c r="H20" s="599">
        <f t="shared" si="2"/>
        <v>-3.4134611198673574E-3</v>
      </c>
      <c r="I20" s="599"/>
      <c r="J20" s="612">
        <f>SUM('Revenue by Sch RY#1'!W20,'Revenue by Sch RY#1'!AC20)</f>
        <v>0</v>
      </c>
      <c r="K20" s="599">
        <f t="shared" si="3"/>
        <v>0</v>
      </c>
      <c r="L20" s="599"/>
      <c r="M20" s="706">
        <f>SUM('Revenue by Sch RY#1'!Y20,'Revenue by Sch RY#1'!AE20)</f>
        <v>0</v>
      </c>
      <c r="N20" s="599">
        <f t="shared" si="4"/>
        <v>0</v>
      </c>
      <c r="O20" s="383"/>
      <c r="P20" s="612">
        <f>+'Revenue by Sch RY#1'!AG20</f>
        <v>0</v>
      </c>
      <c r="Q20" s="599">
        <f t="shared" si="5"/>
        <v>0</v>
      </c>
      <c r="R20" s="383"/>
      <c r="S20" s="706">
        <f>+'Revenue by Sch RY#1'!AF20</f>
        <v>0</v>
      </c>
      <c r="T20" s="599">
        <f t="shared" si="6"/>
        <v>0</v>
      </c>
      <c r="U20" s="383"/>
      <c r="V20" s="736">
        <f>+'Revenue by Sch RY#1'!AH20</f>
        <v>147.12</v>
      </c>
      <c r="W20" s="734">
        <f t="shared" si="7"/>
        <v>1.2812005246024988E-2</v>
      </c>
      <c r="X20" s="383"/>
      <c r="Y20" s="736">
        <f>+'Revenue by Sch RY#1'!AI20</f>
        <v>27.6</v>
      </c>
      <c r="Z20" s="734">
        <f t="shared" si="8"/>
        <v>2.403557264751833E-3</v>
      </c>
      <c r="AA20" s="383"/>
      <c r="AB20" s="612">
        <f t="shared" si="9"/>
        <v>135.52329422978553</v>
      </c>
      <c r="AC20" s="599">
        <f t="shared" si="10"/>
        <v>1.1802101390909462E-2</v>
      </c>
      <c r="AD20" s="383"/>
      <c r="AE20" s="612">
        <f>SUM('Revenue by Sch RY#1'!X20,'Revenue by Sch RY#1'!AD20)</f>
        <v>0</v>
      </c>
      <c r="AF20" s="599">
        <f t="shared" si="0"/>
        <v>0</v>
      </c>
      <c r="AG20" s="599"/>
      <c r="AH20" s="612">
        <f>SUM('Revenue by Sch RY#1'!Z20,'Revenue by Sch RY#1'!AJ20)</f>
        <v>-10</v>
      </c>
      <c r="AI20" s="599">
        <f t="shared" si="11"/>
        <v>-8.7085408143182353E-4</v>
      </c>
      <c r="AJ20" s="383"/>
      <c r="AK20" s="612">
        <f>SUM('Revenue by Sch RY#1'!AK20,'Revenue by Sch RY#1'!AA20)</f>
        <v>0</v>
      </c>
      <c r="AL20" s="599">
        <f t="shared" si="12"/>
        <v>0</v>
      </c>
      <c r="AM20" s="383"/>
      <c r="AN20" s="612">
        <f t="shared" si="13"/>
        <v>11608.503294229786</v>
      </c>
      <c r="AO20" s="612">
        <f t="shared" si="1"/>
        <v>125.52329422978619</v>
      </c>
      <c r="AP20" s="599">
        <f t="shared" si="14"/>
        <v>1.0931247309477697E-2</v>
      </c>
    </row>
    <row r="21" spans="1:42">
      <c r="A21" s="386">
        <f t="shared" si="15"/>
        <v>13</v>
      </c>
      <c r="B21" s="434" t="s">
        <v>262</v>
      </c>
      <c r="C21" s="434" t="s">
        <v>262</v>
      </c>
      <c r="D21" s="613">
        <f>'[1]Exhibit No.__(BDJ-MYRP-SUM)'!K26</f>
        <v>289426</v>
      </c>
      <c r="E21" s="612">
        <f>+'Revenue by Sch RY#1'!T21+'[1]Exhibit No.__(BDJ-MYRP-SUM)'!L26</f>
        <v>6419.3731384850562</v>
      </c>
      <c r="F21" s="614"/>
      <c r="G21" s="701">
        <v>-887.76002866246631</v>
      </c>
      <c r="H21" s="599">
        <f t="shared" si="2"/>
        <v>-0.13829388158482617</v>
      </c>
      <c r="I21" s="599"/>
      <c r="J21" s="612">
        <f>SUM('Revenue by Sch RY#1'!W21,'Revenue by Sch RY#1'!AC21)</f>
        <v>0</v>
      </c>
      <c r="K21" s="599">
        <f t="shared" si="3"/>
        <v>0</v>
      </c>
      <c r="L21" s="599"/>
      <c r="M21" s="706">
        <f>SUM('Revenue by Sch RY#1'!Y21,'Revenue by Sch RY#1'!AE21)</f>
        <v>0</v>
      </c>
      <c r="N21" s="599">
        <f t="shared" si="4"/>
        <v>0</v>
      </c>
      <c r="O21" s="383"/>
      <c r="P21" s="612">
        <f>+'Revenue by Sch RY#1'!AG21</f>
        <v>0</v>
      </c>
      <c r="Q21" s="599">
        <f t="shared" si="5"/>
        <v>0</v>
      </c>
      <c r="R21" s="383"/>
      <c r="S21" s="706">
        <f>+'Revenue by Sch RY#1'!AF21</f>
        <v>0</v>
      </c>
      <c r="T21" s="599">
        <f t="shared" si="6"/>
        <v>0</v>
      </c>
      <c r="U21" s="383"/>
      <c r="V21" s="736">
        <f>+'Revenue by Sch RY#1'!AH21</f>
        <v>661</v>
      </c>
      <c r="W21" s="734">
        <f t="shared" si="7"/>
        <v>0.10296955570898518</v>
      </c>
      <c r="X21" s="383"/>
      <c r="Y21" s="736">
        <f>+'Revenue by Sch RY#1'!AI21</f>
        <v>124</v>
      </c>
      <c r="Z21" s="734">
        <f t="shared" si="8"/>
        <v>1.931652784858421E-2</v>
      </c>
      <c r="AA21" s="383"/>
      <c r="AB21" s="612">
        <f t="shared" si="9"/>
        <v>-102.76002866246631</v>
      </c>
      <c r="AC21" s="599">
        <f t="shared" si="10"/>
        <v>-1.6007798027256791E-2</v>
      </c>
      <c r="AD21" s="383"/>
      <c r="AE21" s="612">
        <f>SUM('Revenue by Sch RY#1'!X21,'Revenue by Sch RY#1'!AD21)</f>
        <v>0</v>
      </c>
      <c r="AF21" s="599">
        <f t="shared" si="0"/>
        <v>0</v>
      </c>
      <c r="AG21" s="599"/>
      <c r="AH21" s="612">
        <f>SUM('Revenue by Sch RY#1'!Z21,'Revenue by Sch RY#1'!AJ21)</f>
        <v>-96</v>
      </c>
      <c r="AI21" s="599">
        <f t="shared" si="11"/>
        <v>-1.495473123761358E-2</v>
      </c>
      <c r="AJ21" s="383"/>
      <c r="AK21" s="612">
        <f>SUM('Revenue by Sch RY#1'!AK21,'Revenue by Sch RY#1'!AA21)</f>
        <v>-746</v>
      </c>
      <c r="AL21" s="599">
        <f t="shared" si="12"/>
        <v>-0.11621072399228886</v>
      </c>
      <c r="AM21" s="383"/>
      <c r="AN21" s="612">
        <f t="shared" si="13"/>
        <v>5474.6131098225896</v>
      </c>
      <c r="AO21" s="612">
        <f t="shared" si="1"/>
        <v>-944.76002866246654</v>
      </c>
      <c r="AP21" s="599">
        <f t="shared" si="14"/>
        <v>-0.14717325325715927</v>
      </c>
    </row>
    <row r="22" spans="1:42">
      <c r="A22" s="386">
        <f t="shared" si="15"/>
        <v>14</v>
      </c>
      <c r="B22" s="434" t="s">
        <v>67</v>
      </c>
      <c r="C22" s="434">
        <v>5</v>
      </c>
      <c r="D22" s="613">
        <f>'[1]Exhibit No.__(BDJ-MYRP-SUM)'!K27</f>
        <v>7521</v>
      </c>
      <c r="E22" s="612">
        <f>+'Revenue by Sch RY#1'!T22+'[1]Exhibit No.__(BDJ-MYRP-SUM)'!L27</f>
        <v>371.26370234227704</v>
      </c>
      <c r="F22" s="614"/>
      <c r="G22" s="701">
        <v>236.88215904556571</v>
      </c>
      <c r="H22" s="599">
        <f t="shared" si="2"/>
        <v>0.63804287236024571</v>
      </c>
      <c r="I22" s="599"/>
      <c r="J22" s="612">
        <f>SUM('Revenue by Sch RY#1'!W22,'Revenue by Sch RY#1'!AC22)</f>
        <v>-24</v>
      </c>
      <c r="K22" s="599">
        <f t="shared" si="3"/>
        <v>-6.4644078719750031E-2</v>
      </c>
      <c r="L22" s="599"/>
      <c r="M22" s="706">
        <f>SUM('Revenue by Sch RY#1'!Y22,'Revenue by Sch RY#1'!AE22)</f>
        <v>0</v>
      </c>
      <c r="N22" s="599">
        <f t="shared" si="4"/>
        <v>0</v>
      </c>
      <c r="O22" s="383"/>
      <c r="P22" s="612">
        <f>+'Revenue by Sch RY#1'!AG22</f>
        <v>14</v>
      </c>
      <c r="Q22" s="599">
        <f t="shared" si="5"/>
        <v>3.7709045919854182E-2</v>
      </c>
      <c r="R22" s="383"/>
      <c r="S22" s="706">
        <f>+'Revenue by Sch RY#1'!AF22</f>
        <v>12</v>
      </c>
      <c r="T22" s="599">
        <f t="shared" si="6"/>
        <v>3.2322039359875016E-2</v>
      </c>
      <c r="U22" s="383"/>
      <c r="V22" s="736">
        <f>+'Revenue by Sch RY#1'!AH22</f>
        <v>61</v>
      </c>
      <c r="W22" s="734">
        <f t="shared" si="7"/>
        <v>0.16430370007936465</v>
      </c>
      <c r="X22" s="383"/>
      <c r="Y22" s="736">
        <f>+'Revenue by Sch RY#1'!AI22</f>
        <v>33</v>
      </c>
      <c r="Z22" s="734">
        <f t="shared" si="8"/>
        <v>8.8885608239656286E-2</v>
      </c>
      <c r="AA22" s="383"/>
      <c r="AB22" s="612">
        <f t="shared" si="9"/>
        <v>332.88215904556569</v>
      </c>
      <c r="AC22" s="599">
        <f t="shared" si="10"/>
        <v>0.89661918723924572</v>
      </c>
      <c r="AD22" s="383"/>
      <c r="AE22" s="612">
        <f>SUM('Revenue by Sch RY#1'!X22,'Revenue by Sch RY#1'!AD22)</f>
        <v>-15</v>
      </c>
      <c r="AF22" s="599">
        <f t="shared" si="0"/>
        <v>-4.0402549199843769E-2</v>
      </c>
      <c r="AG22" s="599"/>
      <c r="AH22" s="612">
        <f>SUM('Revenue by Sch RY#1'!Z22,'Revenue by Sch RY#1'!AJ22)</f>
        <v>-5</v>
      </c>
      <c r="AI22" s="599">
        <f t="shared" si="11"/>
        <v>-1.3467516399947923E-2</v>
      </c>
      <c r="AJ22" s="383"/>
      <c r="AK22" s="612">
        <f>SUM('Revenue by Sch RY#1'!AK22,'Revenue by Sch RY#1'!AA22)</f>
        <v>0</v>
      </c>
      <c r="AL22" s="599">
        <f t="shared" si="12"/>
        <v>0</v>
      </c>
      <c r="AM22" s="383"/>
      <c r="AN22" s="612">
        <f t="shared" si="13"/>
        <v>684.14586138784273</v>
      </c>
      <c r="AO22" s="612">
        <f t="shared" si="1"/>
        <v>312.88215904556569</v>
      </c>
      <c r="AP22" s="599">
        <f t="shared" si="14"/>
        <v>0.84274912163945404</v>
      </c>
    </row>
    <row r="23" spans="1:42" ht="10.8" thickBot="1">
      <c r="A23" s="386">
        <f t="shared" si="15"/>
        <v>15</v>
      </c>
      <c r="B23" s="434"/>
      <c r="C23" s="434" t="s">
        <v>19</v>
      </c>
      <c r="D23" s="615">
        <f>SUM(D9:D22)</f>
        <v>22723058.8675</v>
      </c>
      <c r="E23" s="616">
        <f>SUM(E9:E22)</f>
        <v>2297599.6907498511</v>
      </c>
      <c r="F23" s="612"/>
      <c r="G23" s="616">
        <f>SUM(G9:G22)</f>
        <v>-40161.228375678162</v>
      </c>
      <c r="H23" s="617">
        <f t="shared" si="2"/>
        <v>-1.7479645622067014E-2</v>
      </c>
      <c r="I23" s="618"/>
      <c r="J23" s="616">
        <f>SUM(J9:J22)</f>
        <v>-67923</v>
      </c>
      <c r="K23" s="617">
        <f t="shared" ref="K23" si="16">+J23/$E23</f>
        <v>-2.9562591026390878E-2</v>
      </c>
      <c r="L23" s="618"/>
      <c r="M23" s="707">
        <f>SUM(M9:M22)</f>
        <v>-4741</v>
      </c>
      <c r="N23" s="617">
        <f t="shared" si="4"/>
        <v>-2.0634577986266677E-3</v>
      </c>
      <c r="O23" s="383"/>
      <c r="P23" s="616">
        <f>SUM(P9:P22)</f>
        <v>50253</v>
      </c>
      <c r="Q23" s="617">
        <f t="shared" si="5"/>
        <v>2.1871956286518862E-2</v>
      </c>
      <c r="R23" s="383"/>
      <c r="S23" s="707">
        <f>SUM(S9:S22)</f>
        <v>35309</v>
      </c>
      <c r="T23" s="617">
        <f t="shared" si="6"/>
        <v>1.536777713809513E-2</v>
      </c>
      <c r="U23" s="383"/>
      <c r="V23" s="737">
        <f>SUM(V9:V22)</f>
        <v>231008.12</v>
      </c>
      <c r="W23" s="735">
        <f t="shared" si="7"/>
        <v>0.10054324124869965</v>
      </c>
      <c r="X23" s="383"/>
      <c r="Y23" s="737">
        <f>SUM(Y9:Y22)</f>
        <v>43207.6</v>
      </c>
      <c r="Z23" s="735">
        <f t="shared" si="8"/>
        <v>1.880553874286893E-2</v>
      </c>
      <c r="AA23" s="383"/>
      <c r="AB23" s="616">
        <f t="shared" si="9"/>
        <v>246952.49162432185</v>
      </c>
      <c r="AC23" s="617">
        <f t="shared" si="10"/>
        <v>0.10748281896909803</v>
      </c>
      <c r="AD23" s="383"/>
      <c r="AE23" s="616">
        <f>SUM(AE9:AE22)</f>
        <v>-44327</v>
      </c>
      <c r="AF23" s="617">
        <f t="shared" si="0"/>
        <v>-1.9292742847442375E-2</v>
      </c>
      <c r="AG23" s="618"/>
      <c r="AH23" s="616">
        <f>SUM(AH9:AH22)</f>
        <v>-16101</v>
      </c>
      <c r="AI23" s="617">
        <f t="shared" si="11"/>
        <v>-7.007748157706808E-3</v>
      </c>
      <c r="AJ23" s="383"/>
      <c r="AK23" s="616">
        <f>SUM(AK9:AK22)</f>
        <v>-8939</v>
      </c>
      <c r="AL23" s="617">
        <f t="shared" si="12"/>
        <v>-3.8905819999839235E-3</v>
      </c>
      <c r="AM23" s="383"/>
      <c r="AN23" s="616">
        <f>SUM(AN9:AN22)</f>
        <v>2475185.1823741724</v>
      </c>
      <c r="AO23" s="616">
        <f>SUM(AO9:AO22)</f>
        <v>177585.49162432182</v>
      </c>
      <c r="AP23" s="617">
        <f t="shared" si="14"/>
        <v>7.7291745963964903E-2</v>
      </c>
    </row>
    <row r="24" spans="1:42" ht="10.8" thickTop="1">
      <c r="D24" s="388"/>
      <c r="E24" s="388"/>
      <c r="F24" s="388"/>
      <c r="G24" s="388"/>
      <c r="H24" s="388"/>
      <c r="I24" s="388"/>
      <c r="J24" s="388"/>
      <c r="K24" s="388"/>
      <c r="L24" s="388"/>
      <c r="M24" s="388"/>
      <c r="N24" s="388"/>
      <c r="O24" s="388"/>
      <c r="P24" s="388"/>
      <c r="Q24" s="388"/>
      <c r="R24" s="388"/>
      <c r="S24" s="388"/>
      <c r="T24" s="388"/>
      <c r="U24" s="388"/>
      <c r="V24" s="388"/>
      <c r="W24" s="388"/>
      <c r="X24" s="388"/>
      <c r="Y24" s="388"/>
      <c r="Z24" s="388"/>
      <c r="AA24" s="388"/>
      <c r="AB24" s="388"/>
      <c r="AC24" s="388"/>
      <c r="AD24" s="388"/>
      <c r="AE24" s="388"/>
      <c r="AF24" s="388"/>
      <c r="AG24" s="388"/>
      <c r="AH24" s="388"/>
      <c r="AI24" s="388"/>
      <c r="AJ24" s="388"/>
      <c r="AK24" s="388"/>
      <c r="AL24" s="388"/>
      <c r="AM24" s="388"/>
      <c r="AN24" s="388"/>
      <c r="AO24" s="388"/>
      <c r="AP24" s="388"/>
    </row>
    <row r="25" spans="1:42">
      <c r="D25" s="388">
        <f>'[1]Exhibit No.__(BDJ-MYRP-SUM)'!K29</f>
        <v>22723058.8675</v>
      </c>
      <c r="E25" s="403">
        <f>+'Revenue by Sch RY#1'!T24+'[1]Exhibit No.__(BDJ-MYRP-SUM)'!$L$29</f>
        <v>2297599.6907498511</v>
      </c>
      <c r="H25" s="402"/>
      <c r="I25" s="402"/>
      <c r="J25" s="402"/>
      <c r="K25" s="402"/>
      <c r="L25" s="402"/>
      <c r="M25" s="402"/>
      <c r="N25" s="402"/>
      <c r="AB25" s="418"/>
      <c r="AE25" s="402"/>
      <c r="AF25" s="402"/>
      <c r="AG25" s="402"/>
    </row>
    <row r="26" spans="1:42" s="425" customFormat="1">
      <c r="D26" s="426">
        <f>+D25-D23</f>
        <v>0</v>
      </c>
      <c r="E26" s="427">
        <f>+E25-E23</f>
        <v>0</v>
      </c>
      <c r="H26" s="451"/>
      <c r="I26" s="451"/>
      <c r="J26" s="451"/>
      <c r="K26" s="451"/>
      <c r="L26" s="451"/>
      <c r="M26" s="451"/>
      <c r="N26" s="451"/>
      <c r="W26" s="387"/>
      <c r="X26" s="387"/>
      <c r="Y26" s="387"/>
      <c r="Z26" s="387"/>
      <c r="AA26" s="387"/>
      <c r="AB26" s="387"/>
      <c r="AC26" s="387"/>
      <c r="AD26" s="387"/>
      <c r="AE26" s="402"/>
      <c r="AF26" s="451"/>
      <c r="AG26" s="451"/>
    </row>
    <row r="27" spans="1:42" ht="12.75" customHeight="1">
      <c r="B27" s="391" t="s">
        <v>595</v>
      </c>
      <c r="H27" s="402"/>
      <c r="I27" s="402"/>
      <c r="J27" s="402"/>
      <c r="K27" s="402"/>
      <c r="L27" s="402"/>
      <c r="M27" s="402"/>
      <c r="N27" s="402"/>
      <c r="AE27" s="402"/>
      <c r="AF27" s="402"/>
      <c r="AG27" s="402"/>
    </row>
    <row r="28" spans="1:42">
      <c r="B28" s="391" t="s">
        <v>788</v>
      </c>
      <c r="AE28" s="402"/>
      <c r="AF28" s="402"/>
      <c r="AG28" s="402"/>
    </row>
    <row r="29" spans="1:42">
      <c r="AE29" s="402"/>
      <c r="AF29" s="402"/>
      <c r="AG29" s="402"/>
    </row>
    <row r="30" spans="1:42">
      <c r="B30" s="387" t="s">
        <v>691</v>
      </c>
      <c r="M30" s="403">
        <f>+'Sch 139'!O40</f>
        <v>3624</v>
      </c>
      <c r="AE30" s="402"/>
      <c r="AF30" s="402"/>
      <c r="AG30" s="402"/>
    </row>
    <row r="31" spans="1:42">
      <c r="B31" s="387" t="s">
        <v>692</v>
      </c>
      <c r="M31" s="403">
        <f>+'Sch 139'!T40</f>
        <v>-1117</v>
      </c>
      <c r="AE31" s="402"/>
    </row>
    <row r="32" spans="1:42">
      <c r="B32" s="387" t="s">
        <v>693</v>
      </c>
      <c r="M32" s="403">
        <f>+M31-M30</f>
        <v>-4741</v>
      </c>
      <c r="AE32" s="402"/>
    </row>
    <row r="33" spans="2:42">
      <c r="AE33" s="402"/>
    </row>
    <row r="34" spans="2:42">
      <c r="B34" s="704" t="s">
        <v>871</v>
      </c>
      <c r="C34" s="409"/>
      <c r="D34" s="409"/>
      <c r="E34" s="409"/>
      <c r="F34" s="409"/>
      <c r="G34" s="409"/>
      <c r="H34" s="409"/>
      <c r="I34" s="409"/>
      <c r="J34" s="409"/>
      <c r="K34" s="409"/>
      <c r="L34" s="409"/>
      <c r="M34" s="409"/>
      <c r="AE34" s="402"/>
    </row>
    <row r="35" spans="2:42">
      <c r="AE35" s="402"/>
    </row>
    <row r="36" spans="2:42">
      <c r="B36" s="711"/>
      <c r="AE36" s="402"/>
    </row>
    <row r="37" spans="2:42">
      <c r="AE37" s="402"/>
    </row>
    <row r="38" spans="2:42" ht="10.8" thickBot="1">
      <c r="AE38" s="402"/>
    </row>
    <row r="39" spans="2:42">
      <c r="B39" s="744"/>
      <c r="C39" s="730" t="s">
        <v>900</v>
      </c>
      <c r="D39" s="756">
        <v>22723059</v>
      </c>
      <c r="E39" s="757">
        <v>2297600</v>
      </c>
      <c r="F39" s="757"/>
      <c r="G39" s="757">
        <v>-40161</v>
      </c>
      <c r="H39" s="758">
        <v>-1.7500000000000002E-2</v>
      </c>
      <c r="I39" s="758"/>
      <c r="J39" s="757">
        <v>-67923</v>
      </c>
      <c r="K39" s="758">
        <v>-2.9600000000000001E-2</v>
      </c>
      <c r="L39" s="758"/>
      <c r="M39" s="757">
        <v>-4741</v>
      </c>
      <c r="N39" s="758">
        <v>-2.0999999999999999E-3</v>
      </c>
      <c r="O39" s="730"/>
      <c r="P39" s="757">
        <v>50253</v>
      </c>
      <c r="Q39" s="758">
        <v>2.1899999999999999E-2</v>
      </c>
      <c r="R39" s="730"/>
      <c r="S39" s="757">
        <v>35309</v>
      </c>
      <c r="T39" s="758">
        <v>1.54E-2</v>
      </c>
      <c r="U39" s="730"/>
      <c r="V39" s="757">
        <v>182500</v>
      </c>
      <c r="W39" s="758">
        <v>7.9399999999999998E-2</v>
      </c>
      <c r="X39" s="730"/>
      <c r="Y39" s="757">
        <v>91748</v>
      </c>
      <c r="Z39" s="758">
        <v>3.9899999999999998E-2</v>
      </c>
      <c r="AA39" s="730"/>
      <c r="AB39" s="757">
        <v>246985</v>
      </c>
      <c r="AC39" s="758">
        <v>0.1075</v>
      </c>
      <c r="AD39" s="730"/>
      <c r="AE39" s="757">
        <v>-44327</v>
      </c>
      <c r="AF39" s="758">
        <v>-1.9300000000000001E-2</v>
      </c>
      <c r="AG39" s="758"/>
      <c r="AH39" s="757">
        <v>-16101</v>
      </c>
      <c r="AI39" s="758">
        <v>-7.0000000000000001E-3</v>
      </c>
      <c r="AJ39" s="730"/>
      <c r="AK39" s="757">
        <v>-8939</v>
      </c>
      <c r="AL39" s="758">
        <v>-3.8999999999999998E-3</v>
      </c>
      <c r="AM39" s="730"/>
      <c r="AN39" s="757">
        <v>2475218</v>
      </c>
      <c r="AO39" s="757">
        <v>177618</v>
      </c>
      <c r="AP39" s="759">
        <v>7.7299999999999994E-2</v>
      </c>
    </row>
    <row r="40" spans="2:42" ht="10.8" thickBot="1">
      <c r="B40" s="745"/>
      <c r="C40" s="731" t="s">
        <v>899</v>
      </c>
      <c r="D40" s="760">
        <f>D23-D39</f>
        <v>-0.13250000029802322</v>
      </c>
      <c r="E40" s="761">
        <f>E23-E39</f>
        <v>-0.30925014894455671</v>
      </c>
      <c r="F40" s="761"/>
      <c r="G40" s="761">
        <f t="shared" ref="G40:H40" si="17">G23-G39</f>
        <v>-0.22837567816168303</v>
      </c>
      <c r="H40" s="762">
        <f t="shared" si="17"/>
        <v>2.0354377932987194E-5</v>
      </c>
      <c r="I40" s="762"/>
      <c r="J40" s="761">
        <f t="shared" ref="J40:K40" si="18">J23-J39</f>
        <v>0</v>
      </c>
      <c r="K40" s="762">
        <f t="shared" si="18"/>
        <v>3.740897360912307E-5</v>
      </c>
      <c r="L40" s="762"/>
      <c r="M40" s="763">
        <f t="shared" ref="M40:N40" si="19">M23-M39</f>
        <v>0</v>
      </c>
      <c r="N40" s="762">
        <f t="shared" si="19"/>
        <v>3.6542201373332157E-5</v>
      </c>
      <c r="O40" s="731"/>
      <c r="P40" s="761">
        <f t="shared" ref="P40:Q40" si="20">P23-P39</f>
        <v>0</v>
      </c>
      <c r="Q40" s="762">
        <f t="shared" si="20"/>
        <v>-2.8043713481137184E-5</v>
      </c>
      <c r="R40" s="731"/>
      <c r="S40" s="763">
        <f t="shared" ref="S40:T40" si="21">S23-S39</f>
        <v>0</v>
      </c>
      <c r="T40" s="762">
        <f t="shared" si="21"/>
        <v>-3.2222861904870545E-5</v>
      </c>
      <c r="U40" s="731"/>
      <c r="V40" s="763">
        <f>V23-V39</f>
        <v>48508.119999999995</v>
      </c>
      <c r="W40" s="762">
        <f>W23-W39</f>
        <v>2.1143241248699651E-2</v>
      </c>
      <c r="X40" s="731"/>
      <c r="Y40" s="761">
        <f>Y23-Y39</f>
        <v>-48540.4</v>
      </c>
      <c r="Z40" s="762">
        <f>Z23-Z39</f>
        <v>-2.1094461257131068E-2</v>
      </c>
      <c r="AA40" s="731"/>
      <c r="AB40" s="761">
        <f>AB23-AB39</f>
        <v>-32.508375678153243</v>
      </c>
      <c r="AC40" s="762">
        <f>AC23-AC39</f>
        <v>-1.7181030901966543E-5</v>
      </c>
      <c r="AD40" s="731"/>
      <c r="AE40" s="761">
        <f t="shared" ref="AE40:AF40" si="22">AE23-AE39</f>
        <v>0</v>
      </c>
      <c r="AF40" s="762">
        <f t="shared" si="22"/>
        <v>7.2571525576263507E-6</v>
      </c>
      <c r="AG40" s="762"/>
      <c r="AH40" s="761">
        <f>AH23-AH39</f>
        <v>0</v>
      </c>
      <c r="AI40" s="762">
        <f>AI23-AI39</f>
        <v>-7.7481577068078122E-6</v>
      </c>
      <c r="AJ40" s="731"/>
      <c r="AK40" s="761">
        <f>AK23-AK39</f>
        <v>0</v>
      </c>
      <c r="AL40" s="762">
        <f>AL23-AL39</f>
        <v>9.4180000160763028E-6</v>
      </c>
      <c r="AM40" s="731"/>
      <c r="AN40" s="761">
        <f>AN23-AN39</f>
        <v>-32.817625827621669</v>
      </c>
      <c r="AO40" s="761">
        <f>AO23-AO39</f>
        <v>-32.508375678182347</v>
      </c>
      <c r="AP40" s="764">
        <f>AP23-AP39</f>
        <v>-8.2540360350907838E-6</v>
      </c>
    </row>
    <row r="41" spans="2:42">
      <c r="AE41" s="402"/>
    </row>
    <row r="42" spans="2:42">
      <c r="AE42" s="402"/>
    </row>
    <row r="43" spans="2:42">
      <c r="AE43" s="402"/>
    </row>
    <row r="44" spans="2:42">
      <c r="AE44" s="402"/>
    </row>
    <row r="45" spans="2:42">
      <c r="AE45" s="402"/>
    </row>
    <row r="46" spans="2:42">
      <c r="AE46" s="402"/>
    </row>
    <row r="47" spans="2:42">
      <c r="AE47" s="402"/>
    </row>
    <row r="48" spans="2:42">
      <c r="AE48" s="402"/>
    </row>
    <row r="49" spans="31:31">
      <c r="AE49" s="402"/>
    </row>
    <row r="50" spans="31:31">
      <c r="AE50" s="402"/>
    </row>
    <row r="51" spans="31:31">
      <c r="AE51" s="402"/>
    </row>
    <row r="52" spans="31:31">
      <c r="AE52" s="402"/>
    </row>
    <row r="53" spans="31:31">
      <c r="AE53" s="402"/>
    </row>
    <row r="54" spans="31:31">
      <c r="AE54" s="402"/>
    </row>
    <row r="55" spans="31:31">
      <c r="AE55" s="402"/>
    </row>
    <row r="56" spans="31:31">
      <c r="AE56" s="402"/>
    </row>
  </sheetData>
  <mergeCells count="7">
    <mergeCell ref="G6:AC6"/>
    <mergeCell ref="AE6:AL6"/>
    <mergeCell ref="A1:B1"/>
    <mergeCell ref="A2:B2"/>
    <mergeCell ref="A3:B3"/>
    <mergeCell ref="A4:B4"/>
    <mergeCell ref="A5:B5"/>
  </mergeCells>
  <pageMargins left="0.25" right="0.25" top="0.75" bottom="0.75" header="0.3" footer="0.3"/>
  <pageSetup scale="63" orientation="landscape" r:id="rId1"/>
  <headerFooter>
    <oddFooter>&amp;L&amp;"Times New Roman,Regular"&amp;A&amp;R&amp;"Times New Roman,Regular"Exhibit No.___(BDJ-7)
Page &amp;P of &amp;N</oddFooter>
  </headerFooter>
  <customProperties>
    <customPr name="_pios_id" r:id="rId2"/>
  </customPropertie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Q49"/>
  <sheetViews>
    <sheetView zoomScaleNormal="100" workbookViewId="0">
      <pane xSplit="5" ySplit="7" topLeftCell="M8" activePane="bottomRight" state="frozen"/>
      <selection pane="topRight"/>
      <selection pane="bottomLeft"/>
      <selection pane="bottomRight" activeCell="AG7" sqref="AG7"/>
    </sheetView>
  </sheetViews>
  <sheetFormatPr defaultColWidth="6.33203125" defaultRowHeight="10.199999999999999"/>
  <cols>
    <col min="1" max="1" width="4.6640625" style="387" customWidth="1"/>
    <col min="2" max="2" width="20.33203125" style="387" bestFit="1" customWidth="1"/>
    <col min="3" max="3" width="12.33203125" style="387" bestFit="1" customWidth="1"/>
    <col min="4" max="4" width="10.88671875" style="387" bestFit="1" customWidth="1"/>
    <col min="5" max="5" width="15.33203125" style="387" bestFit="1" customWidth="1"/>
    <col min="6" max="6" width="8.33203125" style="387" bestFit="1" customWidth="1"/>
    <col min="7" max="7" width="9" style="387" bestFit="1" customWidth="1"/>
    <col min="8" max="8" width="8.33203125" style="387" bestFit="1" customWidth="1"/>
    <col min="9" max="9" width="11.5546875" style="387" bestFit="1" customWidth="1"/>
    <col min="10" max="16" width="8.33203125" style="387" bestFit="1" customWidth="1"/>
    <col min="17" max="17" width="11.33203125" style="387" bestFit="1" customWidth="1"/>
    <col min="18" max="18" width="11.88671875" style="387" bestFit="1" customWidth="1"/>
    <col min="19" max="19" width="8.33203125" style="387" bestFit="1" customWidth="1"/>
    <col min="20" max="20" width="8.5546875" style="387" bestFit="1" customWidth="1"/>
    <col min="21" max="21" width="12.33203125" style="387" bestFit="1" customWidth="1"/>
    <col min="22" max="22" width="2" style="387" customWidth="1"/>
    <col min="23" max="23" width="10.44140625" style="387" bestFit="1" customWidth="1"/>
    <col min="24" max="24" width="12.6640625" style="387" bestFit="1" customWidth="1"/>
    <col min="25" max="25" width="11.33203125" style="387" bestFit="1" customWidth="1"/>
    <col min="26" max="26" width="12.109375" style="387" bestFit="1" customWidth="1"/>
    <col min="27" max="27" width="11.88671875" style="387" bestFit="1" customWidth="1"/>
    <col min="28" max="28" width="1.44140625" style="387" customWidth="1"/>
    <col min="29" max="29" width="8.33203125" style="387" bestFit="1" customWidth="1"/>
    <col min="30" max="30" width="9" style="387" bestFit="1" customWidth="1"/>
    <col min="31" max="31" width="8.33203125" style="387" bestFit="1" customWidth="1"/>
    <col min="32" max="32" width="12.6640625" style="387" bestFit="1" customWidth="1"/>
    <col min="33" max="33" width="8.33203125" style="387" bestFit="1" customWidth="1"/>
    <col min="34" max="35" width="9.88671875" style="387" bestFit="1" customWidth="1"/>
    <col min="36" max="36" width="8.33203125" style="387" bestFit="1" customWidth="1"/>
    <col min="37" max="37" width="12.33203125" style="387" customWidth="1"/>
    <col min="38" max="38" width="10.44140625" style="387" bestFit="1" customWidth="1"/>
    <col min="39" max="39" width="12.33203125" style="387" bestFit="1" customWidth="1"/>
    <col min="40" max="40" width="10.5546875" style="387" bestFit="1" customWidth="1"/>
    <col min="41" max="16384" width="6.33203125" style="387"/>
  </cols>
  <sheetData>
    <row r="1" spans="1:43" s="409" customFormat="1">
      <c r="A1" s="772" t="s">
        <v>0</v>
      </c>
      <c r="B1" s="772"/>
      <c r="C1" s="772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436"/>
      <c r="X1" s="436"/>
      <c r="Y1" s="436"/>
      <c r="Z1" s="436"/>
      <c r="AA1" s="436"/>
      <c r="AB1" s="436"/>
      <c r="AC1" s="436"/>
      <c r="AD1" s="436"/>
      <c r="AE1" s="436"/>
      <c r="AF1" s="436"/>
      <c r="AG1" s="436"/>
      <c r="AH1" s="436"/>
      <c r="AI1" s="436"/>
      <c r="AJ1" s="436"/>
      <c r="AK1" s="436"/>
      <c r="AL1" s="436"/>
      <c r="AM1" s="436"/>
    </row>
    <row r="2" spans="1:43" s="409" customFormat="1">
      <c r="A2" s="772" t="s">
        <v>61</v>
      </c>
      <c r="B2" s="772"/>
      <c r="C2" s="772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</row>
    <row r="3" spans="1:43" s="409" customFormat="1">
      <c r="A3" s="773" t="s">
        <v>519</v>
      </c>
      <c r="B3" s="773"/>
      <c r="C3" s="772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</row>
    <row r="4" spans="1:43" s="409" customFormat="1">
      <c r="A4" s="772" t="s">
        <v>174</v>
      </c>
      <c r="B4" s="772"/>
      <c r="C4" s="772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6"/>
      <c r="AB4" s="436"/>
      <c r="AC4" s="436"/>
      <c r="AD4" s="436"/>
      <c r="AE4" s="436"/>
      <c r="AF4" s="436"/>
      <c r="AG4" s="436"/>
      <c r="AH4" s="436"/>
      <c r="AI4" s="436"/>
      <c r="AJ4" s="436"/>
      <c r="AK4" s="436"/>
      <c r="AL4" s="436"/>
      <c r="AM4" s="436"/>
    </row>
    <row r="5" spans="1:43" s="409" customFormat="1" ht="10.8" thickBot="1">
      <c r="A5" s="773" t="s">
        <v>303</v>
      </c>
      <c r="B5" s="773"/>
      <c r="C5" s="772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</row>
    <row r="6" spans="1:43" s="409" customFormat="1" ht="10.8" thickBot="1">
      <c r="A6" s="411"/>
      <c r="B6" s="411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437"/>
      <c r="V6" s="437"/>
      <c r="W6" s="789" t="s">
        <v>1</v>
      </c>
      <c r="X6" s="787"/>
      <c r="Y6" s="787"/>
      <c r="Z6" s="787"/>
      <c r="AA6" s="788"/>
      <c r="AB6" s="437"/>
      <c r="AC6" s="785" t="s">
        <v>500</v>
      </c>
      <c r="AD6" s="786"/>
      <c r="AE6" s="786"/>
      <c r="AF6" s="786"/>
      <c r="AG6" s="786"/>
      <c r="AH6" s="786"/>
      <c r="AI6" s="786"/>
      <c r="AJ6" s="786"/>
      <c r="AK6" s="786"/>
      <c r="AL6" s="790"/>
    </row>
    <row r="7" spans="1:43" s="409" customFormat="1" ht="51">
      <c r="A7" s="399" t="s">
        <v>2</v>
      </c>
      <c r="B7" s="399" t="s">
        <v>579</v>
      </c>
      <c r="C7" s="399" t="s">
        <v>315</v>
      </c>
      <c r="D7" s="400" t="s">
        <v>520</v>
      </c>
      <c r="E7" s="438" t="s">
        <v>510</v>
      </c>
      <c r="F7" s="438" t="s">
        <v>4</v>
      </c>
      <c r="G7" s="438" t="s">
        <v>456</v>
      </c>
      <c r="H7" s="438" t="s">
        <v>5</v>
      </c>
      <c r="I7" s="438" t="s">
        <v>6</v>
      </c>
      <c r="J7" s="438" t="s">
        <v>7</v>
      </c>
      <c r="K7" s="438" t="s">
        <v>264</v>
      </c>
      <c r="L7" s="438" t="s">
        <v>460</v>
      </c>
      <c r="M7" s="438" t="s">
        <v>8</v>
      </c>
      <c r="N7" s="438" t="s">
        <v>9</v>
      </c>
      <c r="O7" s="438" t="s">
        <v>258</v>
      </c>
      <c r="P7" s="438" t="s">
        <v>286</v>
      </c>
      <c r="Q7" s="438" t="s">
        <v>257</v>
      </c>
      <c r="R7" s="438" t="s">
        <v>457</v>
      </c>
      <c r="S7" s="438" t="s">
        <v>469</v>
      </c>
      <c r="T7" s="438" t="s">
        <v>173</v>
      </c>
      <c r="U7" s="438" t="s">
        <v>287</v>
      </c>
      <c r="V7" s="439"/>
      <c r="W7" s="439" t="str">
        <f>+F7</f>
        <v>Schedule 95
PCORC</v>
      </c>
      <c r="X7" s="439" t="str">
        <f>+G7</f>
        <v>Schedule 95
PCA Imbalance</v>
      </c>
      <c r="Y7" s="439" t="str">
        <f>+L7</f>
        <v>Schedule 139
Green Direct</v>
      </c>
      <c r="Z7" s="439" t="str">
        <f>+O7</f>
        <v>Schedule 141x
Tax</v>
      </c>
      <c r="AA7" s="439" t="str">
        <f>+R7</f>
        <v>Schedule
142
Supplemental</v>
      </c>
      <c r="AB7" s="439"/>
      <c r="AC7" s="439" t="str">
        <f>+W7</f>
        <v>Schedule 95
PCORC</v>
      </c>
      <c r="AD7" s="439" t="str">
        <f t="shared" ref="AD7:AE7" si="0">+X7</f>
        <v>Schedule 95
PCA Imbalance</v>
      </c>
      <c r="AE7" s="439" t="str">
        <f t="shared" si="0"/>
        <v>Schedule 139
Green Direct</v>
      </c>
      <c r="AF7" s="438" t="s">
        <v>827</v>
      </c>
      <c r="AG7" s="438" t="s">
        <v>896</v>
      </c>
      <c r="AH7" s="438" t="s">
        <v>494</v>
      </c>
      <c r="AI7" s="438" t="s">
        <v>495</v>
      </c>
      <c r="AJ7" s="438" t="str">
        <f>+Z7</f>
        <v>Schedule 141x
Tax</v>
      </c>
      <c r="AK7" s="438" t="str">
        <f>+AA7</f>
        <v>Schedule
142
Supplemental</v>
      </c>
      <c r="AL7" s="438" t="s">
        <v>265</v>
      </c>
      <c r="AM7" s="438" t="s">
        <v>290</v>
      </c>
      <c r="AN7" s="400" t="s">
        <v>293</v>
      </c>
    </row>
    <row r="8" spans="1:43" s="433" customFormat="1" ht="20.399999999999999">
      <c r="A8" s="430"/>
      <c r="B8" s="430"/>
      <c r="C8" s="430"/>
      <c r="D8" s="431" t="s">
        <v>73</v>
      </c>
      <c r="E8" s="432" t="s">
        <v>74</v>
      </c>
      <c r="F8" s="432" t="s">
        <v>75</v>
      </c>
      <c r="G8" s="432" t="s">
        <v>76</v>
      </c>
      <c r="H8" s="432" t="s">
        <v>159</v>
      </c>
      <c r="I8" s="432" t="s">
        <v>160</v>
      </c>
      <c r="J8" s="432" t="s">
        <v>161</v>
      </c>
      <c r="K8" s="432" t="s">
        <v>169</v>
      </c>
      <c r="L8" s="432" t="s">
        <v>170</v>
      </c>
      <c r="M8" s="432" t="s">
        <v>171</v>
      </c>
      <c r="N8" s="432" t="s">
        <v>172</v>
      </c>
      <c r="O8" s="432" t="s">
        <v>259</v>
      </c>
      <c r="P8" s="432" t="s">
        <v>458</v>
      </c>
      <c r="Q8" s="432" t="s">
        <v>459</v>
      </c>
      <c r="R8" s="440" t="s">
        <v>260</v>
      </c>
      <c r="S8" s="440" t="s">
        <v>461</v>
      </c>
      <c r="T8" s="432" t="s">
        <v>470</v>
      </c>
      <c r="U8" s="432" t="s">
        <v>471</v>
      </c>
      <c r="V8" s="432"/>
      <c r="W8" s="432" t="s">
        <v>472</v>
      </c>
      <c r="X8" s="432" t="s">
        <v>552</v>
      </c>
      <c r="Y8" s="432" t="s">
        <v>553</v>
      </c>
      <c r="Z8" s="432" t="s">
        <v>687</v>
      </c>
      <c r="AA8" s="432" t="s">
        <v>688</v>
      </c>
      <c r="AB8" s="432"/>
      <c r="AC8" s="432" t="s">
        <v>561</v>
      </c>
      <c r="AD8" s="432" t="s">
        <v>562</v>
      </c>
      <c r="AE8" s="432" t="s">
        <v>534</v>
      </c>
      <c r="AF8" s="432" t="s">
        <v>478</v>
      </c>
      <c r="AG8" s="432" t="s">
        <v>479</v>
      </c>
      <c r="AH8" s="432" t="s">
        <v>480</v>
      </c>
      <c r="AI8" s="432" t="s">
        <v>689</v>
      </c>
      <c r="AJ8" s="432" t="s">
        <v>690</v>
      </c>
      <c r="AK8" s="432" t="s">
        <v>798</v>
      </c>
      <c r="AL8" s="432" t="s">
        <v>799</v>
      </c>
      <c r="AM8" s="432" t="s">
        <v>800</v>
      </c>
      <c r="AN8" s="431" t="s">
        <v>535</v>
      </c>
    </row>
    <row r="9" spans="1:43">
      <c r="A9" s="386">
        <v>1</v>
      </c>
      <c r="B9" s="434" t="s">
        <v>11</v>
      </c>
      <c r="C9" s="434">
        <v>7</v>
      </c>
      <c r="D9" s="388">
        <f>'[1]Exhibit No.__(BDJ-MYRP-SUM)'!K14</f>
        <v>10963050.375499999</v>
      </c>
      <c r="E9" s="403">
        <f>'[1]Exhibit No.__(BDJ-MYRP-SUM)'!M14</f>
        <v>1170245.5949912549</v>
      </c>
      <c r="F9" s="403">
        <f>+'Sch 95 PCORC'!K7</f>
        <v>36334</v>
      </c>
      <c r="G9" s="403">
        <f>+'Sch 95 Imbalance'!K7</f>
        <v>23402</v>
      </c>
      <c r="H9" s="403">
        <f>+'Sch 95a'!I7</f>
        <v>-15250</v>
      </c>
      <c r="I9" s="403">
        <f>+'Sch 120'!I7</f>
        <v>41934</v>
      </c>
      <c r="J9" s="403">
        <f>+'Sch 129'!I7</f>
        <v>14822</v>
      </c>
      <c r="K9" s="403">
        <f>+'Sch 137'!I7</f>
        <v>-230</v>
      </c>
      <c r="L9" s="403">
        <f>+'Sch 139'!O7</f>
        <v>0</v>
      </c>
      <c r="M9" s="403">
        <f>+'Sch 140'!I7</f>
        <v>33678</v>
      </c>
      <c r="N9" s="403">
        <f>+'Sch 141'!I7</f>
        <v>0</v>
      </c>
      <c r="O9" s="403">
        <f>+'Sch 141X'!K7</f>
        <v>9319</v>
      </c>
      <c r="P9" s="403">
        <f>+'Sch 141Z'!I7</f>
        <v>-9691</v>
      </c>
      <c r="Q9" s="403">
        <f>+'Sch 142'!T7</f>
        <v>-4572</v>
      </c>
      <c r="R9" s="403">
        <f>+'Sch 142'!O7</f>
        <v>3442</v>
      </c>
      <c r="S9" s="403">
        <f>+'Sch 194'!I7</f>
        <v>-73333</v>
      </c>
      <c r="T9" s="403">
        <f t="shared" ref="T9:T22" si="1">SUM(F9:S9)</f>
        <v>59855</v>
      </c>
      <c r="U9" s="403">
        <f t="shared" ref="U9:U22" si="2">SUM(T9,E9)</f>
        <v>1230100.5949912549</v>
      </c>
      <c r="V9" s="412"/>
      <c r="W9" s="412">
        <f t="shared" ref="W9:W23" si="3">-F9</f>
        <v>-36334</v>
      </c>
      <c r="X9" s="412">
        <f t="shared" ref="X9:X23" si="4">-G9</f>
        <v>-23402</v>
      </c>
      <c r="Y9" s="412">
        <f t="shared" ref="Y9:Y23" si="5">-L9</f>
        <v>0</v>
      </c>
      <c r="Z9" s="412">
        <f>-O9</f>
        <v>-9319</v>
      </c>
      <c r="AA9" s="412">
        <f>-R9</f>
        <v>-3442</v>
      </c>
      <c r="AB9" s="412"/>
      <c r="AC9" s="403">
        <f>+'Sch 95 PCORC'!L7</f>
        <v>0</v>
      </c>
      <c r="AD9" s="403">
        <f>+'Sch 95 Imbalance'!L7</f>
        <v>0</v>
      </c>
      <c r="AE9" s="718">
        <f>+'Sch 139'!T7</f>
        <v>0</v>
      </c>
      <c r="AF9" s="718">
        <f>+'Sch 141A'!L7</f>
        <v>20040</v>
      </c>
      <c r="AG9" s="403">
        <f>+'Sch 141C'!L7</f>
        <v>29260</v>
      </c>
      <c r="AH9" s="718">
        <f>+'Sch 141N'!N7</f>
        <v>138880</v>
      </c>
      <c r="AI9" s="403">
        <f>+'Sch 141R'!N7</f>
        <v>25961</v>
      </c>
      <c r="AJ9" s="403">
        <f>+'Sch 141X'!L7</f>
        <v>0</v>
      </c>
      <c r="AK9" s="403">
        <f>+'Sch 142'!P7</f>
        <v>0</v>
      </c>
      <c r="AL9" s="403">
        <f>SUM(W9:AK9)</f>
        <v>141644</v>
      </c>
      <c r="AM9" s="403">
        <f>SUM(U9,AL9)</f>
        <v>1371744.5949912549</v>
      </c>
      <c r="AN9" s="435">
        <f>AL9/U9</f>
        <v>0.11514830622531891</v>
      </c>
      <c r="AO9" s="435"/>
      <c r="AQ9" s="402"/>
    </row>
    <row r="10" spans="1:43">
      <c r="A10" s="386">
        <f>+A9+1</f>
        <v>2</v>
      </c>
      <c r="B10" s="434" t="s">
        <v>568</v>
      </c>
      <c r="C10" s="434" t="s">
        <v>62</v>
      </c>
      <c r="D10" s="388">
        <f>'[1]Exhibit No.__(BDJ-MYRP-SUM)'!K15</f>
        <v>2697633</v>
      </c>
      <c r="E10" s="403">
        <f>'[1]Exhibit No.__(BDJ-MYRP-SUM)'!M15</f>
        <v>270066.25062100001</v>
      </c>
      <c r="F10" s="403">
        <f>+'Sch 95 PCORC'!K12</f>
        <v>9303</v>
      </c>
      <c r="G10" s="403">
        <f>+'Sch 95 Imbalance'!K12</f>
        <v>5813</v>
      </c>
      <c r="H10" s="403">
        <f>+'Sch 95a'!I12</f>
        <v>-3839</v>
      </c>
      <c r="I10" s="403">
        <f>+'Sch 120'!I12</f>
        <v>10386</v>
      </c>
      <c r="J10" s="403">
        <f>+'Sch 129'!I12</f>
        <v>3599</v>
      </c>
      <c r="K10" s="403">
        <f>+'Sch 137'!I12</f>
        <v>-57</v>
      </c>
      <c r="L10" s="403">
        <f>+'Sch 139'!O12</f>
        <v>449</v>
      </c>
      <c r="M10" s="403">
        <f>+'Sch 140'!I12</f>
        <v>7119</v>
      </c>
      <c r="N10" s="403">
        <f>+'Sch 141'!I12</f>
        <v>0</v>
      </c>
      <c r="O10" s="403">
        <f>+'Sch 141X'!K12</f>
        <v>2004</v>
      </c>
      <c r="P10" s="403">
        <f>+'Sch 141Z'!I12</f>
        <v>-1923</v>
      </c>
      <c r="Q10" s="403">
        <f>+'Sch 142'!T12</f>
        <v>8848</v>
      </c>
      <c r="R10" s="403">
        <f>+'Sch 142'!O12</f>
        <v>3240</v>
      </c>
      <c r="S10" s="403">
        <f>+'Sch 194'!I12</f>
        <v>-1605</v>
      </c>
      <c r="T10" s="403">
        <f t="shared" si="1"/>
        <v>43337</v>
      </c>
      <c r="U10" s="403">
        <f t="shared" si="2"/>
        <v>313403.25062100001</v>
      </c>
      <c r="V10" s="412"/>
      <c r="W10" s="412">
        <f t="shared" si="3"/>
        <v>-9303</v>
      </c>
      <c r="X10" s="412">
        <f t="shared" si="4"/>
        <v>-5813</v>
      </c>
      <c r="Y10" s="412">
        <f t="shared" si="5"/>
        <v>-449</v>
      </c>
      <c r="Z10" s="412">
        <f t="shared" ref="Z10:Z23" si="6">-O10</f>
        <v>-2004</v>
      </c>
      <c r="AA10" s="412">
        <f t="shared" ref="AA10:AA23" si="7">-R10</f>
        <v>-3240</v>
      </c>
      <c r="AB10" s="412"/>
      <c r="AC10" s="403">
        <f>+'Sch 95 PCORC'!L12</f>
        <v>0</v>
      </c>
      <c r="AD10" s="403">
        <f>+'Sch 95 Imbalance'!L12</f>
        <v>0</v>
      </c>
      <c r="AE10" s="718">
        <f>+'Sch 139'!T12</f>
        <v>-148</v>
      </c>
      <c r="AF10" s="718">
        <f>SUM('Sch 141A'!L11:L12)</f>
        <v>4554</v>
      </c>
      <c r="AG10" s="403">
        <f>SUM('Sch 141C'!L11:L12)</f>
        <v>6329</v>
      </c>
      <c r="AH10" s="718">
        <f>SUM('Sch 141N'!N11:N12)</f>
        <v>26647</v>
      </c>
      <c r="AI10" s="403">
        <f>SUM('Sch 141R'!N11:N12)</f>
        <v>4983</v>
      </c>
      <c r="AJ10" s="403">
        <f>+'Sch 141X'!L12</f>
        <v>0</v>
      </c>
      <c r="AK10" s="403">
        <f>+'Sch 142'!P12</f>
        <v>0</v>
      </c>
      <c r="AL10" s="403">
        <f t="shared" ref="AL10:AL22" si="8">SUM(W10:AK10)</f>
        <v>21556</v>
      </c>
      <c r="AM10" s="403">
        <f t="shared" ref="AM10:AM13" si="9">SUM(U10,AL10)</f>
        <v>334959.25062100001</v>
      </c>
      <c r="AN10" s="435">
        <f t="shared" ref="AN10:AN13" si="10">AL10/U10</f>
        <v>6.8780397003819757E-2</v>
      </c>
      <c r="AO10" s="435"/>
      <c r="AQ10" s="402"/>
    </row>
    <row r="11" spans="1:43">
      <c r="A11" s="386">
        <f t="shared" ref="A11:A24" si="11">+A10+1</f>
        <v>3</v>
      </c>
      <c r="B11" s="391" t="s">
        <v>570</v>
      </c>
      <c r="C11" s="434" t="s">
        <v>166</v>
      </c>
      <c r="D11" s="388">
        <f>'[1]Exhibit No.__(BDJ-MYRP-SUM)'!K16</f>
        <v>2911699.0000000005</v>
      </c>
      <c r="E11" s="403">
        <f>'[1]Exhibit No.__(BDJ-MYRP-SUM)'!M16</f>
        <v>267164.65089066606</v>
      </c>
      <c r="F11" s="403">
        <f>+'Sch 95 PCORC'!K14</f>
        <v>9876</v>
      </c>
      <c r="G11" s="403">
        <f>+'Sch 95 Imbalance'!K14</f>
        <v>6474</v>
      </c>
      <c r="H11" s="403">
        <f>+'Sch 95a'!I14</f>
        <v>-4210</v>
      </c>
      <c r="I11" s="403">
        <f>+'Sch 120'!I14</f>
        <v>11903</v>
      </c>
      <c r="J11" s="403">
        <f>+'Sch 129'!I14</f>
        <v>3512</v>
      </c>
      <c r="K11" s="403">
        <f>+'Sch 137'!I14</f>
        <v>-64</v>
      </c>
      <c r="L11" s="403">
        <f>+'Sch 139'!O14</f>
        <v>665</v>
      </c>
      <c r="M11" s="403">
        <f>+'Sch 140'!I14</f>
        <v>7073</v>
      </c>
      <c r="N11" s="403">
        <f>SUM('Sch 141'!I8,'Sch 141'!I14)</f>
        <v>0</v>
      </c>
      <c r="O11" s="403">
        <f>SUM('Sch 141X'!K8,'Sch 141X'!K14)</f>
        <v>2079</v>
      </c>
      <c r="P11" s="403">
        <f>SUM('Sch 141Z'!I8,'Sch 141Z'!I14)</f>
        <v>-1948</v>
      </c>
      <c r="Q11" s="403">
        <f>+'Sch 142'!T14</f>
        <v>8607</v>
      </c>
      <c r="R11" s="403">
        <f>+'Sch 142'!O14</f>
        <v>-178</v>
      </c>
      <c r="S11" s="403">
        <f>+'Sch 194'!I14+'Sch 194'!I8</f>
        <v>-935</v>
      </c>
      <c r="T11" s="403">
        <f t="shared" si="1"/>
        <v>42854</v>
      </c>
      <c r="U11" s="403">
        <f t="shared" si="2"/>
        <v>310018.65089066606</v>
      </c>
      <c r="V11" s="412"/>
      <c r="W11" s="412">
        <f t="shared" si="3"/>
        <v>-9876</v>
      </c>
      <c r="X11" s="412">
        <f t="shared" si="4"/>
        <v>-6474</v>
      </c>
      <c r="Y11" s="412">
        <f t="shared" si="5"/>
        <v>-665</v>
      </c>
      <c r="Z11" s="412">
        <f t="shared" si="6"/>
        <v>-2079</v>
      </c>
      <c r="AA11" s="412">
        <f t="shared" si="7"/>
        <v>178</v>
      </c>
      <c r="AB11" s="412"/>
      <c r="AC11" s="403">
        <f>+'Sch 95 PCORC'!L14</f>
        <v>0</v>
      </c>
      <c r="AD11" s="403">
        <f>+'Sch 95 Imbalance'!L14</f>
        <v>0</v>
      </c>
      <c r="AE11" s="718">
        <f>+'Sch 139'!T14</f>
        <v>-216</v>
      </c>
      <c r="AF11" s="718">
        <f>SUM('Sch 141A'!L8,'Sch 141A'!L13:L14)</f>
        <v>4833</v>
      </c>
      <c r="AG11" s="403">
        <f>SUM('Sch 141C'!L8,'Sch 141C'!L13:L14)</f>
        <v>6781</v>
      </c>
      <c r="AH11" s="718">
        <f>SUM('Sch 141N'!N8,'Sch 141N'!N13:N14)</f>
        <v>29813</v>
      </c>
      <c r="AI11" s="403">
        <f>SUM('Sch 141R'!N8,'Sch 141R'!N13:N14)</f>
        <v>5568</v>
      </c>
      <c r="AJ11" s="403">
        <f>SUM('Sch 141X'!L8,'Sch 141X'!L14)</f>
        <v>0</v>
      </c>
      <c r="AK11" s="403">
        <f>+'Sch 142'!P14</f>
        <v>0</v>
      </c>
      <c r="AL11" s="403">
        <f t="shared" si="8"/>
        <v>27863</v>
      </c>
      <c r="AM11" s="403">
        <f t="shared" si="9"/>
        <v>337881.65089066606</v>
      </c>
      <c r="AN11" s="435">
        <f t="shared" si="10"/>
        <v>8.9875237892788631E-2</v>
      </c>
      <c r="AO11" s="435"/>
      <c r="AQ11" s="402"/>
    </row>
    <row r="12" spans="1:43">
      <c r="A12" s="386">
        <f t="shared" si="11"/>
        <v>4</v>
      </c>
      <c r="B12" s="391" t="s">
        <v>569</v>
      </c>
      <c r="C12" s="434" t="s">
        <v>63</v>
      </c>
      <c r="D12" s="388">
        <f>'[1]Exhibit No.__(BDJ-MYRP-SUM)'!K17</f>
        <v>1831289</v>
      </c>
      <c r="E12" s="403">
        <f>'[1]Exhibit No.__(BDJ-MYRP-SUM)'!M17</f>
        <v>152301.46195413478</v>
      </c>
      <c r="F12" s="403">
        <f>+'Sch 95 PCORC'!K16</f>
        <v>6021</v>
      </c>
      <c r="G12" s="403">
        <f>+'Sch 95 Imbalance'!K16</f>
        <v>4261</v>
      </c>
      <c r="H12" s="403">
        <f>+'Sch 95a'!I16</f>
        <v>-2599</v>
      </c>
      <c r="I12" s="403">
        <f>+'Sch 120'!I16</f>
        <v>7691</v>
      </c>
      <c r="J12" s="403">
        <f>+'Sch 129'!I16</f>
        <v>2047</v>
      </c>
      <c r="K12" s="403">
        <f>+'Sch 137'!I16</f>
        <v>-38</v>
      </c>
      <c r="L12" s="403">
        <f>+'Sch 139'!O16</f>
        <v>1230</v>
      </c>
      <c r="M12" s="403">
        <f>+'Sch 140'!I16</f>
        <v>4225</v>
      </c>
      <c r="N12" s="403">
        <f>+'Sch 141'!I16</f>
        <v>0</v>
      </c>
      <c r="O12" s="403">
        <f>+'Sch 141X'!K16</f>
        <v>1161</v>
      </c>
      <c r="P12" s="403">
        <f>+'Sch 141Z'!I16</f>
        <v>-1057</v>
      </c>
      <c r="Q12" s="403">
        <f>+'Sch 142'!T16</f>
        <v>4978</v>
      </c>
      <c r="R12" s="403">
        <f>+'Sch 142'!O16</f>
        <v>545</v>
      </c>
      <c r="S12" s="403">
        <f>+'Sch 194'!I16</f>
        <v>-117</v>
      </c>
      <c r="T12" s="403">
        <f t="shared" si="1"/>
        <v>28348</v>
      </c>
      <c r="U12" s="403">
        <f t="shared" si="2"/>
        <v>180649.46195413478</v>
      </c>
      <c r="V12" s="412"/>
      <c r="W12" s="412">
        <f t="shared" si="3"/>
        <v>-6021</v>
      </c>
      <c r="X12" s="412">
        <f t="shared" si="4"/>
        <v>-4261</v>
      </c>
      <c r="Y12" s="412">
        <f t="shared" si="5"/>
        <v>-1230</v>
      </c>
      <c r="Z12" s="412">
        <f t="shared" si="6"/>
        <v>-1161</v>
      </c>
      <c r="AA12" s="412">
        <f t="shared" si="7"/>
        <v>-545</v>
      </c>
      <c r="AB12" s="412"/>
      <c r="AC12" s="403">
        <f>+'Sch 95 PCORC'!L16</f>
        <v>0</v>
      </c>
      <c r="AD12" s="403">
        <f>+'Sch 95 Imbalance'!L16</f>
        <v>0</v>
      </c>
      <c r="AE12" s="718">
        <f>+'Sch 139'!T16</f>
        <v>-360</v>
      </c>
      <c r="AF12" s="718">
        <f>SUM('Sch 141A'!L15:L16)</f>
        <v>2732</v>
      </c>
      <c r="AG12" s="403">
        <f>SUM('Sch 141C'!L15:L16)</f>
        <v>3929</v>
      </c>
      <c r="AH12" s="718">
        <f>SUM('Sch 141N'!N15:N16)</f>
        <v>16440</v>
      </c>
      <c r="AI12" s="403">
        <f>SUM('Sch 141R'!N15:N16)</f>
        <v>3085</v>
      </c>
      <c r="AJ12" s="403">
        <f>+'Sch 141X'!L16</f>
        <v>0</v>
      </c>
      <c r="AK12" s="403">
        <f>+'Sch 142'!P16</f>
        <v>0</v>
      </c>
      <c r="AL12" s="403">
        <f t="shared" si="8"/>
        <v>12608</v>
      </c>
      <c r="AM12" s="403">
        <f t="shared" si="9"/>
        <v>193257.46195413478</v>
      </c>
      <c r="AN12" s="435">
        <f t="shared" si="10"/>
        <v>6.979262414410653E-2</v>
      </c>
      <c r="AO12" s="435"/>
      <c r="AQ12" s="402"/>
    </row>
    <row r="13" spans="1:43">
      <c r="A13" s="386">
        <f t="shared" si="11"/>
        <v>5</v>
      </c>
      <c r="B13" s="434" t="s">
        <v>571</v>
      </c>
      <c r="C13" s="434">
        <v>29</v>
      </c>
      <c r="D13" s="388">
        <f>'[1]Exhibit No.__(BDJ-MYRP-SUM)'!K18</f>
        <v>15100.966499999999</v>
      </c>
      <c r="E13" s="403">
        <f>'[1]Exhibit No.__(BDJ-MYRP-SUM)'!M18</f>
        <v>1289.3176238074652</v>
      </c>
      <c r="F13" s="403">
        <f>+'Sch 95 PCORC'!K17</f>
        <v>55</v>
      </c>
      <c r="G13" s="403">
        <f>+'Sch 95 Imbalance'!K17</f>
        <v>28</v>
      </c>
      <c r="H13" s="403">
        <f>+'Sch 95a'!I17</f>
        <v>-18</v>
      </c>
      <c r="I13" s="403">
        <f>+'Sch 120'!I17</f>
        <v>52</v>
      </c>
      <c r="J13" s="403">
        <f>+'Sch 129'!I17</f>
        <v>16</v>
      </c>
      <c r="K13" s="403">
        <f>+'Sch 137'!I17</f>
        <v>0</v>
      </c>
      <c r="L13" s="403">
        <f>+'Sch 139'!O17</f>
        <v>0</v>
      </c>
      <c r="M13" s="403">
        <f>+'Sch 140'!I17</f>
        <v>37</v>
      </c>
      <c r="N13" s="403">
        <f>+'Sch 141'!I17</f>
        <v>0</v>
      </c>
      <c r="O13" s="403">
        <f>+'Sch 141X'!K17</f>
        <v>11</v>
      </c>
      <c r="P13" s="403">
        <f>+'Sch 141Z'!I17</f>
        <v>-10</v>
      </c>
      <c r="Q13" s="403">
        <f>+'Sch 142'!T17</f>
        <v>45</v>
      </c>
      <c r="R13" s="403">
        <f>+'Sch 142'!O17</f>
        <v>-1</v>
      </c>
      <c r="S13" s="403">
        <f>+'Sch 194'!I17</f>
        <v>-101</v>
      </c>
      <c r="T13" s="403">
        <f t="shared" si="1"/>
        <v>114</v>
      </c>
      <c r="U13" s="403">
        <f t="shared" si="2"/>
        <v>1403.3176238074652</v>
      </c>
      <c r="V13" s="412"/>
      <c r="W13" s="412">
        <f t="shared" si="3"/>
        <v>-55</v>
      </c>
      <c r="X13" s="412">
        <f t="shared" si="4"/>
        <v>-28</v>
      </c>
      <c r="Y13" s="412">
        <f t="shared" si="5"/>
        <v>0</v>
      </c>
      <c r="Z13" s="412">
        <f t="shared" si="6"/>
        <v>-11</v>
      </c>
      <c r="AA13" s="412">
        <f t="shared" si="7"/>
        <v>1</v>
      </c>
      <c r="AB13" s="412"/>
      <c r="AC13" s="403">
        <f>+'Sch 95 PCORC'!L17</f>
        <v>0</v>
      </c>
      <c r="AD13" s="403">
        <f>+'Sch 95 Imbalance'!L17</f>
        <v>0</v>
      </c>
      <c r="AE13" s="718">
        <f>+'Sch 139'!T17</f>
        <v>0</v>
      </c>
      <c r="AF13" s="718">
        <f>+'Sch 141A'!L17</f>
        <v>26</v>
      </c>
      <c r="AG13" s="403">
        <f>+'Sch 141C'!L17</f>
        <v>36</v>
      </c>
      <c r="AH13" s="718">
        <f>+'Sch 141N'!N17</f>
        <v>155</v>
      </c>
      <c r="AI13" s="403">
        <f>+'Sch 141R'!N17</f>
        <v>29</v>
      </c>
      <c r="AJ13" s="403">
        <f>+'Sch 141X'!L17</f>
        <v>0</v>
      </c>
      <c r="AK13" s="403">
        <f>+'Sch 142'!P17</f>
        <v>0</v>
      </c>
      <c r="AL13" s="403">
        <f t="shared" si="8"/>
        <v>153</v>
      </c>
      <c r="AM13" s="403">
        <f t="shared" si="9"/>
        <v>1556.3176238074652</v>
      </c>
      <c r="AN13" s="435">
        <f t="shared" si="10"/>
        <v>0.1090273487657642</v>
      </c>
      <c r="AO13" s="435"/>
      <c r="AQ13" s="402"/>
    </row>
    <row r="14" spans="1:43">
      <c r="A14" s="386">
        <f t="shared" si="11"/>
        <v>6</v>
      </c>
      <c r="B14" s="391" t="s">
        <v>572</v>
      </c>
      <c r="C14" s="434" t="s">
        <v>64</v>
      </c>
      <c r="D14" s="388">
        <f>'[1]Exhibit No.__(BDJ-MYRP-SUM)'!K19</f>
        <v>1332008</v>
      </c>
      <c r="E14" s="403">
        <f>'[1]Exhibit No.__(BDJ-MYRP-SUM)'!M19</f>
        <v>109785.98767578442</v>
      </c>
      <c r="F14" s="403">
        <f>+'Sch 95 PCORC'!K21</f>
        <v>4214</v>
      </c>
      <c r="G14" s="403">
        <f>+'Sch 95 Imbalance'!K21</f>
        <v>2836</v>
      </c>
      <c r="H14" s="403">
        <f>+'Sch 95a'!I21</f>
        <v>-1790</v>
      </c>
      <c r="I14" s="403">
        <f>+'Sch 120'!I21</f>
        <v>5091</v>
      </c>
      <c r="J14" s="403">
        <f>+'Sch 129'!I21</f>
        <v>1475</v>
      </c>
      <c r="K14" s="403">
        <f>+'Sch 137'!I21</f>
        <v>-27</v>
      </c>
      <c r="L14" s="403">
        <f>+'Sch 139'!O21</f>
        <v>546</v>
      </c>
      <c r="M14" s="403">
        <f>+'Sch 140'!I21</f>
        <v>2960</v>
      </c>
      <c r="N14" s="403">
        <f>+'Sch 141'!I21</f>
        <v>0</v>
      </c>
      <c r="O14" s="403">
        <f>+'Sch 141X'!K21</f>
        <v>850</v>
      </c>
      <c r="P14" s="403">
        <f>+'Sch 141Z'!I21</f>
        <v>-786</v>
      </c>
      <c r="Q14" s="403">
        <f>+'Sch 142'!T21</f>
        <v>3620</v>
      </c>
      <c r="R14" s="403">
        <f>+'Sch 142'!O21</f>
        <v>1152</v>
      </c>
      <c r="S14" s="403">
        <f>+'Sch 194'!I21</f>
        <v>-186</v>
      </c>
      <c r="T14" s="403">
        <f t="shared" si="1"/>
        <v>19955</v>
      </c>
      <c r="U14" s="403">
        <f t="shared" si="2"/>
        <v>129740.98767578442</v>
      </c>
      <c r="V14" s="412"/>
      <c r="W14" s="412">
        <f t="shared" si="3"/>
        <v>-4214</v>
      </c>
      <c r="X14" s="412">
        <f t="shared" si="4"/>
        <v>-2836</v>
      </c>
      <c r="Y14" s="412">
        <f t="shared" si="5"/>
        <v>-546</v>
      </c>
      <c r="Z14" s="412">
        <f t="shared" si="6"/>
        <v>-850</v>
      </c>
      <c r="AA14" s="412">
        <f t="shared" si="7"/>
        <v>-1152</v>
      </c>
      <c r="AB14" s="412"/>
      <c r="AC14" s="403">
        <f>+'Sch 95 PCORC'!L21</f>
        <v>0</v>
      </c>
      <c r="AD14" s="403">
        <f>+'Sch 95 Imbalance'!L21</f>
        <v>0</v>
      </c>
      <c r="AE14" s="718">
        <f>+'Sch 139'!T21</f>
        <v>-164</v>
      </c>
      <c r="AF14" s="718">
        <f>SUM('Sch 141A'!L20:L21)</f>
        <v>2031</v>
      </c>
      <c r="AG14" s="403">
        <f>SUM('Sch 141C'!L20:L21)</f>
        <v>2755</v>
      </c>
      <c r="AH14" s="718">
        <f>SUM('Sch 141N'!N20:N21)</f>
        <v>11608</v>
      </c>
      <c r="AI14" s="403">
        <f>SUM('Sch 141R'!N20:N21)</f>
        <v>2163</v>
      </c>
      <c r="AJ14" s="403">
        <f>+'Sch 141X'!L21</f>
        <v>0</v>
      </c>
      <c r="AK14" s="403">
        <f>+'Sch 142'!P21</f>
        <v>0</v>
      </c>
      <c r="AL14" s="403">
        <f t="shared" si="8"/>
        <v>8795</v>
      </c>
      <c r="AM14" s="403">
        <f t="shared" ref="AM14:AM16" si="12">SUM(U14,AL14)</f>
        <v>138535.98767578442</v>
      </c>
      <c r="AN14" s="435">
        <f t="shared" ref="AN14:AN16" si="13">AL14/U14</f>
        <v>6.7788908945091583E-2</v>
      </c>
      <c r="AO14" s="435"/>
      <c r="AQ14" s="402"/>
    </row>
    <row r="15" spans="1:43">
      <c r="A15" s="386">
        <f t="shared" si="11"/>
        <v>7</v>
      </c>
      <c r="B15" s="391" t="s">
        <v>573</v>
      </c>
      <c r="C15" s="434">
        <v>35</v>
      </c>
      <c r="D15" s="388">
        <f>'[1]Exhibit No.__(BDJ-MYRP-SUM)'!K20</f>
        <v>4663</v>
      </c>
      <c r="E15" s="403">
        <f>'[1]Exhibit No.__(BDJ-MYRP-SUM)'!M20</f>
        <v>291.0139698738783</v>
      </c>
      <c r="F15" s="403">
        <f>+'Sch 95 PCORC'!K22</f>
        <v>8</v>
      </c>
      <c r="G15" s="403">
        <f>+'Sch 95 Imbalance'!K22</f>
        <v>7</v>
      </c>
      <c r="H15" s="403">
        <f>+'Sch 95a'!I22</f>
        <v>-5</v>
      </c>
      <c r="I15" s="403">
        <f>+'Sch 120'!I22</f>
        <v>13</v>
      </c>
      <c r="J15" s="403">
        <f>+'Sch 129'!I22</f>
        <v>4</v>
      </c>
      <c r="K15" s="403">
        <f>+'Sch 137'!I22</f>
        <v>0</v>
      </c>
      <c r="L15" s="403">
        <f>+'Sch 139'!O22</f>
        <v>0</v>
      </c>
      <c r="M15" s="403">
        <f>+'Sch 140'!I22</f>
        <v>10</v>
      </c>
      <c r="N15" s="403">
        <f>+'Sch 141'!I22</f>
        <v>0</v>
      </c>
      <c r="O15" s="403">
        <f>+'Sch 141X'!K22</f>
        <v>5</v>
      </c>
      <c r="P15" s="403">
        <f>+'Sch 141Z'!I22</f>
        <v>-5</v>
      </c>
      <c r="Q15" s="403">
        <f>+'Sch 142'!T22</f>
        <v>14</v>
      </c>
      <c r="R15" s="403">
        <f>+'Sch 142'!O22</f>
        <v>0</v>
      </c>
      <c r="S15" s="403">
        <f>+'Sch 194'!I22</f>
        <v>-31</v>
      </c>
      <c r="T15" s="403">
        <f t="shared" si="1"/>
        <v>20</v>
      </c>
      <c r="U15" s="403">
        <f t="shared" si="2"/>
        <v>311.0139698738783</v>
      </c>
      <c r="V15" s="412"/>
      <c r="W15" s="412">
        <f t="shared" si="3"/>
        <v>-8</v>
      </c>
      <c r="X15" s="412">
        <f t="shared" si="4"/>
        <v>-7</v>
      </c>
      <c r="Y15" s="412">
        <f t="shared" si="5"/>
        <v>0</v>
      </c>
      <c r="Z15" s="412">
        <f t="shared" si="6"/>
        <v>-5</v>
      </c>
      <c r="AA15" s="412">
        <f t="shared" si="7"/>
        <v>0</v>
      </c>
      <c r="AB15" s="412"/>
      <c r="AC15" s="403">
        <f>+'Sch 95 PCORC'!L22</f>
        <v>0</v>
      </c>
      <c r="AD15" s="403">
        <f>+'Sch 95 Imbalance'!L22</f>
        <v>0</v>
      </c>
      <c r="AE15" s="718">
        <f>+'Sch 139'!T22</f>
        <v>0</v>
      </c>
      <c r="AF15" s="718">
        <f>+'Sch 141A'!L22</f>
        <v>7</v>
      </c>
      <c r="AG15" s="403">
        <f>+'Sch 141C'!L22</f>
        <v>7</v>
      </c>
      <c r="AH15" s="718">
        <f>+'Sch 141N'!N22</f>
        <v>57</v>
      </c>
      <c r="AI15" s="403">
        <f>+'Sch 141R'!N22</f>
        <v>11</v>
      </c>
      <c r="AJ15" s="403">
        <f>+'Sch 141X'!L22</f>
        <v>0</v>
      </c>
      <c r="AK15" s="403">
        <f>+'Sch 142'!P22</f>
        <v>0</v>
      </c>
      <c r="AL15" s="403">
        <f t="shared" si="8"/>
        <v>62</v>
      </c>
      <c r="AM15" s="403">
        <f t="shared" si="12"/>
        <v>373.0139698738783</v>
      </c>
      <c r="AN15" s="435">
        <f t="shared" si="13"/>
        <v>0.19934795863073965</v>
      </c>
      <c r="AO15" s="435"/>
      <c r="AQ15" s="402"/>
    </row>
    <row r="16" spans="1:43">
      <c r="A16" s="386">
        <f t="shared" si="11"/>
        <v>8</v>
      </c>
      <c r="B16" s="434" t="s">
        <v>574</v>
      </c>
      <c r="C16" s="434">
        <v>43</v>
      </c>
      <c r="D16" s="388">
        <f>'[1]Exhibit No.__(BDJ-MYRP-SUM)'!K21</f>
        <v>118190</v>
      </c>
      <c r="E16" s="403">
        <f>'[1]Exhibit No.__(BDJ-MYRP-SUM)'!M21</f>
        <v>10549.343496430141</v>
      </c>
      <c r="F16" s="403">
        <f>+'Sch 95 PCORC'!K23</f>
        <v>296</v>
      </c>
      <c r="G16" s="403">
        <f>+'Sch 95 Imbalance'!K23</f>
        <v>201</v>
      </c>
      <c r="H16" s="403">
        <f>+'Sch 95a'!I23</f>
        <v>-126</v>
      </c>
      <c r="I16" s="403">
        <f>+'Sch 120'!I23</f>
        <v>362</v>
      </c>
      <c r="J16" s="403">
        <f>+'Sch 129'!I23</f>
        <v>137</v>
      </c>
      <c r="K16" s="403">
        <f>+'Sch 137'!I23</f>
        <v>-2</v>
      </c>
      <c r="L16" s="403">
        <f>+'Sch 139'!O23</f>
        <v>39</v>
      </c>
      <c r="M16" s="403">
        <f>+'Sch 140'!I23</f>
        <v>361</v>
      </c>
      <c r="N16" s="403">
        <f>+'Sch 141'!I23</f>
        <v>0</v>
      </c>
      <c r="O16" s="403">
        <f>+'Sch 141X'!K23</f>
        <v>103</v>
      </c>
      <c r="P16" s="403">
        <f>+'Sch 141Z'!I23</f>
        <v>-96</v>
      </c>
      <c r="Q16" s="403">
        <f>+'Sch 142'!T23</f>
        <v>349</v>
      </c>
      <c r="R16" s="403">
        <f>+'Sch 142'!O23</f>
        <v>-7</v>
      </c>
      <c r="S16" s="403">
        <f>+'Sch 194'!I23</f>
        <v>0</v>
      </c>
      <c r="T16" s="403">
        <f t="shared" si="1"/>
        <v>1617</v>
      </c>
      <c r="U16" s="403">
        <f t="shared" si="2"/>
        <v>12166.343496430141</v>
      </c>
      <c r="V16" s="412"/>
      <c r="W16" s="412">
        <f t="shared" si="3"/>
        <v>-296</v>
      </c>
      <c r="X16" s="412">
        <f t="shared" si="4"/>
        <v>-201</v>
      </c>
      <c r="Y16" s="412">
        <f t="shared" si="5"/>
        <v>-39</v>
      </c>
      <c r="Z16" s="412">
        <f t="shared" si="6"/>
        <v>-103</v>
      </c>
      <c r="AA16" s="412">
        <f t="shared" si="7"/>
        <v>7</v>
      </c>
      <c r="AB16" s="412"/>
      <c r="AC16" s="403">
        <f>+'Sch 95 PCORC'!L23</f>
        <v>0</v>
      </c>
      <c r="AD16" s="403">
        <f>+'Sch 95 Imbalance'!L23</f>
        <v>0</v>
      </c>
      <c r="AE16" s="718">
        <f>+'Sch 139'!T23</f>
        <v>-10</v>
      </c>
      <c r="AF16" s="718">
        <f>+'Sch 141A'!L23</f>
        <v>177</v>
      </c>
      <c r="AG16" s="403">
        <f>+'Sch 141C'!L23</f>
        <v>52</v>
      </c>
      <c r="AH16" s="718">
        <f>+'Sch 141N'!N23</f>
        <v>930</v>
      </c>
      <c r="AI16" s="403">
        <f>+'Sch 141R'!N23</f>
        <v>174</v>
      </c>
      <c r="AJ16" s="403">
        <f>+'Sch 141X'!L23</f>
        <v>0</v>
      </c>
      <c r="AK16" s="403">
        <f>+'Sch 142'!P23</f>
        <v>0</v>
      </c>
      <c r="AL16" s="403">
        <f t="shared" si="8"/>
        <v>691</v>
      </c>
      <c r="AM16" s="403">
        <f t="shared" si="12"/>
        <v>12857.343496430141</v>
      </c>
      <c r="AN16" s="435">
        <f t="shared" si="13"/>
        <v>5.6796029160507737E-2</v>
      </c>
      <c r="AO16" s="435"/>
      <c r="AQ16" s="402"/>
    </row>
    <row r="17" spans="1:43">
      <c r="A17" s="386">
        <f t="shared" si="11"/>
        <v>9</v>
      </c>
      <c r="B17" s="434" t="s">
        <v>575</v>
      </c>
      <c r="C17" s="434">
        <v>46</v>
      </c>
      <c r="D17" s="388">
        <f>'[1]Exhibit No.__(BDJ-MYRP-SUM)'!K22</f>
        <v>89530.525500000018</v>
      </c>
      <c r="E17" s="403">
        <f>'[1]Exhibit No.__(BDJ-MYRP-SUM)'!M22</f>
        <v>5651.2620767610006</v>
      </c>
      <c r="F17" s="403">
        <f>+'Sch 95 PCORC'!K26</f>
        <v>200</v>
      </c>
      <c r="G17" s="403">
        <f>+'Sch 95 Imbalance'!K26</f>
        <v>163</v>
      </c>
      <c r="H17" s="403">
        <f>+'Sch 95a'!I26</f>
        <v>-87</v>
      </c>
      <c r="I17" s="403">
        <f>+'Sch 120'!I26</f>
        <v>319</v>
      </c>
      <c r="J17" s="403">
        <f>+'Sch 129'!I26</f>
        <v>77</v>
      </c>
      <c r="K17" s="403">
        <f>+'Sch 137'!I26</f>
        <v>-1</v>
      </c>
      <c r="L17" s="403">
        <f>+'Sch 139'!O26</f>
        <v>60</v>
      </c>
      <c r="M17" s="403">
        <f>+'Sch 140'!I26</f>
        <v>149</v>
      </c>
      <c r="N17" s="403">
        <f>+'Sch 141'!I26</f>
        <v>0</v>
      </c>
      <c r="O17" s="403">
        <f>+'Sch 141X'!K26</f>
        <v>43</v>
      </c>
      <c r="P17" s="403">
        <f>+'Sch 141Z'!I26</f>
        <v>-40</v>
      </c>
      <c r="Q17" s="403">
        <f>+'Sch 142'!T26</f>
        <v>0</v>
      </c>
      <c r="R17" s="403">
        <f>+'Sch 142'!O26</f>
        <v>0</v>
      </c>
      <c r="S17" s="403">
        <f>+'Sch 194'!I28</f>
        <v>0</v>
      </c>
      <c r="T17" s="403">
        <f t="shared" si="1"/>
        <v>883</v>
      </c>
      <c r="U17" s="403">
        <f t="shared" si="2"/>
        <v>6534.2620767610006</v>
      </c>
      <c r="V17" s="412"/>
      <c r="W17" s="412">
        <f t="shared" si="3"/>
        <v>-200</v>
      </c>
      <c r="X17" s="412">
        <f t="shared" si="4"/>
        <v>-163</v>
      </c>
      <c r="Y17" s="412">
        <f t="shared" si="5"/>
        <v>-60</v>
      </c>
      <c r="Z17" s="412">
        <f t="shared" si="6"/>
        <v>-43</v>
      </c>
      <c r="AA17" s="412">
        <f t="shared" si="7"/>
        <v>0</v>
      </c>
      <c r="AB17" s="412"/>
      <c r="AC17" s="403">
        <f>+'Sch 95 PCORC'!L26</f>
        <v>0</v>
      </c>
      <c r="AD17" s="403">
        <f>+'Sch 95 Imbalance'!L26</f>
        <v>0</v>
      </c>
      <c r="AE17" s="718">
        <f>+'Sch 139'!T26</f>
        <v>-25</v>
      </c>
      <c r="AF17" s="718">
        <f>+'Sch 141A'!L26</f>
        <v>116</v>
      </c>
      <c r="AG17" s="403">
        <f>+'Sch 141C'!L26</f>
        <v>47</v>
      </c>
      <c r="AH17" s="718">
        <f>+'Sch 141N'!N26</f>
        <v>424</v>
      </c>
      <c r="AI17" s="403">
        <f>+'Sch 141R'!N26</f>
        <v>78</v>
      </c>
      <c r="AJ17" s="403">
        <f>+'Sch 141X'!L26</f>
        <v>0</v>
      </c>
      <c r="AK17" s="403">
        <f>+'Sch 142'!P26</f>
        <v>0</v>
      </c>
      <c r="AL17" s="403">
        <f t="shared" si="8"/>
        <v>174</v>
      </c>
      <c r="AM17" s="403">
        <f t="shared" ref="AM17:AM18" si="14">SUM(U17,AL17)</f>
        <v>6708.2620767610006</v>
      </c>
      <c r="AN17" s="435">
        <f t="shared" ref="AN17:AN18" si="15">AL17/U17</f>
        <v>2.6628867645028847E-2</v>
      </c>
      <c r="AO17" s="435"/>
      <c r="AQ17" s="402"/>
    </row>
    <row r="18" spans="1:43">
      <c r="A18" s="386">
        <f t="shared" si="11"/>
        <v>10</v>
      </c>
      <c r="B18" s="391" t="s">
        <v>576</v>
      </c>
      <c r="C18" s="434">
        <v>49</v>
      </c>
      <c r="D18" s="388">
        <f>'[1]Exhibit No.__(BDJ-MYRP-SUM)'!K23</f>
        <v>504715</v>
      </c>
      <c r="E18" s="403">
        <f>'[1]Exhibit No.__(BDJ-MYRP-SUM)'!M23</f>
        <v>32482.966635176566</v>
      </c>
      <c r="F18" s="403">
        <f>+'Sch 95 PCORC'!K27</f>
        <v>1402</v>
      </c>
      <c r="G18" s="403">
        <f>+'Sch 95 Imbalance'!K27</f>
        <v>993</v>
      </c>
      <c r="H18" s="403">
        <f>+'Sch 95a'!I27</f>
        <v>-657</v>
      </c>
      <c r="I18" s="403">
        <f>+'Sch 120'!I27</f>
        <v>1761</v>
      </c>
      <c r="J18" s="403">
        <f>+'Sch 129'!I27</f>
        <v>428</v>
      </c>
      <c r="K18" s="403">
        <f>+'Sch 137'!I27</f>
        <v>-10</v>
      </c>
      <c r="L18" s="403">
        <f>+'Sch 139'!O27</f>
        <v>635</v>
      </c>
      <c r="M18" s="403">
        <f>+'Sch 140'!I27</f>
        <v>842</v>
      </c>
      <c r="N18" s="403">
        <f>+'Sch 141'!I27</f>
        <v>0</v>
      </c>
      <c r="O18" s="403">
        <f>+'Sch 141X'!K27</f>
        <v>244</v>
      </c>
      <c r="P18" s="403">
        <f>+'Sch 141Z'!I27</f>
        <v>-227</v>
      </c>
      <c r="Q18" s="403">
        <f>+'Sch 142'!T27</f>
        <v>0</v>
      </c>
      <c r="R18" s="403">
        <f>+'Sch 142'!O27</f>
        <v>0</v>
      </c>
      <c r="S18" s="403">
        <f>+'Sch 194'!I29</f>
        <v>0</v>
      </c>
      <c r="T18" s="403">
        <f t="shared" si="1"/>
        <v>5411</v>
      </c>
      <c r="U18" s="403">
        <f t="shared" si="2"/>
        <v>37893.966635176563</v>
      </c>
      <c r="V18" s="412"/>
      <c r="W18" s="412">
        <f t="shared" si="3"/>
        <v>-1402</v>
      </c>
      <c r="X18" s="412">
        <f t="shared" si="4"/>
        <v>-993</v>
      </c>
      <c r="Y18" s="412">
        <f t="shared" si="5"/>
        <v>-635</v>
      </c>
      <c r="Z18" s="412">
        <f t="shared" si="6"/>
        <v>-244</v>
      </c>
      <c r="AA18" s="412">
        <f t="shared" si="7"/>
        <v>0</v>
      </c>
      <c r="AB18" s="412"/>
      <c r="AC18" s="403">
        <f>+'Sch 95 PCORC'!L27</f>
        <v>0</v>
      </c>
      <c r="AD18" s="403">
        <f>+'Sch 95 Imbalance'!L27</f>
        <v>0</v>
      </c>
      <c r="AE18" s="718">
        <f>+'Sch 139'!T27</f>
        <v>-194</v>
      </c>
      <c r="AF18" s="718">
        <f>+'Sch 141A'!L27</f>
        <v>657</v>
      </c>
      <c r="AG18" s="403">
        <f>+'Sch 141C'!L27</f>
        <v>966</v>
      </c>
      <c r="AH18" s="718">
        <f>+'Sch 141N'!N27</f>
        <v>2393</v>
      </c>
      <c r="AI18" s="403">
        <f>+'Sch 141R'!N27</f>
        <v>449</v>
      </c>
      <c r="AJ18" s="403">
        <f>+'Sch 141X'!L27</f>
        <v>0</v>
      </c>
      <c r="AK18" s="403">
        <f>+'Sch 142'!P27</f>
        <v>0</v>
      </c>
      <c r="AL18" s="403">
        <f t="shared" si="8"/>
        <v>997</v>
      </c>
      <c r="AM18" s="403">
        <f t="shared" si="14"/>
        <v>38890.966635176563</v>
      </c>
      <c r="AN18" s="435">
        <f t="shared" si="15"/>
        <v>2.6310256975697433E-2</v>
      </c>
      <c r="AO18" s="435"/>
      <c r="AQ18" s="402"/>
    </row>
    <row r="19" spans="1:43">
      <c r="A19" s="386">
        <f t="shared" si="11"/>
        <v>11</v>
      </c>
      <c r="B19" s="434" t="s">
        <v>577</v>
      </c>
      <c r="C19" s="434" t="s">
        <v>16</v>
      </c>
      <c r="D19" s="388">
        <f>'[1]Exhibit No.__(BDJ-MYRP-SUM)'!K24</f>
        <v>62703</v>
      </c>
      <c r="E19" s="403">
        <f>'[1]Exhibit No.__(BDJ-MYRP-SUM)'!M24</f>
        <v>15647.193687819938</v>
      </c>
      <c r="F19" s="403">
        <f>+'Sch 95 PCORC'!K30</f>
        <v>190</v>
      </c>
      <c r="G19" s="403">
        <f>+'Sch 95 Imbalance'!K30</f>
        <v>134</v>
      </c>
      <c r="H19" s="403">
        <f>+'Sch 95a'!I30</f>
        <v>-85</v>
      </c>
      <c r="I19" s="403">
        <f>+'Sch 120'!I30</f>
        <v>226</v>
      </c>
      <c r="J19" s="403">
        <f>+'Sch 129'!I30</f>
        <v>185</v>
      </c>
      <c r="K19" s="403">
        <f>+'Sch 137'!I30</f>
        <v>-1</v>
      </c>
      <c r="L19" s="403">
        <f>+'Sch 139'!O30</f>
        <v>0</v>
      </c>
      <c r="M19" s="403">
        <f>+'Sch 140'!I30</f>
        <v>583</v>
      </c>
      <c r="N19" s="403">
        <f>+'Sch 141'!I30</f>
        <v>0</v>
      </c>
      <c r="O19" s="403">
        <f>+'Sch 141X'!K30</f>
        <v>171</v>
      </c>
      <c r="P19" s="403">
        <f>+'Sch 141Z'!I30</f>
        <v>-157</v>
      </c>
      <c r="Q19" s="403">
        <f>+'Sch 142'!T30</f>
        <v>0</v>
      </c>
      <c r="R19" s="403">
        <f>+'Sch 142'!O30</f>
        <v>0</v>
      </c>
      <c r="S19" s="403">
        <f>+'Sch 194'!I32</f>
        <v>0</v>
      </c>
      <c r="T19" s="403">
        <f t="shared" si="1"/>
        <v>1246</v>
      </c>
      <c r="U19" s="403">
        <f t="shared" si="2"/>
        <v>16893.193687819938</v>
      </c>
      <c r="V19" s="412"/>
      <c r="W19" s="412">
        <f t="shared" si="3"/>
        <v>-190</v>
      </c>
      <c r="X19" s="412">
        <f t="shared" si="4"/>
        <v>-134</v>
      </c>
      <c r="Y19" s="412">
        <f t="shared" si="5"/>
        <v>0</v>
      </c>
      <c r="Z19" s="412">
        <f t="shared" si="6"/>
        <v>-171</v>
      </c>
      <c r="AA19" s="412">
        <f t="shared" si="7"/>
        <v>0</v>
      </c>
      <c r="AB19" s="412"/>
      <c r="AC19" s="403">
        <f>+'Sch 95 PCORC'!L30</f>
        <v>0</v>
      </c>
      <c r="AD19" s="403">
        <f>+'Sch 95 Imbalance'!L30</f>
        <v>0</v>
      </c>
      <c r="AE19" s="718">
        <f>+'Sch 139'!T30</f>
        <v>0</v>
      </c>
      <c r="AF19" s="718">
        <f>+'Sch 141A'!L30</f>
        <v>124</v>
      </c>
      <c r="AG19" s="403">
        <f>+'Sch 141C'!L30</f>
        <v>77</v>
      </c>
      <c r="AH19" s="718">
        <f>+'Sch 141N'!N30</f>
        <v>2792</v>
      </c>
      <c r="AI19" s="403">
        <f>+'Sch 141R'!N30</f>
        <v>522</v>
      </c>
      <c r="AJ19" s="403">
        <f>+'Sch 141X'!L30</f>
        <v>0</v>
      </c>
      <c r="AK19" s="403">
        <f>+'Sch 142'!P30</f>
        <v>0</v>
      </c>
      <c r="AL19" s="403">
        <f t="shared" si="8"/>
        <v>3020</v>
      </c>
      <c r="AM19" s="403">
        <f>SUM(U19,AL19)</f>
        <v>19913.193687819938</v>
      </c>
      <c r="AN19" s="435">
        <f>AL19/U19</f>
        <v>0.17877022283698982</v>
      </c>
      <c r="AO19" s="435"/>
      <c r="AQ19" s="402"/>
    </row>
    <row r="20" spans="1:43">
      <c r="A20" s="386">
        <f t="shared" si="11"/>
        <v>12</v>
      </c>
      <c r="B20" s="434" t="s">
        <v>112</v>
      </c>
      <c r="C20" s="434" t="s">
        <v>17</v>
      </c>
      <c r="D20" s="388">
        <f>'[1]Exhibit No.__(BDJ-MYRP-SUM)'!K25</f>
        <v>1895530</v>
      </c>
      <c r="E20" s="403">
        <f>'[1]Exhibit No.__(BDJ-MYRP-SUM)'!M25</f>
        <v>9224.3709999999992</v>
      </c>
      <c r="F20" s="403">
        <f>+'Sch 95 PCORC'!K32</f>
        <v>0</v>
      </c>
      <c r="G20" s="403">
        <f>+'Sch 95 Imbalance'!K32</f>
        <v>0</v>
      </c>
      <c r="H20" s="403">
        <f>+'Sch 95a'!I32</f>
        <v>0</v>
      </c>
      <c r="I20" s="403">
        <f>+'Sch 120'!I32</f>
        <v>1985</v>
      </c>
      <c r="J20" s="403">
        <f>+'Sch 129'!I32</f>
        <v>114</v>
      </c>
      <c r="K20" s="403">
        <f>+'Sch 137'!I32</f>
        <v>0</v>
      </c>
      <c r="L20" s="403">
        <f>+'Sch 139'!O32</f>
        <v>0</v>
      </c>
      <c r="M20" s="403">
        <f>+'Sch 140'!I32</f>
        <v>42</v>
      </c>
      <c r="N20" s="403">
        <f>+'Sch 141'!I32</f>
        <v>0</v>
      </c>
      <c r="O20" s="403">
        <f>+'Sch 141X'!K32</f>
        <v>10</v>
      </c>
      <c r="P20" s="403">
        <f>+'Sch 141Z'!I32</f>
        <v>-9</v>
      </c>
      <c r="Q20" s="403">
        <f>+'Sch 142'!T32</f>
        <v>0</v>
      </c>
      <c r="R20" s="403">
        <f>+'Sch 142'!O32</f>
        <v>0</v>
      </c>
      <c r="S20" s="403">
        <f>+'Sch 194'!I34</f>
        <v>0</v>
      </c>
      <c r="T20" s="403">
        <f t="shared" si="1"/>
        <v>2142</v>
      </c>
      <c r="U20" s="403">
        <f t="shared" si="2"/>
        <v>11366.370999999999</v>
      </c>
      <c r="V20" s="412"/>
      <c r="W20" s="412">
        <f t="shared" si="3"/>
        <v>0</v>
      </c>
      <c r="X20" s="412">
        <f t="shared" si="4"/>
        <v>0</v>
      </c>
      <c r="Y20" s="412">
        <f t="shared" si="5"/>
        <v>0</v>
      </c>
      <c r="Z20" s="412">
        <f t="shared" si="6"/>
        <v>-10</v>
      </c>
      <c r="AA20" s="412">
        <f t="shared" si="7"/>
        <v>0</v>
      </c>
      <c r="AB20" s="412"/>
      <c r="AC20" s="403">
        <f>+'Sch 95 PCORC'!L32</f>
        <v>0</v>
      </c>
      <c r="AD20" s="403">
        <f>+'Sch 95 Imbalance'!L32</f>
        <v>0</v>
      </c>
      <c r="AE20" s="718">
        <f>+'Sch 139'!T32</f>
        <v>0</v>
      </c>
      <c r="AF20" s="718">
        <f>+'Sch 141A'!L32</f>
        <v>0</v>
      </c>
      <c r="AG20" s="403">
        <f>+'Sch 141C'!L32</f>
        <v>0</v>
      </c>
      <c r="AH20" s="718">
        <f>+'Sch 141N'!N32</f>
        <v>147.12</v>
      </c>
      <c r="AI20" s="403">
        <f>+'Sch 141R'!N32</f>
        <v>27.6</v>
      </c>
      <c r="AJ20" s="403">
        <f>+'Sch 141X'!L32</f>
        <v>0</v>
      </c>
      <c r="AK20" s="403">
        <f>+'Sch 142'!P32</f>
        <v>0</v>
      </c>
      <c r="AL20" s="403">
        <f t="shared" si="8"/>
        <v>164.72</v>
      </c>
      <c r="AM20" s="403">
        <f t="shared" ref="AM20:AM21" si="16">SUM(U20,AL20)</f>
        <v>11531.090999999999</v>
      </c>
      <c r="AN20" s="435">
        <f t="shared" ref="AN20:AN21" si="17">AL20/U20</f>
        <v>1.4491872559852218E-2</v>
      </c>
      <c r="AO20" s="435"/>
      <c r="AQ20" s="402"/>
    </row>
    <row r="21" spans="1:43">
      <c r="A21" s="386">
        <f t="shared" si="11"/>
        <v>13</v>
      </c>
      <c r="B21" s="434" t="s">
        <v>262</v>
      </c>
      <c r="C21" s="434" t="s">
        <v>262</v>
      </c>
      <c r="D21" s="388">
        <f>'[1]Exhibit No.__(BDJ-MYRP-SUM)'!K26</f>
        <v>289426</v>
      </c>
      <c r="E21" s="403">
        <f>'[1]Exhibit No.__(BDJ-MYRP-SUM)'!M26</f>
        <v>3569.3370262478393</v>
      </c>
      <c r="F21" s="403">
        <f>+'Sch 95 PCORC'!K33</f>
        <v>0</v>
      </c>
      <c r="G21" s="403">
        <f>+'Sch 95 Imbalance'!K33</f>
        <v>0</v>
      </c>
      <c r="H21" s="403">
        <f>+'Sch 95a'!I33</f>
        <v>0</v>
      </c>
      <c r="I21" s="403">
        <f>+'Sch 120'!I33</f>
        <v>658</v>
      </c>
      <c r="J21" s="403">
        <f>+'Sch 129'!I33</f>
        <v>178</v>
      </c>
      <c r="K21" s="403">
        <f>+'Sch 137'!I33</f>
        <v>0</v>
      </c>
      <c r="L21" s="403">
        <f>+'Sch 139'!O33</f>
        <v>0</v>
      </c>
      <c r="M21" s="403">
        <f>+'Sch 140'!I33</f>
        <v>140</v>
      </c>
      <c r="N21" s="403">
        <f>+'Sch 141'!I33</f>
        <v>0</v>
      </c>
      <c r="O21" s="403">
        <f>+'Sch 141X'!K33</f>
        <v>96</v>
      </c>
      <c r="P21" s="403">
        <f>+'Sch 141Z'!I33</f>
        <v>-81</v>
      </c>
      <c r="Q21" s="403">
        <f>+'Sch 142'!T33</f>
        <v>182</v>
      </c>
      <c r="R21" s="403">
        <f>+'Sch 142'!O33</f>
        <v>746</v>
      </c>
      <c r="S21" s="403">
        <f>+'Sch 194'!I35</f>
        <v>0</v>
      </c>
      <c r="T21" s="403">
        <f t="shared" si="1"/>
        <v>1919</v>
      </c>
      <c r="U21" s="403">
        <f t="shared" si="2"/>
        <v>5488.3370262478393</v>
      </c>
      <c r="V21" s="412"/>
      <c r="W21" s="412">
        <f t="shared" si="3"/>
        <v>0</v>
      </c>
      <c r="X21" s="412">
        <f t="shared" si="4"/>
        <v>0</v>
      </c>
      <c r="Y21" s="412">
        <f t="shared" si="5"/>
        <v>0</v>
      </c>
      <c r="Z21" s="412">
        <f t="shared" si="6"/>
        <v>-96</v>
      </c>
      <c r="AA21" s="412">
        <f t="shared" si="7"/>
        <v>-746</v>
      </c>
      <c r="AB21" s="412"/>
      <c r="AC21" s="403">
        <f>+'Sch 95 PCORC'!L33</f>
        <v>0</v>
      </c>
      <c r="AD21" s="403">
        <f>+'Sch 95 Imbalance'!L33</f>
        <v>0</v>
      </c>
      <c r="AE21" s="718">
        <f>+'Sch 139'!T33</f>
        <v>0</v>
      </c>
      <c r="AF21" s="718">
        <f>+'Sch 141A'!L33</f>
        <v>0</v>
      </c>
      <c r="AG21" s="403">
        <f>+'Sch 141C'!L33</f>
        <v>0</v>
      </c>
      <c r="AH21" s="718">
        <f>+'Sch 141N'!N33</f>
        <v>661</v>
      </c>
      <c r="AI21" s="403">
        <f>+'Sch 141R'!N33</f>
        <v>124</v>
      </c>
      <c r="AJ21" s="403">
        <f>+'Sch 141X'!L33</f>
        <v>0</v>
      </c>
      <c r="AK21" s="403">
        <f>+'Sch 142'!P33</f>
        <v>0</v>
      </c>
      <c r="AL21" s="403">
        <f t="shared" si="8"/>
        <v>-57</v>
      </c>
      <c r="AM21" s="403">
        <f t="shared" si="16"/>
        <v>5431.3370262478393</v>
      </c>
      <c r="AN21" s="435">
        <f t="shared" si="17"/>
        <v>-1.0385659577281584E-2</v>
      </c>
      <c r="AO21" s="435"/>
      <c r="AQ21" s="402"/>
    </row>
    <row r="22" spans="1:43">
      <c r="A22" s="386">
        <f t="shared" si="11"/>
        <v>14</v>
      </c>
      <c r="B22" s="434" t="s">
        <v>67</v>
      </c>
      <c r="C22" s="434">
        <v>5</v>
      </c>
      <c r="D22" s="388">
        <f>'[1]Exhibit No.__(BDJ-MYRP-SUM)'!K27</f>
        <v>7521</v>
      </c>
      <c r="E22" s="403">
        <f>'[1]Exhibit No.__(BDJ-MYRP-SUM)'!M27</f>
        <v>571.54096234227688</v>
      </c>
      <c r="F22" s="403">
        <f>+'Sch 95 PCORC'!K38</f>
        <v>24</v>
      </c>
      <c r="G22" s="403">
        <f>+'Sch 95 Imbalance'!K38</f>
        <v>15</v>
      </c>
      <c r="H22" s="403">
        <f>+'Sch 95a'!I38</f>
        <v>-10</v>
      </c>
      <c r="I22" s="403">
        <v>0</v>
      </c>
      <c r="J22" s="403">
        <v>0</v>
      </c>
      <c r="K22" s="403">
        <f>+'Sch 137'!I38</f>
        <v>0</v>
      </c>
      <c r="L22" s="403">
        <f>+'Sch 139'!O38</f>
        <v>0</v>
      </c>
      <c r="M22" s="403">
        <v>0</v>
      </c>
      <c r="N22" s="403">
        <f>+'Sch 141'!I38</f>
        <v>0</v>
      </c>
      <c r="O22" s="403">
        <f>+'Sch 141X'!K38</f>
        <v>5</v>
      </c>
      <c r="P22" s="403">
        <f>+'Sch 141Z'!I38</f>
        <v>-6</v>
      </c>
      <c r="Q22" s="403">
        <f>+'Sch 142'!T38</f>
        <v>0</v>
      </c>
      <c r="R22" s="403">
        <f>+'Sch 142'!O38</f>
        <v>0</v>
      </c>
      <c r="S22" s="403">
        <f>+'Sch 194'!I40</f>
        <v>0</v>
      </c>
      <c r="T22" s="403">
        <f t="shared" si="1"/>
        <v>28</v>
      </c>
      <c r="U22" s="403">
        <f t="shared" si="2"/>
        <v>599.54096234227688</v>
      </c>
      <c r="V22" s="412"/>
      <c r="W22" s="412">
        <f t="shared" si="3"/>
        <v>-24</v>
      </c>
      <c r="X22" s="412">
        <f t="shared" si="4"/>
        <v>-15</v>
      </c>
      <c r="Y22" s="412">
        <f t="shared" si="5"/>
        <v>0</v>
      </c>
      <c r="Z22" s="412">
        <f t="shared" si="6"/>
        <v>-5</v>
      </c>
      <c r="AA22" s="412">
        <f t="shared" si="7"/>
        <v>0</v>
      </c>
      <c r="AB22" s="412"/>
      <c r="AC22" s="403">
        <f>+'Sch 95 PCORC'!L38</f>
        <v>0</v>
      </c>
      <c r="AD22" s="403">
        <f>+'Sch 95 Imbalance'!L38</f>
        <v>0</v>
      </c>
      <c r="AE22" s="718">
        <f>+'Sch 139'!T38</f>
        <v>0</v>
      </c>
      <c r="AF22" s="718">
        <f>+'Sch 141A'!L38</f>
        <v>12</v>
      </c>
      <c r="AG22" s="403">
        <f>+'Sch 141C'!L38</f>
        <v>14</v>
      </c>
      <c r="AH22" s="718">
        <f>+'Sch 141N'!N38</f>
        <v>61</v>
      </c>
      <c r="AI22" s="718">
        <f>+'Sch 141R'!N38</f>
        <v>33</v>
      </c>
      <c r="AJ22" s="403">
        <v>0</v>
      </c>
      <c r="AK22" s="403">
        <v>0</v>
      </c>
      <c r="AL22" s="403">
        <f t="shared" si="8"/>
        <v>76</v>
      </c>
      <c r="AM22" s="403">
        <f>SUM(U22,AL22)</f>
        <v>675.54096234227688</v>
      </c>
      <c r="AN22" s="435">
        <f>AL22/U22</f>
        <v>0.12676364881406008</v>
      </c>
      <c r="AO22" s="435"/>
      <c r="AQ22" s="402"/>
    </row>
    <row r="23" spans="1:43">
      <c r="A23" s="386">
        <f t="shared" si="11"/>
        <v>15</v>
      </c>
      <c r="B23" s="386"/>
      <c r="C23" s="386"/>
      <c r="D23" s="394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2"/>
      <c r="U23" s="412"/>
      <c r="V23" s="412"/>
      <c r="W23" s="412">
        <f t="shared" si="3"/>
        <v>0</v>
      </c>
      <c r="X23" s="412">
        <f t="shared" si="4"/>
        <v>0</v>
      </c>
      <c r="Y23" s="412">
        <f t="shared" si="5"/>
        <v>0</v>
      </c>
      <c r="Z23" s="412">
        <f t="shared" si="6"/>
        <v>0</v>
      </c>
      <c r="AA23" s="412">
        <f t="shared" si="7"/>
        <v>0</v>
      </c>
      <c r="AB23" s="412"/>
      <c r="AC23" s="412"/>
      <c r="AD23" s="412"/>
      <c r="AE23" s="719"/>
      <c r="AF23" s="719"/>
      <c r="AG23" s="412"/>
      <c r="AH23" s="719"/>
      <c r="AI23" s="412"/>
      <c r="AJ23" s="412"/>
      <c r="AK23" s="412"/>
      <c r="AL23" s="412"/>
      <c r="AM23" s="412"/>
      <c r="AN23" s="447"/>
      <c r="AO23" s="403"/>
      <c r="AQ23" s="402"/>
    </row>
    <row r="24" spans="1:43" ht="10.8" thickBot="1">
      <c r="A24" s="386">
        <f t="shared" si="11"/>
        <v>16</v>
      </c>
      <c r="B24" s="386"/>
      <c r="C24" s="386" t="s">
        <v>19</v>
      </c>
      <c r="D24" s="393">
        <f>SUM(D9:D23)</f>
        <v>22723058.8675</v>
      </c>
      <c r="E24" s="407">
        <f>SUM(E9:E23)</f>
        <v>2048840.2926112991</v>
      </c>
      <c r="F24" s="407">
        <f t="shared" ref="F24:U24" si="18">SUM(F9:F23)</f>
        <v>67923</v>
      </c>
      <c r="G24" s="407">
        <f t="shared" si="18"/>
        <v>44327</v>
      </c>
      <c r="H24" s="407">
        <f t="shared" si="18"/>
        <v>-28676</v>
      </c>
      <c r="I24" s="407">
        <f t="shared" si="18"/>
        <v>82381</v>
      </c>
      <c r="J24" s="407">
        <f t="shared" si="18"/>
        <v>26594</v>
      </c>
      <c r="K24" s="407">
        <f t="shared" si="18"/>
        <v>-430</v>
      </c>
      <c r="L24" s="407">
        <f t="shared" si="18"/>
        <v>3624</v>
      </c>
      <c r="M24" s="407">
        <f t="shared" si="18"/>
        <v>57219</v>
      </c>
      <c r="N24" s="407">
        <f t="shared" si="18"/>
        <v>0</v>
      </c>
      <c r="O24" s="407">
        <f t="shared" si="18"/>
        <v>16101</v>
      </c>
      <c r="P24" s="407">
        <f t="shared" si="18"/>
        <v>-16036</v>
      </c>
      <c r="Q24" s="407">
        <f t="shared" si="18"/>
        <v>22071</v>
      </c>
      <c r="R24" s="407">
        <f t="shared" si="18"/>
        <v>8939</v>
      </c>
      <c r="S24" s="407">
        <f t="shared" si="18"/>
        <v>-76308</v>
      </c>
      <c r="T24" s="407">
        <f t="shared" si="18"/>
        <v>207729</v>
      </c>
      <c r="U24" s="407">
        <f t="shared" si="18"/>
        <v>2256569.2926112991</v>
      </c>
      <c r="V24" s="412"/>
      <c r="W24" s="407">
        <f t="shared" ref="W24" si="19">SUM(W9:W23)</f>
        <v>-67923</v>
      </c>
      <c r="X24" s="407">
        <f t="shared" ref="X24" si="20">SUM(X9:X23)</f>
        <v>-44327</v>
      </c>
      <c r="Y24" s="407">
        <f t="shared" ref="Y24" si="21">SUM(Y9:Y23)</f>
        <v>-3624</v>
      </c>
      <c r="Z24" s="407">
        <f t="shared" ref="Z24" si="22">SUM(Z9:Z23)</f>
        <v>-16101</v>
      </c>
      <c r="AA24" s="407">
        <f t="shared" ref="AA24:AE24" si="23">SUM(AA9:AA23)</f>
        <v>-8939</v>
      </c>
      <c r="AB24" s="412"/>
      <c r="AC24" s="407">
        <f t="shared" si="23"/>
        <v>0</v>
      </c>
      <c r="AD24" s="407">
        <f t="shared" si="23"/>
        <v>0</v>
      </c>
      <c r="AE24" s="720">
        <f t="shared" si="23"/>
        <v>-1117</v>
      </c>
      <c r="AF24" s="720">
        <f t="shared" ref="AF24:AH24" si="24">SUM(AF9:AF23)</f>
        <v>35309</v>
      </c>
      <c r="AG24" s="407">
        <f t="shared" ref="AG24" si="25">SUM(AG9:AG23)</f>
        <v>50253</v>
      </c>
      <c r="AH24" s="720">
        <f t="shared" si="24"/>
        <v>231008.12</v>
      </c>
      <c r="AI24" s="720">
        <f t="shared" ref="AI24:AK24" si="26">SUM(AI9:AI23)</f>
        <v>43207.6</v>
      </c>
      <c r="AJ24" s="407">
        <f t="shared" si="26"/>
        <v>0</v>
      </c>
      <c r="AK24" s="407">
        <f t="shared" si="26"/>
        <v>0</v>
      </c>
      <c r="AL24" s="407">
        <f t="shared" ref="AL24" si="27">SUM(AL9:AL23)</f>
        <v>217746.72</v>
      </c>
      <c r="AM24" s="407">
        <f t="shared" ref="AM24" si="28">SUM(AM9:AM23)</f>
        <v>2474316.0126112998</v>
      </c>
      <c r="AN24" s="448">
        <f>AL24/U24</f>
        <v>9.6494586145867381E-2</v>
      </c>
      <c r="AO24" s="403"/>
      <c r="AQ24" s="402"/>
    </row>
    <row r="25" spans="1:43" ht="10.8" thickTop="1">
      <c r="E25" s="403"/>
      <c r="F25" s="403"/>
      <c r="G25" s="403"/>
      <c r="H25" s="403"/>
      <c r="I25" s="403"/>
      <c r="J25" s="403"/>
      <c r="K25" s="403"/>
      <c r="L25" s="403"/>
      <c r="M25" s="403"/>
      <c r="N25" s="403"/>
      <c r="O25" s="403"/>
      <c r="P25" s="403"/>
      <c r="Q25" s="403"/>
      <c r="R25" s="403"/>
      <c r="S25" s="403"/>
      <c r="T25" s="403"/>
      <c r="U25" s="403"/>
      <c r="V25" s="412"/>
      <c r="W25" s="412"/>
      <c r="X25" s="412"/>
      <c r="Y25" s="412"/>
      <c r="Z25" s="412"/>
      <c r="AA25" s="412"/>
      <c r="AB25" s="412"/>
      <c r="AC25" s="412"/>
      <c r="AD25" s="403"/>
      <c r="AE25" s="403"/>
      <c r="AF25" s="403"/>
      <c r="AG25" s="403"/>
      <c r="AH25" s="403"/>
      <c r="AI25" s="718"/>
      <c r="AJ25" s="403"/>
      <c r="AK25" s="403"/>
      <c r="AL25" s="403"/>
      <c r="AM25" s="403"/>
      <c r="AQ25" s="402"/>
    </row>
    <row r="26" spans="1:43">
      <c r="D26" s="388">
        <f>'[1]Exhibit No.__(BDJ-MYRP-SUM)'!K29</f>
        <v>22723058.8675</v>
      </c>
      <c r="E26" s="403">
        <f>'[1]Exhibit No.__(BDJ-MYRP-SUM)'!M29</f>
        <v>2048840.2926112991</v>
      </c>
      <c r="F26" s="403">
        <f>+'Sch 95 PCORC'!K40</f>
        <v>67923</v>
      </c>
      <c r="G26" s="403">
        <f>+'Sch 95 Imbalance'!K40</f>
        <v>44327</v>
      </c>
      <c r="H26" s="403">
        <f>+'Sch 95a'!I40</f>
        <v>-28676</v>
      </c>
      <c r="I26" s="403">
        <f>+'Sch 120'!I40</f>
        <v>82381</v>
      </c>
      <c r="J26" s="403">
        <f>+'Sch 129'!I40</f>
        <v>26594</v>
      </c>
      <c r="K26" s="403">
        <f>+'Sch 137'!I40</f>
        <v>-430</v>
      </c>
      <c r="L26" s="403">
        <f>+'Sch 139'!O40</f>
        <v>3624</v>
      </c>
      <c r="M26" s="403">
        <f>+'Sch 140'!I40</f>
        <v>57219</v>
      </c>
      <c r="N26" s="403">
        <f>+'Sch 141'!I40</f>
        <v>0</v>
      </c>
      <c r="O26" s="403">
        <f>+'Sch 141X'!K40</f>
        <v>16101</v>
      </c>
      <c r="P26" s="403">
        <f>+'Sch 141Z'!I40</f>
        <v>-16036</v>
      </c>
      <c r="Q26" s="403">
        <f>+'Sch 142'!T40</f>
        <v>22071</v>
      </c>
      <c r="R26" s="403">
        <f>+'Sch 142'!O40</f>
        <v>8939</v>
      </c>
      <c r="S26" s="403">
        <f>+'Sch 194'!I42</f>
        <v>-76308</v>
      </c>
      <c r="T26" s="403"/>
      <c r="U26" s="403"/>
      <c r="V26" s="403"/>
      <c r="W26" s="403"/>
      <c r="X26" s="403"/>
      <c r="Y26" s="403"/>
      <c r="Z26" s="403"/>
      <c r="AA26" s="403"/>
      <c r="AB26" s="403"/>
      <c r="AC26" s="403">
        <f>+'Sch 95 PCORC'!L40</f>
        <v>0</v>
      </c>
      <c r="AD26" s="403">
        <f>+'Sch 95 Imbalance'!L40</f>
        <v>0</v>
      </c>
      <c r="AE26" s="718">
        <f>+'Sch 139'!T40</f>
        <v>-1117</v>
      </c>
      <c r="AF26" s="718">
        <f>+'Sch 141A'!L40</f>
        <v>35309</v>
      </c>
      <c r="AG26" s="403">
        <f>+'Sch 141C'!L40</f>
        <v>50253</v>
      </c>
      <c r="AH26" s="718">
        <f>+'Sch 141N'!N40</f>
        <v>231008.12</v>
      </c>
      <c r="AI26" s="718">
        <f>+'Sch 141R'!N40</f>
        <v>43207.6</v>
      </c>
      <c r="AJ26" s="403">
        <f>+'Sch 141X'!L40</f>
        <v>0</v>
      </c>
      <c r="AK26" s="403">
        <f>+'Sch 142'!P40</f>
        <v>0</v>
      </c>
      <c r="AL26" s="403"/>
      <c r="AM26" s="403"/>
      <c r="AQ26" s="402"/>
    </row>
    <row r="27" spans="1:43" s="425" customFormat="1">
      <c r="D27" s="426">
        <f>+D26-D24</f>
        <v>0</v>
      </c>
      <c r="E27" s="426">
        <f>+E26-E24</f>
        <v>0</v>
      </c>
      <c r="F27" s="427">
        <f t="shared" ref="F27:S27" si="29">+F26-F24</f>
        <v>0</v>
      </c>
      <c r="G27" s="427">
        <f t="shared" si="29"/>
        <v>0</v>
      </c>
      <c r="H27" s="427">
        <f t="shared" si="29"/>
        <v>0</v>
      </c>
      <c r="I27" s="427">
        <f t="shared" si="29"/>
        <v>0</v>
      </c>
      <c r="J27" s="427">
        <f t="shared" si="29"/>
        <v>0</v>
      </c>
      <c r="K27" s="427">
        <f t="shared" si="29"/>
        <v>0</v>
      </c>
      <c r="L27" s="427">
        <f t="shared" si="29"/>
        <v>0</v>
      </c>
      <c r="M27" s="427">
        <f t="shared" si="29"/>
        <v>0</v>
      </c>
      <c r="N27" s="427">
        <f t="shared" si="29"/>
        <v>0</v>
      </c>
      <c r="O27" s="427">
        <f t="shared" si="29"/>
        <v>0</v>
      </c>
      <c r="P27" s="427">
        <f t="shared" si="29"/>
        <v>0</v>
      </c>
      <c r="Q27" s="427">
        <f t="shared" si="29"/>
        <v>0</v>
      </c>
      <c r="R27" s="427">
        <f t="shared" si="29"/>
        <v>0</v>
      </c>
      <c r="S27" s="427">
        <f t="shared" si="29"/>
        <v>0</v>
      </c>
      <c r="T27" s="427"/>
      <c r="U27" s="427"/>
      <c r="V27" s="427"/>
      <c r="W27" s="427"/>
      <c r="X27" s="427"/>
      <c r="Y27" s="427"/>
      <c r="Z27" s="427"/>
      <c r="AA27" s="427"/>
      <c r="AB27" s="427"/>
      <c r="AC27" s="427">
        <f t="shared" ref="AC27:AF27" si="30">+AC26-AC24</f>
        <v>0</v>
      </c>
      <c r="AD27" s="427">
        <f t="shared" si="30"/>
        <v>0</v>
      </c>
      <c r="AE27" s="427">
        <f t="shared" si="30"/>
        <v>0</v>
      </c>
      <c r="AF27" s="427">
        <f t="shared" si="30"/>
        <v>0</v>
      </c>
      <c r="AG27" s="427">
        <f t="shared" ref="AG27:AK27" si="31">+AG26-AG24</f>
        <v>0</v>
      </c>
      <c r="AH27" s="427">
        <f t="shared" si="31"/>
        <v>0</v>
      </c>
      <c r="AI27" s="427">
        <f t="shared" si="31"/>
        <v>0</v>
      </c>
      <c r="AJ27" s="427">
        <f t="shared" si="31"/>
        <v>0</v>
      </c>
      <c r="AK27" s="427">
        <f t="shared" si="31"/>
        <v>0</v>
      </c>
      <c r="AQ27" s="451"/>
    </row>
    <row r="28" spans="1:43">
      <c r="AF28" s="403"/>
      <c r="AG28" s="403"/>
      <c r="AH28" s="403"/>
      <c r="AI28" s="403"/>
      <c r="AJ28" s="403"/>
      <c r="AK28" s="403"/>
      <c r="AQ28" s="402"/>
    </row>
    <row r="29" spans="1:43">
      <c r="AF29" s="403"/>
      <c r="AG29" s="403"/>
      <c r="AH29" s="403"/>
      <c r="AI29" s="403"/>
      <c r="AJ29" s="403"/>
      <c r="AK29" s="403"/>
    </row>
    <row r="30" spans="1:43">
      <c r="AF30" s="403"/>
      <c r="AG30" s="403"/>
      <c r="AH30" s="403"/>
      <c r="AI30" s="403"/>
      <c r="AJ30" s="403"/>
      <c r="AK30" s="403"/>
    </row>
    <row r="31" spans="1:43">
      <c r="B31" s="387" t="s">
        <v>599</v>
      </c>
      <c r="AC31" s="403">
        <f>+AC24+W24</f>
        <v>-67923</v>
      </c>
      <c r="AD31" s="403">
        <f t="shared" ref="AD31:AE31" si="32">+AD24+X24</f>
        <v>-44327</v>
      </c>
      <c r="AE31" s="718">
        <f t="shared" si="32"/>
        <v>-4741</v>
      </c>
      <c r="AF31" s="718">
        <f t="shared" ref="AF31" si="33">+AF24</f>
        <v>35309</v>
      </c>
      <c r="AG31" s="403">
        <f>+AG24</f>
        <v>50253</v>
      </c>
      <c r="AH31" s="718">
        <f t="shared" ref="AH31:AI31" si="34">+AH24</f>
        <v>231008.12</v>
      </c>
      <c r="AI31" s="718">
        <f t="shared" si="34"/>
        <v>43207.6</v>
      </c>
      <c r="AJ31" s="403">
        <f>+AJ24+Z24</f>
        <v>-16101</v>
      </c>
      <c r="AK31" s="403">
        <f>+AK24+AA24</f>
        <v>-8939</v>
      </c>
      <c r="AL31" s="403">
        <f>SUM(AC31:AK31)</f>
        <v>217746.72</v>
      </c>
    </row>
    <row r="32" spans="1:43">
      <c r="AC32" s="403"/>
      <c r="AD32" s="403"/>
      <c r="AE32" s="403"/>
      <c r="AF32" s="403"/>
      <c r="AG32" s="403"/>
      <c r="AH32" s="403"/>
      <c r="AI32" s="403"/>
      <c r="AJ32" s="403"/>
      <c r="AK32" s="403"/>
      <c r="AL32" s="403"/>
    </row>
    <row r="33" spans="2:40">
      <c r="AG33" s="427"/>
      <c r="AH33" s="427"/>
      <c r="AI33" s="427"/>
      <c r="AJ33" s="427"/>
    </row>
    <row r="34" spans="2:40" ht="13.8">
      <c r="B34" s="621"/>
      <c r="D34" s="388"/>
      <c r="E34" s="388"/>
      <c r="F34" s="388"/>
      <c r="G34" s="388"/>
      <c r="H34" s="388"/>
      <c r="I34" s="388"/>
      <c r="J34" s="388"/>
      <c r="K34" s="388"/>
      <c r="L34" s="388"/>
      <c r="M34" s="388"/>
      <c r="N34" s="388"/>
      <c r="O34" s="388"/>
      <c r="P34" s="388"/>
      <c r="Q34" s="388"/>
      <c r="R34" s="388"/>
      <c r="S34" s="388"/>
      <c r="T34" s="388"/>
      <c r="U34" s="388"/>
      <c r="V34" s="388"/>
      <c r="W34" s="388"/>
      <c r="X34" s="388"/>
      <c r="Y34" s="388"/>
      <c r="Z34" s="388"/>
      <c r="AA34" s="388"/>
      <c r="AB34" s="388"/>
      <c r="AC34" s="426"/>
      <c r="AD34" s="426"/>
      <c r="AE34" s="426"/>
      <c r="AF34" s="426"/>
      <c r="AG34" s="426"/>
      <c r="AH34" s="426"/>
      <c r="AI34" s="426"/>
      <c r="AJ34" s="426"/>
      <c r="AK34" s="426"/>
      <c r="AL34" s="426"/>
      <c r="AM34" s="426"/>
      <c r="AN34" s="426"/>
    </row>
    <row r="35" spans="2:40"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388"/>
      <c r="V35" s="388"/>
      <c r="W35" s="388"/>
      <c r="X35" s="388"/>
      <c r="Y35" s="388"/>
      <c r="Z35" s="388"/>
      <c r="AA35" s="388"/>
      <c r="AB35" s="388"/>
      <c r="AC35" s="388"/>
      <c r="AD35" s="388"/>
      <c r="AE35" s="388"/>
      <c r="AF35" s="388"/>
      <c r="AG35" s="388"/>
      <c r="AH35" s="388"/>
      <c r="AI35" s="388"/>
      <c r="AJ35" s="388"/>
      <c r="AK35" s="388"/>
      <c r="AL35" s="388"/>
      <c r="AM35" s="388"/>
      <c r="AN35" s="388"/>
    </row>
    <row r="36" spans="2:40">
      <c r="B36" s="711" t="s">
        <v>874</v>
      </c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  <c r="R36" s="388"/>
      <c r="S36" s="388"/>
      <c r="T36" s="388"/>
      <c r="U36" s="388"/>
      <c r="V36" s="388"/>
      <c r="W36" s="388"/>
      <c r="X36" s="388"/>
      <c r="Y36" s="388"/>
      <c r="Z36" s="388"/>
      <c r="AA36" s="388"/>
      <c r="AB36" s="388"/>
      <c r="AC36" s="388"/>
      <c r="AD36" s="388"/>
      <c r="AE36" s="388"/>
      <c r="AF36" s="388"/>
      <c r="AG36" s="388"/>
      <c r="AH36" s="388"/>
      <c r="AI36" s="388"/>
      <c r="AJ36" s="388"/>
      <c r="AK36" s="388"/>
      <c r="AL36" s="388"/>
      <c r="AM36" s="388"/>
      <c r="AN36" s="388"/>
    </row>
    <row r="37" spans="2:40"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8"/>
      <c r="U37" s="388"/>
      <c r="V37" s="388"/>
      <c r="W37" s="388"/>
      <c r="X37" s="388"/>
      <c r="Y37" s="388"/>
      <c r="Z37" s="388"/>
      <c r="AA37" s="388"/>
      <c r="AB37" s="388"/>
      <c r="AC37" s="388"/>
      <c r="AD37" s="388"/>
      <c r="AE37" s="388"/>
      <c r="AF37" s="388"/>
      <c r="AG37" s="388"/>
      <c r="AH37" s="388"/>
      <c r="AI37" s="388"/>
      <c r="AJ37" s="388"/>
      <c r="AK37" s="388"/>
      <c r="AL37" s="388"/>
      <c r="AM37" s="388"/>
      <c r="AN37" s="388"/>
    </row>
    <row r="38" spans="2:40">
      <c r="D38" s="388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8"/>
      <c r="R38" s="388"/>
      <c r="S38" s="388"/>
      <c r="T38" s="388"/>
      <c r="U38" s="388"/>
      <c r="V38" s="388"/>
      <c r="W38" s="388"/>
      <c r="X38" s="388"/>
      <c r="Y38" s="388"/>
      <c r="Z38" s="388"/>
      <c r="AA38" s="388"/>
      <c r="AB38" s="388"/>
      <c r="AC38" s="388"/>
      <c r="AD38" s="388"/>
      <c r="AE38" s="388"/>
      <c r="AF38" s="388"/>
      <c r="AG38" s="388"/>
      <c r="AH38" s="388"/>
      <c r="AI38" s="388"/>
      <c r="AJ38" s="388"/>
      <c r="AK38" s="388"/>
      <c r="AL38" s="388"/>
      <c r="AM38" s="388"/>
      <c r="AN38" s="388"/>
    </row>
    <row r="39" spans="2:40">
      <c r="D39" s="388"/>
      <c r="E39" s="388"/>
      <c r="F39" s="388"/>
      <c r="G39" s="388"/>
      <c r="H39" s="388"/>
      <c r="I39" s="388"/>
      <c r="J39" s="388"/>
      <c r="K39" s="388"/>
      <c r="L39" s="388"/>
      <c r="M39" s="388"/>
      <c r="N39" s="388"/>
      <c r="O39" s="388"/>
      <c r="P39" s="388"/>
      <c r="Q39" s="388"/>
      <c r="R39" s="388"/>
      <c r="S39" s="388"/>
      <c r="T39" s="388"/>
      <c r="U39" s="388"/>
      <c r="V39" s="388"/>
      <c r="W39" s="388"/>
      <c r="X39" s="388"/>
      <c r="Y39" s="388"/>
      <c r="Z39" s="388"/>
      <c r="AA39" s="388"/>
      <c r="AB39" s="388"/>
      <c r="AC39" s="388"/>
      <c r="AD39" s="388"/>
      <c r="AE39" s="388"/>
      <c r="AF39" s="388"/>
      <c r="AG39" s="388"/>
      <c r="AH39" s="388"/>
      <c r="AI39" s="388"/>
      <c r="AJ39" s="388"/>
      <c r="AK39" s="388"/>
      <c r="AL39" s="388"/>
      <c r="AM39" s="388"/>
      <c r="AN39" s="388"/>
    </row>
    <row r="40" spans="2:40"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8"/>
      <c r="T40" s="388"/>
      <c r="U40" s="388"/>
      <c r="V40" s="388"/>
      <c r="W40" s="388"/>
      <c r="X40" s="388"/>
      <c r="Y40" s="388"/>
      <c r="Z40" s="388"/>
      <c r="AA40" s="388"/>
      <c r="AB40" s="388"/>
      <c r="AC40" s="388"/>
      <c r="AD40" s="388"/>
      <c r="AE40" s="388"/>
      <c r="AF40" s="388"/>
      <c r="AG40" s="388"/>
      <c r="AH40" s="388"/>
      <c r="AI40" s="388"/>
      <c r="AJ40" s="388"/>
      <c r="AK40" s="388"/>
      <c r="AL40" s="388"/>
      <c r="AM40" s="388"/>
      <c r="AN40" s="388"/>
    </row>
    <row r="41" spans="2:40">
      <c r="D41" s="388"/>
      <c r="E41" s="388"/>
      <c r="F41" s="388"/>
      <c r="G41" s="388"/>
      <c r="H41" s="388"/>
      <c r="I41" s="388"/>
      <c r="J41" s="388"/>
      <c r="K41" s="388"/>
      <c r="L41" s="388"/>
      <c r="M41" s="388"/>
      <c r="N41" s="388"/>
      <c r="O41" s="388"/>
      <c r="P41" s="388"/>
      <c r="Q41" s="388"/>
      <c r="R41" s="388"/>
      <c r="S41" s="388"/>
      <c r="T41" s="388"/>
      <c r="U41" s="388"/>
      <c r="V41" s="388"/>
      <c r="W41" s="388"/>
      <c r="X41" s="388"/>
      <c r="Y41" s="388"/>
      <c r="Z41" s="388"/>
      <c r="AA41" s="388"/>
      <c r="AB41" s="388"/>
      <c r="AC41" s="388"/>
      <c r="AD41" s="388"/>
      <c r="AE41" s="388"/>
      <c r="AF41" s="388"/>
      <c r="AG41" s="388"/>
      <c r="AH41" s="388"/>
      <c r="AI41" s="388"/>
      <c r="AJ41" s="388"/>
      <c r="AK41" s="388"/>
      <c r="AL41" s="388"/>
      <c r="AM41" s="388"/>
      <c r="AN41" s="388"/>
    </row>
    <row r="42" spans="2:40"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8"/>
      <c r="AB42" s="388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8"/>
    </row>
    <row r="43" spans="2:40">
      <c r="D43" s="388"/>
      <c r="E43" s="388"/>
      <c r="F43" s="388"/>
      <c r="G43" s="388"/>
      <c r="H43" s="388"/>
      <c r="I43" s="388"/>
      <c r="J43" s="388"/>
      <c r="K43" s="388"/>
      <c r="L43" s="388"/>
      <c r="M43" s="388"/>
      <c r="N43" s="388"/>
      <c r="O43" s="388"/>
      <c r="P43" s="388"/>
      <c r="Q43" s="388"/>
      <c r="R43" s="388"/>
      <c r="S43" s="388"/>
      <c r="T43" s="388"/>
      <c r="U43" s="388"/>
      <c r="V43" s="388"/>
      <c r="W43" s="388"/>
      <c r="X43" s="388"/>
      <c r="Y43" s="388"/>
      <c r="Z43" s="388"/>
      <c r="AA43" s="388"/>
      <c r="AB43" s="388"/>
      <c r="AC43" s="388"/>
      <c r="AD43" s="388"/>
      <c r="AE43" s="388"/>
      <c r="AF43" s="388"/>
      <c r="AG43" s="388"/>
      <c r="AH43" s="388"/>
      <c r="AI43" s="388"/>
      <c r="AJ43" s="388"/>
      <c r="AK43" s="388"/>
      <c r="AL43" s="388"/>
      <c r="AM43" s="388"/>
      <c r="AN43" s="388"/>
    </row>
    <row r="44" spans="2:40"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8"/>
      <c r="W44" s="388"/>
      <c r="X44" s="388"/>
      <c r="Y44" s="388"/>
      <c r="Z44" s="388"/>
      <c r="AA44" s="388"/>
      <c r="AB44" s="388"/>
      <c r="AC44" s="388"/>
      <c r="AD44" s="388"/>
      <c r="AE44" s="388"/>
      <c r="AF44" s="388"/>
      <c r="AG44" s="388"/>
      <c r="AH44" s="388"/>
      <c r="AI44" s="388"/>
      <c r="AJ44" s="388"/>
      <c r="AK44" s="388"/>
      <c r="AL44" s="388"/>
      <c r="AM44" s="388"/>
      <c r="AN44" s="388"/>
    </row>
    <row r="45" spans="2:40">
      <c r="D45" s="388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88"/>
      <c r="P45" s="388"/>
      <c r="Q45" s="388"/>
      <c r="R45" s="388"/>
      <c r="S45" s="388"/>
      <c r="T45" s="388"/>
      <c r="U45" s="388"/>
      <c r="V45" s="388"/>
      <c r="W45" s="388"/>
      <c r="X45" s="388"/>
      <c r="Y45" s="388"/>
      <c r="Z45" s="388"/>
      <c r="AA45" s="388"/>
      <c r="AB45" s="388"/>
      <c r="AC45" s="388"/>
      <c r="AD45" s="388"/>
      <c r="AE45" s="388"/>
      <c r="AF45" s="388"/>
      <c r="AG45" s="388"/>
      <c r="AH45" s="388"/>
      <c r="AI45" s="388"/>
      <c r="AJ45" s="388"/>
      <c r="AK45" s="388"/>
      <c r="AL45" s="388"/>
      <c r="AM45" s="388"/>
      <c r="AN45" s="388"/>
    </row>
    <row r="46" spans="2:40">
      <c r="D46" s="388"/>
      <c r="E46" s="388"/>
      <c r="F46" s="388"/>
      <c r="G46" s="388"/>
      <c r="H46" s="388"/>
      <c r="I46" s="388"/>
      <c r="J46" s="388"/>
      <c r="K46" s="388"/>
      <c r="L46" s="388"/>
      <c r="M46" s="388"/>
      <c r="N46" s="388"/>
      <c r="O46" s="388"/>
      <c r="P46" s="388"/>
      <c r="Q46" s="388"/>
      <c r="R46" s="388"/>
      <c r="S46" s="388"/>
      <c r="T46" s="388"/>
      <c r="U46" s="388"/>
      <c r="V46" s="388"/>
      <c r="W46" s="388"/>
      <c r="X46" s="388"/>
      <c r="Y46" s="388"/>
      <c r="Z46" s="388"/>
      <c r="AA46" s="388"/>
      <c r="AB46" s="388"/>
      <c r="AC46" s="388"/>
      <c r="AD46" s="388"/>
      <c r="AE46" s="388"/>
      <c r="AF46" s="388"/>
      <c r="AG46" s="388"/>
      <c r="AH46" s="388"/>
      <c r="AI46" s="388"/>
      <c r="AJ46" s="388"/>
      <c r="AK46" s="388"/>
      <c r="AL46" s="388"/>
      <c r="AM46" s="388"/>
      <c r="AN46" s="388"/>
    </row>
    <row r="47" spans="2:40">
      <c r="D47" s="388"/>
      <c r="E47" s="388"/>
      <c r="F47" s="388"/>
      <c r="G47" s="388"/>
      <c r="H47" s="388"/>
      <c r="I47" s="388"/>
      <c r="J47" s="388"/>
      <c r="K47" s="388"/>
      <c r="L47" s="388"/>
      <c r="M47" s="388"/>
      <c r="N47" s="388"/>
      <c r="O47" s="388"/>
      <c r="P47" s="388"/>
      <c r="Q47" s="388"/>
      <c r="R47" s="388"/>
      <c r="S47" s="388"/>
      <c r="T47" s="388"/>
      <c r="U47" s="388"/>
      <c r="V47" s="388"/>
      <c r="W47" s="388"/>
      <c r="X47" s="388"/>
      <c r="Y47" s="388"/>
      <c r="Z47" s="388"/>
      <c r="AA47" s="388"/>
      <c r="AB47" s="388"/>
      <c r="AC47" s="388"/>
      <c r="AD47" s="388"/>
      <c r="AE47" s="388"/>
      <c r="AF47" s="388"/>
      <c r="AG47" s="388"/>
      <c r="AH47" s="388"/>
      <c r="AI47" s="388"/>
      <c r="AJ47" s="388"/>
      <c r="AK47" s="388"/>
      <c r="AL47" s="388"/>
      <c r="AM47" s="388"/>
      <c r="AN47" s="388"/>
    </row>
    <row r="48" spans="2:40">
      <c r="D48" s="388"/>
      <c r="E48" s="388"/>
      <c r="F48" s="388"/>
      <c r="G48" s="388"/>
      <c r="H48" s="388"/>
      <c r="I48" s="388"/>
      <c r="J48" s="388"/>
      <c r="K48" s="388"/>
      <c r="L48" s="388"/>
      <c r="M48" s="388"/>
      <c r="N48" s="388"/>
      <c r="O48" s="388"/>
      <c r="P48" s="388"/>
      <c r="Q48" s="388"/>
      <c r="R48" s="388"/>
      <c r="S48" s="388"/>
      <c r="T48" s="388"/>
      <c r="U48" s="388"/>
      <c r="V48" s="388"/>
      <c r="W48" s="388"/>
      <c r="X48" s="388"/>
      <c r="Y48" s="388"/>
      <c r="Z48" s="388"/>
      <c r="AA48" s="388"/>
      <c r="AB48" s="388"/>
      <c r="AC48" s="388"/>
      <c r="AD48" s="388"/>
      <c r="AE48" s="388"/>
      <c r="AF48" s="388"/>
      <c r="AG48" s="388"/>
      <c r="AH48" s="388"/>
      <c r="AI48" s="388"/>
      <c r="AJ48" s="388"/>
      <c r="AK48" s="388"/>
      <c r="AL48" s="388"/>
      <c r="AM48" s="388"/>
      <c r="AN48" s="388"/>
    </row>
    <row r="49" spans="4:40">
      <c r="D49" s="388"/>
      <c r="E49" s="388"/>
      <c r="F49" s="388"/>
      <c r="G49" s="388"/>
      <c r="H49" s="388"/>
      <c r="I49" s="388"/>
      <c r="J49" s="388"/>
      <c r="K49" s="388"/>
      <c r="L49" s="388"/>
      <c r="M49" s="388"/>
      <c r="N49" s="388"/>
      <c r="O49" s="388"/>
      <c r="P49" s="388"/>
      <c r="Q49" s="388"/>
      <c r="R49" s="388"/>
      <c r="S49" s="388"/>
      <c r="T49" s="388"/>
      <c r="U49" s="388"/>
      <c r="V49" s="388"/>
      <c r="W49" s="388"/>
      <c r="X49" s="388"/>
      <c r="Y49" s="388"/>
      <c r="Z49" s="388"/>
      <c r="AA49" s="388"/>
      <c r="AB49" s="388"/>
      <c r="AC49" s="388"/>
      <c r="AD49" s="388"/>
      <c r="AE49" s="388"/>
      <c r="AF49" s="388"/>
      <c r="AG49" s="388"/>
      <c r="AH49" s="388"/>
      <c r="AI49" s="388"/>
      <c r="AJ49" s="388"/>
      <c r="AK49" s="388"/>
      <c r="AL49" s="388"/>
      <c r="AM49" s="388"/>
      <c r="AN49" s="388"/>
    </row>
  </sheetData>
  <mergeCells count="7">
    <mergeCell ref="W6:AA6"/>
    <mergeCell ref="AC6:AL6"/>
    <mergeCell ref="A1:C1"/>
    <mergeCell ref="A2:C2"/>
    <mergeCell ref="A3:C3"/>
    <mergeCell ref="A4:C4"/>
    <mergeCell ref="A5:C5"/>
  </mergeCells>
  <pageMargins left="0.25" right="0.25" top="0.75" bottom="0.75" header="0.3" footer="0.3"/>
  <pageSetup scale="63" orientation="landscape" r:id="rId1"/>
  <headerFooter>
    <oddFooter>&amp;L&amp;"Times New Roman,Regular"&amp;F
&amp;A&amp;R&amp;"Times New Roman,Regular"Page &amp;P of &amp;N</oddFooter>
  </headerFooter>
  <colBreaks count="1" manualBreakCount="1">
    <brk id="20" max="36" man="1"/>
  </colBreaks>
  <customProperties>
    <customPr name="_pios_id" r:id="rId2"/>
  </customPropertie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P34"/>
  <sheetViews>
    <sheetView zoomScaleNormal="100" workbookViewId="0">
      <pane xSplit="5" ySplit="7" topLeftCell="P8" activePane="bottomRight" state="frozen"/>
      <selection pane="topRight"/>
      <selection pane="bottomLeft"/>
      <selection pane="bottomRight" activeCell="Y9" sqref="Y9"/>
    </sheetView>
  </sheetViews>
  <sheetFormatPr defaultColWidth="6.33203125" defaultRowHeight="10.199999999999999"/>
  <cols>
    <col min="1" max="1" width="5.109375" style="623" customWidth="1"/>
    <col min="2" max="3" width="13" style="623" customWidth="1"/>
    <col min="4" max="4" width="10.88671875" style="623" bestFit="1" customWidth="1"/>
    <col min="5" max="5" width="12.5546875" style="623" bestFit="1" customWidth="1"/>
    <col min="6" max="6" width="10.44140625" style="623" bestFit="1" customWidth="1"/>
    <col min="7" max="7" width="12.6640625" style="623" bestFit="1" customWidth="1"/>
    <col min="8" max="9" width="11.5546875" style="623" bestFit="1" customWidth="1"/>
    <col min="10" max="12" width="11.33203125" style="623" bestFit="1" customWidth="1"/>
    <col min="13" max="13" width="12.5546875" style="623" bestFit="1" customWidth="1"/>
    <col min="14" max="15" width="11.33203125" style="623" bestFit="1" customWidth="1"/>
    <col min="16" max="16" width="12.44140625" style="623" bestFit="1" customWidth="1"/>
    <col min="17" max="18" width="12.33203125" style="623" bestFit="1" customWidth="1"/>
    <col min="19" max="20" width="12.109375" style="623" bestFit="1" customWidth="1"/>
    <col min="21" max="21" width="11.33203125" style="623" bestFit="1" customWidth="1"/>
    <col min="22" max="22" width="11.88671875" style="623" bestFit="1" customWidth="1"/>
    <col min="23" max="23" width="11.5546875" style="623" bestFit="1" customWidth="1"/>
    <col min="24" max="24" width="8.5546875" style="623" bestFit="1" customWidth="1"/>
    <col min="25" max="25" width="12.33203125" style="623" bestFit="1" customWidth="1"/>
    <col min="26" max="26" width="1.6640625" style="623" customWidth="1"/>
    <col min="27" max="27" width="12.44140625" style="623" bestFit="1" customWidth="1"/>
    <col min="28" max="28" width="12.44140625" style="623" customWidth="1"/>
    <col min="29" max="29" width="13.33203125" style="623" bestFit="1" customWidth="1"/>
    <col min="30" max="30" width="13.5546875" style="623" bestFit="1" customWidth="1"/>
    <col min="31" max="31" width="12.33203125" style="623" bestFit="1" customWidth="1"/>
    <col min="32" max="32" width="12.44140625" style="623" bestFit="1" customWidth="1"/>
    <col min="33" max="33" width="12.44140625" style="623" customWidth="1"/>
    <col min="34" max="34" width="13.33203125" style="623" bestFit="1" customWidth="1"/>
    <col min="35" max="35" width="13.5546875" style="623" bestFit="1" customWidth="1"/>
    <col min="36" max="36" width="12.33203125" style="623" bestFit="1" customWidth="1"/>
    <col min="37" max="37" width="10.6640625" style="623" bestFit="1" customWidth="1"/>
    <col min="38" max="38" width="12.33203125" style="623" bestFit="1" customWidth="1"/>
    <col min="39" max="39" width="10.5546875" style="623" bestFit="1" customWidth="1"/>
    <col min="40" max="16384" width="6.33203125" style="623"/>
  </cols>
  <sheetData>
    <row r="1" spans="1:42" s="647" customFormat="1">
      <c r="A1" s="797" t="s">
        <v>0</v>
      </c>
      <c r="B1" s="797"/>
      <c r="C1" s="797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  <c r="Q1" s="655"/>
      <c r="R1" s="655"/>
      <c r="S1" s="655"/>
      <c r="T1" s="655"/>
      <c r="U1" s="655"/>
      <c r="V1" s="655"/>
      <c r="W1" s="655"/>
      <c r="X1" s="655"/>
      <c r="Y1" s="655"/>
      <c r="Z1" s="655"/>
      <c r="AA1" s="655"/>
      <c r="AB1" s="655"/>
      <c r="AC1" s="655"/>
      <c r="AD1" s="655"/>
      <c r="AE1" s="655"/>
      <c r="AF1" s="655"/>
      <c r="AG1" s="655"/>
      <c r="AH1" s="655"/>
      <c r="AI1" s="655"/>
      <c r="AJ1" s="655"/>
      <c r="AK1" s="655"/>
      <c r="AL1" s="655"/>
    </row>
    <row r="2" spans="1:42" s="647" customFormat="1">
      <c r="A2" s="797" t="s">
        <v>61</v>
      </c>
      <c r="B2" s="797"/>
      <c r="C2" s="797"/>
      <c r="D2" s="655"/>
      <c r="E2" s="655"/>
      <c r="F2" s="655"/>
      <c r="G2" s="655"/>
      <c r="H2" s="655"/>
      <c r="I2" s="655"/>
      <c r="J2" s="655"/>
      <c r="K2" s="655"/>
      <c r="L2" s="655"/>
      <c r="M2" s="655"/>
      <c r="N2" s="655"/>
      <c r="O2" s="655"/>
      <c r="P2" s="655"/>
      <c r="Q2" s="655"/>
      <c r="R2" s="655"/>
      <c r="S2" s="655"/>
      <c r="T2" s="655"/>
      <c r="U2" s="655"/>
      <c r="V2" s="655"/>
      <c r="W2" s="655"/>
      <c r="X2" s="655"/>
      <c r="Y2" s="655"/>
      <c r="Z2" s="655"/>
      <c r="AA2" s="655"/>
      <c r="AB2" s="655"/>
      <c r="AC2" s="655"/>
      <c r="AD2" s="655"/>
      <c r="AE2" s="655"/>
      <c r="AF2" s="655"/>
      <c r="AG2" s="655"/>
      <c r="AH2" s="655"/>
      <c r="AI2" s="655"/>
      <c r="AJ2" s="655"/>
      <c r="AK2" s="655"/>
      <c r="AL2" s="655"/>
    </row>
    <row r="3" spans="1:42" s="647" customFormat="1">
      <c r="A3" s="798" t="s">
        <v>556</v>
      </c>
      <c r="B3" s="798"/>
      <c r="C3" s="797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5"/>
      <c r="R3" s="655"/>
      <c r="S3" s="655"/>
      <c r="T3" s="655"/>
      <c r="U3" s="655"/>
      <c r="V3" s="655"/>
      <c r="W3" s="655"/>
      <c r="X3" s="655"/>
      <c r="Y3" s="655"/>
      <c r="Z3" s="655"/>
      <c r="AA3" s="655"/>
      <c r="AB3" s="655"/>
      <c r="AC3" s="655"/>
      <c r="AD3" s="655"/>
      <c r="AE3" s="655"/>
      <c r="AF3" s="655"/>
      <c r="AG3" s="655"/>
      <c r="AH3" s="655"/>
      <c r="AI3" s="655"/>
      <c r="AJ3" s="655"/>
      <c r="AK3" s="655"/>
      <c r="AL3" s="655"/>
    </row>
    <row r="4" spans="1:42" s="647" customFormat="1">
      <c r="A4" s="797" t="s">
        <v>174</v>
      </c>
      <c r="B4" s="797"/>
      <c r="C4" s="797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5"/>
      <c r="AI4" s="655"/>
      <c r="AJ4" s="655"/>
      <c r="AK4" s="655"/>
      <c r="AL4" s="655"/>
    </row>
    <row r="5" spans="1:42" s="647" customFormat="1" ht="10.8" thickBot="1">
      <c r="A5" s="798" t="s">
        <v>557</v>
      </c>
      <c r="B5" s="798"/>
      <c r="C5" s="797"/>
      <c r="D5" s="653"/>
      <c r="E5" s="653"/>
      <c r="F5" s="653"/>
      <c r="G5" s="653"/>
      <c r="H5" s="653"/>
      <c r="I5" s="653"/>
      <c r="J5" s="653"/>
      <c r="K5" s="653"/>
      <c r="L5" s="653"/>
      <c r="M5" s="653"/>
      <c r="N5" s="653"/>
      <c r="O5" s="653"/>
      <c r="P5" s="653"/>
      <c r="Q5" s="653"/>
      <c r="R5" s="653"/>
      <c r="S5" s="653"/>
      <c r="T5" s="653"/>
      <c r="U5" s="653"/>
      <c r="V5" s="653"/>
      <c r="W5" s="653"/>
      <c r="X5" s="653"/>
    </row>
    <row r="6" spans="1:42" s="647" customFormat="1" ht="10.8" thickBot="1">
      <c r="A6" s="654"/>
      <c r="B6" s="654"/>
      <c r="C6" s="653"/>
      <c r="D6" s="653"/>
      <c r="E6" s="653"/>
      <c r="F6" s="653"/>
      <c r="G6" s="653"/>
      <c r="H6" s="653"/>
      <c r="I6" s="653"/>
      <c r="J6" s="653"/>
      <c r="K6" s="653"/>
      <c r="L6" s="653"/>
      <c r="M6" s="653"/>
      <c r="N6" s="653"/>
      <c r="O6" s="653"/>
      <c r="P6" s="653"/>
      <c r="Q6" s="653"/>
      <c r="R6" s="653"/>
      <c r="S6" s="653"/>
      <c r="T6" s="653"/>
      <c r="U6" s="653"/>
      <c r="V6" s="653"/>
      <c r="W6" s="653"/>
      <c r="X6" s="653"/>
      <c r="Y6" s="652"/>
      <c r="Z6" s="652"/>
      <c r="AA6" s="791" t="s">
        <v>555</v>
      </c>
      <c r="AB6" s="792"/>
      <c r="AC6" s="792"/>
      <c r="AD6" s="792"/>
      <c r="AE6" s="793"/>
      <c r="AF6" s="794" t="s">
        <v>554</v>
      </c>
      <c r="AG6" s="795"/>
      <c r="AH6" s="795"/>
      <c r="AI6" s="795"/>
      <c r="AJ6" s="795"/>
      <c r="AK6" s="796"/>
    </row>
    <row r="7" spans="1:42" s="647" customFormat="1" ht="51">
      <c r="A7" s="651" t="s">
        <v>2</v>
      </c>
      <c r="B7" s="651" t="s">
        <v>579</v>
      </c>
      <c r="C7" s="651" t="s">
        <v>315</v>
      </c>
      <c r="D7" s="648" t="s">
        <v>558</v>
      </c>
      <c r="E7" s="649" t="s">
        <v>510</v>
      </c>
      <c r="F7" s="649" t="s">
        <v>4</v>
      </c>
      <c r="G7" s="649" t="s">
        <v>456</v>
      </c>
      <c r="H7" s="649" t="s">
        <v>5</v>
      </c>
      <c r="I7" s="649" t="s">
        <v>6</v>
      </c>
      <c r="J7" s="649" t="s">
        <v>7</v>
      </c>
      <c r="K7" s="649" t="s">
        <v>264</v>
      </c>
      <c r="L7" s="649" t="s">
        <v>460</v>
      </c>
      <c r="M7" s="649" t="s">
        <v>826</v>
      </c>
      <c r="N7" s="649" t="s">
        <v>8</v>
      </c>
      <c r="O7" s="649" t="s">
        <v>9</v>
      </c>
      <c r="P7" s="649" t="s">
        <v>896</v>
      </c>
      <c r="Q7" s="649" t="s">
        <v>494</v>
      </c>
      <c r="R7" s="649" t="s">
        <v>495</v>
      </c>
      <c r="S7" s="649" t="s">
        <v>258</v>
      </c>
      <c r="T7" s="649" t="s">
        <v>286</v>
      </c>
      <c r="U7" s="649" t="s">
        <v>257</v>
      </c>
      <c r="V7" s="649" t="s">
        <v>457</v>
      </c>
      <c r="W7" s="649" t="s">
        <v>469</v>
      </c>
      <c r="X7" s="649" t="s">
        <v>173</v>
      </c>
      <c r="Y7" s="649" t="s">
        <v>287</v>
      </c>
      <c r="Z7" s="650"/>
      <c r="AA7" s="649" t="str">
        <f>+P7</f>
        <v>Schedule 141COL
Colstrip</v>
      </c>
      <c r="AB7" s="649" t="str">
        <f>+L7</f>
        <v>Schedule 139
Green Direct</v>
      </c>
      <c r="AC7" s="649" t="str">
        <f>+M7</f>
        <v>Schedule 141A
 Sch 139 Energy Charge Credit Recovery</v>
      </c>
      <c r="AD7" s="649" t="str">
        <f>+Q7</f>
        <v>Schedule 141N
MYRP 
Non-Refundable</v>
      </c>
      <c r="AE7" s="649" t="str">
        <f>+R7</f>
        <v>Schedule 141R
MYRP 
Refundable</v>
      </c>
      <c r="AF7" s="649" t="str">
        <f>+AA7</f>
        <v>Schedule 141COL
Colstrip</v>
      </c>
      <c r="AG7" s="649" t="str">
        <f>AB7</f>
        <v>Schedule 139
Green Direct</v>
      </c>
      <c r="AH7" s="649" t="str">
        <f>AC7</f>
        <v>Schedule 141A
 Sch 139 Energy Charge Credit Recovery</v>
      </c>
      <c r="AI7" s="649" t="s">
        <v>494</v>
      </c>
      <c r="AJ7" s="649" t="s">
        <v>495</v>
      </c>
      <c r="AK7" s="649" t="s">
        <v>265</v>
      </c>
      <c r="AL7" s="649" t="s">
        <v>290</v>
      </c>
      <c r="AM7" s="648" t="s">
        <v>293</v>
      </c>
    </row>
    <row r="8" spans="1:42" s="641" customFormat="1" ht="20.399999999999999">
      <c r="A8" s="646"/>
      <c r="B8" s="646"/>
      <c r="C8" s="646"/>
      <c r="D8" s="642" t="s">
        <v>73</v>
      </c>
      <c r="E8" s="643" t="s">
        <v>74</v>
      </c>
      <c r="F8" s="643" t="s">
        <v>75</v>
      </c>
      <c r="G8" s="643" t="s">
        <v>76</v>
      </c>
      <c r="H8" s="643" t="s">
        <v>159</v>
      </c>
      <c r="I8" s="643" t="s">
        <v>160</v>
      </c>
      <c r="J8" s="643" t="s">
        <v>161</v>
      </c>
      <c r="K8" s="643" t="s">
        <v>169</v>
      </c>
      <c r="L8" s="643" t="s">
        <v>170</v>
      </c>
      <c r="M8" s="643" t="s">
        <v>171</v>
      </c>
      <c r="N8" s="643" t="s">
        <v>172</v>
      </c>
      <c r="O8" s="643" t="s">
        <v>259</v>
      </c>
      <c r="P8" s="643" t="s">
        <v>458</v>
      </c>
      <c r="Q8" s="643" t="s">
        <v>459</v>
      </c>
      <c r="R8" s="643" t="s">
        <v>260</v>
      </c>
      <c r="S8" s="643" t="s">
        <v>461</v>
      </c>
      <c r="T8" s="643" t="s">
        <v>559</v>
      </c>
      <c r="U8" s="643" t="s">
        <v>560</v>
      </c>
      <c r="V8" s="645" t="s">
        <v>472</v>
      </c>
      <c r="W8" s="645" t="s">
        <v>552</v>
      </c>
      <c r="X8" s="643" t="s">
        <v>789</v>
      </c>
      <c r="Y8" s="643" t="s">
        <v>790</v>
      </c>
      <c r="Z8" s="643"/>
      <c r="AA8" s="644" t="s">
        <v>791</v>
      </c>
      <c r="AB8" s="644" t="s">
        <v>792</v>
      </c>
      <c r="AC8" s="643" t="s">
        <v>793</v>
      </c>
      <c r="AD8" s="643" t="s">
        <v>875</v>
      </c>
      <c r="AE8" s="643" t="s">
        <v>876</v>
      </c>
      <c r="AF8" s="644" t="s">
        <v>478</v>
      </c>
      <c r="AG8" s="644" t="s">
        <v>479</v>
      </c>
      <c r="AH8" s="643" t="s">
        <v>480</v>
      </c>
      <c r="AI8" s="643" t="s">
        <v>689</v>
      </c>
      <c r="AJ8" s="643" t="s">
        <v>690</v>
      </c>
      <c r="AK8" s="643" t="s">
        <v>877</v>
      </c>
      <c r="AL8" s="643" t="s">
        <v>878</v>
      </c>
      <c r="AM8" s="642" t="s">
        <v>879</v>
      </c>
    </row>
    <row r="9" spans="1:42">
      <c r="A9" s="636">
        <v>1</v>
      </c>
      <c r="B9" s="640" t="s">
        <v>11</v>
      </c>
      <c r="C9" s="640">
        <v>7</v>
      </c>
      <c r="D9" s="631">
        <f>'[1]Exhibit No.__(BDJ-MYRP-SUM)'!Q14</f>
        <v>11064440.8695</v>
      </c>
      <c r="E9" s="624">
        <f>'[1]Exhibit No.__(BDJ-MYRP-SUM)'!S14</f>
        <v>1181435.0741398777</v>
      </c>
      <c r="F9" s="624">
        <f>+'Sch 95 PCORC'!O7</f>
        <v>0</v>
      </c>
      <c r="G9" s="624">
        <f>+'Sch 95 Imbalance'!O7</f>
        <v>0</v>
      </c>
      <c r="H9" s="624">
        <f>+'Sch 95a'!L7</f>
        <v>-15391</v>
      </c>
      <c r="I9" s="624">
        <f>+'Sch 120'!L7</f>
        <v>42321</v>
      </c>
      <c r="J9" s="624">
        <f>+'Sch 129'!L7</f>
        <v>14959</v>
      </c>
      <c r="K9" s="624">
        <f>+'Sch 137'!L7</f>
        <v>-232</v>
      </c>
      <c r="L9" s="723">
        <f>+'Sch 139'!T7</f>
        <v>0</v>
      </c>
      <c r="M9" s="723">
        <f>+'Sch 141A'!Q7</f>
        <v>20226</v>
      </c>
      <c r="N9" s="624">
        <f>+'Sch 140'!L7</f>
        <v>33990</v>
      </c>
      <c r="O9" s="624">
        <f>+'Sch 141'!L7</f>
        <v>0</v>
      </c>
      <c r="P9" s="624">
        <f>+'Sch 141C'!R7</f>
        <v>29531</v>
      </c>
      <c r="Q9" s="723">
        <f>+'Sch 141N'!U7</f>
        <v>140164</v>
      </c>
      <c r="R9" s="624">
        <f>+'Sch 141R'!U7</f>
        <v>26201</v>
      </c>
      <c r="S9" s="624">
        <f>+'Sch 141X'!O7</f>
        <v>0</v>
      </c>
      <c r="T9" s="624">
        <f>+'Sch 141Z'!L7</f>
        <v>-9781</v>
      </c>
      <c r="U9" s="624">
        <f>+'Sch 142'!X7</f>
        <v>-4614</v>
      </c>
      <c r="V9" s="624">
        <f>+'Sch 142'!P7</f>
        <v>0</v>
      </c>
      <c r="W9" s="624">
        <f>+'Sch 194'!L7</f>
        <v>-74012</v>
      </c>
      <c r="X9" s="624">
        <f t="shared" ref="X9:X22" si="0">SUM(G9:W9)</f>
        <v>203362</v>
      </c>
      <c r="Y9" s="624">
        <f t="shared" ref="Y9:Y22" si="1">SUM(X9,E9)</f>
        <v>1384797.0741398777</v>
      </c>
      <c r="Z9" s="632"/>
      <c r="AA9" s="624">
        <f t="shared" ref="AA9:AA22" si="2">-P9</f>
        <v>-29531</v>
      </c>
      <c r="AB9" s="723">
        <f t="shared" ref="AB9:AC22" si="3">-L9</f>
        <v>0</v>
      </c>
      <c r="AC9" s="723">
        <f t="shared" si="3"/>
        <v>-20226</v>
      </c>
      <c r="AD9" s="723">
        <f t="shared" ref="AD9:AD22" si="4">-Q9</f>
        <v>-140164</v>
      </c>
      <c r="AE9" s="624">
        <f t="shared" ref="AE9:AE22" si="5">-R9</f>
        <v>-26201</v>
      </c>
      <c r="AF9" s="624">
        <f>+'Sch 141C'!S7</f>
        <v>31457</v>
      </c>
      <c r="AG9" s="718">
        <f>+'Sch 139'!Z7</f>
        <v>0</v>
      </c>
      <c r="AH9" s="723">
        <f>+'Sch 141A'!R7</f>
        <v>20447</v>
      </c>
      <c r="AI9" s="723">
        <f>+'Sch 141N'!V7</f>
        <v>94358</v>
      </c>
      <c r="AJ9" s="624">
        <f>+'Sch 141R'!V7</f>
        <v>89677</v>
      </c>
      <c r="AK9" s="624">
        <f t="shared" ref="AK9:AK22" si="6">SUM(AA9:AJ9)</f>
        <v>19817</v>
      </c>
      <c r="AL9" s="624">
        <f t="shared" ref="AL9:AL22" si="7">SUM(Y9,AK9)</f>
        <v>1404614.0741398777</v>
      </c>
      <c r="AM9" s="639">
        <f t="shared" ref="AM9:AM22" si="8">AK9/Y9</f>
        <v>1.4310399964058773E-2</v>
      </c>
      <c r="AN9" s="639"/>
      <c r="AP9" s="626"/>
    </row>
    <row r="10" spans="1:42">
      <c r="A10" s="636">
        <f t="shared" ref="A10:A24" si="9">+A9+1</f>
        <v>2</v>
      </c>
      <c r="B10" s="640" t="s">
        <v>568</v>
      </c>
      <c r="C10" s="640" t="s">
        <v>62</v>
      </c>
      <c r="D10" s="631">
        <f>'[1]Exhibit No.__(BDJ-MYRP-SUM)'!Q15</f>
        <v>2730372</v>
      </c>
      <c r="E10" s="624">
        <f>'[1]Exhibit No.__(BDJ-MYRP-SUM)'!S15</f>
        <v>273367.43306399998</v>
      </c>
      <c r="F10" s="624">
        <f>+'Sch 95 PCORC'!O12</f>
        <v>0</v>
      </c>
      <c r="G10" s="624">
        <f>+'Sch 95 Imbalance'!O12</f>
        <v>0</v>
      </c>
      <c r="H10" s="624">
        <f>+'Sch 95a'!L12</f>
        <v>-3885</v>
      </c>
      <c r="I10" s="624">
        <f>+'Sch 120'!L12</f>
        <v>10512</v>
      </c>
      <c r="J10" s="624">
        <f>+'Sch 129'!L12</f>
        <v>3642</v>
      </c>
      <c r="K10" s="624">
        <f>+'Sch 137'!L12</f>
        <v>-57</v>
      </c>
      <c r="L10" s="723">
        <f>+'Sch 139'!T12</f>
        <v>-148</v>
      </c>
      <c r="M10" s="723">
        <f>+'Sch 141A'!Q12</f>
        <v>4612</v>
      </c>
      <c r="N10" s="624">
        <f>+'Sch 140'!L12</f>
        <v>7205</v>
      </c>
      <c r="O10" s="624">
        <f>+'Sch 141'!L12</f>
        <v>0</v>
      </c>
      <c r="P10" s="624">
        <f>SUM('Sch 141C'!R11,'Sch 141C'!R12)</f>
        <v>6405</v>
      </c>
      <c r="Q10" s="723">
        <f>SUM('Sch 141N'!U11:U12)</f>
        <v>26971</v>
      </c>
      <c r="R10" s="624">
        <f>SUM('Sch 141R'!U11:U12)</f>
        <v>5043</v>
      </c>
      <c r="S10" s="624">
        <f>+'Sch 141X'!O12</f>
        <v>0</v>
      </c>
      <c r="T10" s="624">
        <f>+'Sch 141Z'!L12</f>
        <v>-1947</v>
      </c>
      <c r="U10" s="624">
        <f>+'Sch 142'!X12</f>
        <v>8956</v>
      </c>
      <c r="V10" s="624">
        <f>+'Sch 142'!P12</f>
        <v>0</v>
      </c>
      <c r="W10" s="624">
        <f>+'Sch 194'!L12</f>
        <v>-1606</v>
      </c>
      <c r="X10" s="624">
        <f t="shared" si="0"/>
        <v>65703</v>
      </c>
      <c r="Y10" s="624">
        <f t="shared" si="1"/>
        <v>339070.43306399998</v>
      </c>
      <c r="Z10" s="632"/>
      <c r="AA10" s="624">
        <f t="shared" si="2"/>
        <v>-6405</v>
      </c>
      <c r="AB10" s="723">
        <f t="shared" si="3"/>
        <v>148</v>
      </c>
      <c r="AC10" s="723">
        <f t="shared" si="3"/>
        <v>-4612</v>
      </c>
      <c r="AD10" s="723">
        <f t="shared" si="4"/>
        <v>-26971</v>
      </c>
      <c r="AE10" s="624">
        <f t="shared" si="5"/>
        <v>-5043</v>
      </c>
      <c r="AF10" s="624">
        <f>SUM('Sch 141C'!S11:S12)</f>
        <v>6802</v>
      </c>
      <c r="AG10" s="718">
        <f>+'Sch 139'!Z12</f>
        <v>-151</v>
      </c>
      <c r="AH10" s="723">
        <f>SUM('Sch 141A'!R11:R12)</f>
        <v>4646</v>
      </c>
      <c r="AI10" s="723">
        <f>SUM('Sch 141N'!V11:V12)</f>
        <v>18105</v>
      </c>
      <c r="AJ10" s="624">
        <f>SUM('Sch 141R'!V11:V12)</f>
        <v>17207</v>
      </c>
      <c r="AK10" s="624">
        <f t="shared" si="6"/>
        <v>3726</v>
      </c>
      <c r="AL10" s="624">
        <f t="shared" si="7"/>
        <v>342796.43306399998</v>
      </c>
      <c r="AM10" s="639">
        <f t="shared" si="8"/>
        <v>1.0988867316828868E-2</v>
      </c>
      <c r="AN10" s="639"/>
      <c r="AP10" s="626"/>
    </row>
    <row r="11" spans="1:42">
      <c r="A11" s="636">
        <f t="shared" si="9"/>
        <v>3</v>
      </c>
      <c r="B11" s="640" t="s">
        <v>570</v>
      </c>
      <c r="C11" s="640" t="s">
        <v>166</v>
      </c>
      <c r="D11" s="631">
        <f>'[1]Exhibit No.__(BDJ-MYRP-SUM)'!Q16</f>
        <v>2948172</v>
      </c>
      <c r="E11" s="624">
        <f>'[1]Exhibit No.__(BDJ-MYRP-SUM)'!S16</f>
        <v>270550.85321436683</v>
      </c>
      <c r="F11" s="624">
        <f>+'Sch 95 PCORC'!O14</f>
        <v>0</v>
      </c>
      <c r="G11" s="624">
        <f>+'Sch 95 Imbalance'!O14</f>
        <v>0</v>
      </c>
      <c r="H11" s="624">
        <f>+'Sch 95a'!L14</f>
        <v>-4263</v>
      </c>
      <c r="I11" s="624">
        <f>+'Sch 120'!L14</f>
        <v>12052</v>
      </c>
      <c r="J11" s="624">
        <f>+'Sch 129'!L14</f>
        <v>3555</v>
      </c>
      <c r="K11" s="624">
        <f>+'Sch 137'!L14</f>
        <v>-65</v>
      </c>
      <c r="L11" s="723">
        <f>+'Sch 139'!T14</f>
        <v>-216</v>
      </c>
      <c r="M11" s="723">
        <f>+'Sch 141A'!Q14</f>
        <v>4896</v>
      </c>
      <c r="N11" s="624">
        <f>+'Sch 140'!L14</f>
        <v>7161</v>
      </c>
      <c r="O11" s="624">
        <f>SUM('Sch 141'!L8,'Sch 141'!L14)</f>
        <v>0</v>
      </c>
      <c r="P11" s="624">
        <f>SUM('Sch 141C'!R14,'Sch 141C'!R13,'Sch 141C'!R8)</f>
        <v>6865</v>
      </c>
      <c r="Q11" s="723">
        <f>SUM('Sch 141N'!U13:U14,'Sch 141N'!U8)</f>
        <v>30185</v>
      </c>
      <c r="R11" s="624">
        <f>SUM('Sch 141R'!U8,'Sch 141R'!U13:U14)</f>
        <v>5637</v>
      </c>
      <c r="S11" s="624">
        <f>SUM('Sch 141X'!O8,'Sch 141X'!O14)</f>
        <v>0</v>
      </c>
      <c r="T11" s="624">
        <f>SUM('Sch 141Z'!L8,'Sch 141Z'!L14)</f>
        <v>-1972</v>
      </c>
      <c r="U11" s="624">
        <f>+'Sch 142'!X14</f>
        <v>8715</v>
      </c>
      <c r="V11" s="624">
        <f>+'Sch 142'!P14</f>
        <v>0</v>
      </c>
      <c r="W11" s="624">
        <f>+'Sch 194'!L14+'Sch 194'!L8</f>
        <v>-946</v>
      </c>
      <c r="X11" s="624">
        <f t="shared" si="0"/>
        <v>71604</v>
      </c>
      <c r="Y11" s="624">
        <f t="shared" si="1"/>
        <v>342154.85321436683</v>
      </c>
      <c r="Z11" s="632"/>
      <c r="AA11" s="624">
        <f t="shared" si="2"/>
        <v>-6865</v>
      </c>
      <c r="AB11" s="723">
        <f t="shared" si="3"/>
        <v>216</v>
      </c>
      <c r="AC11" s="723">
        <f t="shared" si="3"/>
        <v>-4896</v>
      </c>
      <c r="AD11" s="723">
        <f t="shared" si="4"/>
        <v>-30185</v>
      </c>
      <c r="AE11" s="624">
        <f t="shared" si="5"/>
        <v>-5637</v>
      </c>
      <c r="AF11" s="624">
        <f>SUM('Sch 141C'!$S$8,'Sch 141C'!$S$13:$S$14)</f>
        <v>7310</v>
      </c>
      <c r="AG11" s="718">
        <f>+'Sch 139'!Z14</f>
        <v>-220</v>
      </c>
      <c r="AH11" s="723">
        <f>SUM('Sch 141A'!R8,'Sch 141A'!R13:R14)</f>
        <v>4930</v>
      </c>
      <c r="AI11" s="723">
        <f>SUM('Sch 141N'!V8,'Sch 141N'!V13:V14)</f>
        <v>20252</v>
      </c>
      <c r="AJ11" s="624">
        <f>SUM('Sch 141R'!V8,'Sch 141R'!V13:V14)</f>
        <v>19257</v>
      </c>
      <c r="AK11" s="624">
        <f t="shared" si="6"/>
        <v>4162</v>
      </c>
      <c r="AL11" s="624">
        <f t="shared" si="7"/>
        <v>346316.85321436683</v>
      </c>
      <c r="AM11" s="639">
        <f t="shared" si="8"/>
        <v>1.2164082902522572E-2</v>
      </c>
      <c r="AN11" s="639"/>
      <c r="AP11" s="626"/>
    </row>
    <row r="12" spans="1:42">
      <c r="A12" s="636">
        <f t="shared" si="9"/>
        <v>4</v>
      </c>
      <c r="B12" s="640" t="s">
        <v>569</v>
      </c>
      <c r="C12" s="640" t="s">
        <v>63</v>
      </c>
      <c r="D12" s="631">
        <f>'[1]Exhibit No.__(BDJ-MYRP-SUM)'!Q17</f>
        <v>1853862</v>
      </c>
      <c r="E12" s="624">
        <f>'[1]Exhibit No.__(BDJ-MYRP-SUM)'!S17</f>
        <v>153781.74323055093</v>
      </c>
      <c r="F12" s="624">
        <f>+'Sch 95 PCORC'!O16</f>
        <v>0</v>
      </c>
      <c r="G12" s="624">
        <f>+'Sch 95 Imbalance'!O16</f>
        <v>0</v>
      </c>
      <c r="H12" s="624">
        <f>+'Sch 95a'!L16</f>
        <v>-2631</v>
      </c>
      <c r="I12" s="624">
        <f>+'Sch 120'!L16</f>
        <v>7786</v>
      </c>
      <c r="J12" s="624">
        <f>+'Sch 129'!L16</f>
        <v>2073</v>
      </c>
      <c r="K12" s="624">
        <f>+'Sch 137'!L16</f>
        <v>-39</v>
      </c>
      <c r="L12" s="723">
        <f>+'Sch 139'!T16</f>
        <v>-360</v>
      </c>
      <c r="M12" s="723">
        <f>+'Sch 141A'!Q16</f>
        <v>2771</v>
      </c>
      <c r="N12" s="624">
        <f>+'Sch 140'!L16</f>
        <v>4277</v>
      </c>
      <c r="O12" s="624">
        <f>+'Sch 141'!L16</f>
        <v>0</v>
      </c>
      <c r="P12" s="624">
        <f>SUM('Sch 141C'!R15,'Sch 141C'!R16)</f>
        <v>3944</v>
      </c>
      <c r="Q12" s="723">
        <f>SUM('Sch 141N'!U15:U16)</f>
        <v>16591</v>
      </c>
      <c r="R12" s="624">
        <f>SUM('Sch 141R'!U15:U16)</f>
        <v>3113</v>
      </c>
      <c r="S12" s="624">
        <f>+'Sch 141X'!O16</f>
        <v>0</v>
      </c>
      <c r="T12" s="624">
        <f>+'Sch 141Z'!L16</f>
        <v>-1070</v>
      </c>
      <c r="U12" s="624">
        <f>+'Sch 142'!X16</f>
        <v>5017</v>
      </c>
      <c r="V12" s="624">
        <f>+'Sch 142'!P16</f>
        <v>0</v>
      </c>
      <c r="W12" s="624">
        <f>+'Sch 194'!L16</f>
        <v>-118</v>
      </c>
      <c r="X12" s="624">
        <f t="shared" si="0"/>
        <v>41354</v>
      </c>
      <c r="Y12" s="624">
        <f t="shared" si="1"/>
        <v>195135.74323055093</v>
      </c>
      <c r="Z12" s="632"/>
      <c r="AA12" s="624">
        <f t="shared" si="2"/>
        <v>-3944</v>
      </c>
      <c r="AB12" s="723">
        <f t="shared" si="3"/>
        <v>360</v>
      </c>
      <c r="AC12" s="723">
        <f t="shared" si="3"/>
        <v>-2771</v>
      </c>
      <c r="AD12" s="723">
        <f t="shared" si="4"/>
        <v>-16591</v>
      </c>
      <c r="AE12" s="624">
        <f t="shared" si="5"/>
        <v>-3113</v>
      </c>
      <c r="AF12" s="624">
        <f>SUM('Sch 141C'!$S$15:$S$16)</f>
        <v>4221</v>
      </c>
      <c r="AG12" s="718">
        <f>+'Sch 139'!Z16</f>
        <v>-366</v>
      </c>
      <c r="AH12" s="723">
        <f>SUM('Sch 141A'!R15:R16)</f>
        <v>2787</v>
      </c>
      <c r="AI12" s="723">
        <f>SUM('Sch 141N'!V15:V16)</f>
        <v>11158</v>
      </c>
      <c r="AJ12" s="624">
        <f>SUM('Sch 141R'!V15:V16)</f>
        <v>10635</v>
      </c>
      <c r="AK12" s="624">
        <f t="shared" si="6"/>
        <v>2376</v>
      </c>
      <c r="AL12" s="624">
        <f t="shared" si="7"/>
        <v>197511.74323055093</v>
      </c>
      <c r="AM12" s="639">
        <f t="shared" si="8"/>
        <v>1.2176139341077969E-2</v>
      </c>
      <c r="AN12" s="639"/>
      <c r="AP12" s="626"/>
    </row>
    <row r="13" spans="1:42">
      <c r="A13" s="636">
        <f t="shared" si="9"/>
        <v>5</v>
      </c>
      <c r="B13" s="640" t="s">
        <v>571</v>
      </c>
      <c r="C13" s="640">
        <v>29</v>
      </c>
      <c r="D13" s="631">
        <f>'[1]Exhibit No.__(BDJ-MYRP-SUM)'!Q18</f>
        <v>15233.452499999999</v>
      </c>
      <c r="E13" s="624">
        <f>'[1]Exhibit No.__(BDJ-MYRP-SUM)'!S18</f>
        <v>1301.0961887460082</v>
      </c>
      <c r="F13" s="624">
        <f>+'Sch 95 PCORC'!O17</f>
        <v>0</v>
      </c>
      <c r="G13" s="624">
        <f>+'Sch 95 Imbalance'!O17</f>
        <v>0</v>
      </c>
      <c r="H13" s="624">
        <f>+'Sch 95a'!L17</f>
        <v>-19</v>
      </c>
      <c r="I13" s="624">
        <f>+'Sch 120'!L17</f>
        <v>52</v>
      </c>
      <c r="J13" s="624">
        <f>+'Sch 129'!L17</f>
        <v>16</v>
      </c>
      <c r="K13" s="624">
        <f>+'Sch 137'!L17</f>
        <v>0</v>
      </c>
      <c r="L13" s="723">
        <f>+'Sch 139'!T17</f>
        <v>0</v>
      </c>
      <c r="M13" s="723">
        <f>+'Sch 141A'!Q17</f>
        <v>27</v>
      </c>
      <c r="N13" s="624">
        <f>+'Sch 140'!L17</f>
        <v>37</v>
      </c>
      <c r="O13" s="624">
        <f>+'Sch 141'!L17</f>
        <v>0</v>
      </c>
      <c r="P13" s="624">
        <f>SUM('Sch 141C'!R17)</f>
        <v>37</v>
      </c>
      <c r="Q13" s="723">
        <f>SUM('Sch 141N'!U17)</f>
        <v>156</v>
      </c>
      <c r="R13" s="624">
        <f>+'Sch 141R'!U17</f>
        <v>29</v>
      </c>
      <c r="S13" s="624">
        <f>+'Sch 141X'!O17</f>
        <v>0</v>
      </c>
      <c r="T13" s="624">
        <f>+'Sch 141Z'!L17</f>
        <v>-10</v>
      </c>
      <c r="U13" s="624">
        <f>+'Sch 142'!X17</f>
        <v>45</v>
      </c>
      <c r="V13" s="624">
        <f>+'Sch 142'!P17</f>
        <v>0</v>
      </c>
      <c r="W13" s="624">
        <f>+'Sch 194'!L17</f>
        <v>-102</v>
      </c>
      <c r="X13" s="624">
        <f t="shared" si="0"/>
        <v>268</v>
      </c>
      <c r="Y13" s="624">
        <f t="shared" si="1"/>
        <v>1569.0961887460082</v>
      </c>
      <c r="Z13" s="632"/>
      <c r="AA13" s="624">
        <f t="shared" si="2"/>
        <v>-37</v>
      </c>
      <c r="AB13" s="723">
        <f t="shared" si="3"/>
        <v>0</v>
      </c>
      <c r="AC13" s="723">
        <f t="shared" si="3"/>
        <v>-27</v>
      </c>
      <c r="AD13" s="723">
        <f t="shared" si="4"/>
        <v>-156</v>
      </c>
      <c r="AE13" s="624">
        <f t="shared" si="5"/>
        <v>-29</v>
      </c>
      <c r="AF13" s="624">
        <f>+'Sch 141C'!S17</f>
        <v>39</v>
      </c>
      <c r="AG13" s="718">
        <f>+'Sch 139'!Z17</f>
        <v>0</v>
      </c>
      <c r="AH13" s="723">
        <f>+'Sch 141A'!R17</f>
        <v>27</v>
      </c>
      <c r="AI13" s="723">
        <f>+'Sch 141N'!V17</f>
        <v>105</v>
      </c>
      <c r="AJ13" s="624">
        <f>+'Sch 141R'!V17</f>
        <v>99</v>
      </c>
      <c r="AK13" s="624">
        <f t="shared" si="6"/>
        <v>21</v>
      </c>
      <c r="AL13" s="624">
        <f t="shared" si="7"/>
        <v>1590.0961887460082</v>
      </c>
      <c r="AM13" s="639">
        <f t="shared" si="8"/>
        <v>1.3383500737952081E-2</v>
      </c>
      <c r="AN13" s="639"/>
      <c r="AP13" s="626"/>
    </row>
    <row r="14" spans="1:42">
      <c r="A14" s="636">
        <f t="shared" si="9"/>
        <v>6</v>
      </c>
      <c r="B14" s="640" t="s">
        <v>572</v>
      </c>
      <c r="C14" s="640" t="s">
        <v>64</v>
      </c>
      <c r="D14" s="631">
        <f>'[1]Exhibit No.__(BDJ-MYRP-SUM)'!Q19</f>
        <v>1335448</v>
      </c>
      <c r="E14" s="624">
        <f>'[1]Exhibit No.__(BDJ-MYRP-SUM)'!S19</f>
        <v>109804.93449360329</v>
      </c>
      <c r="F14" s="624">
        <f>+'Sch 95 PCORC'!O21</f>
        <v>0</v>
      </c>
      <c r="G14" s="624">
        <f>+'Sch 95 Imbalance'!O21</f>
        <v>0</v>
      </c>
      <c r="H14" s="624">
        <f>+'Sch 95a'!L21</f>
        <v>-1795</v>
      </c>
      <c r="I14" s="624">
        <f>+'Sch 120'!L21</f>
        <v>5104</v>
      </c>
      <c r="J14" s="624">
        <f>+'Sch 129'!L21</f>
        <v>1478</v>
      </c>
      <c r="K14" s="624">
        <f>+'Sch 137'!L21</f>
        <v>-27</v>
      </c>
      <c r="L14" s="723">
        <f>+'Sch 139'!T21</f>
        <v>-164</v>
      </c>
      <c r="M14" s="723">
        <f>+'Sch 141A'!Q21</f>
        <v>2036</v>
      </c>
      <c r="N14" s="624">
        <f>+'Sch 140'!L21</f>
        <v>2967</v>
      </c>
      <c r="O14" s="624">
        <f>+'Sch 141'!L21</f>
        <v>0</v>
      </c>
      <c r="P14" s="624">
        <f>SUM('Sch 141C'!R21,'Sch 141C'!R20)</f>
        <v>2743</v>
      </c>
      <c r="Q14" s="723">
        <f>SUM('Sch 141N'!U20:U21)</f>
        <v>11609</v>
      </c>
      <c r="R14" s="624">
        <f>SUM('Sch 141R'!U20:U21)</f>
        <v>2164</v>
      </c>
      <c r="S14" s="624">
        <f>+'Sch 141X'!O21</f>
        <v>0</v>
      </c>
      <c r="T14" s="624">
        <f>+'Sch 141Z'!L21</f>
        <v>-788</v>
      </c>
      <c r="U14" s="624">
        <f>+'Sch 142'!X21</f>
        <v>3618</v>
      </c>
      <c r="V14" s="624">
        <f>+'Sch 142'!P21</f>
        <v>0</v>
      </c>
      <c r="W14" s="624">
        <f>+'Sch 194'!L21</f>
        <v>-188</v>
      </c>
      <c r="X14" s="624">
        <f t="shared" si="0"/>
        <v>28757</v>
      </c>
      <c r="Y14" s="624">
        <f t="shared" si="1"/>
        <v>138561.9344936033</v>
      </c>
      <c r="Z14" s="632"/>
      <c r="AA14" s="624">
        <f t="shared" si="2"/>
        <v>-2743</v>
      </c>
      <c r="AB14" s="723">
        <f t="shared" si="3"/>
        <v>164</v>
      </c>
      <c r="AC14" s="723">
        <f t="shared" si="3"/>
        <v>-2036</v>
      </c>
      <c r="AD14" s="723">
        <f t="shared" si="4"/>
        <v>-11609</v>
      </c>
      <c r="AE14" s="624">
        <f t="shared" si="5"/>
        <v>-2164</v>
      </c>
      <c r="AF14" s="624">
        <f>SUM('Sch 141C'!$S$20:$S$21)</f>
        <v>2949</v>
      </c>
      <c r="AG14" s="718">
        <f>+'Sch 139'!Z21</f>
        <v>-167</v>
      </c>
      <c r="AH14" s="723">
        <f>SUM('Sch 141A'!R20:R21)</f>
        <v>2072</v>
      </c>
      <c r="AI14" s="723">
        <f>SUM('Sch 141N'!V20:V21)</f>
        <v>7861</v>
      </c>
      <c r="AJ14" s="624">
        <f>SUM('Sch 141R'!V20:V21)</f>
        <v>7492</v>
      </c>
      <c r="AK14" s="624">
        <f t="shared" si="6"/>
        <v>1819</v>
      </c>
      <c r="AL14" s="624">
        <f t="shared" si="7"/>
        <v>140380.9344936033</v>
      </c>
      <c r="AM14" s="639">
        <f t="shared" si="8"/>
        <v>1.3127703554715988E-2</v>
      </c>
      <c r="AN14" s="639"/>
      <c r="AP14" s="626"/>
    </row>
    <row r="15" spans="1:42">
      <c r="A15" s="636">
        <f t="shared" si="9"/>
        <v>7</v>
      </c>
      <c r="B15" s="640" t="s">
        <v>573</v>
      </c>
      <c r="C15" s="640">
        <v>35</v>
      </c>
      <c r="D15" s="631">
        <f>'[1]Exhibit No.__(BDJ-MYRP-SUM)'!Q20</f>
        <v>4695</v>
      </c>
      <c r="E15" s="624">
        <f>'[1]Exhibit No.__(BDJ-MYRP-SUM)'!S20</f>
        <v>293.08723693641753</v>
      </c>
      <c r="F15" s="624">
        <f>+'Sch 95 PCORC'!O22</f>
        <v>0</v>
      </c>
      <c r="G15" s="624">
        <f>+'Sch 95 Imbalance'!O22</f>
        <v>0</v>
      </c>
      <c r="H15" s="624">
        <f>+'Sch 95a'!L22</f>
        <v>-5</v>
      </c>
      <c r="I15" s="624">
        <f>+'Sch 120'!L22</f>
        <v>13</v>
      </c>
      <c r="J15" s="624">
        <f>+'Sch 129'!L22</f>
        <v>4</v>
      </c>
      <c r="K15" s="624">
        <f>+'Sch 137'!L22</f>
        <v>0</v>
      </c>
      <c r="L15" s="723">
        <f>+'Sch 139'!T22</f>
        <v>0</v>
      </c>
      <c r="M15" s="723">
        <f>+'Sch 141A'!Q22</f>
        <v>7</v>
      </c>
      <c r="N15" s="624">
        <f>+'Sch 140'!L22</f>
        <v>10</v>
      </c>
      <c r="O15" s="624">
        <f>+'Sch 141'!L22</f>
        <v>0</v>
      </c>
      <c r="P15" s="624">
        <f>SUM('Sch 141C'!R22)</f>
        <v>7</v>
      </c>
      <c r="Q15" s="723">
        <f>SUM('Sch 141N'!U22)</f>
        <v>58</v>
      </c>
      <c r="R15" s="624">
        <f>+'Sch 141R'!U22</f>
        <v>11</v>
      </c>
      <c r="S15" s="624">
        <f>+'Sch 141X'!O22</f>
        <v>0</v>
      </c>
      <c r="T15" s="624">
        <f>+'Sch 141Z'!L22</f>
        <v>-5</v>
      </c>
      <c r="U15" s="624">
        <f>+'Sch 142'!X22</f>
        <v>14</v>
      </c>
      <c r="V15" s="624">
        <f>+'Sch 142'!P22</f>
        <v>0</v>
      </c>
      <c r="W15" s="624">
        <f>+'Sch 194'!L22</f>
        <v>-31</v>
      </c>
      <c r="X15" s="624">
        <f t="shared" si="0"/>
        <v>83</v>
      </c>
      <c r="Y15" s="624">
        <f t="shared" si="1"/>
        <v>376.08723693641753</v>
      </c>
      <c r="Z15" s="632"/>
      <c r="AA15" s="624">
        <f t="shared" si="2"/>
        <v>-7</v>
      </c>
      <c r="AB15" s="723">
        <f t="shared" si="3"/>
        <v>0</v>
      </c>
      <c r="AC15" s="723">
        <f t="shared" si="3"/>
        <v>-7</v>
      </c>
      <c r="AD15" s="723">
        <f t="shared" si="4"/>
        <v>-58</v>
      </c>
      <c r="AE15" s="624">
        <f t="shared" si="5"/>
        <v>-11</v>
      </c>
      <c r="AF15" s="624">
        <f>+'Sch 141C'!S22</f>
        <v>7</v>
      </c>
      <c r="AG15" s="718">
        <f>+'Sch 139'!Z22</f>
        <v>0</v>
      </c>
      <c r="AH15" s="723">
        <f>+'Sch 141A'!R22</f>
        <v>8</v>
      </c>
      <c r="AI15" s="723">
        <f>+'Sch 141N'!V22</f>
        <v>39</v>
      </c>
      <c r="AJ15" s="624">
        <f>+'Sch 141R'!V22</f>
        <v>37</v>
      </c>
      <c r="AK15" s="624">
        <f t="shared" si="6"/>
        <v>8</v>
      </c>
      <c r="AL15" s="624">
        <f t="shared" si="7"/>
        <v>384.08723693641753</v>
      </c>
      <c r="AM15" s="639">
        <f t="shared" si="8"/>
        <v>2.1271660440187988E-2</v>
      </c>
      <c r="AN15" s="639"/>
      <c r="AP15" s="626"/>
    </row>
    <row r="16" spans="1:42">
      <c r="A16" s="636">
        <f t="shared" si="9"/>
        <v>8</v>
      </c>
      <c r="B16" s="640" t="s">
        <v>574</v>
      </c>
      <c r="C16" s="640">
        <v>43</v>
      </c>
      <c r="D16" s="631">
        <f>'[1]Exhibit No.__(BDJ-MYRP-SUM)'!Q21</f>
        <v>119782</v>
      </c>
      <c r="E16" s="624">
        <f>'[1]Exhibit No.__(BDJ-MYRP-SUM)'!S21</f>
        <v>10687.074082303612</v>
      </c>
      <c r="F16" s="624">
        <f>+'Sch 95 PCORC'!O23</f>
        <v>0</v>
      </c>
      <c r="G16" s="624">
        <f>+'Sch 95 Imbalance'!O23</f>
        <v>0</v>
      </c>
      <c r="H16" s="624">
        <f>+'Sch 95a'!L23</f>
        <v>-127</v>
      </c>
      <c r="I16" s="624">
        <f>+'Sch 120'!L23</f>
        <v>367</v>
      </c>
      <c r="J16" s="624">
        <f>+'Sch 129'!L23</f>
        <v>139</v>
      </c>
      <c r="K16" s="624">
        <f>+'Sch 137'!L23</f>
        <v>-2</v>
      </c>
      <c r="L16" s="723">
        <f>+'Sch 139'!T23</f>
        <v>-10</v>
      </c>
      <c r="M16" s="723">
        <f>+'Sch 141A'!Q23</f>
        <v>180</v>
      </c>
      <c r="N16" s="624">
        <f>+'Sch 140'!L23</f>
        <v>366</v>
      </c>
      <c r="O16" s="624">
        <f>+'Sch 141'!L23</f>
        <v>0</v>
      </c>
      <c r="P16" s="624">
        <f>SUM('Sch 141C'!R23)</f>
        <v>53</v>
      </c>
      <c r="Q16" s="723">
        <f>SUM('Sch 141N'!U23)</f>
        <v>942</v>
      </c>
      <c r="R16" s="624">
        <f>+'Sch 141R'!U23</f>
        <v>176</v>
      </c>
      <c r="S16" s="624">
        <f>+'Sch 141X'!O23</f>
        <v>0</v>
      </c>
      <c r="T16" s="624">
        <f>+'Sch 141Z'!L23</f>
        <v>-97</v>
      </c>
      <c r="U16" s="624">
        <f>+'Sch 142'!X23</f>
        <v>354</v>
      </c>
      <c r="V16" s="624">
        <f>+'Sch 142'!P23</f>
        <v>0</v>
      </c>
      <c r="W16" s="624">
        <f>+'Sch 194'!L23</f>
        <v>0</v>
      </c>
      <c r="X16" s="624">
        <f t="shared" si="0"/>
        <v>2341</v>
      </c>
      <c r="Y16" s="624">
        <f t="shared" si="1"/>
        <v>13028.074082303612</v>
      </c>
      <c r="Z16" s="632"/>
      <c r="AA16" s="624">
        <f t="shared" si="2"/>
        <v>-53</v>
      </c>
      <c r="AB16" s="723">
        <f t="shared" si="3"/>
        <v>10</v>
      </c>
      <c r="AC16" s="723">
        <f t="shared" si="3"/>
        <v>-180</v>
      </c>
      <c r="AD16" s="723">
        <f t="shared" si="4"/>
        <v>-942</v>
      </c>
      <c r="AE16" s="624">
        <f t="shared" si="5"/>
        <v>-176</v>
      </c>
      <c r="AF16" s="624">
        <f>+'Sch 141C'!S23</f>
        <v>56</v>
      </c>
      <c r="AG16" s="718">
        <f>+'Sch 139'!Z23</f>
        <v>-10</v>
      </c>
      <c r="AH16" s="723">
        <f>+'Sch 141A'!R23</f>
        <v>181</v>
      </c>
      <c r="AI16" s="723">
        <f>+'Sch 141N'!V23</f>
        <v>631</v>
      </c>
      <c r="AJ16" s="624">
        <f>+'Sch 141R'!V23</f>
        <v>597</v>
      </c>
      <c r="AK16" s="624">
        <f t="shared" si="6"/>
        <v>114</v>
      </c>
      <c r="AL16" s="624">
        <f t="shared" si="7"/>
        <v>13142.074082303612</v>
      </c>
      <c r="AM16" s="639">
        <f t="shared" si="8"/>
        <v>8.7503340309408664E-3</v>
      </c>
      <c r="AN16" s="639"/>
      <c r="AP16" s="626"/>
    </row>
    <row r="17" spans="1:42">
      <c r="A17" s="636">
        <f t="shared" si="9"/>
        <v>9</v>
      </c>
      <c r="B17" s="640" t="s">
        <v>575</v>
      </c>
      <c r="C17" s="640">
        <v>46</v>
      </c>
      <c r="D17" s="631">
        <f>'[1]Exhibit No.__(BDJ-MYRP-SUM)'!Q22</f>
        <v>89210.525500000018</v>
      </c>
      <c r="E17" s="624">
        <f>'[1]Exhibit No.__(BDJ-MYRP-SUM)'!S22</f>
        <v>5629.3069567610009</v>
      </c>
      <c r="F17" s="624">
        <f>+'Sch 95 PCORC'!O26</f>
        <v>0</v>
      </c>
      <c r="G17" s="624">
        <f>+'Sch 95 Imbalance'!O26</f>
        <v>0</v>
      </c>
      <c r="H17" s="624">
        <f>+'Sch 95a'!L26</f>
        <v>-86</v>
      </c>
      <c r="I17" s="624">
        <f>+'Sch 120'!L26</f>
        <v>318</v>
      </c>
      <c r="J17" s="624">
        <f>+'Sch 129'!L26</f>
        <v>77</v>
      </c>
      <c r="K17" s="624">
        <f>+'Sch 137'!L26</f>
        <v>-1</v>
      </c>
      <c r="L17" s="723">
        <f>+'Sch 139'!T26</f>
        <v>-25</v>
      </c>
      <c r="M17" s="723">
        <f>+'Sch 141A'!Q26</f>
        <v>116</v>
      </c>
      <c r="N17" s="624">
        <f>+'Sch 140'!L26</f>
        <v>149</v>
      </c>
      <c r="O17" s="624">
        <f>+'Sch 141'!L26</f>
        <v>0</v>
      </c>
      <c r="P17" s="624">
        <f>SUM('Sch 141C'!R26)</f>
        <v>46</v>
      </c>
      <c r="Q17" s="723">
        <f>SUM('Sch 141N'!U26)</f>
        <v>423</v>
      </c>
      <c r="R17" s="624">
        <f>+'Sch 141R'!U26</f>
        <v>78</v>
      </c>
      <c r="S17" s="624">
        <f>+'Sch 141X'!O26</f>
        <v>0</v>
      </c>
      <c r="T17" s="624">
        <f>+'Sch 141Z'!L26</f>
        <v>-40</v>
      </c>
      <c r="U17" s="624">
        <f>+'Sch 142'!X26</f>
        <v>0</v>
      </c>
      <c r="V17" s="624">
        <f>+'Sch 142'!P26</f>
        <v>0</v>
      </c>
      <c r="W17" s="624">
        <f>+'Sch 194'!L28</f>
        <v>0</v>
      </c>
      <c r="X17" s="624">
        <f t="shared" si="0"/>
        <v>1055</v>
      </c>
      <c r="Y17" s="624">
        <f t="shared" si="1"/>
        <v>6684.3069567610009</v>
      </c>
      <c r="Z17" s="632"/>
      <c r="AA17" s="624">
        <f t="shared" si="2"/>
        <v>-46</v>
      </c>
      <c r="AB17" s="723">
        <f t="shared" si="3"/>
        <v>25</v>
      </c>
      <c r="AC17" s="723">
        <f t="shared" si="3"/>
        <v>-116</v>
      </c>
      <c r="AD17" s="723">
        <f t="shared" si="4"/>
        <v>-423</v>
      </c>
      <c r="AE17" s="624">
        <f t="shared" si="5"/>
        <v>-78</v>
      </c>
      <c r="AF17" s="624">
        <f>+'Sch 141C'!S26</f>
        <v>49</v>
      </c>
      <c r="AG17" s="718">
        <f>+'Sch 139'!Z26</f>
        <v>-25</v>
      </c>
      <c r="AH17" s="723">
        <f>+'Sch 141A'!R26</f>
        <v>119</v>
      </c>
      <c r="AI17" s="723">
        <f>+'Sch 141N'!V26</f>
        <v>291</v>
      </c>
      <c r="AJ17" s="624">
        <f>+'Sch 141R'!V26</f>
        <v>275</v>
      </c>
      <c r="AK17" s="624">
        <f t="shared" si="6"/>
        <v>71</v>
      </c>
      <c r="AL17" s="624">
        <f t="shared" si="7"/>
        <v>6755.3069567610009</v>
      </c>
      <c r="AM17" s="639">
        <f t="shared" si="8"/>
        <v>1.0621894006256754E-2</v>
      </c>
      <c r="AN17" s="639"/>
      <c r="AP17" s="626"/>
    </row>
    <row r="18" spans="1:42">
      <c r="A18" s="636">
        <f t="shared" si="9"/>
        <v>10</v>
      </c>
      <c r="B18" s="640" t="s">
        <v>576</v>
      </c>
      <c r="C18" s="640">
        <v>49</v>
      </c>
      <c r="D18" s="631">
        <f>'[1]Exhibit No.__(BDJ-MYRP-SUM)'!Q23</f>
        <v>499683</v>
      </c>
      <c r="E18" s="624">
        <f>'[1]Exhibit No.__(BDJ-MYRP-SUM)'!S23</f>
        <v>32177.934112939227</v>
      </c>
      <c r="F18" s="624">
        <f>+'Sch 95 PCORC'!O27</f>
        <v>0</v>
      </c>
      <c r="G18" s="624">
        <f>+'Sch 95 Imbalance'!O27</f>
        <v>0</v>
      </c>
      <c r="H18" s="624">
        <f>+'Sch 95a'!L27</f>
        <v>-650</v>
      </c>
      <c r="I18" s="624">
        <f>+'Sch 120'!L27</f>
        <v>1744</v>
      </c>
      <c r="J18" s="624">
        <f>+'Sch 129'!L27</f>
        <v>424</v>
      </c>
      <c r="K18" s="624">
        <f>+'Sch 137'!L27</f>
        <v>-10</v>
      </c>
      <c r="L18" s="723">
        <f>+'Sch 139'!T27</f>
        <v>-194</v>
      </c>
      <c r="M18" s="723">
        <f>+'Sch 141A'!Q27</f>
        <v>648</v>
      </c>
      <c r="N18" s="624">
        <f>+'Sch 140'!L27</f>
        <v>833</v>
      </c>
      <c r="O18" s="624">
        <f>+'Sch 141'!L27</f>
        <v>0</v>
      </c>
      <c r="P18" s="624">
        <f>SUM('Sch 141C'!R27)</f>
        <v>958</v>
      </c>
      <c r="Q18" s="723">
        <f>SUM('Sch 141N'!U27)</f>
        <v>2370</v>
      </c>
      <c r="R18" s="624">
        <f>+'Sch 141R'!U27</f>
        <v>445</v>
      </c>
      <c r="S18" s="624">
        <f>+'Sch 141X'!O27</f>
        <v>0</v>
      </c>
      <c r="T18" s="624">
        <f>+'Sch 141Z'!L27</f>
        <v>-225</v>
      </c>
      <c r="U18" s="624">
        <f>+'Sch 142'!X27</f>
        <v>0</v>
      </c>
      <c r="V18" s="624">
        <f>+'Sch 142'!P27</f>
        <v>0</v>
      </c>
      <c r="W18" s="624">
        <f>+'Sch 194'!L29</f>
        <v>0</v>
      </c>
      <c r="X18" s="624">
        <f t="shared" si="0"/>
        <v>6343</v>
      </c>
      <c r="Y18" s="624">
        <f t="shared" si="1"/>
        <v>38520.934112939227</v>
      </c>
      <c r="Z18" s="632"/>
      <c r="AA18" s="624">
        <f t="shared" si="2"/>
        <v>-958</v>
      </c>
      <c r="AB18" s="723">
        <f t="shared" si="3"/>
        <v>194</v>
      </c>
      <c r="AC18" s="723">
        <f t="shared" si="3"/>
        <v>-648</v>
      </c>
      <c r="AD18" s="723">
        <f t="shared" si="4"/>
        <v>-2370</v>
      </c>
      <c r="AE18" s="624">
        <f t="shared" si="5"/>
        <v>-445</v>
      </c>
      <c r="AF18" s="624">
        <f>+'Sch 141C'!S27</f>
        <v>1043</v>
      </c>
      <c r="AG18" s="718">
        <f>+'Sch 139'!Z27</f>
        <v>-198</v>
      </c>
      <c r="AH18" s="723">
        <f>+'Sch 141A'!R27</f>
        <v>669</v>
      </c>
      <c r="AI18" s="723">
        <f>+'Sch 141N'!V27</f>
        <v>1615</v>
      </c>
      <c r="AJ18" s="624">
        <f>+'Sch 141R'!V27</f>
        <v>1540</v>
      </c>
      <c r="AK18" s="624">
        <f t="shared" si="6"/>
        <v>442</v>
      </c>
      <c r="AL18" s="624">
        <f t="shared" si="7"/>
        <v>38962.934112939227</v>
      </c>
      <c r="AM18" s="639">
        <f t="shared" si="8"/>
        <v>1.1474280418644669E-2</v>
      </c>
      <c r="AN18" s="639"/>
      <c r="AP18" s="626"/>
    </row>
    <row r="19" spans="1:42">
      <c r="A19" s="636">
        <f t="shared" si="9"/>
        <v>11</v>
      </c>
      <c r="B19" s="640" t="s">
        <v>577</v>
      </c>
      <c r="C19" s="640" t="s">
        <v>16</v>
      </c>
      <c r="D19" s="631">
        <f>'[1]Exhibit No.__(BDJ-MYRP-SUM)'!Q24</f>
        <v>61382</v>
      </c>
      <c r="E19" s="624">
        <f>'[1]Exhibit No.__(BDJ-MYRP-SUM)'!S24</f>
        <v>15317.545299997821</v>
      </c>
      <c r="F19" s="624">
        <f>+'Sch 95 PCORC'!O30</f>
        <v>0</v>
      </c>
      <c r="G19" s="624">
        <f>+'Sch 95 Imbalance'!O30</f>
        <v>0</v>
      </c>
      <c r="H19" s="624">
        <f>+'Sch 95a'!L30</f>
        <v>-83</v>
      </c>
      <c r="I19" s="624">
        <f>+'Sch 120'!L30</f>
        <v>221</v>
      </c>
      <c r="J19" s="624">
        <f>+'Sch 129'!L30</f>
        <v>181</v>
      </c>
      <c r="K19" s="624">
        <f>+'Sch 137'!L30</f>
        <v>-1</v>
      </c>
      <c r="L19" s="723">
        <f>+'Sch 139'!T30</f>
        <v>0</v>
      </c>
      <c r="M19" s="723">
        <f>+'Sch 141A'!Q30</f>
        <v>122</v>
      </c>
      <c r="N19" s="624">
        <f>+'Sch 140'!L30</f>
        <v>570</v>
      </c>
      <c r="O19" s="624">
        <f>+'Sch 141'!L30</f>
        <v>0</v>
      </c>
      <c r="P19" s="624">
        <f>SUM('Sch 141C'!R30)</f>
        <v>75</v>
      </c>
      <c r="Q19" s="723">
        <f>SUM('Sch 141N'!U30)</f>
        <v>2734</v>
      </c>
      <c r="R19" s="624">
        <f>+'Sch 141R'!U30</f>
        <v>511</v>
      </c>
      <c r="S19" s="624">
        <f>+'Sch 141X'!O30</f>
        <v>0</v>
      </c>
      <c r="T19" s="624">
        <f>+'Sch 141Z'!L30</f>
        <v>-154</v>
      </c>
      <c r="U19" s="624">
        <f>+'Sch 142'!X30</f>
        <v>0</v>
      </c>
      <c r="V19" s="624">
        <f>+'Sch 142'!P30</f>
        <v>0</v>
      </c>
      <c r="W19" s="624">
        <f>+'Sch 194'!L32</f>
        <v>0</v>
      </c>
      <c r="X19" s="624">
        <f t="shared" si="0"/>
        <v>4176</v>
      </c>
      <c r="Y19" s="624">
        <f t="shared" si="1"/>
        <v>19493.545299997822</v>
      </c>
      <c r="Z19" s="632"/>
      <c r="AA19" s="624">
        <f t="shared" si="2"/>
        <v>-75</v>
      </c>
      <c r="AB19" s="723">
        <f t="shared" si="3"/>
        <v>0</v>
      </c>
      <c r="AC19" s="723">
        <f t="shared" si="3"/>
        <v>-122</v>
      </c>
      <c r="AD19" s="723">
        <f t="shared" si="4"/>
        <v>-2734</v>
      </c>
      <c r="AE19" s="624">
        <f t="shared" si="5"/>
        <v>-511</v>
      </c>
      <c r="AF19" s="624">
        <f>+'Sch 141C'!S30</f>
        <v>82</v>
      </c>
      <c r="AG19" s="718">
        <f>+'Sch 139'!Z30</f>
        <v>0</v>
      </c>
      <c r="AH19" s="723">
        <f>+'Sch 141A'!R30</f>
        <v>127</v>
      </c>
      <c r="AI19" s="723">
        <f>+'Sch 141N'!V30</f>
        <v>1897</v>
      </c>
      <c r="AJ19" s="624">
        <f>+'Sch 141R'!V30</f>
        <v>1803</v>
      </c>
      <c r="AK19" s="624">
        <f t="shared" si="6"/>
        <v>467</v>
      </c>
      <c r="AL19" s="624">
        <f t="shared" si="7"/>
        <v>19960.545299997822</v>
      </c>
      <c r="AM19" s="639">
        <f t="shared" si="8"/>
        <v>2.3956647844866483E-2</v>
      </c>
      <c r="AN19" s="639"/>
      <c r="AP19" s="626"/>
    </row>
    <row r="20" spans="1:42">
      <c r="A20" s="636">
        <f t="shared" si="9"/>
        <v>12</v>
      </c>
      <c r="B20" s="640" t="s">
        <v>112</v>
      </c>
      <c r="C20" s="640" t="s">
        <v>17</v>
      </c>
      <c r="D20" s="631">
        <f>'[1]Exhibit No.__(BDJ-MYRP-SUM)'!Q25</f>
        <v>1895104</v>
      </c>
      <c r="E20" s="624">
        <f>'[1]Exhibit No.__(BDJ-MYRP-SUM)'!S25</f>
        <v>9224.3709999999992</v>
      </c>
      <c r="F20" s="624">
        <f>+'Sch 95 PCORC'!O32</f>
        <v>0</v>
      </c>
      <c r="G20" s="624">
        <f>+'Sch 95 Imbalance'!O32</f>
        <v>0</v>
      </c>
      <c r="H20" s="624">
        <f>+'Sch 95a'!L32</f>
        <v>0</v>
      </c>
      <c r="I20" s="624">
        <f>+'Sch 120'!L32</f>
        <v>1984</v>
      </c>
      <c r="J20" s="624">
        <f>+'Sch 129'!L32</f>
        <v>114</v>
      </c>
      <c r="K20" s="624">
        <f>+'Sch 137'!L32</f>
        <v>0</v>
      </c>
      <c r="L20" s="723">
        <f>+'Sch 139'!T32</f>
        <v>0</v>
      </c>
      <c r="M20" s="723">
        <f>+'Sch 141A'!Q32</f>
        <v>0</v>
      </c>
      <c r="N20" s="624">
        <f>+'Sch 140'!L32</f>
        <v>42</v>
      </c>
      <c r="O20" s="624">
        <f>+'Sch 141'!L32</f>
        <v>0</v>
      </c>
      <c r="P20" s="624">
        <f>SUM('Sch 141C'!R32)</f>
        <v>0</v>
      </c>
      <c r="Q20" s="723">
        <f>SUM('Sch 141N'!U32)</f>
        <v>147.12</v>
      </c>
      <c r="R20" s="624">
        <f>+'Sch 141R'!U32</f>
        <v>27.6</v>
      </c>
      <c r="S20" s="624">
        <f>+'Sch 141X'!O32</f>
        <v>0</v>
      </c>
      <c r="T20" s="624">
        <f>+'Sch 141Z'!L32</f>
        <v>-9</v>
      </c>
      <c r="U20" s="624">
        <f>+'Sch 142'!X32</f>
        <v>0</v>
      </c>
      <c r="V20" s="624">
        <f>+'Sch 142'!P32</f>
        <v>0</v>
      </c>
      <c r="W20" s="624">
        <f>+'Sch 194'!L34</f>
        <v>0</v>
      </c>
      <c r="X20" s="624">
        <f t="shared" si="0"/>
        <v>2305.7199999999998</v>
      </c>
      <c r="Y20" s="624">
        <f t="shared" si="1"/>
        <v>11530.090999999999</v>
      </c>
      <c r="Z20" s="632"/>
      <c r="AA20" s="624">
        <f t="shared" si="2"/>
        <v>0</v>
      </c>
      <c r="AB20" s="723">
        <f t="shared" si="3"/>
        <v>0</v>
      </c>
      <c r="AC20" s="723">
        <f t="shared" si="3"/>
        <v>0</v>
      </c>
      <c r="AD20" s="723">
        <f t="shared" si="4"/>
        <v>-147.12</v>
      </c>
      <c r="AE20" s="624">
        <f t="shared" si="5"/>
        <v>-27.6</v>
      </c>
      <c r="AF20" s="624">
        <f>+'Sch 141C'!S32</f>
        <v>0</v>
      </c>
      <c r="AG20" s="718">
        <f>+'Sch 139'!Z32</f>
        <v>0</v>
      </c>
      <c r="AH20" s="723">
        <f>+'Sch 141A'!R32</f>
        <v>0</v>
      </c>
      <c r="AI20" s="723">
        <f>+'Sch 141N'!V32</f>
        <v>99.84</v>
      </c>
      <c r="AJ20" s="624">
        <f>+'Sch 141R'!V32</f>
        <v>95.04</v>
      </c>
      <c r="AK20" s="624">
        <f t="shared" si="6"/>
        <v>20.160000000000011</v>
      </c>
      <c r="AL20" s="624">
        <f t="shared" si="7"/>
        <v>11550.250999999998</v>
      </c>
      <c r="AM20" s="639">
        <f t="shared" si="8"/>
        <v>1.7484684205874882E-3</v>
      </c>
      <c r="AN20" s="639"/>
      <c r="AP20" s="626"/>
    </row>
    <row r="21" spans="1:42">
      <c r="A21" s="636">
        <f t="shared" si="9"/>
        <v>13</v>
      </c>
      <c r="B21" s="640" t="s">
        <v>262</v>
      </c>
      <c r="C21" s="640" t="s">
        <v>262</v>
      </c>
      <c r="D21" s="631">
        <f>'[1]Exhibit No.__(BDJ-MYRP-SUM)'!Q26</f>
        <v>289426</v>
      </c>
      <c r="E21" s="624">
        <f>'[1]Exhibit No.__(BDJ-MYRP-SUM)'!S26</f>
        <v>3558.1232504366458</v>
      </c>
      <c r="F21" s="624">
        <f>+'Sch 95 PCORC'!O33</f>
        <v>0</v>
      </c>
      <c r="G21" s="624">
        <f>+'Sch 95 Imbalance'!O33</f>
        <v>0</v>
      </c>
      <c r="H21" s="624">
        <f>+'Sch 95a'!L33</f>
        <v>0</v>
      </c>
      <c r="I21" s="624">
        <f>+'Sch 120'!L33</f>
        <v>658</v>
      </c>
      <c r="J21" s="624">
        <f>+'Sch 129'!L33</f>
        <v>178</v>
      </c>
      <c r="K21" s="624">
        <f>+'Sch 137'!L33</f>
        <v>0</v>
      </c>
      <c r="L21" s="723">
        <f>+'Sch 139'!T33</f>
        <v>0</v>
      </c>
      <c r="M21" s="723">
        <f>+'Sch 141A'!Q33</f>
        <v>0</v>
      </c>
      <c r="N21" s="624">
        <f>+'Sch 140'!L33</f>
        <v>140</v>
      </c>
      <c r="O21" s="624">
        <f>+'Sch 141'!L33</f>
        <v>0</v>
      </c>
      <c r="P21" s="624">
        <f>SUM('Sch 141C'!R33)</f>
        <v>0</v>
      </c>
      <c r="Q21" s="723">
        <f>SUM('Sch 141N'!U33)</f>
        <v>661</v>
      </c>
      <c r="R21" s="624">
        <f>+'Sch 141R'!U33</f>
        <v>124</v>
      </c>
      <c r="S21" s="624">
        <f>+'Sch 141X'!O33</f>
        <v>0</v>
      </c>
      <c r="T21" s="624">
        <f>+'Sch 141Z'!L33</f>
        <v>-81</v>
      </c>
      <c r="U21" s="624">
        <f>+'Sch 142'!X33</f>
        <v>182</v>
      </c>
      <c r="V21" s="624">
        <f>+'Sch 142'!P33</f>
        <v>0</v>
      </c>
      <c r="W21" s="624">
        <f>+'Sch 194'!L35</f>
        <v>0</v>
      </c>
      <c r="X21" s="624">
        <f t="shared" si="0"/>
        <v>1862</v>
      </c>
      <c r="Y21" s="624">
        <f t="shared" si="1"/>
        <v>5420.1232504366453</v>
      </c>
      <c r="Z21" s="632"/>
      <c r="AA21" s="624">
        <f t="shared" si="2"/>
        <v>0</v>
      </c>
      <c r="AB21" s="723">
        <f t="shared" si="3"/>
        <v>0</v>
      </c>
      <c r="AC21" s="723">
        <f t="shared" si="3"/>
        <v>0</v>
      </c>
      <c r="AD21" s="723">
        <f t="shared" si="4"/>
        <v>-661</v>
      </c>
      <c r="AE21" s="624">
        <f t="shared" si="5"/>
        <v>-124</v>
      </c>
      <c r="AF21" s="624">
        <f>+'Sch 141C'!S33</f>
        <v>0</v>
      </c>
      <c r="AG21" s="718">
        <f>+'Sch 139'!Z33</f>
        <v>0</v>
      </c>
      <c r="AH21" s="723">
        <f>+'Sch 141A'!R33</f>
        <v>0</v>
      </c>
      <c r="AI21" s="723">
        <f>+'Sch 141N'!V33</f>
        <v>449</v>
      </c>
      <c r="AJ21" s="624">
        <f>+'Sch 141R'!V33</f>
        <v>427</v>
      </c>
      <c r="AK21" s="624">
        <f t="shared" si="6"/>
        <v>91</v>
      </c>
      <c r="AL21" s="624">
        <f t="shared" si="7"/>
        <v>5511.1232504366453</v>
      </c>
      <c r="AM21" s="639">
        <f t="shared" si="8"/>
        <v>1.6789286109438386E-2</v>
      </c>
      <c r="AN21" s="639"/>
      <c r="AP21" s="626"/>
    </row>
    <row r="22" spans="1:42">
      <c r="A22" s="636">
        <f t="shared" si="9"/>
        <v>14</v>
      </c>
      <c r="B22" s="640" t="s">
        <v>67</v>
      </c>
      <c r="C22" s="640">
        <v>5</v>
      </c>
      <c r="D22" s="631">
        <f>'[1]Exhibit No.__(BDJ-MYRP-SUM)'!Q27</f>
        <v>7552</v>
      </c>
      <c r="E22" s="624">
        <f>'[1]Exhibit No.__(BDJ-MYRP-SUM)'!S27</f>
        <v>572.5834219176636</v>
      </c>
      <c r="F22" s="624">
        <f>+'Sch 95 PCORC'!O38</f>
        <v>0</v>
      </c>
      <c r="G22" s="624">
        <f>+'Sch 95 Imbalance'!O38</f>
        <v>0</v>
      </c>
      <c r="H22" s="624">
        <f>+'Sch 95a'!L38</f>
        <v>-10</v>
      </c>
      <c r="I22" s="624">
        <f>+'Sch 120'!L38</f>
        <v>0</v>
      </c>
      <c r="J22" s="624">
        <f>+'Sch 129'!L38</f>
        <v>0</v>
      </c>
      <c r="K22" s="624">
        <f>+'Sch 137'!L38</f>
        <v>0</v>
      </c>
      <c r="L22" s="723">
        <f>+'Sch 139'!T38</f>
        <v>0</v>
      </c>
      <c r="M22" s="723">
        <f>+'Sch 141A'!Q38</f>
        <v>12</v>
      </c>
      <c r="N22" s="624">
        <v>0</v>
      </c>
      <c r="O22" s="624">
        <v>0</v>
      </c>
      <c r="P22" s="624">
        <f>SUM('Sch 141C'!R38)</f>
        <v>14</v>
      </c>
      <c r="Q22" s="723">
        <f>SUM('Sch 141N'!U38)</f>
        <v>61</v>
      </c>
      <c r="R22" s="624">
        <f>+'Sch 141R'!U38</f>
        <v>33</v>
      </c>
      <c r="S22" s="624">
        <v>0</v>
      </c>
      <c r="T22" s="624">
        <f>+'Sch 141Z'!L38</f>
        <v>-6</v>
      </c>
      <c r="U22" s="624">
        <f>+'Sch 142'!X38</f>
        <v>0</v>
      </c>
      <c r="V22" s="624">
        <f>+'Sch 142'!P38</f>
        <v>0</v>
      </c>
      <c r="W22" s="624">
        <f>+'Sch 194'!L40</f>
        <v>0</v>
      </c>
      <c r="X22" s="624">
        <f t="shared" si="0"/>
        <v>104</v>
      </c>
      <c r="Y22" s="624">
        <f t="shared" si="1"/>
        <v>676.5834219176636</v>
      </c>
      <c r="Z22" s="632"/>
      <c r="AA22" s="624">
        <f t="shared" si="2"/>
        <v>-14</v>
      </c>
      <c r="AB22" s="723">
        <f t="shared" si="3"/>
        <v>0</v>
      </c>
      <c r="AC22" s="723">
        <f t="shared" si="3"/>
        <v>-12</v>
      </c>
      <c r="AD22" s="723">
        <f t="shared" si="4"/>
        <v>-61</v>
      </c>
      <c r="AE22" s="624">
        <f t="shared" si="5"/>
        <v>-33</v>
      </c>
      <c r="AF22" s="624">
        <f>+'Sch 141C'!S38</f>
        <v>15</v>
      </c>
      <c r="AG22" s="718">
        <f>+'Sch 139'!Z38</f>
        <v>0</v>
      </c>
      <c r="AH22" s="723">
        <f>+'Sch 141A'!R38</f>
        <v>13</v>
      </c>
      <c r="AI22" s="723">
        <f>+'Sch 141N'!V38</f>
        <v>42</v>
      </c>
      <c r="AJ22" s="624">
        <f>+'Sch 141R'!V38</f>
        <v>40</v>
      </c>
      <c r="AK22" s="624">
        <f t="shared" si="6"/>
        <v>-10</v>
      </c>
      <c r="AL22" s="624">
        <f t="shared" si="7"/>
        <v>666.5834219176636</v>
      </c>
      <c r="AM22" s="639">
        <f t="shared" si="8"/>
        <v>-1.4780143402947499E-2</v>
      </c>
      <c r="AN22" s="639"/>
      <c r="AP22" s="626"/>
    </row>
    <row r="23" spans="1:42">
      <c r="A23" s="636">
        <f t="shared" si="9"/>
        <v>15</v>
      </c>
      <c r="B23" s="636"/>
      <c r="C23" s="636"/>
      <c r="D23" s="638"/>
      <c r="E23" s="632"/>
      <c r="F23" s="632"/>
      <c r="G23" s="632"/>
      <c r="H23" s="632"/>
      <c r="I23" s="632"/>
      <c r="J23" s="632"/>
      <c r="K23" s="632"/>
      <c r="L23" s="724"/>
      <c r="M23" s="724"/>
      <c r="N23" s="632"/>
      <c r="O23" s="632"/>
      <c r="P23" s="632"/>
      <c r="Q23" s="724"/>
      <c r="R23" s="632"/>
      <c r="S23" s="632"/>
      <c r="T23" s="632"/>
      <c r="U23" s="632"/>
      <c r="V23" s="632"/>
      <c r="W23" s="632"/>
      <c r="X23" s="632"/>
      <c r="Y23" s="632"/>
      <c r="Z23" s="632"/>
      <c r="AA23" s="632"/>
      <c r="AB23" s="724"/>
      <c r="AC23" s="724"/>
      <c r="AD23" s="724"/>
      <c r="AE23" s="632"/>
      <c r="AF23" s="632"/>
      <c r="AG23" s="719"/>
      <c r="AH23" s="724"/>
      <c r="AI23" s="724"/>
      <c r="AJ23" s="632"/>
      <c r="AK23" s="632"/>
      <c r="AL23" s="632"/>
      <c r="AM23" s="637"/>
      <c r="AN23" s="624"/>
      <c r="AP23" s="626"/>
    </row>
    <row r="24" spans="1:42" ht="10.8" thickBot="1">
      <c r="A24" s="636">
        <f t="shared" si="9"/>
        <v>16</v>
      </c>
      <c r="B24" s="636"/>
      <c r="C24" s="636" t="s">
        <v>19</v>
      </c>
      <c r="D24" s="635">
        <f t="shared" ref="D24:Y24" si="10">SUM(D9:D23)</f>
        <v>22914362.8475</v>
      </c>
      <c r="E24" s="634">
        <f t="shared" si="10"/>
        <v>2067701.1596924372</v>
      </c>
      <c r="F24" s="634">
        <f t="shared" si="10"/>
        <v>0</v>
      </c>
      <c r="G24" s="634">
        <f t="shared" si="10"/>
        <v>0</v>
      </c>
      <c r="H24" s="634">
        <f t="shared" si="10"/>
        <v>-28945</v>
      </c>
      <c r="I24" s="634">
        <f t="shared" si="10"/>
        <v>83132</v>
      </c>
      <c r="J24" s="634">
        <f t="shared" si="10"/>
        <v>26840</v>
      </c>
      <c r="K24" s="634">
        <f t="shared" si="10"/>
        <v>-434</v>
      </c>
      <c r="L24" s="725">
        <f t="shared" si="10"/>
        <v>-1117</v>
      </c>
      <c r="M24" s="725">
        <f t="shared" si="10"/>
        <v>35653</v>
      </c>
      <c r="N24" s="634">
        <f t="shared" si="10"/>
        <v>57747</v>
      </c>
      <c r="O24" s="634">
        <f t="shared" si="10"/>
        <v>0</v>
      </c>
      <c r="P24" s="634">
        <f t="shared" si="10"/>
        <v>50678</v>
      </c>
      <c r="Q24" s="725">
        <f t="shared" si="10"/>
        <v>233072.12</v>
      </c>
      <c r="R24" s="634">
        <f t="shared" si="10"/>
        <v>43592.6</v>
      </c>
      <c r="S24" s="634">
        <f t="shared" si="10"/>
        <v>0</v>
      </c>
      <c r="T24" s="634">
        <f t="shared" si="10"/>
        <v>-16185</v>
      </c>
      <c r="U24" s="634">
        <f t="shared" si="10"/>
        <v>22287</v>
      </c>
      <c r="V24" s="634">
        <f t="shared" si="10"/>
        <v>0</v>
      </c>
      <c r="W24" s="634">
        <f t="shared" si="10"/>
        <v>-77003</v>
      </c>
      <c r="X24" s="634">
        <f t="shared" si="10"/>
        <v>429317.72</v>
      </c>
      <c r="Y24" s="634">
        <f t="shared" si="10"/>
        <v>2497018.8796924367</v>
      </c>
      <c r="Z24" s="632"/>
      <c r="AA24" s="634">
        <f t="shared" ref="AA24:AL24" si="11">SUM(AA9:AA23)</f>
        <v>-50678</v>
      </c>
      <c r="AB24" s="725">
        <f t="shared" ref="AB24" si="12">SUM(AB9:AB23)</f>
        <v>1117</v>
      </c>
      <c r="AC24" s="725">
        <f t="shared" si="11"/>
        <v>-35653</v>
      </c>
      <c r="AD24" s="725">
        <f t="shared" si="11"/>
        <v>-233072.12</v>
      </c>
      <c r="AE24" s="634">
        <f t="shared" si="11"/>
        <v>-43592.6</v>
      </c>
      <c r="AF24" s="634">
        <f t="shared" si="11"/>
        <v>54030</v>
      </c>
      <c r="AG24" s="720">
        <f t="shared" ref="AG24" si="13">SUM(AG9:AG23)</f>
        <v>-1137</v>
      </c>
      <c r="AH24" s="725">
        <f t="shared" si="11"/>
        <v>36026</v>
      </c>
      <c r="AI24" s="725">
        <f t="shared" si="11"/>
        <v>156902.84</v>
      </c>
      <c r="AJ24" s="634">
        <f t="shared" si="11"/>
        <v>149181.04</v>
      </c>
      <c r="AK24" s="634">
        <f t="shared" si="11"/>
        <v>33124.160000000003</v>
      </c>
      <c r="AL24" s="634">
        <f t="shared" si="11"/>
        <v>2530143.0396924368</v>
      </c>
      <c r="AM24" s="633">
        <f>AK24/Y24</f>
        <v>1.3265482399588416E-2</v>
      </c>
      <c r="AN24" s="624"/>
      <c r="AP24" s="626"/>
    </row>
    <row r="25" spans="1:42" ht="10.8" thickTop="1">
      <c r="E25" s="624"/>
      <c r="F25" s="624"/>
      <c r="G25" s="624"/>
      <c r="H25" s="624"/>
      <c r="I25" s="624"/>
      <c r="J25" s="624"/>
      <c r="K25" s="624"/>
      <c r="L25" s="723"/>
      <c r="M25" s="723"/>
      <c r="N25" s="624"/>
      <c r="O25" s="624"/>
      <c r="P25" s="624"/>
      <c r="Q25" s="723"/>
      <c r="R25" s="624"/>
      <c r="S25" s="624"/>
      <c r="T25" s="624"/>
      <c r="U25" s="624"/>
      <c r="V25" s="624"/>
      <c r="W25" s="624"/>
      <c r="X25" s="624"/>
      <c r="Y25" s="624"/>
      <c r="Z25" s="632"/>
      <c r="AA25" s="624"/>
      <c r="AB25" s="624"/>
      <c r="AC25" s="624"/>
      <c r="AD25" s="624"/>
      <c r="AE25" s="624"/>
      <c r="AG25" s="403"/>
      <c r="AH25" s="726"/>
      <c r="AI25" s="624"/>
      <c r="AJ25" s="624"/>
      <c r="AK25" s="624"/>
      <c r="AL25" s="624"/>
      <c r="AP25" s="626"/>
    </row>
    <row r="26" spans="1:42">
      <c r="D26" s="631">
        <f>'[1]Exhibit No.__(BDJ-MYRP-SUM)'!Q29</f>
        <v>22914362.8475</v>
      </c>
      <c r="E26" s="624">
        <f>'[1]Exhibit No.__(BDJ-MYRP-SUM)'!S29</f>
        <v>2067701.1596924372</v>
      </c>
      <c r="F26" s="624">
        <f>+'Sch 95 PCORC'!O40</f>
        <v>0</v>
      </c>
      <c r="G26" s="624">
        <f>+'Sch 95 Imbalance'!O40</f>
        <v>0</v>
      </c>
      <c r="H26" s="624">
        <f>+'Sch 95a'!L40</f>
        <v>-28945</v>
      </c>
      <c r="I26" s="624">
        <f>+'Sch 120'!L40</f>
        <v>83132</v>
      </c>
      <c r="J26" s="624">
        <f>+'Sch 129'!L40</f>
        <v>26840</v>
      </c>
      <c r="K26" s="624">
        <f>+'Sch 137'!L40</f>
        <v>-434</v>
      </c>
      <c r="L26" s="723">
        <f>+'Sch 139'!T40</f>
        <v>-1117</v>
      </c>
      <c r="M26" s="723">
        <f>+'Sch 141A'!Q40</f>
        <v>35653</v>
      </c>
      <c r="N26" s="624">
        <f>+'Sch 140'!L40</f>
        <v>57747</v>
      </c>
      <c r="O26" s="624">
        <f>+'Sch 141'!L40</f>
        <v>0</v>
      </c>
      <c r="P26" s="624">
        <f>SUM('Sch 141C'!R40)</f>
        <v>50678</v>
      </c>
      <c r="Q26" s="723">
        <f>+'Sch 141N'!U40</f>
        <v>233072.12</v>
      </c>
      <c r="R26" s="624">
        <f>+'Sch 141R'!U40</f>
        <v>43592.6</v>
      </c>
      <c r="S26" s="624">
        <f>+'Sch 141X'!O40</f>
        <v>0</v>
      </c>
      <c r="T26" s="624">
        <f>+'Sch 141Z'!L40</f>
        <v>-16185</v>
      </c>
      <c r="U26" s="624">
        <f>+'Sch 142'!X40</f>
        <v>22287</v>
      </c>
      <c r="V26" s="624">
        <f>+'Sch 142'!P40</f>
        <v>0</v>
      </c>
      <c r="W26" s="624">
        <f>+'Sch 194'!L42</f>
        <v>-77003</v>
      </c>
      <c r="X26" s="624"/>
      <c r="Y26" s="624"/>
      <c r="Z26" s="624"/>
      <c r="AA26" s="624"/>
      <c r="AB26" s="624"/>
      <c r="AC26" s="624"/>
      <c r="AD26" s="624"/>
      <c r="AE26" s="624"/>
      <c r="AF26" s="624">
        <f>+'Sch 141C'!S40</f>
        <v>54030</v>
      </c>
      <c r="AG26" s="718">
        <f>+'Sch 139'!Z40</f>
        <v>-1137</v>
      </c>
      <c r="AH26" s="723">
        <f>+'Sch 141A'!R40</f>
        <v>36026</v>
      </c>
      <c r="AI26" s="723">
        <f>+'Sch 141N'!V40</f>
        <v>156902.84</v>
      </c>
      <c r="AJ26" s="624">
        <f>+'Sch 141R'!V40</f>
        <v>149181.04</v>
      </c>
      <c r="AK26" s="624"/>
      <c r="AL26" s="624"/>
      <c r="AP26" s="626"/>
    </row>
    <row r="27" spans="1:42" s="627" customFormat="1">
      <c r="D27" s="630">
        <f t="shared" ref="D27:W27" si="14">+D26-D24</f>
        <v>0</v>
      </c>
      <c r="E27" s="630">
        <f t="shared" si="14"/>
        <v>0</v>
      </c>
      <c r="F27" s="629">
        <f t="shared" si="14"/>
        <v>0</v>
      </c>
      <c r="G27" s="629">
        <f t="shared" si="14"/>
        <v>0</v>
      </c>
      <c r="H27" s="629">
        <f t="shared" si="14"/>
        <v>0</v>
      </c>
      <c r="I27" s="629">
        <f t="shared" si="14"/>
        <v>0</v>
      </c>
      <c r="J27" s="629">
        <f t="shared" si="14"/>
        <v>0</v>
      </c>
      <c r="K27" s="629">
        <f t="shared" si="14"/>
        <v>0</v>
      </c>
      <c r="L27" s="629">
        <f t="shared" si="14"/>
        <v>0</v>
      </c>
      <c r="M27" s="629">
        <f t="shared" si="14"/>
        <v>0</v>
      </c>
      <c r="N27" s="629">
        <f t="shared" si="14"/>
        <v>0</v>
      </c>
      <c r="O27" s="629">
        <f t="shared" si="14"/>
        <v>0</v>
      </c>
      <c r="P27" s="629">
        <f t="shared" si="14"/>
        <v>0</v>
      </c>
      <c r="Q27" s="629">
        <f t="shared" si="14"/>
        <v>0</v>
      </c>
      <c r="R27" s="629">
        <f t="shared" si="14"/>
        <v>0</v>
      </c>
      <c r="S27" s="629">
        <f t="shared" si="14"/>
        <v>0</v>
      </c>
      <c r="T27" s="629">
        <f t="shared" si="14"/>
        <v>0</v>
      </c>
      <c r="U27" s="629">
        <f t="shared" si="14"/>
        <v>0</v>
      </c>
      <c r="V27" s="629">
        <f t="shared" si="14"/>
        <v>0</v>
      </c>
      <c r="W27" s="629">
        <f t="shared" si="14"/>
        <v>0</v>
      </c>
      <c r="X27" s="629"/>
      <c r="Y27" s="629"/>
      <c r="Z27" s="629"/>
      <c r="AA27" s="629"/>
      <c r="AB27" s="629"/>
      <c r="AC27" s="629"/>
      <c r="AD27" s="629"/>
      <c r="AE27" s="629"/>
      <c r="AF27" s="629">
        <f>+AF26-AF24</f>
        <v>0</v>
      </c>
      <c r="AG27" s="427">
        <f t="shared" ref="AG27" si="15">+AG26-AG24</f>
        <v>0</v>
      </c>
      <c r="AH27" s="629">
        <f>+AH26-AH24</f>
        <v>0</v>
      </c>
      <c r="AI27" s="629">
        <f>+AI26-AI24</f>
        <v>0</v>
      </c>
      <c r="AJ27" s="629">
        <f>+AJ26-AJ24</f>
        <v>0</v>
      </c>
      <c r="AP27" s="628"/>
    </row>
    <row r="28" spans="1:42">
      <c r="AI28" s="624"/>
      <c r="AJ28" s="624"/>
      <c r="AP28" s="626"/>
    </row>
    <row r="29" spans="1:42" ht="13.8">
      <c r="B29" s="625"/>
      <c r="AI29" s="624"/>
      <c r="AJ29" s="624"/>
    </row>
    <row r="30" spans="1:42">
      <c r="AI30" s="624"/>
      <c r="AJ30" s="624"/>
    </row>
    <row r="31" spans="1:42">
      <c r="AG31" s="723">
        <f>SUM(AG24,AB24)</f>
        <v>-20</v>
      </c>
      <c r="AH31" s="723">
        <f>SUM(AH24,AC24)</f>
        <v>373</v>
      </c>
      <c r="AI31" s="723">
        <f>SUM(AI24,AD24)</f>
        <v>-76169.279999999999</v>
      </c>
      <c r="AJ31" s="624">
        <f>SUM(AJ24,AE24)</f>
        <v>105588.44</v>
      </c>
      <c r="AK31" s="624">
        <f>SUM(AA31:AJ31)</f>
        <v>29772.160000000003</v>
      </c>
    </row>
    <row r="34" spans="2:2">
      <c r="B34" s="711" t="s">
        <v>874</v>
      </c>
    </row>
  </sheetData>
  <mergeCells count="7">
    <mergeCell ref="AA6:AE6"/>
    <mergeCell ref="AF6:AK6"/>
    <mergeCell ref="A1:C1"/>
    <mergeCell ref="A2:C2"/>
    <mergeCell ref="A3:C3"/>
    <mergeCell ref="A4:C4"/>
    <mergeCell ref="A5:C5"/>
  </mergeCells>
  <pageMargins left="0.25" right="0.25" top="0.75" bottom="0.75" header="0.3" footer="0.3"/>
  <pageSetup scale="63" orientation="landscape" r:id="rId1"/>
  <headerFooter>
    <oddFooter>&amp;L&amp;"Times New Roman,Regular"&amp;F
&amp;A&amp;R&amp;"Times New Roman,Regular"Page &amp;P of &amp;N</oddFooter>
  </headerFooter>
  <colBreaks count="1" manualBreakCount="1">
    <brk id="24" max="36" man="1"/>
  </colBreaks>
  <customProperties>
    <customPr name="_pios_id" r:id="rId2"/>
  </customPropertie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N30"/>
  <sheetViews>
    <sheetView zoomScaleNormal="100" workbookViewId="0">
      <pane xSplit="5" ySplit="7" topLeftCell="F8" activePane="bottomRight" state="frozen"/>
      <selection pane="topRight"/>
      <selection pane="bottomLeft"/>
      <selection pane="bottomRight" activeCell="A7" sqref="A7"/>
    </sheetView>
  </sheetViews>
  <sheetFormatPr defaultColWidth="6.33203125" defaultRowHeight="10.199999999999999"/>
  <cols>
    <col min="1" max="1" width="4.88671875" style="387" bestFit="1" customWidth="1"/>
    <col min="2" max="2" width="20.33203125" style="387" bestFit="1" customWidth="1"/>
    <col min="3" max="3" width="12.33203125" style="387" bestFit="1" customWidth="1"/>
    <col min="4" max="4" width="13.33203125" style="387" bestFit="1" customWidth="1"/>
    <col min="5" max="5" width="15.33203125" style="387" bestFit="1" customWidth="1"/>
    <col min="6" max="7" width="10.44140625" style="387" bestFit="1" customWidth="1"/>
    <col min="8" max="8" width="14.5546875" style="387" bestFit="1" customWidth="1"/>
    <col min="9" max="9" width="11.5546875" style="387" bestFit="1" customWidth="1"/>
    <col min="10" max="12" width="11.33203125" style="387" bestFit="1" customWidth="1"/>
    <col min="13" max="13" width="12.5546875" style="387" bestFit="1" customWidth="1"/>
    <col min="14" max="15" width="11.33203125" style="387" bestFit="1" customWidth="1"/>
    <col min="16" max="16" width="12.44140625" style="387" bestFit="1" customWidth="1"/>
    <col min="17" max="18" width="12.33203125" style="387" bestFit="1" customWidth="1"/>
    <col min="19" max="20" width="12.109375" style="387" bestFit="1" customWidth="1"/>
    <col min="21" max="21" width="11.33203125" style="387" bestFit="1" customWidth="1"/>
    <col min="22" max="22" width="11.88671875" style="387" bestFit="1" customWidth="1"/>
    <col min="23" max="23" width="11.5546875" style="387" bestFit="1" customWidth="1"/>
    <col min="24" max="24" width="7.44140625" style="387" bestFit="1" customWidth="1"/>
    <col min="25" max="25" width="12.33203125" style="387" bestFit="1" customWidth="1"/>
    <col min="26" max="26" width="1.6640625" style="387" customWidth="1"/>
    <col min="27" max="27" width="12.44140625" style="387" bestFit="1" customWidth="1"/>
    <col min="28" max="28" width="13.33203125" style="387" bestFit="1" customWidth="1"/>
    <col min="29" max="29" width="13.5546875" style="387" bestFit="1" customWidth="1"/>
    <col min="30" max="30" width="12.33203125" style="387" bestFit="1" customWidth="1"/>
    <col min="31" max="31" width="12.44140625" style="387" bestFit="1" customWidth="1"/>
    <col min="32" max="32" width="13.33203125" style="387" bestFit="1" customWidth="1"/>
    <col min="33" max="33" width="13.5546875" style="387" bestFit="1" customWidth="1"/>
    <col min="34" max="34" width="12.33203125" style="387" bestFit="1" customWidth="1"/>
    <col min="35" max="35" width="10.6640625" style="387" bestFit="1" customWidth="1"/>
    <col min="36" max="36" width="12.33203125" style="387" bestFit="1" customWidth="1"/>
    <col min="37" max="37" width="10.5546875" style="387" bestFit="1" customWidth="1"/>
    <col min="38" max="16384" width="6.33203125" style="387"/>
  </cols>
  <sheetData>
    <row r="1" spans="1:40" s="409" customFormat="1">
      <c r="A1" s="772" t="s">
        <v>0</v>
      </c>
      <c r="B1" s="772"/>
      <c r="C1" s="772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436"/>
      <c r="X1" s="436"/>
      <c r="Y1" s="436"/>
      <c r="Z1" s="436"/>
      <c r="AA1" s="436"/>
      <c r="AB1" s="436"/>
      <c r="AC1" s="436"/>
      <c r="AD1" s="436"/>
      <c r="AE1" s="436"/>
      <c r="AF1" s="436"/>
      <c r="AG1" s="436"/>
      <c r="AH1" s="436"/>
      <c r="AI1" s="436"/>
      <c r="AJ1" s="436"/>
    </row>
    <row r="2" spans="1:40" s="409" customFormat="1">
      <c r="A2" s="772" t="s">
        <v>61</v>
      </c>
      <c r="B2" s="772"/>
      <c r="C2" s="772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</row>
    <row r="3" spans="1:40" s="409" customFormat="1">
      <c r="A3" s="773" t="s">
        <v>563</v>
      </c>
      <c r="B3" s="773"/>
      <c r="C3" s="772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</row>
    <row r="4" spans="1:40" s="409" customFormat="1">
      <c r="A4" s="772" t="s">
        <v>174</v>
      </c>
      <c r="B4" s="772"/>
      <c r="C4" s="772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6"/>
      <c r="AB4" s="436"/>
      <c r="AC4" s="436"/>
      <c r="AD4" s="436"/>
      <c r="AE4" s="436"/>
      <c r="AF4" s="436"/>
      <c r="AG4" s="436"/>
      <c r="AH4" s="436"/>
      <c r="AI4" s="436"/>
      <c r="AJ4" s="436"/>
    </row>
    <row r="5" spans="1:40" s="409" customFormat="1" ht="10.8" thickBot="1">
      <c r="A5" s="773" t="s">
        <v>564</v>
      </c>
      <c r="B5" s="773"/>
      <c r="C5" s="772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</row>
    <row r="6" spans="1:40" s="409" customFormat="1" ht="10.8" thickBot="1">
      <c r="A6" s="411"/>
      <c r="B6" s="411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437"/>
      <c r="Z6" s="437"/>
      <c r="AA6" s="799" t="s">
        <v>566</v>
      </c>
      <c r="AB6" s="800"/>
      <c r="AC6" s="800"/>
      <c r="AD6" s="801"/>
      <c r="AE6" s="785" t="s">
        <v>567</v>
      </c>
      <c r="AF6" s="786"/>
      <c r="AG6" s="786"/>
      <c r="AH6" s="786"/>
      <c r="AI6" s="790"/>
    </row>
    <row r="7" spans="1:40" s="409" customFormat="1" ht="51">
      <c r="A7" s="399" t="s">
        <v>2</v>
      </c>
      <c r="B7" s="399" t="s">
        <v>579</v>
      </c>
      <c r="C7" s="399" t="s">
        <v>315</v>
      </c>
      <c r="D7" s="400" t="s">
        <v>565</v>
      </c>
      <c r="E7" s="438" t="s">
        <v>510</v>
      </c>
      <c r="F7" s="438" t="s">
        <v>4</v>
      </c>
      <c r="G7" s="438" t="s">
        <v>456</v>
      </c>
      <c r="H7" s="438" t="s">
        <v>5</v>
      </c>
      <c r="I7" s="438" t="s">
        <v>6</v>
      </c>
      <c r="J7" s="438" t="s">
        <v>7</v>
      </c>
      <c r="K7" s="438" t="s">
        <v>264</v>
      </c>
      <c r="L7" s="438" t="s">
        <v>460</v>
      </c>
      <c r="M7" s="438" t="s">
        <v>826</v>
      </c>
      <c r="N7" s="438" t="s">
        <v>8</v>
      </c>
      <c r="O7" s="438" t="s">
        <v>9</v>
      </c>
      <c r="P7" s="438" t="s">
        <v>896</v>
      </c>
      <c r="Q7" s="438" t="s">
        <v>494</v>
      </c>
      <c r="R7" s="438" t="s">
        <v>495</v>
      </c>
      <c r="S7" s="438" t="s">
        <v>258</v>
      </c>
      <c r="T7" s="438" t="s">
        <v>286</v>
      </c>
      <c r="U7" s="438" t="s">
        <v>257</v>
      </c>
      <c r="V7" s="438" t="s">
        <v>457</v>
      </c>
      <c r="W7" s="438" t="s">
        <v>469</v>
      </c>
      <c r="X7" s="438" t="s">
        <v>173</v>
      </c>
      <c r="Y7" s="438" t="s">
        <v>287</v>
      </c>
      <c r="Z7" s="439"/>
      <c r="AA7" s="438" t="str">
        <f>+P7</f>
        <v>Schedule 141COL
Colstrip</v>
      </c>
      <c r="AB7" s="438" t="str">
        <f>+M7</f>
        <v>Schedule 141A
 Sch 139 Energy Charge Credit Recovery</v>
      </c>
      <c r="AC7" s="438" t="str">
        <f>+Q7</f>
        <v>Schedule 141N
MYRP 
Non-Refundable</v>
      </c>
      <c r="AD7" s="438" t="str">
        <f>+R7</f>
        <v>Schedule 141R
MYRP 
Refundable</v>
      </c>
      <c r="AE7" s="438" t="str">
        <f>+AA7</f>
        <v>Schedule 141COL
Colstrip</v>
      </c>
      <c r="AF7" s="438" t="str">
        <f>AB7</f>
        <v>Schedule 141A
 Sch 139 Energy Charge Credit Recovery</v>
      </c>
      <c r="AG7" s="438" t="s">
        <v>494</v>
      </c>
      <c r="AH7" s="438" t="s">
        <v>495</v>
      </c>
      <c r="AI7" s="438" t="s">
        <v>265</v>
      </c>
      <c r="AJ7" s="438" t="s">
        <v>290</v>
      </c>
      <c r="AK7" s="400" t="s">
        <v>293</v>
      </c>
    </row>
    <row r="8" spans="1:40" s="433" customFormat="1" ht="20.399999999999999">
      <c r="A8" s="430"/>
      <c r="B8" s="430"/>
      <c r="C8" s="430"/>
      <c r="D8" s="431" t="s">
        <v>73</v>
      </c>
      <c r="E8" s="432" t="s">
        <v>472</v>
      </c>
      <c r="F8" s="432" t="s">
        <v>75</v>
      </c>
      <c r="G8" s="432" t="s">
        <v>76</v>
      </c>
      <c r="H8" s="432" t="s">
        <v>159</v>
      </c>
      <c r="I8" s="432" t="s">
        <v>160</v>
      </c>
      <c r="J8" s="432" t="s">
        <v>161</v>
      </c>
      <c r="K8" s="432" t="s">
        <v>169</v>
      </c>
      <c r="L8" s="432" t="s">
        <v>170</v>
      </c>
      <c r="M8" s="432" t="s">
        <v>171</v>
      </c>
      <c r="N8" s="432" t="s">
        <v>172</v>
      </c>
      <c r="O8" s="432" t="s">
        <v>259</v>
      </c>
      <c r="P8" s="432" t="s">
        <v>458</v>
      </c>
      <c r="Q8" s="432" t="s">
        <v>459</v>
      </c>
      <c r="R8" s="432" t="s">
        <v>260</v>
      </c>
      <c r="S8" s="432" t="s">
        <v>461</v>
      </c>
      <c r="T8" s="432" t="s">
        <v>559</v>
      </c>
      <c r="U8" s="432" t="s">
        <v>560</v>
      </c>
      <c r="V8" s="440" t="s">
        <v>472</v>
      </c>
      <c r="W8" s="440" t="s">
        <v>552</v>
      </c>
      <c r="X8" s="432" t="s">
        <v>789</v>
      </c>
      <c r="Y8" s="432" t="s">
        <v>790</v>
      </c>
      <c r="Z8" s="432"/>
      <c r="AA8" s="441" t="s">
        <v>791</v>
      </c>
      <c r="AB8" s="441" t="s">
        <v>792</v>
      </c>
      <c r="AC8" s="432" t="s">
        <v>793</v>
      </c>
      <c r="AD8" s="432" t="s">
        <v>794</v>
      </c>
      <c r="AE8" s="432" t="s">
        <v>478</v>
      </c>
      <c r="AF8" s="441" t="s">
        <v>479</v>
      </c>
      <c r="AG8" s="432" t="s">
        <v>480</v>
      </c>
      <c r="AH8" s="432" t="s">
        <v>689</v>
      </c>
      <c r="AI8" s="432" t="s">
        <v>795</v>
      </c>
      <c r="AJ8" s="432" t="s">
        <v>796</v>
      </c>
      <c r="AK8" s="431" t="s">
        <v>797</v>
      </c>
    </row>
    <row r="9" spans="1:40">
      <c r="A9" s="386">
        <v>1</v>
      </c>
      <c r="B9" s="434" t="s">
        <v>11</v>
      </c>
      <c r="C9" s="434">
        <v>7</v>
      </c>
      <c r="D9" s="388"/>
      <c r="E9" s="403"/>
      <c r="F9" s="403"/>
      <c r="G9" s="403"/>
      <c r="H9" s="403"/>
      <c r="I9" s="403"/>
      <c r="J9" s="403"/>
      <c r="K9" s="403"/>
      <c r="L9" s="403"/>
      <c r="M9" s="419"/>
      <c r="N9" s="403"/>
      <c r="O9" s="403"/>
      <c r="P9" s="403"/>
      <c r="Q9" s="403"/>
      <c r="R9" s="403"/>
      <c r="S9" s="403"/>
      <c r="T9" s="403"/>
      <c r="U9" s="403"/>
      <c r="V9" s="403"/>
      <c r="W9" s="403"/>
      <c r="X9" s="403"/>
      <c r="Y9" s="403"/>
      <c r="Z9" s="412"/>
      <c r="AA9" s="403"/>
      <c r="AB9" s="419"/>
      <c r="AC9" s="403"/>
      <c r="AD9" s="403"/>
      <c r="AE9" s="403"/>
      <c r="AF9" s="419"/>
      <c r="AG9" s="403"/>
      <c r="AH9" s="403"/>
      <c r="AI9" s="419"/>
      <c r="AJ9" s="419"/>
      <c r="AK9" s="442"/>
      <c r="AL9" s="435"/>
      <c r="AN9" s="402"/>
    </row>
    <row r="10" spans="1:40">
      <c r="A10" s="386">
        <f>+A9+1</f>
        <v>2</v>
      </c>
      <c r="B10" s="434" t="s">
        <v>568</v>
      </c>
      <c r="C10" s="434" t="s">
        <v>62</v>
      </c>
      <c r="D10" s="388"/>
      <c r="E10" s="403"/>
      <c r="F10" s="403"/>
      <c r="G10" s="403"/>
      <c r="H10" s="403"/>
      <c r="I10" s="403"/>
      <c r="J10" s="403"/>
      <c r="K10" s="403"/>
      <c r="L10" s="403"/>
      <c r="M10" s="419"/>
      <c r="N10" s="403"/>
      <c r="O10" s="403"/>
      <c r="P10" s="403"/>
      <c r="Q10" s="403"/>
      <c r="R10" s="403"/>
      <c r="S10" s="403"/>
      <c r="T10" s="403"/>
      <c r="U10" s="403"/>
      <c r="V10" s="403"/>
      <c r="W10" s="403"/>
      <c r="X10" s="403"/>
      <c r="Y10" s="403"/>
      <c r="Z10" s="412"/>
      <c r="AA10" s="403"/>
      <c r="AB10" s="419"/>
      <c r="AC10" s="403"/>
      <c r="AD10" s="403"/>
      <c r="AE10" s="403"/>
      <c r="AF10" s="419"/>
      <c r="AG10" s="403"/>
      <c r="AH10" s="403"/>
      <c r="AI10" s="419"/>
      <c r="AJ10" s="419"/>
      <c r="AK10" s="442"/>
      <c r="AL10" s="435"/>
      <c r="AN10" s="402"/>
    </row>
    <row r="11" spans="1:40">
      <c r="A11" s="386">
        <f t="shared" ref="A11:A24" si="0">+A10+1</f>
        <v>3</v>
      </c>
      <c r="B11" s="434" t="s">
        <v>570</v>
      </c>
      <c r="C11" s="434" t="s">
        <v>166</v>
      </c>
      <c r="D11" s="388"/>
      <c r="E11" s="403"/>
      <c r="F11" s="403"/>
      <c r="G11" s="403"/>
      <c r="H11" s="403"/>
      <c r="I11" s="403"/>
      <c r="J11" s="403"/>
      <c r="K11" s="403"/>
      <c r="L11" s="403"/>
      <c r="M11" s="419"/>
      <c r="N11" s="403"/>
      <c r="O11" s="403"/>
      <c r="P11" s="403"/>
      <c r="Q11" s="403"/>
      <c r="R11" s="403"/>
      <c r="S11" s="403"/>
      <c r="T11" s="403"/>
      <c r="U11" s="403"/>
      <c r="V11" s="403"/>
      <c r="W11" s="403"/>
      <c r="X11" s="403"/>
      <c r="Y11" s="403"/>
      <c r="Z11" s="412"/>
      <c r="AA11" s="403"/>
      <c r="AB11" s="419"/>
      <c r="AC11" s="403"/>
      <c r="AD11" s="403"/>
      <c r="AE11" s="403"/>
      <c r="AF11" s="419"/>
      <c r="AG11" s="403"/>
      <c r="AH11" s="403"/>
      <c r="AI11" s="419"/>
      <c r="AJ11" s="419"/>
      <c r="AK11" s="442"/>
      <c r="AL11" s="435"/>
      <c r="AN11" s="402"/>
    </row>
    <row r="12" spans="1:40">
      <c r="A12" s="386">
        <f t="shared" si="0"/>
        <v>4</v>
      </c>
      <c r="B12" s="434" t="s">
        <v>569</v>
      </c>
      <c r="C12" s="434" t="s">
        <v>63</v>
      </c>
      <c r="D12" s="388"/>
      <c r="E12" s="403"/>
      <c r="F12" s="403"/>
      <c r="G12" s="403"/>
      <c r="H12" s="403"/>
      <c r="I12" s="403"/>
      <c r="J12" s="403"/>
      <c r="K12" s="403"/>
      <c r="L12" s="403"/>
      <c r="M12" s="419"/>
      <c r="N12" s="403"/>
      <c r="O12" s="403"/>
      <c r="P12" s="403"/>
      <c r="Q12" s="403"/>
      <c r="R12" s="403"/>
      <c r="S12" s="403"/>
      <c r="T12" s="403"/>
      <c r="U12" s="403"/>
      <c r="V12" s="403"/>
      <c r="W12" s="403"/>
      <c r="X12" s="403"/>
      <c r="Y12" s="403"/>
      <c r="Z12" s="412"/>
      <c r="AA12" s="403"/>
      <c r="AB12" s="419"/>
      <c r="AC12" s="403"/>
      <c r="AD12" s="403"/>
      <c r="AE12" s="403"/>
      <c r="AF12" s="419"/>
      <c r="AG12" s="403"/>
      <c r="AH12" s="403"/>
      <c r="AI12" s="419"/>
      <c r="AJ12" s="419"/>
      <c r="AK12" s="442"/>
      <c r="AL12" s="435"/>
      <c r="AN12" s="402"/>
    </row>
    <row r="13" spans="1:40">
      <c r="A13" s="386">
        <f t="shared" si="0"/>
        <v>5</v>
      </c>
      <c r="B13" s="434" t="s">
        <v>571</v>
      </c>
      <c r="C13" s="434">
        <v>29</v>
      </c>
      <c r="D13" s="388"/>
      <c r="E13" s="403"/>
      <c r="F13" s="403"/>
      <c r="G13" s="403"/>
      <c r="H13" s="403"/>
      <c r="I13" s="403"/>
      <c r="J13" s="403"/>
      <c r="K13" s="403"/>
      <c r="L13" s="403"/>
      <c r="M13" s="419"/>
      <c r="N13" s="403"/>
      <c r="O13" s="403"/>
      <c r="P13" s="403"/>
      <c r="Q13" s="403"/>
      <c r="R13" s="403"/>
      <c r="S13" s="403"/>
      <c r="T13" s="403"/>
      <c r="U13" s="403"/>
      <c r="V13" s="403"/>
      <c r="W13" s="403"/>
      <c r="X13" s="403"/>
      <c r="Y13" s="403"/>
      <c r="Z13" s="412"/>
      <c r="AA13" s="403"/>
      <c r="AB13" s="419"/>
      <c r="AC13" s="403"/>
      <c r="AD13" s="403"/>
      <c r="AE13" s="403"/>
      <c r="AF13" s="419"/>
      <c r="AG13" s="403"/>
      <c r="AH13" s="403"/>
      <c r="AI13" s="419"/>
      <c r="AJ13" s="419"/>
      <c r="AK13" s="442"/>
      <c r="AL13" s="435"/>
      <c r="AN13" s="402"/>
    </row>
    <row r="14" spans="1:40">
      <c r="A14" s="386">
        <f t="shared" si="0"/>
        <v>6</v>
      </c>
      <c r="B14" s="434" t="s">
        <v>572</v>
      </c>
      <c r="C14" s="434" t="s">
        <v>64</v>
      </c>
      <c r="D14" s="388"/>
      <c r="E14" s="403"/>
      <c r="F14" s="403"/>
      <c r="G14" s="403"/>
      <c r="H14" s="403"/>
      <c r="I14" s="403"/>
      <c r="J14" s="403"/>
      <c r="K14" s="403"/>
      <c r="L14" s="403"/>
      <c r="M14" s="419"/>
      <c r="N14" s="403"/>
      <c r="O14" s="403"/>
      <c r="P14" s="403"/>
      <c r="Q14" s="403"/>
      <c r="R14" s="403"/>
      <c r="S14" s="403"/>
      <c r="T14" s="403"/>
      <c r="U14" s="403"/>
      <c r="V14" s="403"/>
      <c r="W14" s="403"/>
      <c r="X14" s="403"/>
      <c r="Y14" s="403"/>
      <c r="Z14" s="412"/>
      <c r="AA14" s="403"/>
      <c r="AB14" s="419"/>
      <c r="AC14" s="403"/>
      <c r="AD14" s="403"/>
      <c r="AE14" s="403"/>
      <c r="AF14" s="419"/>
      <c r="AG14" s="403"/>
      <c r="AH14" s="403"/>
      <c r="AI14" s="419"/>
      <c r="AJ14" s="419"/>
      <c r="AK14" s="442"/>
      <c r="AL14" s="435"/>
      <c r="AN14" s="402"/>
    </row>
    <row r="15" spans="1:40">
      <c r="A15" s="386">
        <f t="shared" si="0"/>
        <v>7</v>
      </c>
      <c r="B15" s="434" t="s">
        <v>573</v>
      </c>
      <c r="C15" s="434">
        <v>35</v>
      </c>
      <c r="D15" s="388"/>
      <c r="E15" s="403"/>
      <c r="F15" s="403"/>
      <c r="G15" s="403"/>
      <c r="H15" s="403"/>
      <c r="I15" s="403"/>
      <c r="J15" s="403"/>
      <c r="K15" s="403"/>
      <c r="L15" s="403"/>
      <c r="M15" s="419"/>
      <c r="N15" s="403"/>
      <c r="O15" s="403"/>
      <c r="P15" s="403"/>
      <c r="Q15" s="403"/>
      <c r="R15" s="403"/>
      <c r="S15" s="403"/>
      <c r="T15" s="403"/>
      <c r="U15" s="403"/>
      <c r="V15" s="403"/>
      <c r="W15" s="403"/>
      <c r="X15" s="403"/>
      <c r="Y15" s="403"/>
      <c r="Z15" s="412"/>
      <c r="AA15" s="403"/>
      <c r="AB15" s="419"/>
      <c r="AC15" s="403"/>
      <c r="AD15" s="403"/>
      <c r="AE15" s="403"/>
      <c r="AF15" s="419"/>
      <c r="AG15" s="403"/>
      <c r="AH15" s="403"/>
      <c r="AI15" s="419"/>
      <c r="AJ15" s="419"/>
      <c r="AK15" s="442"/>
      <c r="AL15" s="435"/>
      <c r="AN15" s="402"/>
    </row>
    <row r="16" spans="1:40">
      <c r="A16" s="386">
        <f t="shared" si="0"/>
        <v>8</v>
      </c>
      <c r="B16" s="434" t="s">
        <v>574</v>
      </c>
      <c r="C16" s="434">
        <v>43</v>
      </c>
      <c r="D16" s="388"/>
      <c r="E16" s="403"/>
      <c r="F16" s="403"/>
      <c r="G16" s="403"/>
      <c r="H16" s="403"/>
      <c r="I16" s="403"/>
      <c r="J16" s="403"/>
      <c r="K16" s="403"/>
      <c r="L16" s="403"/>
      <c r="M16" s="419"/>
      <c r="N16" s="403"/>
      <c r="O16" s="403"/>
      <c r="P16" s="403"/>
      <c r="Q16" s="403"/>
      <c r="R16" s="403"/>
      <c r="S16" s="403"/>
      <c r="T16" s="403"/>
      <c r="U16" s="403"/>
      <c r="V16" s="403"/>
      <c r="W16" s="403"/>
      <c r="X16" s="403"/>
      <c r="Y16" s="403"/>
      <c r="Z16" s="412"/>
      <c r="AA16" s="403"/>
      <c r="AB16" s="419"/>
      <c r="AC16" s="403"/>
      <c r="AD16" s="403"/>
      <c r="AE16" s="403"/>
      <c r="AF16" s="419"/>
      <c r="AG16" s="403"/>
      <c r="AH16" s="403"/>
      <c r="AI16" s="419"/>
      <c r="AJ16" s="419"/>
      <c r="AK16" s="442"/>
      <c r="AL16" s="435"/>
      <c r="AN16" s="402"/>
    </row>
    <row r="17" spans="1:40">
      <c r="A17" s="386">
        <f t="shared" si="0"/>
        <v>9</v>
      </c>
      <c r="B17" s="434" t="s">
        <v>575</v>
      </c>
      <c r="C17" s="434">
        <v>46</v>
      </c>
      <c r="D17" s="388"/>
      <c r="E17" s="403"/>
      <c r="F17" s="403"/>
      <c r="G17" s="403"/>
      <c r="H17" s="403"/>
      <c r="I17" s="403"/>
      <c r="J17" s="403"/>
      <c r="K17" s="403"/>
      <c r="L17" s="403"/>
      <c r="M17" s="419"/>
      <c r="N17" s="403"/>
      <c r="O17" s="403"/>
      <c r="P17" s="403"/>
      <c r="Q17" s="403"/>
      <c r="R17" s="403"/>
      <c r="S17" s="403"/>
      <c r="T17" s="403"/>
      <c r="U17" s="403"/>
      <c r="V17" s="403"/>
      <c r="W17" s="403"/>
      <c r="X17" s="403"/>
      <c r="Y17" s="403"/>
      <c r="Z17" s="412"/>
      <c r="AA17" s="403"/>
      <c r="AB17" s="419"/>
      <c r="AC17" s="403"/>
      <c r="AD17" s="403"/>
      <c r="AE17" s="403"/>
      <c r="AF17" s="419"/>
      <c r="AG17" s="403"/>
      <c r="AH17" s="403"/>
      <c r="AI17" s="419"/>
      <c r="AJ17" s="419"/>
      <c r="AK17" s="442"/>
      <c r="AL17" s="435"/>
      <c r="AN17" s="402"/>
    </row>
    <row r="18" spans="1:40">
      <c r="A18" s="386">
        <f t="shared" si="0"/>
        <v>10</v>
      </c>
      <c r="B18" s="434" t="s">
        <v>576</v>
      </c>
      <c r="C18" s="434">
        <v>49</v>
      </c>
      <c r="D18" s="388"/>
      <c r="E18" s="403"/>
      <c r="F18" s="403"/>
      <c r="G18" s="403"/>
      <c r="H18" s="403"/>
      <c r="I18" s="403"/>
      <c r="J18" s="403"/>
      <c r="K18" s="403"/>
      <c r="L18" s="403"/>
      <c r="M18" s="419"/>
      <c r="N18" s="403"/>
      <c r="O18" s="403"/>
      <c r="P18" s="403"/>
      <c r="Q18" s="403"/>
      <c r="R18" s="403"/>
      <c r="S18" s="403"/>
      <c r="T18" s="403"/>
      <c r="U18" s="403"/>
      <c r="V18" s="403"/>
      <c r="W18" s="403"/>
      <c r="X18" s="403"/>
      <c r="Y18" s="403"/>
      <c r="Z18" s="412"/>
      <c r="AA18" s="403"/>
      <c r="AB18" s="419"/>
      <c r="AC18" s="403"/>
      <c r="AD18" s="403"/>
      <c r="AE18" s="403"/>
      <c r="AF18" s="419"/>
      <c r="AG18" s="403"/>
      <c r="AH18" s="403"/>
      <c r="AI18" s="419"/>
      <c r="AJ18" s="419"/>
      <c r="AK18" s="442"/>
      <c r="AL18" s="435"/>
      <c r="AN18" s="402"/>
    </row>
    <row r="19" spans="1:40">
      <c r="A19" s="386">
        <f t="shared" si="0"/>
        <v>11</v>
      </c>
      <c r="B19" s="434" t="s">
        <v>577</v>
      </c>
      <c r="C19" s="434" t="s">
        <v>16</v>
      </c>
      <c r="D19" s="388"/>
      <c r="E19" s="403"/>
      <c r="F19" s="403"/>
      <c r="G19" s="403"/>
      <c r="H19" s="403"/>
      <c r="I19" s="403"/>
      <c r="J19" s="403"/>
      <c r="K19" s="403"/>
      <c r="L19" s="403"/>
      <c r="M19" s="419"/>
      <c r="N19" s="403"/>
      <c r="O19" s="403"/>
      <c r="P19" s="403"/>
      <c r="Q19" s="403"/>
      <c r="R19" s="403"/>
      <c r="S19" s="403"/>
      <c r="T19" s="403"/>
      <c r="U19" s="403"/>
      <c r="V19" s="403"/>
      <c r="W19" s="403"/>
      <c r="X19" s="403"/>
      <c r="Y19" s="403"/>
      <c r="Z19" s="412"/>
      <c r="AA19" s="403"/>
      <c r="AB19" s="419"/>
      <c r="AC19" s="403"/>
      <c r="AD19" s="403"/>
      <c r="AE19" s="403"/>
      <c r="AF19" s="419"/>
      <c r="AG19" s="403"/>
      <c r="AH19" s="403"/>
      <c r="AI19" s="419"/>
      <c r="AJ19" s="419"/>
      <c r="AK19" s="442"/>
      <c r="AL19" s="435"/>
      <c r="AN19" s="402"/>
    </row>
    <row r="20" spans="1:40">
      <c r="A20" s="386">
        <f t="shared" si="0"/>
        <v>12</v>
      </c>
      <c r="B20" s="434" t="s">
        <v>112</v>
      </c>
      <c r="C20" s="434" t="s">
        <v>17</v>
      </c>
      <c r="D20" s="388"/>
      <c r="E20" s="403"/>
      <c r="F20" s="403"/>
      <c r="G20" s="403"/>
      <c r="H20" s="403"/>
      <c r="I20" s="403"/>
      <c r="J20" s="403"/>
      <c r="K20" s="403"/>
      <c r="L20" s="403"/>
      <c r="M20" s="419"/>
      <c r="N20" s="403"/>
      <c r="O20" s="403"/>
      <c r="P20" s="403"/>
      <c r="Q20" s="403"/>
      <c r="R20" s="403"/>
      <c r="S20" s="403"/>
      <c r="T20" s="403"/>
      <c r="U20" s="403"/>
      <c r="V20" s="403"/>
      <c r="W20" s="403"/>
      <c r="X20" s="403"/>
      <c r="Y20" s="403"/>
      <c r="Z20" s="412"/>
      <c r="AA20" s="403"/>
      <c r="AB20" s="419"/>
      <c r="AC20" s="403"/>
      <c r="AD20" s="403"/>
      <c r="AE20" s="403"/>
      <c r="AF20" s="419"/>
      <c r="AG20" s="403"/>
      <c r="AH20" s="403"/>
      <c r="AI20" s="419"/>
      <c r="AJ20" s="419"/>
      <c r="AK20" s="442"/>
      <c r="AL20" s="435"/>
      <c r="AN20" s="402"/>
    </row>
    <row r="21" spans="1:40">
      <c r="A21" s="386">
        <f t="shared" si="0"/>
        <v>13</v>
      </c>
      <c r="B21" s="434" t="s">
        <v>262</v>
      </c>
      <c r="C21" s="434" t="s">
        <v>262</v>
      </c>
      <c r="D21" s="388"/>
      <c r="E21" s="403"/>
      <c r="F21" s="403"/>
      <c r="G21" s="403"/>
      <c r="H21" s="403"/>
      <c r="I21" s="403"/>
      <c r="J21" s="403"/>
      <c r="K21" s="403"/>
      <c r="L21" s="403"/>
      <c r="M21" s="419"/>
      <c r="N21" s="403"/>
      <c r="O21" s="403"/>
      <c r="P21" s="403"/>
      <c r="Q21" s="403"/>
      <c r="R21" s="403"/>
      <c r="S21" s="403"/>
      <c r="T21" s="403"/>
      <c r="U21" s="403"/>
      <c r="V21" s="403"/>
      <c r="W21" s="403"/>
      <c r="X21" s="403"/>
      <c r="Y21" s="403"/>
      <c r="Z21" s="412"/>
      <c r="AA21" s="403"/>
      <c r="AB21" s="419"/>
      <c r="AC21" s="403"/>
      <c r="AD21" s="403"/>
      <c r="AE21" s="403"/>
      <c r="AF21" s="419"/>
      <c r="AG21" s="403"/>
      <c r="AH21" s="403"/>
      <c r="AI21" s="419"/>
      <c r="AJ21" s="419"/>
      <c r="AK21" s="442"/>
      <c r="AL21" s="435"/>
      <c r="AN21" s="402"/>
    </row>
    <row r="22" spans="1:40">
      <c r="A22" s="386">
        <f t="shared" si="0"/>
        <v>14</v>
      </c>
      <c r="B22" s="434" t="s">
        <v>67</v>
      </c>
      <c r="C22" s="434">
        <v>5</v>
      </c>
      <c r="D22" s="388"/>
      <c r="E22" s="403"/>
      <c r="F22" s="403"/>
      <c r="G22" s="403"/>
      <c r="H22" s="403"/>
      <c r="I22" s="403"/>
      <c r="J22" s="403"/>
      <c r="K22" s="403"/>
      <c r="L22" s="403"/>
      <c r="M22" s="419"/>
      <c r="N22" s="403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12"/>
      <c r="AA22" s="403"/>
      <c r="AB22" s="419"/>
      <c r="AC22" s="403"/>
      <c r="AD22" s="403"/>
      <c r="AE22" s="403"/>
      <c r="AF22" s="419"/>
      <c r="AG22" s="403"/>
      <c r="AH22" s="403"/>
      <c r="AI22" s="419"/>
      <c r="AJ22" s="419"/>
      <c r="AK22" s="442"/>
      <c r="AL22" s="435"/>
      <c r="AN22" s="402"/>
    </row>
    <row r="23" spans="1:40">
      <c r="A23" s="386">
        <f t="shared" si="0"/>
        <v>15</v>
      </c>
      <c r="B23" s="386"/>
      <c r="C23" s="386"/>
      <c r="D23" s="394"/>
      <c r="E23" s="412"/>
      <c r="F23" s="412"/>
      <c r="G23" s="412"/>
      <c r="H23" s="412"/>
      <c r="I23" s="412"/>
      <c r="J23" s="412"/>
      <c r="K23" s="412"/>
      <c r="L23" s="412"/>
      <c r="M23" s="443"/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412"/>
      <c r="Y23" s="412"/>
      <c r="Z23" s="412"/>
      <c r="AA23" s="412"/>
      <c r="AB23" s="443"/>
      <c r="AC23" s="412"/>
      <c r="AD23" s="412"/>
      <c r="AE23" s="412"/>
      <c r="AF23" s="443"/>
      <c r="AG23" s="412"/>
      <c r="AH23" s="412"/>
      <c r="AI23" s="443"/>
      <c r="AJ23" s="443"/>
      <c r="AK23" s="444"/>
      <c r="AL23" s="403"/>
      <c r="AN23" s="402"/>
    </row>
    <row r="24" spans="1:40" ht="10.8" thickBot="1">
      <c r="A24" s="386">
        <f t="shared" si="0"/>
        <v>16</v>
      </c>
      <c r="B24" s="386"/>
      <c r="C24" s="386" t="s">
        <v>19</v>
      </c>
      <c r="D24" s="393"/>
      <c r="E24" s="407"/>
      <c r="F24" s="407"/>
      <c r="G24" s="407"/>
      <c r="H24" s="407"/>
      <c r="I24" s="407"/>
      <c r="J24" s="407"/>
      <c r="K24" s="407"/>
      <c r="L24" s="407"/>
      <c r="M24" s="424"/>
      <c r="N24" s="407"/>
      <c r="O24" s="407"/>
      <c r="P24" s="407"/>
      <c r="Q24" s="407"/>
      <c r="R24" s="407"/>
      <c r="S24" s="407"/>
      <c r="T24" s="407"/>
      <c r="U24" s="407"/>
      <c r="V24" s="407"/>
      <c r="W24" s="407"/>
      <c r="X24" s="407"/>
      <c r="Y24" s="407"/>
      <c r="Z24" s="412"/>
      <c r="AA24" s="407"/>
      <c r="AB24" s="424"/>
      <c r="AC24" s="407"/>
      <c r="AD24" s="407"/>
      <c r="AE24" s="407"/>
      <c r="AF24" s="424"/>
      <c r="AG24" s="407"/>
      <c r="AH24" s="407"/>
      <c r="AI24" s="424"/>
      <c r="AJ24" s="424"/>
      <c r="AK24" s="445"/>
      <c r="AL24" s="403"/>
      <c r="AN24" s="402"/>
    </row>
    <row r="25" spans="1:40" ht="10.8" thickTop="1">
      <c r="E25" s="403"/>
      <c r="F25" s="403"/>
      <c r="G25" s="403"/>
      <c r="H25" s="403"/>
      <c r="I25" s="403"/>
      <c r="J25" s="403"/>
      <c r="K25" s="403"/>
      <c r="L25" s="403"/>
      <c r="M25" s="419"/>
      <c r="N25" s="403"/>
      <c r="O25" s="403"/>
      <c r="P25" s="403"/>
      <c r="Q25" s="403"/>
      <c r="R25" s="403"/>
      <c r="S25" s="403"/>
      <c r="T25" s="403"/>
      <c r="U25" s="403"/>
      <c r="V25" s="403"/>
      <c r="W25" s="403"/>
      <c r="X25" s="403"/>
      <c r="Y25" s="403"/>
      <c r="Z25" s="412"/>
      <c r="AA25" s="403"/>
      <c r="AB25" s="403"/>
      <c r="AC25" s="403"/>
      <c r="AD25" s="403"/>
      <c r="AF25" s="446"/>
      <c r="AG25" s="403"/>
      <c r="AH25" s="403"/>
      <c r="AI25" s="403"/>
      <c r="AJ25" s="403"/>
      <c r="AN25" s="402"/>
    </row>
    <row r="26" spans="1:40">
      <c r="D26" s="388"/>
      <c r="E26" s="403"/>
      <c r="F26" s="403"/>
      <c r="G26" s="403"/>
      <c r="H26" s="403"/>
      <c r="I26" s="403"/>
      <c r="J26" s="403"/>
      <c r="K26" s="403"/>
      <c r="L26" s="403"/>
      <c r="M26" s="419"/>
      <c r="N26" s="403"/>
      <c r="O26" s="403"/>
      <c r="P26" s="403"/>
      <c r="Q26" s="403"/>
      <c r="R26" s="403"/>
      <c r="S26" s="403"/>
      <c r="T26" s="403"/>
      <c r="U26" s="403"/>
      <c r="V26" s="403"/>
      <c r="W26" s="403"/>
      <c r="X26" s="403"/>
      <c r="Y26" s="403"/>
      <c r="Z26" s="403"/>
      <c r="AA26" s="403"/>
      <c r="AB26" s="403"/>
      <c r="AC26" s="403"/>
      <c r="AD26" s="403"/>
      <c r="AF26" s="419"/>
      <c r="AG26" s="403"/>
      <c r="AH26" s="403"/>
      <c r="AI26" s="403"/>
      <c r="AJ26" s="403"/>
      <c r="AN26" s="402"/>
    </row>
    <row r="27" spans="1:40">
      <c r="D27" s="388"/>
      <c r="E27" s="388"/>
      <c r="F27" s="403"/>
      <c r="G27" s="403"/>
      <c r="H27" s="403"/>
      <c r="I27" s="403"/>
      <c r="J27" s="403"/>
      <c r="K27" s="403"/>
      <c r="L27" s="403"/>
      <c r="M27" s="419"/>
      <c r="N27" s="403"/>
      <c r="O27" s="403"/>
      <c r="P27" s="403"/>
      <c r="Q27" s="403"/>
      <c r="R27" s="403"/>
      <c r="S27" s="403"/>
      <c r="T27" s="403"/>
      <c r="U27" s="403"/>
      <c r="V27" s="403"/>
      <c r="W27" s="403"/>
      <c r="X27" s="403"/>
      <c r="Y27" s="403"/>
      <c r="Z27" s="403"/>
      <c r="AA27" s="403"/>
      <c r="AB27" s="403"/>
      <c r="AC27" s="403"/>
      <c r="AD27" s="403"/>
      <c r="AF27" s="419"/>
      <c r="AG27" s="403"/>
      <c r="AH27" s="403"/>
      <c r="AN27" s="402"/>
    </row>
    <row r="28" spans="1:40">
      <c r="AE28" s="403"/>
      <c r="AF28" s="403"/>
      <c r="AG28" s="403"/>
      <c r="AH28" s="403"/>
      <c r="AN28" s="402"/>
    </row>
    <row r="29" spans="1:40">
      <c r="B29" s="397"/>
      <c r="AE29" s="403"/>
      <c r="AF29" s="403"/>
      <c r="AG29" s="403"/>
      <c r="AH29" s="403"/>
    </row>
    <row r="30" spans="1:40">
      <c r="AE30" s="403"/>
      <c r="AF30" s="403"/>
      <c r="AG30" s="403"/>
      <c r="AH30" s="403"/>
    </row>
  </sheetData>
  <mergeCells count="7">
    <mergeCell ref="AE6:AI6"/>
    <mergeCell ref="A1:C1"/>
    <mergeCell ref="A2:C2"/>
    <mergeCell ref="A3:C3"/>
    <mergeCell ref="A4:C4"/>
    <mergeCell ref="A5:C5"/>
    <mergeCell ref="AA6:AD6"/>
  </mergeCells>
  <pageMargins left="0.25" right="0.25" top="0.75" bottom="0.75" header="0.3" footer="0.3"/>
  <pageSetup scale="63" orientation="landscape" r:id="rId1"/>
  <headerFooter>
    <oddFooter>&amp;L&amp;"Times New Roman,Regular"&amp;F
&amp;A&amp;R&amp;"Times New Roman,Regular"Page &amp;P of &amp;N</oddFooter>
  </headerFooter>
  <colBreaks count="1" manualBreakCount="1">
    <brk id="24" max="36" man="1"/>
  </colBreaks>
  <customProperties>
    <customPr name="_pios_id" r:id="rId2"/>
  </customPropertie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"/>
  <sheetViews>
    <sheetView workbookViewId="0">
      <selection activeCell="N38" sqref="N38"/>
    </sheetView>
  </sheetViews>
  <sheetFormatPr defaultColWidth="8.88671875" defaultRowHeight="13.2"/>
  <cols>
    <col min="1" max="16384" width="8.88671875" style="73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R42"/>
  <sheetViews>
    <sheetView zoomScaleNormal="10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activeCell="Q7" sqref="Q7:R40"/>
    </sheetView>
  </sheetViews>
  <sheetFormatPr defaultColWidth="8.88671875" defaultRowHeight="10.199999999999999"/>
  <cols>
    <col min="1" max="1" width="4.44140625" style="387" bestFit="1" customWidth="1"/>
    <col min="2" max="2" width="14.88671875" style="387" bestFit="1" customWidth="1"/>
    <col min="3" max="3" width="21.6640625" style="387" bestFit="1" customWidth="1"/>
    <col min="4" max="4" width="13.33203125" style="387" bestFit="1" customWidth="1"/>
    <col min="5" max="5" width="9.6640625" style="387" bestFit="1" customWidth="1"/>
    <col min="6" max="6" width="11" style="387" customWidth="1"/>
    <col min="7" max="7" width="9.6640625" style="387" bestFit="1" customWidth="1"/>
    <col min="8" max="8" width="8.88671875" style="387" bestFit="1" customWidth="1"/>
    <col min="9" max="9" width="2" style="387" customWidth="1"/>
    <col min="10" max="10" width="9.88671875" style="387" bestFit="1" customWidth="1"/>
    <col min="11" max="11" width="9.6640625" style="387" bestFit="1" customWidth="1"/>
    <col min="12" max="12" width="8.44140625" style="387" bestFit="1" customWidth="1"/>
    <col min="13" max="13" width="1.5546875" style="387" customWidth="1"/>
    <col min="14" max="14" width="9.88671875" style="387" bestFit="1" customWidth="1"/>
    <col min="15" max="15" width="8.44140625" style="387" bestFit="1" customWidth="1"/>
    <col min="16" max="16" width="1.109375" style="387" customWidth="1"/>
    <col min="17" max="18" width="8.44140625" style="387" bestFit="1" customWidth="1"/>
    <col min="19" max="16384" width="8.88671875" style="387"/>
  </cols>
  <sheetData>
    <row r="1" spans="1:18" s="409" customFormat="1">
      <c r="A1" s="772" t="s">
        <v>0</v>
      </c>
      <c r="B1" s="772"/>
      <c r="C1" s="772"/>
      <c r="D1" s="772"/>
      <c r="E1" s="772"/>
      <c r="F1" s="772"/>
      <c r="G1" s="772"/>
      <c r="H1" s="398"/>
    </row>
    <row r="2" spans="1:18" s="409" customFormat="1">
      <c r="A2" s="773" t="s">
        <v>65</v>
      </c>
      <c r="B2" s="772"/>
      <c r="C2" s="772"/>
      <c r="D2" s="772"/>
      <c r="E2" s="772"/>
      <c r="F2" s="772"/>
      <c r="G2" s="772"/>
      <c r="H2" s="398"/>
    </row>
    <row r="3" spans="1:18" s="409" customFormat="1">
      <c r="A3" s="772" t="str">
        <f>+'Revenue By Sch TY'!A3</f>
        <v>Test Year ended June 2021</v>
      </c>
      <c r="B3" s="772"/>
      <c r="C3" s="772"/>
      <c r="D3" s="772"/>
      <c r="E3" s="772"/>
      <c r="F3" s="772"/>
      <c r="G3" s="772"/>
      <c r="H3" s="398"/>
    </row>
    <row r="4" spans="1:18" s="409" customFormat="1">
      <c r="A4" s="772"/>
      <c r="B4" s="772"/>
      <c r="C4" s="772"/>
      <c r="D4" s="772"/>
      <c r="E4" s="772"/>
      <c r="F4" s="772"/>
      <c r="G4" s="772"/>
      <c r="H4" s="398"/>
    </row>
    <row r="5" spans="1:18" s="409" customFormat="1">
      <c r="A5" s="411"/>
      <c r="B5" s="398"/>
      <c r="C5" s="398"/>
      <c r="D5" s="398"/>
      <c r="J5" s="803" t="s">
        <v>512</v>
      </c>
      <c r="K5" s="803"/>
      <c r="L5" s="803"/>
      <c r="N5" s="802" t="s">
        <v>515</v>
      </c>
      <c r="O5" s="802"/>
      <c r="Q5" s="802" t="s">
        <v>514</v>
      </c>
      <c r="R5" s="803"/>
    </row>
    <row r="6" spans="1:18" s="409" customFormat="1" ht="51">
      <c r="A6" s="399" t="s">
        <v>2</v>
      </c>
      <c r="B6" s="399" t="s">
        <v>3</v>
      </c>
      <c r="C6" s="399" t="s">
        <v>31</v>
      </c>
      <c r="D6" s="400" t="str">
        <f>+'Revenue By Sch TY'!D7</f>
        <v>Annual mWh
Delivered Sales 
YE 06-2021</v>
      </c>
      <c r="E6" s="400" t="s">
        <v>448</v>
      </c>
      <c r="F6" s="400" t="s">
        <v>498</v>
      </c>
      <c r="G6" s="400" t="s">
        <v>449</v>
      </c>
      <c r="H6" s="400" t="s">
        <v>531</v>
      </c>
      <c r="J6" s="400" t="s">
        <v>522</v>
      </c>
      <c r="K6" s="400" t="str">
        <f>+G6</f>
        <v>Sch 95
PCCORC
Effective
July 1, 2021</v>
      </c>
      <c r="L6" s="400" t="s">
        <v>513</v>
      </c>
      <c r="M6" s="400"/>
      <c r="N6" s="400" t="str">
        <f>+J6</f>
        <v>Annual Delivered MWh</v>
      </c>
      <c r="O6" s="400" t="str">
        <f>+L6</f>
        <v>Annual Delivered $</v>
      </c>
      <c r="P6" s="400"/>
      <c r="Q6" s="400" t="str">
        <f>+N6</f>
        <v>Annual Delivered MWh</v>
      </c>
      <c r="R6" s="400" t="str">
        <f>+N6</f>
        <v>Annual Delivered MWh</v>
      </c>
    </row>
    <row r="7" spans="1:18">
      <c r="A7" s="386">
        <v>1</v>
      </c>
      <c r="B7" s="386">
        <v>7</v>
      </c>
      <c r="D7" s="388">
        <f>+'Revenue By Sch TY'!D9</f>
        <v>11355354.571603522</v>
      </c>
      <c r="E7" s="402">
        <f>+'UE-200890 Sch 95 PCORC'!L7</f>
        <v>3.3142467321893932E-3</v>
      </c>
      <c r="F7" s="403">
        <v>0</v>
      </c>
      <c r="G7" s="403">
        <f>ROUND(D7*E7,0)</f>
        <v>37634</v>
      </c>
      <c r="H7" s="403">
        <f>ROUND(D7*F7,0)</f>
        <v>0</v>
      </c>
      <c r="J7" s="388">
        <f>+'[1]Exhibit No.__(BDJ-MYRP-SUM)'!$K$14</f>
        <v>10963050.375499999</v>
      </c>
      <c r="K7" s="403">
        <f>ROUND($E7*J7,0)</f>
        <v>36334</v>
      </c>
      <c r="L7" s="403">
        <f>ROUND($F7*J7,0)</f>
        <v>0</v>
      </c>
      <c r="M7" s="403"/>
      <c r="N7" s="388">
        <f>+'[1]Exhibit No.__(BDJ-MYRP-SUM)'!$Q$14</f>
        <v>11064440.8695</v>
      </c>
      <c r="O7" s="403">
        <f>ROUND($F7*N7,0)</f>
        <v>0</v>
      </c>
      <c r="Q7" s="388"/>
      <c r="R7" s="403"/>
    </row>
    <row r="8" spans="1:18">
      <c r="A8" s="386">
        <f t="shared" ref="A8:A40" si="0">+A7+1</f>
        <v>2</v>
      </c>
      <c r="B8" s="389" t="s">
        <v>10</v>
      </c>
      <c r="D8" s="388">
        <v>0</v>
      </c>
      <c r="E8" s="402">
        <f>+'UE-200890 Sch 95 PCORC'!L9</f>
        <v>3.391810657944712E-3</v>
      </c>
      <c r="F8" s="402">
        <v>0</v>
      </c>
      <c r="G8" s="403">
        <f>ROUND(D8*E8,0)</f>
        <v>0</v>
      </c>
      <c r="H8" s="403">
        <f>ROUND(D8*F8,0)</f>
        <v>0</v>
      </c>
      <c r="J8" s="388">
        <v>0</v>
      </c>
      <c r="K8" s="403">
        <f>ROUND($E8*J8,0)</f>
        <v>0</v>
      </c>
      <c r="L8" s="403">
        <f>ROUND($F8*J8,0)</f>
        <v>0</v>
      </c>
      <c r="M8" s="403"/>
      <c r="N8" s="388">
        <v>0</v>
      </c>
      <c r="O8" s="403">
        <f>ROUND($F8*N8,0)</f>
        <v>0</v>
      </c>
      <c r="Q8" s="388"/>
      <c r="R8" s="403"/>
    </row>
    <row r="9" spans="1:18">
      <c r="A9" s="386">
        <f t="shared" si="0"/>
        <v>3</v>
      </c>
      <c r="B9" s="386"/>
      <c r="C9" s="387" t="s">
        <v>11</v>
      </c>
      <c r="D9" s="390">
        <f>SUM(D7:D8)</f>
        <v>11355354.571603522</v>
      </c>
      <c r="E9" s="404"/>
      <c r="F9" s="402"/>
      <c r="G9" s="405">
        <f t="shared" ref="G9:H9" si="1">SUM(G7:G8)</f>
        <v>37634</v>
      </c>
      <c r="H9" s="405">
        <f t="shared" si="1"/>
        <v>0</v>
      </c>
      <c r="J9" s="390">
        <f>SUM(J7:J8)</f>
        <v>10963050.375499999</v>
      </c>
      <c r="K9" s="405">
        <f t="shared" ref="K9:L9" si="2">SUM(K7:K8)</f>
        <v>36334</v>
      </c>
      <c r="L9" s="405">
        <f t="shared" si="2"/>
        <v>0</v>
      </c>
      <c r="M9" s="412"/>
      <c r="N9" s="390">
        <f>SUM(N7:N8)</f>
        <v>11064440.8695</v>
      </c>
      <c r="O9" s="405">
        <f t="shared" ref="O9" si="3">SUM(O7:O8)</f>
        <v>0</v>
      </c>
      <c r="Q9" s="390"/>
      <c r="R9" s="405"/>
    </row>
    <row r="10" spans="1:18">
      <c r="A10" s="386">
        <f t="shared" si="0"/>
        <v>4</v>
      </c>
      <c r="B10" s="386"/>
      <c r="D10" s="388"/>
      <c r="E10" s="402"/>
      <c r="F10" s="402"/>
      <c r="G10" s="403"/>
      <c r="H10" s="403"/>
      <c r="J10" s="388"/>
      <c r="K10" s="403"/>
      <c r="L10" s="403"/>
      <c r="M10" s="403"/>
      <c r="N10" s="388"/>
      <c r="O10" s="403"/>
      <c r="Q10" s="388"/>
      <c r="R10" s="403"/>
    </row>
    <row r="11" spans="1:18">
      <c r="A11" s="386">
        <f t="shared" si="0"/>
        <v>5</v>
      </c>
      <c r="B11" s="386">
        <v>8</v>
      </c>
      <c r="D11" s="388">
        <v>0</v>
      </c>
      <c r="E11" s="402">
        <f>+'UE-200890 Sch 95 PCORC'!L8</f>
        <v>3.4486955638168013E-3</v>
      </c>
      <c r="F11" s="402">
        <v>0</v>
      </c>
      <c r="G11" s="403">
        <f t="shared" ref="G11:G17" si="4">ROUND(D11*E11,0)</f>
        <v>0</v>
      </c>
      <c r="H11" s="403">
        <f t="shared" ref="H11:H17" si="5">ROUND(D11*F11,0)</f>
        <v>0</v>
      </c>
      <c r="J11" s="388">
        <v>0</v>
      </c>
      <c r="K11" s="403">
        <f t="shared" ref="K11:K17" si="6">ROUND($E11*J11,0)</f>
        <v>0</v>
      </c>
      <c r="L11" s="403">
        <f t="shared" ref="L11:L17" si="7">ROUND($F11*J11,0)</f>
        <v>0</v>
      </c>
      <c r="M11" s="403"/>
      <c r="N11" s="388">
        <v>0</v>
      </c>
      <c r="O11" s="403">
        <f t="shared" ref="O11:O17" si="8">ROUND($F11*N11,0)</f>
        <v>0</v>
      </c>
      <c r="Q11" s="388"/>
      <c r="R11" s="403"/>
    </row>
    <row r="12" spans="1:18">
      <c r="A12" s="386">
        <f t="shared" si="0"/>
        <v>6</v>
      </c>
      <c r="B12" s="386">
        <v>24</v>
      </c>
      <c r="D12" s="388">
        <f>+'Revenue By Sch TY'!D10</f>
        <v>2658833.1030243803</v>
      </c>
      <c r="E12" s="402">
        <f>+E11</f>
        <v>3.4486955638168013E-3</v>
      </c>
      <c r="F12" s="402">
        <v>0</v>
      </c>
      <c r="G12" s="403">
        <f t="shared" si="4"/>
        <v>9170</v>
      </c>
      <c r="H12" s="403">
        <f t="shared" si="5"/>
        <v>0</v>
      </c>
      <c r="J12" s="388">
        <f>+'[1]Exhibit No.__(BDJ-MYRP-SUM)'!$K$15</f>
        <v>2697633</v>
      </c>
      <c r="K12" s="403">
        <f t="shared" si="6"/>
        <v>9303</v>
      </c>
      <c r="L12" s="403">
        <f t="shared" si="7"/>
        <v>0</v>
      </c>
      <c r="M12" s="403"/>
      <c r="N12" s="388">
        <f>+'[1]Exhibit No.__(BDJ-MYRP-SUM)'!$Q$15</f>
        <v>2730372</v>
      </c>
      <c r="O12" s="403">
        <f t="shared" si="8"/>
        <v>0</v>
      </c>
      <c r="Q12" s="388"/>
      <c r="R12" s="403"/>
    </row>
    <row r="13" spans="1:18">
      <c r="A13" s="386">
        <f t="shared" si="0"/>
        <v>7</v>
      </c>
      <c r="B13" s="389">
        <v>11</v>
      </c>
      <c r="D13" s="388">
        <v>0</v>
      </c>
      <c r="E13" s="402">
        <f>+E8</f>
        <v>3.391810657944712E-3</v>
      </c>
      <c r="F13" s="402">
        <v>0</v>
      </c>
      <c r="G13" s="403">
        <f t="shared" si="4"/>
        <v>0</v>
      </c>
      <c r="H13" s="403">
        <f t="shared" si="5"/>
        <v>0</v>
      </c>
      <c r="J13" s="388">
        <v>0</v>
      </c>
      <c r="K13" s="403">
        <f t="shared" si="6"/>
        <v>0</v>
      </c>
      <c r="L13" s="403">
        <f t="shared" si="7"/>
        <v>0</v>
      </c>
      <c r="M13" s="403"/>
      <c r="N13" s="388">
        <v>0</v>
      </c>
      <c r="O13" s="403">
        <f t="shared" si="8"/>
        <v>0</v>
      </c>
      <c r="Q13" s="388"/>
      <c r="R13" s="403"/>
    </row>
    <row r="14" spans="1:18">
      <c r="A14" s="386">
        <f t="shared" si="0"/>
        <v>8</v>
      </c>
      <c r="B14" s="389">
        <v>25</v>
      </c>
      <c r="D14" s="388">
        <f>+'Revenue By Sch TY'!D11</f>
        <v>2856045.8325844579</v>
      </c>
      <c r="E14" s="402">
        <f>+E13</f>
        <v>3.391810657944712E-3</v>
      </c>
      <c r="F14" s="402">
        <v>0</v>
      </c>
      <c r="G14" s="403">
        <f t="shared" si="4"/>
        <v>9687</v>
      </c>
      <c r="H14" s="403">
        <f t="shared" si="5"/>
        <v>0</v>
      </c>
      <c r="J14" s="388">
        <f>+'[1]Exhibit No.__(BDJ-MYRP-SUM)'!$K$16</f>
        <v>2911699.0000000005</v>
      </c>
      <c r="K14" s="403">
        <f t="shared" si="6"/>
        <v>9876</v>
      </c>
      <c r="L14" s="403">
        <f t="shared" si="7"/>
        <v>0</v>
      </c>
      <c r="M14" s="403"/>
      <c r="N14" s="388">
        <f>+'[1]Exhibit No.__(BDJ-MYRP-SUM)'!$Q$16</f>
        <v>2948172</v>
      </c>
      <c r="O14" s="403">
        <f t="shared" si="8"/>
        <v>0</v>
      </c>
      <c r="Q14" s="388"/>
      <c r="R14" s="403"/>
    </row>
    <row r="15" spans="1:18">
      <c r="A15" s="386">
        <f t="shared" si="0"/>
        <v>9</v>
      </c>
      <c r="B15" s="386">
        <v>12</v>
      </c>
      <c r="D15" s="388">
        <v>0</v>
      </c>
      <c r="E15" s="402">
        <f>+'UE-200890 Sch 95 PCORC'!L10</f>
        <v>3.2881063707595293E-3</v>
      </c>
      <c r="F15" s="402">
        <v>0</v>
      </c>
      <c r="G15" s="403">
        <f t="shared" si="4"/>
        <v>0</v>
      </c>
      <c r="H15" s="403">
        <f t="shared" si="5"/>
        <v>0</v>
      </c>
      <c r="J15" s="388">
        <v>0</v>
      </c>
      <c r="K15" s="403">
        <f t="shared" si="6"/>
        <v>0</v>
      </c>
      <c r="L15" s="403">
        <f t="shared" si="7"/>
        <v>0</v>
      </c>
      <c r="M15" s="403"/>
      <c r="N15" s="388">
        <v>0</v>
      </c>
      <c r="O15" s="403">
        <f t="shared" si="8"/>
        <v>0</v>
      </c>
      <c r="Q15" s="388"/>
      <c r="R15" s="403"/>
    </row>
    <row r="16" spans="1:18">
      <c r="A16" s="386">
        <f t="shared" si="0"/>
        <v>10</v>
      </c>
      <c r="B16" s="386" t="s">
        <v>12</v>
      </c>
      <c r="D16" s="388">
        <f>+'Revenue By Sch TY'!D12</f>
        <v>1761911.047761543</v>
      </c>
      <c r="E16" s="402">
        <f>+E15</f>
        <v>3.2881063707595293E-3</v>
      </c>
      <c r="F16" s="402">
        <v>0</v>
      </c>
      <c r="G16" s="403">
        <f t="shared" si="4"/>
        <v>5793</v>
      </c>
      <c r="H16" s="403">
        <f t="shared" si="5"/>
        <v>0</v>
      </c>
      <c r="J16" s="388">
        <f>+'[1]Exhibit No.__(BDJ-MYRP-SUM)'!$K$17</f>
        <v>1831289</v>
      </c>
      <c r="K16" s="403">
        <f t="shared" si="6"/>
        <v>6021</v>
      </c>
      <c r="L16" s="403">
        <f t="shared" si="7"/>
        <v>0</v>
      </c>
      <c r="M16" s="403"/>
      <c r="N16" s="388">
        <f>+'[1]Exhibit No.__(BDJ-MYRP-SUM)'!$Q$17</f>
        <v>1853862</v>
      </c>
      <c r="O16" s="403">
        <f t="shared" si="8"/>
        <v>0</v>
      </c>
      <c r="Q16" s="388"/>
      <c r="R16" s="403"/>
    </row>
    <row r="17" spans="1:18">
      <c r="A17" s="386">
        <f t="shared" si="0"/>
        <v>11</v>
      </c>
      <c r="B17" s="386">
        <v>29</v>
      </c>
      <c r="D17" s="388">
        <f>+'Revenue By Sch TY'!D13</f>
        <v>15293.727999999999</v>
      </c>
      <c r="E17" s="402">
        <f>+'UE-200890 Sch 95 PCORC'!L11</f>
        <v>3.6338751446693849E-3</v>
      </c>
      <c r="F17" s="402">
        <v>0</v>
      </c>
      <c r="G17" s="403">
        <f t="shared" si="4"/>
        <v>56</v>
      </c>
      <c r="H17" s="403">
        <f t="shared" si="5"/>
        <v>0</v>
      </c>
      <c r="J17" s="388">
        <f>+'[1]Exhibit No.__(BDJ-MYRP-SUM)'!$K$18</f>
        <v>15100.966499999999</v>
      </c>
      <c r="K17" s="403">
        <f t="shared" si="6"/>
        <v>55</v>
      </c>
      <c r="L17" s="403">
        <f t="shared" si="7"/>
        <v>0</v>
      </c>
      <c r="M17" s="403"/>
      <c r="N17" s="388">
        <f>+'[1]Exhibit No.__(BDJ-MYRP-SUM)'!$Q$18</f>
        <v>15233.452499999999</v>
      </c>
      <c r="O17" s="403">
        <f t="shared" si="8"/>
        <v>0</v>
      </c>
      <c r="Q17" s="388"/>
      <c r="R17" s="403"/>
    </row>
    <row r="18" spans="1:18">
      <c r="A18" s="386">
        <f t="shared" si="0"/>
        <v>12</v>
      </c>
      <c r="B18" s="386"/>
      <c r="C18" s="391" t="s">
        <v>13</v>
      </c>
      <c r="D18" s="390">
        <f>SUM(D11:D17)</f>
        <v>7292083.7113703806</v>
      </c>
      <c r="E18" s="404"/>
      <c r="F18" s="402"/>
      <c r="G18" s="405">
        <f t="shared" ref="G18:H18" si="9">SUM(G11:G17)</f>
        <v>24706</v>
      </c>
      <c r="H18" s="405">
        <f t="shared" si="9"/>
        <v>0</v>
      </c>
      <c r="J18" s="390">
        <f>SUM(J11:J17)</f>
        <v>7455721.9665000001</v>
      </c>
      <c r="K18" s="405">
        <f t="shared" ref="K18:L18" si="10">SUM(K11:K17)</f>
        <v>25255</v>
      </c>
      <c r="L18" s="405">
        <f t="shared" si="10"/>
        <v>0</v>
      </c>
      <c r="M18" s="412"/>
      <c r="N18" s="390">
        <f>SUM(N11:N17)</f>
        <v>7547639.4524999997</v>
      </c>
      <c r="O18" s="405">
        <f t="shared" ref="O18" si="11">SUM(O11:O17)</f>
        <v>0</v>
      </c>
      <c r="Q18" s="390"/>
      <c r="R18" s="405"/>
    </row>
    <row r="19" spans="1:18">
      <c r="A19" s="386">
        <f t="shared" si="0"/>
        <v>13</v>
      </c>
      <c r="B19" s="386"/>
      <c r="D19" s="388"/>
      <c r="E19" s="402"/>
      <c r="F19" s="402"/>
      <c r="G19" s="403"/>
      <c r="H19" s="403"/>
      <c r="J19" s="388"/>
      <c r="K19" s="403"/>
      <c r="L19" s="403"/>
      <c r="M19" s="403"/>
      <c r="N19" s="388"/>
      <c r="O19" s="403"/>
      <c r="Q19" s="388"/>
      <c r="R19" s="403"/>
    </row>
    <row r="20" spans="1:18">
      <c r="A20" s="386">
        <f t="shared" si="0"/>
        <v>14</v>
      </c>
      <c r="B20" s="386">
        <v>10</v>
      </c>
      <c r="D20" s="388">
        <v>0</v>
      </c>
      <c r="E20" s="402">
        <f>+'UE-200890 Sch 95 PCORC'!L12</f>
        <v>3.1635777349284674E-3</v>
      </c>
      <c r="F20" s="402">
        <v>0</v>
      </c>
      <c r="G20" s="403">
        <f>ROUND(D20*E20,0)</f>
        <v>0</v>
      </c>
      <c r="H20" s="403">
        <f t="shared" ref="H20:H23" si="12">ROUND(D20*F20,0)</f>
        <v>0</v>
      </c>
      <c r="J20" s="388">
        <v>0</v>
      </c>
      <c r="K20" s="403">
        <f t="shared" ref="K20:K23" si="13">ROUND($E20*J20,0)</f>
        <v>0</v>
      </c>
      <c r="L20" s="403">
        <f t="shared" ref="L20:L23" si="14">ROUND($F20*J20,0)</f>
        <v>0</v>
      </c>
      <c r="M20" s="403"/>
      <c r="N20" s="388">
        <v>0</v>
      </c>
      <c r="O20" s="403">
        <f>ROUND($F20*N20,0)</f>
        <v>0</v>
      </c>
      <c r="Q20" s="388"/>
      <c r="R20" s="403"/>
    </row>
    <row r="21" spans="1:18">
      <c r="A21" s="386">
        <f t="shared" si="0"/>
        <v>15</v>
      </c>
      <c r="B21" s="386">
        <v>31</v>
      </c>
      <c r="D21" s="388">
        <f>+'Revenue By Sch TY'!D14</f>
        <v>1307770.0591754341</v>
      </c>
      <c r="E21" s="402">
        <f>+E20</f>
        <v>3.1635777349284674E-3</v>
      </c>
      <c r="F21" s="402">
        <v>0</v>
      </c>
      <c r="G21" s="403">
        <f>ROUND(D21*E21,0)</f>
        <v>4137</v>
      </c>
      <c r="H21" s="403">
        <f t="shared" si="12"/>
        <v>0</v>
      </c>
      <c r="J21" s="388">
        <f>+'[1]Exhibit No.__(BDJ-MYRP-SUM)'!$K$19</f>
        <v>1332008</v>
      </c>
      <c r="K21" s="403">
        <f t="shared" si="13"/>
        <v>4214</v>
      </c>
      <c r="L21" s="403">
        <f t="shared" si="14"/>
        <v>0</v>
      </c>
      <c r="M21" s="403"/>
      <c r="N21" s="388">
        <f>+'[1]Exhibit No.__(BDJ-MYRP-SUM)'!$Q$19</f>
        <v>1335448</v>
      </c>
      <c r="O21" s="403">
        <f>ROUND($F21*N21,0)</f>
        <v>0</v>
      </c>
      <c r="Q21" s="388"/>
      <c r="R21" s="403"/>
    </row>
    <row r="22" spans="1:18">
      <c r="A22" s="386">
        <f t="shared" si="0"/>
        <v>16</v>
      </c>
      <c r="B22" s="386">
        <v>35</v>
      </c>
      <c r="D22" s="388">
        <f>+'Revenue By Sch TY'!D15</f>
        <v>4387.6440000000002</v>
      </c>
      <c r="E22" s="402">
        <f>+'UE-200890 Sch 95 PCORC'!L13</f>
        <v>1.7772843865933472E-3</v>
      </c>
      <c r="F22" s="402">
        <v>0</v>
      </c>
      <c r="G22" s="403">
        <f>ROUND(D22*E22,0)</f>
        <v>8</v>
      </c>
      <c r="H22" s="403">
        <f t="shared" si="12"/>
        <v>0</v>
      </c>
      <c r="J22" s="388">
        <f>+'[1]Exhibit No.__(BDJ-MYRP-SUM)'!$K$20</f>
        <v>4663</v>
      </c>
      <c r="K22" s="403">
        <f t="shared" si="13"/>
        <v>8</v>
      </c>
      <c r="L22" s="403">
        <f t="shared" si="14"/>
        <v>0</v>
      </c>
      <c r="M22" s="403"/>
      <c r="N22" s="388">
        <f>+'[1]Exhibit No.__(BDJ-MYRP-SUM)'!$Q$20</f>
        <v>4695</v>
      </c>
      <c r="O22" s="403">
        <f>ROUND($F22*N22,0)</f>
        <v>0</v>
      </c>
      <c r="Q22" s="388"/>
      <c r="R22" s="403"/>
    </row>
    <row r="23" spans="1:18">
      <c r="A23" s="386">
        <f t="shared" si="0"/>
        <v>17</v>
      </c>
      <c r="B23" s="386">
        <v>43</v>
      </c>
      <c r="D23" s="388">
        <f>+'Revenue By Sch TY'!D16</f>
        <v>114099.11728442684</v>
      </c>
      <c r="E23" s="402">
        <f>+'UE-200890 Sch 95 PCORC'!L14</f>
        <v>2.5006617592349652E-3</v>
      </c>
      <c r="F23" s="402">
        <v>0</v>
      </c>
      <c r="G23" s="403">
        <f>ROUND(D23*E23,0)</f>
        <v>285</v>
      </c>
      <c r="H23" s="403">
        <f t="shared" si="12"/>
        <v>0</v>
      </c>
      <c r="J23" s="388">
        <f>+'[1]Exhibit No.__(BDJ-MYRP-SUM)'!$K$21</f>
        <v>118190</v>
      </c>
      <c r="K23" s="403">
        <f t="shared" si="13"/>
        <v>296</v>
      </c>
      <c r="L23" s="403">
        <f t="shared" si="14"/>
        <v>0</v>
      </c>
      <c r="M23" s="403"/>
      <c r="N23" s="388">
        <f>+'[1]Exhibit No.__(BDJ-MYRP-SUM)'!$Q$21</f>
        <v>119782</v>
      </c>
      <c r="O23" s="403">
        <f>ROUND($F23*N23,0)</f>
        <v>0</v>
      </c>
      <c r="Q23" s="388"/>
      <c r="R23" s="403"/>
    </row>
    <row r="24" spans="1:18">
      <c r="A24" s="386">
        <f t="shared" si="0"/>
        <v>18</v>
      </c>
      <c r="B24" s="386"/>
      <c r="C24" s="387" t="s">
        <v>14</v>
      </c>
      <c r="D24" s="390">
        <f>SUM(D20:D23)</f>
        <v>1426256.8204598611</v>
      </c>
      <c r="E24" s="404"/>
      <c r="F24" s="402"/>
      <c r="G24" s="405">
        <f t="shared" ref="G24:H24" si="15">SUM(G20:G23)</f>
        <v>4430</v>
      </c>
      <c r="H24" s="405">
        <f t="shared" si="15"/>
        <v>0</v>
      </c>
      <c r="J24" s="390">
        <f>SUM(J20:J23)</f>
        <v>1454861</v>
      </c>
      <c r="K24" s="405">
        <f t="shared" ref="K24:L24" si="16">SUM(K20:K23)</f>
        <v>4518</v>
      </c>
      <c r="L24" s="405">
        <f t="shared" si="16"/>
        <v>0</v>
      </c>
      <c r="M24" s="412"/>
      <c r="N24" s="390">
        <f>SUM(N20:N23)</f>
        <v>1459925</v>
      </c>
      <c r="O24" s="405">
        <f t="shared" ref="O24" si="17">SUM(O20:O23)</f>
        <v>0</v>
      </c>
      <c r="Q24" s="390"/>
      <c r="R24" s="405"/>
    </row>
    <row r="25" spans="1:18">
      <c r="A25" s="386">
        <f t="shared" si="0"/>
        <v>19</v>
      </c>
      <c r="B25" s="386"/>
      <c r="D25" s="388"/>
      <c r="E25" s="402"/>
      <c r="F25" s="402"/>
      <c r="G25" s="403"/>
      <c r="H25" s="403"/>
      <c r="J25" s="388"/>
      <c r="K25" s="403"/>
      <c r="L25" s="403"/>
      <c r="M25" s="403"/>
      <c r="N25" s="388"/>
      <c r="O25" s="403"/>
      <c r="Q25" s="388"/>
      <c r="R25" s="403"/>
    </row>
    <row r="26" spans="1:18">
      <c r="A26" s="386">
        <f t="shared" si="0"/>
        <v>20</v>
      </c>
      <c r="B26" s="386">
        <v>46</v>
      </c>
      <c r="D26" s="388">
        <f>+'Revenue By Sch TY'!D17</f>
        <v>100810.05100000001</v>
      </c>
      <c r="E26" s="402">
        <f>+'UE-200890 Sch 95 PCORC'!L16</f>
        <v>2.2336941320597399E-3</v>
      </c>
      <c r="F26" s="402">
        <v>0</v>
      </c>
      <c r="G26" s="403">
        <f>ROUND(D26*E26,0)</f>
        <v>225</v>
      </c>
      <c r="H26" s="403">
        <f t="shared" ref="H26:H27" si="18">ROUND(D26*F26,0)</f>
        <v>0</v>
      </c>
      <c r="J26" s="388">
        <f>+'[1]Exhibit No.__(BDJ-MYRP-SUM)'!$K$22</f>
        <v>89530.525500000018</v>
      </c>
      <c r="K26" s="403">
        <f t="shared" ref="K26:K27" si="19">ROUND($E26*J26,0)</f>
        <v>200</v>
      </c>
      <c r="L26" s="403">
        <f t="shared" ref="L26:L27" si="20">ROUND($F26*J26,0)</f>
        <v>0</v>
      </c>
      <c r="M26" s="403"/>
      <c r="N26" s="388">
        <f>+'[1]Exhibit No.__(BDJ-MYRP-SUM)'!$Q$22</f>
        <v>89210.525500000018</v>
      </c>
      <c r="O26" s="403">
        <f>ROUND($F26*N26,0)</f>
        <v>0</v>
      </c>
      <c r="Q26" s="388"/>
      <c r="R26" s="403"/>
    </row>
    <row r="27" spans="1:18">
      <c r="A27" s="386">
        <f t="shared" si="0"/>
        <v>21</v>
      </c>
      <c r="B27" s="386">
        <v>49</v>
      </c>
      <c r="D27" s="388">
        <f>+'Revenue By Sch TY'!D18</f>
        <v>513293.73700000002</v>
      </c>
      <c r="E27" s="402">
        <f>+'UE-200890 Sch 95 PCORC'!L17</f>
        <v>2.7772155560288891E-3</v>
      </c>
      <c r="F27" s="402">
        <v>0</v>
      </c>
      <c r="G27" s="403">
        <f>ROUND(D27*E27,0)</f>
        <v>1426</v>
      </c>
      <c r="H27" s="403">
        <f t="shared" si="18"/>
        <v>0</v>
      </c>
      <c r="J27" s="388">
        <f>+'[1]Exhibit No.__(BDJ-MYRP-SUM)'!$K$23</f>
        <v>504715</v>
      </c>
      <c r="K27" s="403">
        <f t="shared" si="19"/>
        <v>1402</v>
      </c>
      <c r="L27" s="403">
        <f t="shared" si="20"/>
        <v>0</v>
      </c>
      <c r="M27" s="403"/>
      <c r="N27" s="388">
        <f>+'[1]Exhibit No.__(BDJ-MYRP-SUM)'!$Q$23</f>
        <v>499683</v>
      </c>
      <c r="O27" s="403">
        <f>ROUND($F27*N27,0)</f>
        <v>0</v>
      </c>
      <c r="Q27" s="388"/>
      <c r="R27" s="403"/>
    </row>
    <row r="28" spans="1:18">
      <c r="A28" s="386">
        <f t="shared" si="0"/>
        <v>22</v>
      </c>
      <c r="B28" s="386"/>
      <c r="C28" s="387" t="s">
        <v>15</v>
      </c>
      <c r="D28" s="390">
        <f>SUM(D26:D27)</f>
        <v>614103.78800000006</v>
      </c>
      <c r="E28" s="404"/>
      <c r="F28" s="402"/>
      <c r="G28" s="405">
        <f t="shared" ref="G28:H28" si="21">SUM(G26:G27)</f>
        <v>1651</v>
      </c>
      <c r="H28" s="405">
        <f t="shared" si="21"/>
        <v>0</v>
      </c>
      <c r="J28" s="390">
        <f>SUM(J26:J27)</f>
        <v>594245.52549999999</v>
      </c>
      <c r="K28" s="405">
        <f t="shared" ref="K28:L28" si="22">SUM(K26:K27)</f>
        <v>1602</v>
      </c>
      <c r="L28" s="405">
        <f t="shared" si="22"/>
        <v>0</v>
      </c>
      <c r="M28" s="412"/>
      <c r="N28" s="390">
        <f>SUM(N26:N27)</f>
        <v>588893.52549999999</v>
      </c>
      <c r="O28" s="405">
        <f t="shared" ref="O28" si="23">SUM(O26:O27)</f>
        <v>0</v>
      </c>
      <c r="Q28" s="390"/>
      <c r="R28" s="405"/>
    </row>
    <row r="29" spans="1:18">
      <c r="A29" s="386">
        <f t="shared" si="0"/>
        <v>23</v>
      </c>
      <c r="B29" s="386"/>
      <c r="D29" s="388"/>
      <c r="E29" s="402"/>
      <c r="F29" s="402"/>
      <c r="G29" s="403"/>
      <c r="H29" s="403"/>
      <c r="J29" s="388"/>
      <c r="K29" s="403"/>
      <c r="L29" s="403"/>
      <c r="M29" s="403"/>
      <c r="N29" s="388"/>
      <c r="O29" s="403"/>
      <c r="Q29" s="388"/>
      <c r="R29" s="403"/>
    </row>
    <row r="30" spans="1:18">
      <c r="A30" s="386">
        <f t="shared" si="0"/>
        <v>24</v>
      </c>
      <c r="B30" s="386" t="s">
        <v>16</v>
      </c>
      <c r="D30" s="390">
        <f>+'Revenue By Sch TY'!D19</f>
        <v>69892.887000000002</v>
      </c>
      <c r="E30" s="404">
        <f>+'UE-200890 Sch 95 PCORC'!L19</f>
        <v>3.0298995648176466E-3</v>
      </c>
      <c r="F30" s="404">
        <v>0</v>
      </c>
      <c r="G30" s="405">
        <f>ROUND(D30*E30,0)</f>
        <v>212</v>
      </c>
      <c r="H30" s="405">
        <f>ROUND(D30*F30,0)</f>
        <v>0</v>
      </c>
      <c r="J30" s="390">
        <f>+'[1]Exhibit No.__(BDJ-MYRP-SUM)'!$K$24</f>
        <v>62703</v>
      </c>
      <c r="K30" s="405">
        <f>ROUND($E30*J30,0)</f>
        <v>190</v>
      </c>
      <c r="L30" s="405">
        <f>ROUND($F30*J30,0)</f>
        <v>0</v>
      </c>
      <c r="M30" s="412"/>
      <c r="N30" s="390">
        <f>+'[1]Exhibit No.__(BDJ-MYRP-SUM)'!$Q$24</f>
        <v>61382</v>
      </c>
      <c r="O30" s="405">
        <f>ROUND($F30*N30,0)</f>
        <v>0</v>
      </c>
      <c r="Q30" s="390"/>
      <c r="R30" s="405"/>
    </row>
    <row r="31" spans="1:18">
      <c r="A31" s="386">
        <f t="shared" si="0"/>
        <v>25</v>
      </c>
      <c r="B31" s="386"/>
      <c r="D31" s="388"/>
      <c r="E31" s="402"/>
      <c r="F31" s="402"/>
      <c r="G31" s="403"/>
      <c r="H31" s="403"/>
      <c r="J31" s="388"/>
      <c r="K31" s="403"/>
      <c r="L31" s="403"/>
      <c r="M31" s="403"/>
      <c r="N31" s="388"/>
      <c r="O31" s="403"/>
      <c r="Q31" s="388"/>
      <c r="R31" s="403"/>
    </row>
    <row r="32" spans="1:18">
      <c r="A32" s="386">
        <f t="shared" si="0"/>
        <v>26</v>
      </c>
      <c r="B32" s="389" t="s">
        <v>17</v>
      </c>
      <c r="D32" s="388">
        <f>+'Revenue By Sch TY'!D20</f>
        <v>1945214.1669999999</v>
      </c>
      <c r="E32" s="402">
        <v>0</v>
      </c>
      <c r="F32" s="402">
        <v>0</v>
      </c>
      <c r="G32" s="403">
        <f>ROUND(D32*E32,0)</f>
        <v>0</v>
      </c>
      <c r="H32" s="403">
        <f t="shared" ref="H32:H33" si="24">ROUND(D32*F32,0)</f>
        <v>0</v>
      </c>
      <c r="J32" s="388">
        <f>+'[1]Exhibit No.__(BDJ-MYRP-SUM)'!$K$25</f>
        <v>1895530</v>
      </c>
      <c r="K32" s="403">
        <f>ROUND($E32*J32,0)</f>
        <v>0</v>
      </c>
      <c r="L32" s="403">
        <f t="shared" ref="L32:L33" si="25">ROUND($F32*J32,0)</f>
        <v>0</v>
      </c>
      <c r="M32" s="403"/>
      <c r="N32" s="388">
        <f>+'[1]Exhibit No.__(BDJ-MYRP-SUM)'!$Q$25</f>
        <v>1895104</v>
      </c>
      <c r="O32" s="403">
        <f>ROUND($F32*N32,0)</f>
        <v>0</v>
      </c>
      <c r="Q32" s="388"/>
      <c r="R32" s="403"/>
    </row>
    <row r="33" spans="1:18">
      <c r="A33" s="386">
        <f t="shared" si="0"/>
        <v>27</v>
      </c>
      <c r="B33" s="389" t="s">
        <v>262</v>
      </c>
      <c r="D33" s="388">
        <f>+'Revenue By Sch TY'!D21</f>
        <v>278070.311162</v>
      </c>
      <c r="E33" s="402">
        <v>0</v>
      </c>
      <c r="F33" s="402">
        <v>0</v>
      </c>
      <c r="G33" s="403">
        <f>ROUND(D33*E33,0)</f>
        <v>0</v>
      </c>
      <c r="H33" s="403">
        <f t="shared" si="24"/>
        <v>0</v>
      </c>
      <c r="J33" s="388">
        <f>+'[1]Exhibit No.__(BDJ-MYRP-SUM)'!$K$26</f>
        <v>289426</v>
      </c>
      <c r="K33" s="403">
        <f>ROUND($E33*J33,0)</f>
        <v>0</v>
      </c>
      <c r="L33" s="403">
        <f t="shared" si="25"/>
        <v>0</v>
      </c>
      <c r="M33" s="403"/>
      <c r="N33" s="388">
        <f>+'[1]Exhibit No.__(BDJ-MYRP-SUM)'!$Q$26</f>
        <v>289426</v>
      </c>
      <c r="O33" s="403">
        <f>ROUND($F33*N33,0)</f>
        <v>0</v>
      </c>
      <c r="Q33" s="388"/>
      <c r="R33" s="403"/>
    </row>
    <row r="34" spans="1:18">
      <c r="A34" s="386">
        <f t="shared" si="0"/>
        <v>28</v>
      </c>
      <c r="B34" s="389"/>
      <c r="C34" s="387" t="s">
        <v>263</v>
      </c>
      <c r="D34" s="390">
        <f>SUM(D32:D33)</f>
        <v>2223284.478162</v>
      </c>
      <c r="E34" s="404"/>
      <c r="F34" s="402"/>
      <c r="G34" s="405">
        <f t="shared" ref="G34:H34" si="26">SUM(G32:G33)</f>
        <v>0</v>
      </c>
      <c r="H34" s="405">
        <f t="shared" si="26"/>
        <v>0</v>
      </c>
      <c r="J34" s="390">
        <f>SUM(J32:J33)</f>
        <v>2184956</v>
      </c>
      <c r="K34" s="405">
        <f t="shared" ref="K34:L34" si="27">SUM(K32:K33)</f>
        <v>0</v>
      </c>
      <c r="L34" s="405">
        <f t="shared" si="27"/>
        <v>0</v>
      </c>
      <c r="M34" s="412"/>
      <c r="N34" s="390">
        <f>SUM(N32:N33)</f>
        <v>2184530</v>
      </c>
      <c r="O34" s="405">
        <f t="shared" ref="O34" si="28">SUM(O32:O33)</f>
        <v>0</v>
      </c>
      <c r="Q34" s="390"/>
      <c r="R34" s="405"/>
    </row>
    <row r="35" spans="1:18">
      <c r="A35" s="386">
        <f t="shared" si="0"/>
        <v>29</v>
      </c>
      <c r="B35" s="386"/>
      <c r="D35" s="388"/>
      <c r="E35" s="402"/>
      <c r="F35" s="402"/>
      <c r="G35" s="403"/>
      <c r="H35" s="403"/>
      <c r="J35" s="388"/>
      <c r="K35" s="403"/>
      <c r="L35" s="403"/>
      <c r="M35" s="403"/>
      <c r="N35" s="388"/>
      <c r="O35" s="403"/>
      <c r="Q35" s="388"/>
      <c r="R35" s="403"/>
    </row>
    <row r="36" spans="1:18" ht="10.8" thickBot="1">
      <c r="A36" s="386">
        <f t="shared" si="0"/>
        <v>30</v>
      </c>
      <c r="B36" s="386"/>
      <c r="C36" s="391" t="s">
        <v>66</v>
      </c>
      <c r="D36" s="393">
        <f>SUM(D9,D18,D24,D28,D30,D34)</f>
        <v>22980976.256595761</v>
      </c>
      <c r="E36" s="406"/>
      <c r="F36" s="402"/>
      <c r="G36" s="407">
        <f>SUM(G9,G18,G24,G28,G30,G34)</f>
        <v>68633</v>
      </c>
      <c r="H36" s="407">
        <f>SUM(H9,H18,H24,H28,H30,H34)</f>
        <v>0</v>
      </c>
      <c r="J36" s="393">
        <f>SUM(J9,J18,J24,J28,J30,J34)</f>
        <v>22715537.8675</v>
      </c>
      <c r="K36" s="407">
        <f>SUM(K9,K18,K24,K28,K30,K34)</f>
        <v>67899</v>
      </c>
      <c r="L36" s="407">
        <f>SUM(L9,L18,L24,L28,L30,L34)</f>
        <v>0</v>
      </c>
      <c r="M36" s="412"/>
      <c r="N36" s="393">
        <f>SUM(N9,N18,N24,N28,N30,N34)</f>
        <v>22906810.8475</v>
      </c>
      <c r="O36" s="407">
        <f>SUM(O9,O18,O24,O28,O30,O34)</f>
        <v>0</v>
      </c>
      <c r="Q36" s="393"/>
      <c r="R36" s="407"/>
    </row>
    <row r="37" spans="1:18" ht="10.8" thickTop="1">
      <c r="A37" s="386">
        <f t="shared" si="0"/>
        <v>31</v>
      </c>
      <c r="B37" s="386"/>
      <c r="G37" s="403"/>
      <c r="H37" s="403"/>
      <c r="K37" s="403"/>
      <c r="L37" s="403"/>
      <c r="M37" s="403"/>
      <c r="O37" s="403"/>
      <c r="R37" s="403"/>
    </row>
    <row r="38" spans="1:18">
      <c r="A38" s="386">
        <f t="shared" si="0"/>
        <v>32</v>
      </c>
      <c r="B38" s="386">
        <v>5</v>
      </c>
      <c r="C38" s="387" t="s">
        <v>67</v>
      </c>
      <c r="D38" s="390">
        <f>+'Revenue By Sch TY'!D22</f>
        <v>7372.3372879022108</v>
      </c>
      <c r="E38" s="402">
        <f>+'UE-200890 Sch 95 PCORC'!L21</f>
        <v>3.1503478515939312E-3</v>
      </c>
      <c r="F38" s="404">
        <v>0</v>
      </c>
      <c r="G38" s="405">
        <f>ROUND(D38*E38,0)</f>
        <v>23</v>
      </c>
      <c r="H38" s="405">
        <f>ROUND(D38*F38,0)</f>
        <v>0</v>
      </c>
      <c r="J38" s="390">
        <f>+'[1]Exhibit No.__(BDJ-MYRP-SUM)'!$K$27</f>
        <v>7521</v>
      </c>
      <c r="K38" s="405">
        <f>ROUND($E38*J38,0)</f>
        <v>24</v>
      </c>
      <c r="L38" s="405">
        <f>ROUND($F38*J38,0)</f>
        <v>0</v>
      </c>
      <c r="M38" s="412"/>
      <c r="N38" s="390">
        <f>+'[1]Exhibit No.__(BDJ-MYRP-SUM)'!$Q$27</f>
        <v>7552</v>
      </c>
      <c r="O38" s="405">
        <f>ROUND($F38*N38,0)</f>
        <v>0</v>
      </c>
      <c r="Q38" s="390"/>
      <c r="R38" s="405"/>
    </row>
    <row r="39" spans="1:18">
      <c r="A39" s="386">
        <f t="shared" si="0"/>
        <v>33</v>
      </c>
      <c r="B39" s="386"/>
      <c r="G39" s="403"/>
      <c r="H39" s="403"/>
      <c r="K39" s="403"/>
      <c r="L39" s="403"/>
      <c r="M39" s="403"/>
      <c r="O39" s="403"/>
      <c r="R39" s="403"/>
    </row>
    <row r="40" spans="1:18" ht="10.8" thickBot="1">
      <c r="A40" s="386">
        <f t="shared" si="0"/>
        <v>34</v>
      </c>
      <c r="B40" s="386"/>
      <c r="C40" s="391" t="s">
        <v>68</v>
      </c>
      <c r="D40" s="393">
        <f>SUM(D36,D38)</f>
        <v>22988348.593883663</v>
      </c>
      <c r="G40" s="407">
        <f t="shared" ref="G40:H40" si="29">SUM(G36,G38)</f>
        <v>68656</v>
      </c>
      <c r="H40" s="407">
        <f t="shared" si="29"/>
        <v>0</v>
      </c>
      <c r="J40" s="393">
        <f>SUM(J36,J38)</f>
        <v>22723058.8675</v>
      </c>
      <c r="K40" s="407">
        <f t="shared" ref="K40:L40" si="30">SUM(K36,K38)</f>
        <v>67923</v>
      </c>
      <c r="L40" s="407">
        <f t="shared" si="30"/>
        <v>0</v>
      </c>
      <c r="M40" s="412"/>
      <c r="N40" s="393">
        <f>SUM(N36,N38)</f>
        <v>22914362.8475</v>
      </c>
      <c r="O40" s="407">
        <f t="shared" ref="O40" si="31">SUM(O36,O38)</f>
        <v>0</v>
      </c>
      <c r="Q40" s="393"/>
      <c r="R40" s="407"/>
    </row>
    <row r="41" spans="1:18" ht="10.8" thickTop="1"/>
    <row r="42" spans="1:18">
      <c r="N42" s="388"/>
      <c r="Q42" s="388"/>
    </row>
  </sheetData>
  <mergeCells count="7">
    <mergeCell ref="Q5:R5"/>
    <mergeCell ref="A1:G1"/>
    <mergeCell ref="A2:G2"/>
    <mergeCell ref="A3:G3"/>
    <mergeCell ref="A4:G4"/>
    <mergeCell ref="J5:L5"/>
    <mergeCell ref="N5:O5"/>
  </mergeCells>
  <printOptions horizontalCentered="1"/>
  <pageMargins left="0.7" right="0.7" top="0.75" bottom="0.88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R41"/>
  <sheetViews>
    <sheetView zoomScaleNormal="100" workbookViewId="0">
      <pane xSplit="3" ySplit="6" topLeftCell="D16" activePane="bottomRight" state="frozen"/>
      <selection sqref="A1:XFD1048576"/>
      <selection pane="topRight" sqref="A1:XFD1048576"/>
      <selection pane="bottomLeft" sqref="A1:XFD1048576"/>
      <selection pane="bottomRight" activeCell="N1" sqref="N1:N1048576"/>
    </sheetView>
  </sheetViews>
  <sheetFormatPr defaultColWidth="8.88671875" defaultRowHeight="10.199999999999999"/>
  <cols>
    <col min="1" max="1" width="5.88671875" style="387" customWidth="1"/>
    <col min="2" max="2" width="13.6640625" style="387" bestFit="1" customWidth="1"/>
    <col min="3" max="3" width="21" style="387" bestFit="1" customWidth="1"/>
    <col min="4" max="4" width="13.33203125" style="387" bestFit="1" customWidth="1"/>
    <col min="5" max="5" width="14.88671875" style="387" bestFit="1" customWidth="1"/>
    <col min="6" max="6" width="11" style="387" bestFit="1" customWidth="1"/>
    <col min="7" max="7" width="14.88671875" style="387" bestFit="1" customWidth="1"/>
    <col min="8" max="8" width="12.6640625" style="387" bestFit="1" customWidth="1"/>
    <col min="9" max="9" width="2" style="387" customWidth="1"/>
    <col min="10" max="10" width="9.88671875" style="387" bestFit="1" customWidth="1"/>
    <col min="11" max="11" width="14.88671875" style="387" bestFit="1" customWidth="1"/>
    <col min="12" max="12" width="8.44140625" style="387" bestFit="1" customWidth="1"/>
    <col min="13" max="13" width="2" style="387" customWidth="1"/>
    <col min="14" max="14" width="9.88671875" style="387" bestFit="1" customWidth="1"/>
    <col min="15" max="15" width="8.44140625" style="387" bestFit="1" customWidth="1"/>
    <col min="16" max="16" width="2" style="387" customWidth="1"/>
    <col min="17" max="17" width="8.44140625" style="387" bestFit="1" customWidth="1"/>
    <col min="18" max="18" width="8.44140625" style="387" customWidth="1"/>
    <col min="19" max="16384" width="8.88671875" style="387"/>
  </cols>
  <sheetData>
    <row r="1" spans="1:18" s="409" customFormat="1">
      <c r="A1" s="772" t="s">
        <v>0</v>
      </c>
      <c r="B1" s="772"/>
      <c r="C1" s="772"/>
      <c r="D1" s="772"/>
      <c r="E1" s="772"/>
      <c r="F1" s="772"/>
      <c r="G1" s="772"/>
      <c r="H1" s="398"/>
    </row>
    <row r="2" spans="1:18" s="409" customFormat="1">
      <c r="A2" s="773" t="s">
        <v>65</v>
      </c>
      <c r="B2" s="772"/>
      <c r="C2" s="772"/>
      <c r="D2" s="772"/>
      <c r="E2" s="772"/>
      <c r="F2" s="772"/>
      <c r="G2" s="772"/>
      <c r="H2" s="398"/>
    </row>
    <row r="3" spans="1:18" s="409" customFormat="1">
      <c r="A3" s="772" t="str">
        <f>+'Revenue By Sch TY'!A3</f>
        <v>Test Year ended June 2021</v>
      </c>
      <c r="B3" s="772"/>
      <c r="C3" s="772"/>
      <c r="D3" s="772"/>
      <c r="E3" s="772"/>
      <c r="F3" s="772"/>
      <c r="G3" s="772"/>
      <c r="H3" s="398"/>
    </row>
    <row r="4" spans="1:18" s="409" customFormat="1">
      <c r="A4" s="772"/>
      <c r="B4" s="772"/>
      <c r="C4" s="772"/>
      <c r="D4" s="772"/>
      <c r="E4" s="772"/>
      <c r="F4" s="772"/>
      <c r="G4" s="772"/>
      <c r="H4" s="398"/>
    </row>
    <row r="5" spans="1:18" s="409" customFormat="1" ht="23.25" customHeight="1">
      <c r="A5" s="411"/>
      <c r="B5" s="398"/>
      <c r="C5" s="398"/>
      <c r="D5" s="398"/>
      <c r="J5" s="803" t="s">
        <v>512</v>
      </c>
      <c r="K5" s="803"/>
      <c r="L5" s="803"/>
      <c r="N5" s="802" t="s">
        <v>515</v>
      </c>
      <c r="O5" s="802"/>
      <c r="Q5" s="802" t="s">
        <v>514</v>
      </c>
      <c r="R5" s="803"/>
    </row>
    <row r="6" spans="1:18" s="409" customFormat="1" ht="40.799999999999997">
      <c r="A6" s="399" t="s">
        <v>2</v>
      </c>
      <c r="B6" s="399" t="s">
        <v>3</v>
      </c>
      <c r="C6" s="399" t="s">
        <v>31</v>
      </c>
      <c r="D6" s="400" t="str">
        <f>+'Revenue By Sch TY'!D7</f>
        <v>Annual mWh
Delivered Sales 
YE 06-2021</v>
      </c>
      <c r="E6" s="400" t="s">
        <v>446</v>
      </c>
      <c r="F6" s="400" t="s">
        <v>498</v>
      </c>
      <c r="G6" s="400" t="s">
        <v>447</v>
      </c>
      <c r="H6" s="400" t="s">
        <v>532</v>
      </c>
      <c r="J6" s="400" t="s">
        <v>522</v>
      </c>
      <c r="K6" s="400" t="str">
        <f>+G6</f>
        <v>Sch 95
PCA Imbalance
Effective
December 1, 2020</v>
      </c>
      <c r="L6" s="400" t="s">
        <v>513</v>
      </c>
      <c r="M6" s="400"/>
      <c r="N6" s="400" t="str">
        <f>+J6</f>
        <v>Annual Delivered MWh</v>
      </c>
      <c r="O6" s="400" t="str">
        <f>+L6</f>
        <v>Annual Delivered $</v>
      </c>
      <c r="P6" s="400"/>
      <c r="Q6" s="400" t="str">
        <f>+N6</f>
        <v>Annual Delivered MWh</v>
      </c>
      <c r="R6" s="400" t="str">
        <f>+O6</f>
        <v>Annual Delivered $</v>
      </c>
    </row>
    <row r="7" spans="1:18">
      <c r="A7" s="386">
        <v>1</v>
      </c>
      <c r="B7" s="386">
        <v>7</v>
      </c>
      <c r="D7" s="388">
        <f>+'Revenue By Sch TY'!D9</f>
        <v>11355354.571603522</v>
      </c>
      <c r="E7" s="402">
        <f>+'UE-200893 Sch 95 Imb'!H8</f>
        <v>2.1346263238885407E-3</v>
      </c>
      <c r="F7" s="403">
        <v>0</v>
      </c>
      <c r="G7" s="403">
        <f>ROUND(D7*E7,0)</f>
        <v>24239</v>
      </c>
      <c r="H7" s="403">
        <f>ROUND(D7*F7,0)</f>
        <v>0</v>
      </c>
      <c r="J7" s="388">
        <f>+'Sch 95 PCORC'!J7</f>
        <v>10963050.375499999</v>
      </c>
      <c r="K7" s="403">
        <f>ROUND($E7*J7,0)</f>
        <v>23402</v>
      </c>
      <c r="L7" s="403">
        <f>ROUND($F7*J7,0)</f>
        <v>0</v>
      </c>
      <c r="N7" s="388">
        <f>+'Sch 95 PCORC'!N7</f>
        <v>11064440.8695</v>
      </c>
      <c r="O7" s="403">
        <f>ROUND($F7*N7,0)</f>
        <v>0</v>
      </c>
      <c r="Q7" s="388"/>
      <c r="R7" s="403"/>
    </row>
    <row r="8" spans="1:18">
      <c r="A8" s="386">
        <f t="shared" ref="A8:A40" si="0">+A7+1</f>
        <v>2</v>
      </c>
      <c r="B8" s="389" t="s">
        <v>10</v>
      </c>
      <c r="D8" s="388">
        <v>0</v>
      </c>
      <c r="E8" s="402">
        <f>+'UE-200893 Sch 95 Imb'!H13</f>
        <v>2.2235019667564571E-3</v>
      </c>
      <c r="F8" s="402">
        <v>0</v>
      </c>
      <c r="G8" s="403">
        <f>ROUND(D8*E8,0)</f>
        <v>0</v>
      </c>
      <c r="H8" s="403">
        <f>ROUND(D8*F8,0)</f>
        <v>0</v>
      </c>
      <c r="J8" s="388">
        <f>+'Sch 95 PCORC'!J8</f>
        <v>0</v>
      </c>
      <c r="K8" s="403">
        <f>ROUND($E8*J8,0)</f>
        <v>0</v>
      </c>
      <c r="L8" s="403">
        <f>ROUND($F8*J8,0)</f>
        <v>0</v>
      </c>
      <c r="N8" s="388">
        <f>+'Sch 95 PCORC'!N8</f>
        <v>0</v>
      </c>
      <c r="O8" s="403">
        <f>ROUND($F8*N8,0)</f>
        <v>0</v>
      </c>
      <c r="Q8" s="388"/>
      <c r="R8" s="403"/>
    </row>
    <row r="9" spans="1:18">
      <c r="A9" s="386">
        <f t="shared" si="0"/>
        <v>3</v>
      </c>
      <c r="B9" s="386"/>
      <c r="C9" s="387" t="s">
        <v>11</v>
      </c>
      <c r="D9" s="390">
        <f>SUM(D7:D8)</f>
        <v>11355354.571603522</v>
      </c>
      <c r="E9" s="404"/>
      <c r="F9" s="402"/>
      <c r="G9" s="405">
        <f t="shared" ref="G9:H9" si="1">SUM(G7:G8)</f>
        <v>24239</v>
      </c>
      <c r="H9" s="405">
        <f t="shared" si="1"/>
        <v>0</v>
      </c>
      <c r="J9" s="390">
        <f>SUM(J7:J8)</f>
        <v>10963050.375499999</v>
      </c>
      <c r="K9" s="405">
        <f t="shared" ref="K9:L9" si="2">SUM(K7:K8)</f>
        <v>23402</v>
      </c>
      <c r="L9" s="405">
        <f t="shared" si="2"/>
        <v>0</v>
      </c>
      <c r="N9" s="390">
        <f>SUM(N7:N8)</f>
        <v>11064440.8695</v>
      </c>
      <c r="O9" s="405">
        <f t="shared" ref="O9" si="3">SUM(O7:O8)</f>
        <v>0</v>
      </c>
      <c r="Q9" s="390"/>
      <c r="R9" s="405"/>
    </row>
    <row r="10" spans="1:18">
      <c r="A10" s="386">
        <f t="shared" si="0"/>
        <v>4</v>
      </c>
      <c r="B10" s="386"/>
      <c r="D10" s="388"/>
      <c r="E10" s="402"/>
      <c r="F10" s="402"/>
      <c r="G10" s="403"/>
      <c r="H10" s="403"/>
      <c r="J10" s="388"/>
      <c r="K10" s="403"/>
      <c r="L10" s="403"/>
      <c r="N10" s="388"/>
      <c r="O10" s="403"/>
      <c r="Q10" s="388"/>
      <c r="R10" s="403"/>
    </row>
    <row r="11" spans="1:18">
      <c r="A11" s="386">
        <f t="shared" si="0"/>
        <v>5</v>
      </c>
      <c r="B11" s="386">
        <v>8</v>
      </c>
      <c r="D11" s="388">
        <v>0</v>
      </c>
      <c r="E11" s="402">
        <f>+'UE-200893 Sch 95 Imb'!H12</f>
        <v>2.1548217661402514E-3</v>
      </c>
      <c r="F11" s="402">
        <v>0</v>
      </c>
      <c r="G11" s="403">
        <f t="shared" ref="G11:G17" si="4">ROUND(D11*E11,0)</f>
        <v>0</v>
      </c>
      <c r="H11" s="403">
        <f t="shared" ref="H11:H17" si="5">ROUND(D11*F11,0)</f>
        <v>0</v>
      </c>
      <c r="J11" s="388">
        <f>+'Sch 95 PCORC'!J11</f>
        <v>0</v>
      </c>
      <c r="K11" s="403">
        <f t="shared" ref="K11:K17" si="6">ROUND($E11*J11,0)</f>
        <v>0</v>
      </c>
      <c r="L11" s="403">
        <f t="shared" ref="L11:L17" si="7">ROUND($F11*J11,0)</f>
        <v>0</v>
      </c>
      <c r="N11" s="388">
        <f>+'Sch 95 PCORC'!N11</f>
        <v>0</v>
      </c>
      <c r="O11" s="403">
        <f t="shared" ref="O11:O17" si="8">ROUND($F11*N11,0)</f>
        <v>0</v>
      </c>
      <c r="Q11" s="388"/>
      <c r="R11" s="403"/>
    </row>
    <row r="12" spans="1:18">
      <c r="A12" s="386">
        <f t="shared" si="0"/>
        <v>6</v>
      </c>
      <c r="B12" s="386">
        <v>24</v>
      </c>
      <c r="D12" s="388">
        <f>+'Revenue By Sch TY'!D10</f>
        <v>2658833.1030243803</v>
      </c>
      <c r="E12" s="402">
        <f>+E11</f>
        <v>2.1548217661402514E-3</v>
      </c>
      <c r="F12" s="402">
        <v>0</v>
      </c>
      <c r="G12" s="403">
        <f t="shared" si="4"/>
        <v>5729</v>
      </c>
      <c r="H12" s="403">
        <f t="shared" si="5"/>
        <v>0</v>
      </c>
      <c r="J12" s="388">
        <f>+'Sch 95 PCORC'!J12</f>
        <v>2697633</v>
      </c>
      <c r="K12" s="403">
        <f t="shared" si="6"/>
        <v>5813</v>
      </c>
      <c r="L12" s="403">
        <f t="shared" si="7"/>
        <v>0</v>
      </c>
      <c r="N12" s="388">
        <f>+'Sch 95 PCORC'!N12</f>
        <v>2730372</v>
      </c>
      <c r="O12" s="403">
        <f t="shared" si="8"/>
        <v>0</v>
      </c>
      <c r="Q12" s="388"/>
      <c r="R12" s="403"/>
    </row>
    <row r="13" spans="1:18">
      <c r="A13" s="386">
        <f t="shared" si="0"/>
        <v>7</v>
      </c>
      <c r="B13" s="389">
        <v>11</v>
      </c>
      <c r="D13" s="388">
        <v>0</v>
      </c>
      <c r="E13" s="402">
        <f>+E8</f>
        <v>2.2235019667564571E-3</v>
      </c>
      <c r="F13" s="402">
        <v>0</v>
      </c>
      <c r="G13" s="403">
        <f t="shared" si="4"/>
        <v>0</v>
      </c>
      <c r="H13" s="403">
        <f t="shared" si="5"/>
        <v>0</v>
      </c>
      <c r="J13" s="388">
        <f>+'Sch 95 PCORC'!J13</f>
        <v>0</v>
      </c>
      <c r="K13" s="403">
        <f t="shared" si="6"/>
        <v>0</v>
      </c>
      <c r="L13" s="403">
        <f t="shared" si="7"/>
        <v>0</v>
      </c>
      <c r="N13" s="388">
        <f>+'Sch 95 PCORC'!N13</f>
        <v>0</v>
      </c>
      <c r="O13" s="403">
        <f t="shared" si="8"/>
        <v>0</v>
      </c>
      <c r="Q13" s="388"/>
      <c r="R13" s="403"/>
    </row>
    <row r="14" spans="1:18">
      <c r="A14" s="386">
        <f t="shared" si="0"/>
        <v>8</v>
      </c>
      <c r="B14" s="389">
        <v>25</v>
      </c>
      <c r="D14" s="388">
        <f>+'Revenue By Sch TY'!D11</f>
        <v>2856045.8325844579</v>
      </c>
      <c r="E14" s="402">
        <f>+E13</f>
        <v>2.2235019667564571E-3</v>
      </c>
      <c r="F14" s="402">
        <v>0</v>
      </c>
      <c r="G14" s="403">
        <f t="shared" si="4"/>
        <v>6350</v>
      </c>
      <c r="H14" s="403">
        <f t="shared" si="5"/>
        <v>0</v>
      </c>
      <c r="J14" s="388">
        <f>+'Sch 95 PCORC'!J14</f>
        <v>2911699.0000000005</v>
      </c>
      <c r="K14" s="403">
        <f t="shared" si="6"/>
        <v>6474</v>
      </c>
      <c r="L14" s="403">
        <f t="shared" si="7"/>
        <v>0</v>
      </c>
      <c r="N14" s="388">
        <f>+'Sch 95 PCORC'!N14</f>
        <v>2948172</v>
      </c>
      <c r="O14" s="403">
        <f t="shared" si="8"/>
        <v>0</v>
      </c>
      <c r="Q14" s="388"/>
      <c r="R14" s="403"/>
    </row>
    <row r="15" spans="1:18">
      <c r="A15" s="386">
        <f t="shared" si="0"/>
        <v>9</v>
      </c>
      <c r="B15" s="386">
        <v>12</v>
      </c>
      <c r="D15" s="388">
        <v>0</v>
      </c>
      <c r="E15" s="402">
        <f>+'UE-200893 Sch 95 Imb'!H14</f>
        <v>2.3267494191098565E-3</v>
      </c>
      <c r="F15" s="402">
        <v>0</v>
      </c>
      <c r="G15" s="403">
        <f t="shared" si="4"/>
        <v>0</v>
      </c>
      <c r="H15" s="403">
        <f t="shared" si="5"/>
        <v>0</v>
      </c>
      <c r="J15" s="388">
        <f>+'Sch 95 PCORC'!J15</f>
        <v>0</v>
      </c>
      <c r="K15" s="403">
        <f t="shared" si="6"/>
        <v>0</v>
      </c>
      <c r="L15" s="403">
        <f t="shared" si="7"/>
        <v>0</v>
      </c>
      <c r="N15" s="388">
        <f>+'Sch 95 PCORC'!N15</f>
        <v>0</v>
      </c>
      <c r="O15" s="403">
        <f t="shared" si="8"/>
        <v>0</v>
      </c>
      <c r="Q15" s="388"/>
      <c r="R15" s="403"/>
    </row>
    <row r="16" spans="1:18">
      <c r="A16" s="386">
        <f t="shared" si="0"/>
        <v>10</v>
      </c>
      <c r="B16" s="386" t="s">
        <v>12</v>
      </c>
      <c r="D16" s="388">
        <f>+'Revenue By Sch TY'!D12</f>
        <v>1761911.047761543</v>
      </c>
      <c r="E16" s="402">
        <f>+E15</f>
        <v>2.3267494191098565E-3</v>
      </c>
      <c r="F16" s="402">
        <v>0</v>
      </c>
      <c r="G16" s="403">
        <f t="shared" si="4"/>
        <v>4100</v>
      </c>
      <c r="H16" s="403">
        <f t="shared" si="5"/>
        <v>0</v>
      </c>
      <c r="J16" s="388">
        <f>+'Sch 95 PCORC'!J16</f>
        <v>1831289</v>
      </c>
      <c r="K16" s="403">
        <f t="shared" si="6"/>
        <v>4261</v>
      </c>
      <c r="L16" s="403">
        <f t="shared" si="7"/>
        <v>0</v>
      </c>
      <c r="N16" s="388">
        <f>+'Sch 95 PCORC'!N16</f>
        <v>1853862</v>
      </c>
      <c r="O16" s="403">
        <f t="shared" si="8"/>
        <v>0</v>
      </c>
      <c r="Q16" s="388"/>
      <c r="R16" s="403"/>
    </row>
    <row r="17" spans="1:18">
      <c r="A17" s="386">
        <f t="shared" si="0"/>
        <v>11</v>
      </c>
      <c r="B17" s="386">
        <v>29</v>
      </c>
      <c r="D17" s="388">
        <f>+'Revenue By Sch TY'!D13</f>
        <v>15293.727999999999</v>
      </c>
      <c r="E17" s="402">
        <f>+'UE-200893 Sch 95 Imb'!H15</f>
        <v>1.8524867967086855E-3</v>
      </c>
      <c r="F17" s="402">
        <v>0</v>
      </c>
      <c r="G17" s="403">
        <f t="shared" si="4"/>
        <v>28</v>
      </c>
      <c r="H17" s="403">
        <f t="shared" si="5"/>
        <v>0</v>
      </c>
      <c r="J17" s="388">
        <f>+'Sch 95 PCORC'!J17</f>
        <v>15100.966499999999</v>
      </c>
      <c r="K17" s="403">
        <f t="shared" si="6"/>
        <v>28</v>
      </c>
      <c r="L17" s="403">
        <f t="shared" si="7"/>
        <v>0</v>
      </c>
      <c r="N17" s="388">
        <f>+'Sch 95 PCORC'!N17</f>
        <v>15233.452499999999</v>
      </c>
      <c r="O17" s="403">
        <f t="shared" si="8"/>
        <v>0</v>
      </c>
      <c r="Q17" s="388"/>
      <c r="R17" s="403"/>
    </row>
    <row r="18" spans="1:18">
      <c r="A18" s="386">
        <f t="shared" si="0"/>
        <v>12</v>
      </c>
      <c r="B18" s="386"/>
      <c r="C18" s="391" t="s">
        <v>13</v>
      </c>
      <c r="D18" s="390">
        <f>SUM(D11:D17)</f>
        <v>7292083.7113703806</v>
      </c>
      <c r="E18" s="404"/>
      <c r="F18" s="402"/>
      <c r="G18" s="405">
        <f t="shared" ref="G18:H18" si="9">SUM(G11:G17)</f>
        <v>16207</v>
      </c>
      <c r="H18" s="405">
        <f t="shared" si="9"/>
        <v>0</v>
      </c>
      <c r="J18" s="390">
        <f>SUM(J11:J17)</f>
        <v>7455721.9665000001</v>
      </c>
      <c r="K18" s="405">
        <f t="shared" ref="K18:L18" si="10">SUM(K11:K17)</f>
        <v>16576</v>
      </c>
      <c r="L18" s="405">
        <f t="shared" si="10"/>
        <v>0</v>
      </c>
      <c r="N18" s="390">
        <f>SUM(N11:N17)</f>
        <v>7547639.4524999997</v>
      </c>
      <c r="O18" s="405">
        <f t="shared" ref="O18" si="11">SUM(O11:O17)</f>
        <v>0</v>
      </c>
      <c r="Q18" s="390"/>
      <c r="R18" s="405"/>
    </row>
    <row r="19" spans="1:18">
      <c r="A19" s="386">
        <f t="shared" si="0"/>
        <v>13</v>
      </c>
      <c r="B19" s="386"/>
      <c r="D19" s="388"/>
      <c r="E19" s="402"/>
      <c r="F19" s="402"/>
      <c r="G19" s="403"/>
      <c r="H19" s="403"/>
      <c r="J19" s="388"/>
      <c r="K19" s="403"/>
      <c r="L19" s="403"/>
      <c r="N19" s="388"/>
      <c r="O19" s="403"/>
      <c r="Q19" s="388"/>
      <c r="R19" s="403"/>
    </row>
    <row r="20" spans="1:18">
      <c r="A20" s="386">
        <f t="shared" si="0"/>
        <v>14</v>
      </c>
      <c r="B20" s="386">
        <v>10</v>
      </c>
      <c r="D20" s="388">
        <v>0</v>
      </c>
      <c r="E20" s="402">
        <f>+'UE-200893 Sch 95 Imb'!H19</f>
        <v>2.1293083890334291E-3</v>
      </c>
      <c r="F20" s="402">
        <v>0</v>
      </c>
      <c r="G20" s="403">
        <f>ROUND(D20*E20,0)</f>
        <v>0</v>
      </c>
      <c r="H20" s="403">
        <f t="shared" ref="H20:H23" si="12">ROUND(D20*F20,0)</f>
        <v>0</v>
      </c>
      <c r="J20" s="388">
        <v>0</v>
      </c>
      <c r="K20" s="403">
        <f t="shared" ref="K20:K23" si="13">ROUND($E20*J20,0)</f>
        <v>0</v>
      </c>
      <c r="L20" s="403">
        <f t="shared" ref="L20:L23" si="14">ROUND($F20*J20,0)</f>
        <v>0</v>
      </c>
      <c r="N20" s="388">
        <v>0</v>
      </c>
      <c r="O20" s="403">
        <f t="shared" ref="O20:O23" si="15">ROUND($F20*N20,0)</f>
        <v>0</v>
      </c>
      <c r="Q20" s="388"/>
      <c r="R20" s="403"/>
    </row>
    <row r="21" spans="1:18">
      <c r="A21" s="386">
        <f t="shared" si="0"/>
        <v>15</v>
      </c>
      <c r="B21" s="386">
        <v>31</v>
      </c>
      <c r="D21" s="388">
        <f>+'Revenue By Sch TY'!D14</f>
        <v>1307770.0591754341</v>
      </c>
      <c r="E21" s="402">
        <f>+E20</f>
        <v>2.1293083890334291E-3</v>
      </c>
      <c r="F21" s="402">
        <v>0</v>
      </c>
      <c r="G21" s="403">
        <f>ROUND(D21*E21,0)</f>
        <v>2785</v>
      </c>
      <c r="H21" s="403">
        <f t="shared" si="12"/>
        <v>0</v>
      </c>
      <c r="J21" s="388">
        <f>+'Sch 95 PCORC'!J21</f>
        <v>1332008</v>
      </c>
      <c r="K21" s="403">
        <f t="shared" si="13"/>
        <v>2836</v>
      </c>
      <c r="L21" s="403">
        <f t="shared" si="14"/>
        <v>0</v>
      </c>
      <c r="N21" s="388">
        <f>+'Sch 95 PCORC'!N21</f>
        <v>1335448</v>
      </c>
      <c r="O21" s="403">
        <f t="shared" si="15"/>
        <v>0</v>
      </c>
      <c r="Q21" s="388"/>
      <c r="R21" s="403"/>
    </row>
    <row r="22" spans="1:18">
      <c r="A22" s="386">
        <f t="shared" si="0"/>
        <v>16</v>
      </c>
      <c r="B22" s="386">
        <v>35</v>
      </c>
      <c r="D22" s="388">
        <f>+'Revenue By Sch TY'!D15</f>
        <v>4387.6440000000002</v>
      </c>
      <c r="E22" s="402">
        <f>+'UE-200893 Sch 95 Imb'!H20</f>
        <v>1.5888462451272998E-3</v>
      </c>
      <c r="F22" s="402">
        <v>0</v>
      </c>
      <c r="G22" s="403">
        <f>ROUND(D22*E22,0)</f>
        <v>7</v>
      </c>
      <c r="H22" s="403">
        <f t="shared" si="12"/>
        <v>0</v>
      </c>
      <c r="J22" s="388">
        <f>+'Sch 95 PCORC'!J22</f>
        <v>4663</v>
      </c>
      <c r="K22" s="403">
        <f t="shared" si="13"/>
        <v>7</v>
      </c>
      <c r="L22" s="403">
        <f t="shared" si="14"/>
        <v>0</v>
      </c>
      <c r="N22" s="388">
        <f>+'Sch 95 PCORC'!N22</f>
        <v>4695</v>
      </c>
      <c r="O22" s="403">
        <f t="shared" si="15"/>
        <v>0</v>
      </c>
      <c r="Q22" s="388"/>
      <c r="R22" s="403"/>
    </row>
    <row r="23" spans="1:18">
      <c r="A23" s="386">
        <f t="shared" si="0"/>
        <v>17</v>
      </c>
      <c r="B23" s="386">
        <v>43</v>
      </c>
      <c r="D23" s="388">
        <f>+'Revenue By Sch TY'!D16</f>
        <v>114099.11728442684</v>
      </c>
      <c r="E23" s="402">
        <f>+'UE-200893 Sch 95 Imb'!H21</f>
        <v>1.7002983018005256E-3</v>
      </c>
      <c r="F23" s="402">
        <v>0</v>
      </c>
      <c r="G23" s="403">
        <f>ROUND(D23*E23,0)</f>
        <v>194</v>
      </c>
      <c r="H23" s="403">
        <f t="shared" si="12"/>
        <v>0</v>
      </c>
      <c r="J23" s="388">
        <f>+'Sch 95 PCORC'!J23</f>
        <v>118190</v>
      </c>
      <c r="K23" s="403">
        <f t="shared" si="13"/>
        <v>201</v>
      </c>
      <c r="L23" s="403">
        <f t="shared" si="14"/>
        <v>0</v>
      </c>
      <c r="N23" s="388">
        <f>+'Sch 95 PCORC'!N23</f>
        <v>119782</v>
      </c>
      <c r="O23" s="403">
        <f t="shared" si="15"/>
        <v>0</v>
      </c>
      <c r="Q23" s="388"/>
      <c r="R23" s="403"/>
    </row>
    <row r="24" spans="1:18">
      <c r="A24" s="386">
        <f t="shared" si="0"/>
        <v>18</v>
      </c>
      <c r="B24" s="386"/>
      <c r="C24" s="387" t="s">
        <v>14</v>
      </c>
      <c r="D24" s="390">
        <f>SUM(D20:D23)</f>
        <v>1426256.8204598611</v>
      </c>
      <c r="E24" s="404"/>
      <c r="F24" s="402"/>
      <c r="G24" s="405">
        <f t="shared" ref="G24:H24" si="16">SUM(G20:G23)</f>
        <v>2986</v>
      </c>
      <c r="H24" s="405">
        <f t="shared" si="16"/>
        <v>0</v>
      </c>
      <c r="J24" s="390">
        <f>SUM(J20:J23)</f>
        <v>1454861</v>
      </c>
      <c r="K24" s="405">
        <f t="shared" ref="K24:L24" si="17">SUM(K20:K23)</f>
        <v>3044</v>
      </c>
      <c r="L24" s="405">
        <f t="shared" si="17"/>
        <v>0</v>
      </c>
      <c r="N24" s="390">
        <f>SUM(N20:N23)</f>
        <v>1459925</v>
      </c>
      <c r="O24" s="405">
        <f t="shared" ref="O24" si="18">SUM(O20:O23)</f>
        <v>0</v>
      </c>
      <c r="Q24" s="390"/>
      <c r="R24" s="405"/>
    </row>
    <row r="25" spans="1:18">
      <c r="A25" s="386">
        <f t="shared" si="0"/>
        <v>19</v>
      </c>
      <c r="B25" s="386"/>
      <c r="D25" s="388"/>
      <c r="E25" s="402"/>
      <c r="F25" s="402"/>
      <c r="G25" s="403"/>
      <c r="H25" s="403"/>
      <c r="J25" s="388"/>
      <c r="K25" s="403"/>
      <c r="L25" s="403"/>
      <c r="N25" s="388"/>
      <c r="O25" s="403"/>
      <c r="Q25" s="388"/>
      <c r="R25" s="403"/>
    </row>
    <row r="26" spans="1:18">
      <c r="A26" s="386">
        <f t="shared" si="0"/>
        <v>20</v>
      </c>
      <c r="B26" s="386">
        <v>46</v>
      </c>
      <c r="D26" s="388">
        <f>+'Revenue By Sch TY'!D17</f>
        <v>100810.05100000001</v>
      </c>
      <c r="E26" s="402">
        <f>+'UE-200893 Sch 95 Imb'!H25</f>
        <v>1.8175352066230359E-3</v>
      </c>
      <c r="F26" s="402">
        <v>0</v>
      </c>
      <c r="G26" s="403">
        <f>ROUND(D26*E26,0)</f>
        <v>183</v>
      </c>
      <c r="H26" s="403">
        <f t="shared" ref="H26:H27" si="19">ROUND(D26*F26,0)</f>
        <v>0</v>
      </c>
      <c r="J26" s="388">
        <f>+'Sch 95 PCORC'!J26</f>
        <v>89530.525500000018</v>
      </c>
      <c r="K26" s="403">
        <f t="shared" ref="K26:K27" si="20">ROUND($E26*J26,0)</f>
        <v>163</v>
      </c>
      <c r="L26" s="403">
        <f t="shared" ref="L26:L27" si="21">ROUND($F26*J26,0)</f>
        <v>0</v>
      </c>
      <c r="N26" s="388">
        <f>+'Sch 95 PCORC'!N26</f>
        <v>89210.525500000018</v>
      </c>
      <c r="O26" s="403">
        <f t="shared" ref="O26:O27" si="22">ROUND($F26*N26,0)</f>
        <v>0</v>
      </c>
      <c r="Q26" s="388"/>
      <c r="R26" s="403"/>
    </row>
    <row r="27" spans="1:18">
      <c r="A27" s="386">
        <f t="shared" si="0"/>
        <v>21</v>
      </c>
      <c r="B27" s="386">
        <v>49</v>
      </c>
      <c r="D27" s="388">
        <f>+'Revenue By Sch TY'!D18</f>
        <v>513293.73700000002</v>
      </c>
      <c r="E27" s="402">
        <f>+'UE-200893 Sch 95 Imb'!H26</f>
        <v>1.9669639552832604E-3</v>
      </c>
      <c r="F27" s="402">
        <v>0</v>
      </c>
      <c r="G27" s="403">
        <f>ROUND(D27*E27,0)</f>
        <v>1010</v>
      </c>
      <c r="H27" s="403">
        <f t="shared" si="19"/>
        <v>0</v>
      </c>
      <c r="J27" s="388">
        <f>+'Sch 95 PCORC'!J27</f>
        <v>504715</v>
      </c>
      <c r="K27" s="403">
        <f t="shared" si="20"/>
        <v>993</v>
      </c>
      <c r="L27" s="403">
        <f t="shared" si="21"/>
        <v>0</v>
      </c>
      <c r="N27" s="388">
        <f>+'Sch 95 PCORC'!N27</f>
        <v>499683</v>
      </c>
      <c r="O27" s="403">
        <f t="shared" si="22"/>
        <v>0</v>
      </c>
      <c r="Q27" s="388"/>
      <c r="R27" s="403"/>
    </row>
    <row r="28" spans="1:18">
      <c r="A28" s="386">
        <f t="shared" si="0"/>
        <v>22</v>
      </c>
      <c r="B28" s="386"/>
      <c r="C28" s="387" t="s">
        <v>15</v>
      </c>
      <c r="D28" s="390">
        <f>SUM(D26:D27)</f>
        <v>614103.78800000006</v>
      </c>
      <c r="E28" s="404"/>
      <c r="F28" s="402"/>
      <c r="G28" s="405">
        <f t="shared" ref="G28:H28" si="23">SUM(G26:G27)</f>
        <v>1193</v>
      </c>
      <c r="H28" s="405">
        <f t="shared" si="23"/>
        <v>0</v>
      </c>
      <c r="J28" s="390">
        <f>SUM(J26:J27)</f>
        <v>594245.52549999999</v>
      </c>
      <c r="K28" s="405">
        <f t="shared" ref="K28:L28" si="24">SUM(K26:K27)</f>
        <v>1156</v>
      </c>
      <c r="L28" s="405">
        <f t="shared" si="24"/>
        <v>0</v>
      </c>
      <c r="N28" s="390">
        <f>SUM(N26:N27)</f>
        <v>588893.52549999999</v>
      </c>
      <c r="O28" s="405">
        <f t="shared" ref="O28" si="25">SUM(O26:O27)</f>
        <v>0</v>
      </c>
      <c r="Q28" s="390"/>
      <c r="R28" s="405"/>
    </row>
    <row r="29" spans="1:18">
      <c r="A29" s="386">
        <f t="shared" si="0"/>
        <v>23</v>
      </c>
      <c r="B29" s="386"/>
      <c r="D29" s="388"/>
      <c r="E29" s="402"/>
      <c r="F29" s="402"/>
      <c r="G29" s="403"/>
      <c r="H29" s="403"/>
      <c r="J29" s="388"/>
      <c r="K29" s="403"/>
      <c r="L29" s="403"/>
      <c r="N29" s="388"/>
      <c r="O29" s="403"/>
      <c r="Q29" s="388"/>
      <c r="R29" s="403"/>
    </row>
    <row r="30" spans="1:18">
      <c r="A30" s="386">
        <f t="shared" si="0"/>
        <v>24</v>
      </c>
      <c r="B30" s="386" t="s">
        <v>16</v>
      </c>
      <c r="D30" s="390">
        <f>+'Revenue By Sch TY'!D19</f>
        <v>69892.887000000002</v>
      </c>
      <c r="E30" s="404">
        <f>+'UE-200893 Sch 95 Imb'!H29</f>
        <v>2.1304423544318677E-3</v>
      </c>
      <c r="F30" s="404">
        <v>0</v>
      </c>
      <c r="G30" s="405">
        <f>ROUND(D30*E30,0)</f>
        <v>149</v>
      </c>
      <c r="H30" s="405">
        <f>ROUND(D30*F30,0)</f>
        <v>0</v>
      </c>
      <c r="J30" s="390">
        <f>+'Sch 95 PCORC'!J30</f>
        <v>62703</v>
      </c>
      <c r="K30" s="405">
        <f>ROUND($E30*J30,0)</f>
        <v>134</v>
      </c>
      <c r="L30" s="405">
        <f>ROUND($F30*J30,0)</f>
        <v>0</v>
      </c>
      <c r="N30" s="390">
        <f>+'Sch 95 PCORC'!N30</f>
        <v>61382</v>
      </c>
      <c r="O30" s="405">
        <f>ROUND($F30*N30,0)</f>
        <v>0</v>
      </c>
      <c r="Q30" s="390"/>
      <c r="R30" s="405"/>
    </row>
    <row r="31" spans="1:18">
      <c r="A31" s="386">
        <f t="shared" si="0"/>
        <v>25</v>
      </c>
      <c r="B31" s="386"/>
      <c r="D31" s="388"/>
      <c r="E31" s="402"/>
      <c r="F31" s="402"/>
      <c r="G31" s="403"/>
      <c r="H31" s="403"/>
      <c r="J31" s="388"/>
      <c r="K31" s="403"/>
      <c r="L31" s="403"/>
      <c r="N31" s="388"/>
      <c r="O31" s="403"/>
      <c r="Q31" s="388"/>
      <c r="R31" s="403"/>
    </row>
    <row r="32" spans="1:18">
      <c r="A32" s="386">
        <f t="shared" si="0"/>
        <v>26</v>
      </c>
      <c r="B32" s="389" t="s">
        <v>17</v>
      </c>
      <c r="D32" s="388">
        <f>+'Revenue By Sch TY'!D20</f>
        <v>1945214.1669999999</v>
      </c>
      <c r="E32" s="402">
        <v>0</v>
      </c>
      <c r="F32" s="402">
        <v>0</v>
      </c>
      <c r="G32" s="403">
        <f>ROUND(D32*E32,0)</f>
        <v>0</v>
      </c>
      <c r="H32" s="403">
        <f t="shared" ref="H32:H33" si="26">ROUND(D32*F32,0)</f>
        <v>0</v>
      </c>
      <c r="J32" s="388">
        <f>+'Sch 95 PCORC'!J32</f>
        <v>1895530</v>
      </c>
      <c r="K32" s="403">
        <f t="shared" ref="K32:K33" si="27">ROUND($E32*J32,0)</f>
        <v>0</v>
      </c>
      <c r="L32" s="403">
        <f t="shared" ref="L32:L33" si="28">ROUND($F32*J32,0)</f>
        <v>0</v>
      </c>
      <c r="N32" s="388">
        <f>+'Sch 95 PCORC'!N32</f>
        <v>1895104</v>
      </c>
      <c r="O32" s="403">
        <f t="shared" ref="O32:O33" si="29">ROUND($F32*N32,0)</f>
        <v>0</v>
      </c>
      <c r="Q32" s="388"/>
      <c r="R32" s="403"/>
    </row>
    <row r="33" spans="1:18">
      <c r="A33" s="386">
        <f t="shared" si="0"/>
        <v>27</v>
      </c>
      <c r="B33" s="389" t="s">
        <v>262</v>
      </c>
      <c r="D33" s="388">
        <f>+'Revenue By Sch TY'!D21</f>
        <v>278070.311162</v>
      </c>
      <c r="E33" s="402">
        <v>0</v>
      </c>
      <c r="F33" s="402">
        <v>0</v>
      </c>
      <c r="G33" s="403">
        <f>ROUND(D33*E33,0)</f>
        <v>0</v>
      </c>
      <c r="H33" s="403">
        <f t="shared" si="26"/>
        <v>0</v>
      </c>
      <c r="J33" s="388">
        <f>+'Sch 95 PCORC'!J33</f>
        <v>289426</v>
      </c>
      <c r="K33" s="403">
        <f t="shared" si="27"/>
        <v>0</v>
      </c>
      <c r="L33" s="403">
        <f t="shared" si="28"/>
        <v>0</v>
      </c>
      <c r="N33" s="388">
        <f>+'Sch 95 PCORC'!N33</f>
        <v>289426</v>
      </c>
      <c r="O33" s="403">
        <f t="shared" si="29"/>
        <v>0</v>
      </c>
      <c r="Q33" s="388"/>
      <c r="R33" s="403"/>
    </row>
    <row r="34" spans="1:18">
      <c r="A34" s="386">
        <f t="shared" si="0"/>
        <v>28</v>
      </c>
      <c r="B34" s="389"/>
      <c r="C34" s="387" t="s">
        <v>263</v>
      </c>
      <c r="D34" s="390">
        <f>SUM(D32:D33)</f>
        <v>2223284.478162</v>
      </c>
      <c r="E34" s="404"/>
      <c r="F34" s="402"/>
      <c r="G34" s="405">
        <f t="shared" ref="G34:H34" si="30">SUM(G32:G33)</f>
        <v>0</v>
      </c>
      <c r="H34" s="405">
        <f t="shared" si="30"/>
        <v>0</v>
      </c>
      <c r="J34" s="390">
        <f>SUM(J32:J33)</f>
        <v>2184956</v>
      </c>
      <c r="K34" s="405">
        <f t="shared" ref="K34:L34" si="31">SUM(K32:K33)</f>
        <v>0</v>
      </c>
      <c r="L34" s="405">
        <f t="shared" si="31"/>
        <v>0</v>
      </c>
      <c r="N34" s="390">
        <f>SUM(N32:N33)</f>
        <v>2184530</v>
      </c>
      <c r="O34" s="405">
        <f t="shared" ref="O34" si="32">SUM(O32:O33)</f>
        <v>0</v>
      </c>
      <c r="Q34" s="390"/>
      <c r="R34" s="405"/>
    </row>
    <row r="35" spans="1:18">
      <c r="A35" s="386">
        <f t="shared" si="0"/>
        <v>29</v>
      </c>
      <c r="B35" s="386"/>
      <c r="D35" s="388"/>
      <c r="E35" s="402"/>
      <c r="F35" s="402"/>
      <c r="G35" s="403"/>
      <c r="H35" s="403"/>
      <c r="J35" s="388"/>
      <c r="K35" s="403"/>
      <c r="L35" s="403"/>
      <c r="N35" s="388"/>
      <c r="O35" s="403"/>
      <c r="Q35" s="388"/>
      <c r="R35" s="403"/>
    </row>
    <row r="36" spans="1:18" ht="10.8" thickBot="1">
      <c r="A36" s="386">
        <f t="shared" si="0"/>
        <v>30</v>
      </c>
      <c r="B36" s="386"/>
      <c r="C36" s="391" t="s">
        <v>66</v>
      </c>
      <c r="D36" s="393">
        <f>SUM(D9,D18,D24,D28,D30,D34)</f>
        <v>22980976.256595761</v>
      </c>
      <c r="E36" s="406"/>
      <c r="F36" s="402"/>
      <c r="G36" s="407">
        <f>SUM(G9,G18,G24,G28,G30,G34)</f>
        <v>44774</v>
      </c>
      <c r="H36" s="407">
        <f>SUM(H9,H18,H24,H28,H30,H34)</f>
        <v>0</v>
      </c>
      <c r="J36" s="393">
        <f>SUM(J9,J18,J24,J28,J30,J34)</f>
        <v>22715537.8675</v>
      </c>
      <c r="K36" s="407">
        <f>SUM(K9,K18,K24,K28,K30,K34)</f>
        <v>44312</v>
      </c>
      <c r="L36" s="407">
        <f>SUM(L9,L18,L24,L28,L30,L34)</f>
        <v>0</v>
      </c>
      <c r="N36" s="393">
        <f>SUM(N9,N18,N24,N28,N30,N34)</f>
        <v>22906810.8475</v>
      </c>
      <c r="O36" s="407">
        <f>SUM(O9,O18,O24,O28,O30,O34)</f>
        <v>0</v>
      </c>
      <c r="Q36" s="393"/>
      <c r="R36" s="407"/>
    </row>
    <row r="37" spans="1:18" ht="10.8" thickTop="1">
      <c r="A37" s="386">
        <f t="shared" si="0"/>
        <v>31</v>
      </c>
      <c r="B37" s="386"/>
      <c r="G37" s="403"/>
      <c r="H37" s="403"/>
      <c r="K37" s="403"/>
      <c r="L37" s="403"/>
      <c r="O37" s="403"/>
      <c r="R37" s="403"/>
    </row>
    <row r="38" spans="1:18">
      <c r="A38" s="386">
        <f t="shared" si="0"/>
        <v>32</v>
      </c>
      <c r="B38" s="386">
        <v>5</v>
      </c>
      <c r="C38" s="387" t="s">
        <v>67</v>
      </c>
      <c r="D38" s="390">
        <f>+'Revenue By Sch TY'!D22</f>
        <v>7372.3372879022108</v>
      </c>
      <c r="E38" s="402">
        <f>+'UE-200893 Sch 95 Imb'!H31</f>
        <v>2.0375333241719703E-3</v>
      </c>
      <c r="F38" s="404">
        <v>0</v>
      </c>
      <c r="G38" s="405">
        <f>ROUND(D38*E38,0)</f>
        <v>15</v>
      </c>
      <c r="H38" s="405">
        <f>ROUND(D38*F38,0)</f>
        <v>0</v>
      </c>
      <c r="J38" s="390">
        <f>+'Sch 95 PCORC'!J38</f>
        <v>7521</v>
      </c>
      <c r="K38" s="405">
        <f>ROUND($E38*J38,0)</f>
        <v>15</v>
      </c>
      <c r="L38" s="405">
        <f>ROUND($F38*J38,0)</f>
        <v>0</v>
      </c>
      <c r="N38" s="390">
        <f>+'Sch 95 PCORC'!N38</f>
        <v>7552</v>
      </c>
      <c r="O38" s="405">
        <f>ROUND($F38*N38,0)</f>
        <v>0</v>
      </c>
      <c r="Q38" s="390"/>
      <c r="R38" s="405"/>
    </row>
    <row r="39" spans="1:18">
      <c r="A39" s="386">
        <f t="shared" si="0"/>
        <v>33</v>
      </c>
      <c r="B39" s="386"/>
      <c r="G39" s="403"/>
      <c r="H39" s="403"/>
      <c r="K39" s="403"/>
      <c r="L39" s="403"/>
      <c r="O39" s="403"/>
      <c r="R39" s="403"/>
    </row>
    <row r="40" spans="1:18" ht="10.8" thickBot="1">
      <c r="A40" s="386">
        <f t="shared" si="0"/>
        <v>34</v>
      </c>
      <c r="B40" s="386"/>
      <c r="C40" s="391" t="s">
        <v>68</v>
      </c>
      <c r="D40" s="393">
        <f>SUM(D36,D38)</f>
        <v>22988348.593883663</v>
      </c>
      <c r="G40" s="407">
        <f t="shared" ref="G40:H40" si="33">SUM(G36,G38)</f>
        <v>44789</v>
      </c>
      <c r="H40" s="407">
        <f t="shared" si="33"/>
        <v>0</v>
      </c>
      <c r="J40" s="393">
        <f>SUM(J36,J38)</f>
        <v>22723058.8675</v>
      </c>
      <c r="K40" s="407">
        <f t="shared" ref="K40:L40" si="34">SUM(K36,K38)</f>
        <v>44327</v>
      </c>
      <c r="L40" s="407">
        <f t="shared" si="34"/>
        <v>0</v>
      </c>
      <c r="N40" s="393">
        <f>SUM(N36,N38)</f>
        <v>22914362.8475</v>
      </c>
      <c r="O40" s="407">
        <f t="shared" ref="O40" si="35">SUM(O36,O38)</f>
        <v>0</v>
      </c>
      <c r="Q40" s="393"/>
      <c r="R40" s="407"/>
    </row>
    <row r="41" spans="1:18" ht="10.8" thickTop="1"/>
  </sheetData>
  <mergeCells count="7">
    <mergeCell ref="Q5:R5"/>
    <mergeCell ref="A1:G1"/>
    <mergeCell ref="A2:G2"/>
    <mergeCell ref="A3:G3"/>
    <mergeCell ref="A4:G4"/>
    <mergeCell ref="J5:L5"/>
    <mergeCell ref="N5:O5"/>
  </mergeCells>
  <printOptions horizontalCentered="1"/>
  <pageMargins left="0.7" right="0.7" top="0.75" bottom="0.88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O41"/>
  <sheetViews>
    <sheetView zoomScaleNormal="10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activeCell="D5" sqref="D1:O1048576"/>
    </sheetView>
  </sheetViews>
  <sheetFormatPr defaultColWidth="8.88671875" defaultRowHeight="10.199999999999999"/>
  <cols>
    <col min="1" max="1" width="6.109375" style="387" customWidth="1"/>
    <col min="2" max="2" width="13.6640625" style="387" bestFit="1" customWidth="1"/>
    <col min="3" max="3" width="21" style="387" bestFit="1" customWidth="1"/>
    <col min="4" max="4" width="13.33203125" style="387" bestFit="1" customWidth="1"/>
    <col min="5" max="5" width="12.6640625" style="387" bestFit="1" customWidth="1"/>
    <col min="6" max="6" width="16.109375" style="387" bestFit="1" customWidth="1"/>
    <col min="7" max="7" width="2" style="387" customWidth="1"/>
    <col min="8" max="8" width="9.88671875" style="387" bestFit="1" customWidth="1"/>
    <col min="9" max="9" width="8.44140625" style="387" bestFit="1" customWidth="1"/>
    <col min="10" max="10" width="2" style="387" customWidth="1"/>
    <col min="11" max="11" width="9.88671875" style="387" bestFit="1" customWidth="1"/>
    <col min="12" max="12" width="8.44140625" style="387" bestFit="1" customWidth="1"/>
    <col min="13" max="13" width="2" style="387" customWidth="1"/>
    <col min="14" max="15" width="8.44140625" style="387" bestFit="1" customWidth="1"/>
    <col min="16" max="16384" width="8.88671875" style="387"/>
  </cols>
  <sheetData>
    <row r="1" spans="1:15" s="409" customFormat="1">
      <c r="A1" s="772" t="s">
        <v>0</v>
      </c>
      <c r="B1" s="772"/>
      <c r="C1" s="772"/>
      <c r="D1" s="772"/>
      <c r="E1" s="772"/>
      <c r="F1" s="772"/>
    </row>
    <row r="2" spans="1:15" s="409" customFormat="1">
      <c r="A2" s="773" t="s">
        <v>69</v>
      </c>
      <c r="B2" s="772"/>
      <c r="C2" s="772"/>
      <c r="D2" s="772"/>
      <c r="E2" s="772"/>
      <c r="F2" s="772"/>
    </row>
    <row r="3" spans="1:15" s="409" customFormat="1">
      <c r="A3" s="772" t="str">
        <f>+'Revenue By Sch TY'!A3</f>
        <v>Test Year ended June 2021</v>
      </c>
      <c r="B3" s="772"/>
      <c r="C3" s="772"/>
      <c r="D3" s="772"/>
      <c r="E3" s="772"/>
      <c r="F3" s="772"/>
    </row>
    <row r="4" spans="1:15" s="409" customFormat="1">
      <c r="A4" s="772"/>
      <c r="B4" s="772"/>
      <c r="C4" s="772"/>
      <c r="D4" s="772"/>
      <c r="E4" s="772"/>
      <c r="F4" s="772"/>
    </row>
    <row r="5" spans="1:15" s="409" customFormat="1">
      <c r="A5" s="411"/>
      <c r="B5" s="398"/>
      <c r="C5" s="398"/>
      <c r="D5" s="398"/>
      <c r="F5" s="409" t="s">
        <v>100</v>
      </c>
      <c r="H5" s="803" t="s">
        <v>512</v>
      </c>
      <c r="I5" s="803"/>
      <c r="K5" s="802" t="s">
        <v>515</v>
      </c>
      <c r="L5" s="803"/>
      <c r="N5" s="802" t="s">
        <v>514</v>
      </c>
      <c r="O5" s="803"/>
    </row>
    <row r="6" spans="1:15" s="409" customFormat="1" ht="40.799999999999997">
      <c r="A6" s="399" t="s">
        <v>2</v>
      </c>
      <c r="B6" s="399" t="s">
        <v>3</v>
      </c>
      <c r="C6" s="399" t="s">
        <v>31</v>
      </c>
      <c r="D6" s="400" t="str">
        <f>+'Revenue By Sch TY'!D7</f>
        <v>Annual mWh
Delivered Sales 
YE 06-2021</v>
      </c>
      <c r="E6" s="400" t="s">
        <v>438</v>
      </c>
      <c r="F6" s="400" t="s">
        <v>445</v>
      </c>
      <c r="H6" s="400" t="s">
        <v>522</v>
      </c>
      <c r="I6" s="400" t="s">
        <v>513</v>
      </c>
      <c r="J6" s="400"/>
      <c r="K6" s="400" t="str">
        <f>+H6</f>
        <v>Annual Delivered MWh</v>
      </c>
      <c r="L6" s="400" t="str">
        <f>+I6</f>
        <v>Annual Delivered $</v>
      </c>
      <c r="M6" s="400"/>
      <c r="N6" s="400" t="str">
        <f>+K6</f>
        <v>Annual Delivered MWh</v>
      </c>
      <c r="O6" s="400" t="str">
        <f>+L6</f>
        <v>Annual Delivered $</v>
      </c>
    </row>
    <row r="7" spans="1:15">
      <c r="A7" s="386">
        <v>1</v>
      </c>
      <c r="B7" s="386">
        <v>7</v>
      </c>
      <c r="D7" s="388">
        <f>+'Revenue By Sch TY'!D9</f>
        <v>11355354.571603522</v>
      </c>
      <c r="E7" s="402">
        <f>+'UE-210821 Sch 95A'!G8</f>
        <v>-1.3910000000000001E-3</v>
      </c>
      <c r="F7" s="403">
        <f>ROUND(D7*E7,0)</f>
        <v>-15795</v>
      </c>
      <c r="H7" s="388">
        <f>+'Sch 95 PCORC'!J7</f>
        <v>10963050.375499999</v>
      </c>
      <c r="I7" s="403">
        <f>ROUND($E7*H7,0)</f>
        <v>-15250</v>
      </c>
      <c r="K7" s="388">
        <f>+'Sch 95 PCORC'!N7</f>
        <v>11064440.8695</v>
      </c>
      <c r="L7" s="403">
        <f>ROUND($E7*K7,0)</f>
        <v>-15391</v>
      </c>
      <c r="N7" s="388"/>
      <c r="O7" s="403"/>
    </row>
    <row r="8" spans="1:15">
      <c r="A8" s="386">
        <f t="shared" ref="A8:A40" si="0">+A7+1</f>
        <v>2</v>
      </c>
      <c r="B8" s="389" t="s">
        <v>10</v>
      </c>
      <c r="D8" s="388">
        <v>0</v>
      </c>
      <c r="E8" s="402">
        <f>+'UE-210821 Sch 95A'!G11</f>
        <v>-1.446E-3</v>
      </c>
      <c r="F8" s="403">
        <f>ROUND(D8*E8,0)</f>
        <v>0</v>
      </c>
      <c r="H8" s="388">
        <f>+'Sch 95 PCORC'!J8</f>
        <v>0</v>
      </c>
      <c r="I8" s="403">
        <f>ROUND($E8*H8,0)</f>
        <v>0</v>
      </c>
      <c r="K8" s="388">
        <f>+'Sch 95 PCORC'!N8</f>
        <v>0</v>
      </c>
      <c r="L8" s="403">
        <f>ROUND($E8*K8,0)</f>
        <v>0</v>
      </c>
      <c r="N8" s="388"/>
      <c r="O8" s="403"/>
    </row>
    <row r="9" spans="1:15">
      <c r="A9" s="386">
        <f t="shared" si="0"/>
        <v>3</v>
      </c>
      <c r="B9" s="386"/>
      <c r="C9" s="387" t="s">
        <v>11</v>
      </c>
      <c r="D9" s="390">
        <f>SUM(D7:D8)</f>
        <v>11355354.571603522</v>
      </c>
      <c r="E9" s="404"/>
      <c r="F9" s="405">
        <f t="shared" ref="F9" si="1">SUM(F7:F8)</f>
        <v>-15795</v>
      </c>
      <c r="H9" s="390">
        <f>SUM(H7:H8)</f>
        <v>10963050.375499999</v>
      </c>
      <c r="I9" s="405">
        <f t="shared" ref="I9" si="2">SUM(I7:I8)</f>
        <v>-15250</v>
      </c>
      <c r="K9" s="390">
        <f>SUM(K7:K8)</f>
        <v>11064440.8695</v>
      </c>
      <c r="L9" s="405">
        <f t="shared" ref="L9" si="3">SUM(L7:L8)</f>
        <v>-15391</v>
      </c>
      <c r="N9" s="390"/>
      <c r="O9" s="405"/>
    </row>
    <row r="10" spans="1:15">
      <c r="A10" s="386">
        <f t="shared" si="0"/>
        <v>4</v>
      </c>
      <c r="B10" s="386"/>
      <c r="D10" s="388"/>
      <c r="E10" s="402"/>
      <c r="F10" s="403"/>
      <c r="H10" s="388"/>
      <c r="I10" s="403"/>
      <c r="K10" s="388"/>
      <c r="L10" s="403"/>
      <c r="N10" s="388"/>
      <c r="O10" s="403"/>
    </row>
    <row r="11" spans="1:15">
      <c r="A11" s="386">
        <f t="shared" si="0"/>
        <v>5</v>
      </c>
      <c r="B11" s="386">
        <v>8</v>
      </c>
      <c r="D11" s="388">
        <v>0</v>
      </c>
      <c r="E11" s="402">
        <f>+'UE-210821 Sch 95A'!G10</f>
        <v>-1.423E-3</v>
      </c>
      <c r="F11" s="403">
        <f t="shared" ref="F11:F17" si="4">ROUND(D11*E11,0)</f>
        <v>0</v>
      </c>
      <c r="H11" s="388">
        <f>+'Sch 95 PCORC'!J11</f>
        <v>0</v>
      </c>
      <c r="I11" s="403">
        <f t="shared" ref="I11:I17" si="5">ROUND($E11*H11,0)</f>
        <v>0</v>
      </c>
      <c r="K11" s="388">
        <f>+'Sch 95 PCORC'!N11</f>
        <v>0</v>
      </c>
      <c r="L11" s="403">
        <f t="shared" ref="L11:L17" si="6">ROUND($E11*K11,0)</f>
        <v>0</v>
      </c>
      <c r="N11" s="388"/>
      <c r="O11" s="403"/>
    </row>
    <row r="12" spans="1:15">
      <c r="A12" s="386">
        <f t="shared" si="0"/>
        <v>6</v>
      </c>
      <c r="B12" s="386">
        <v>24</v>
      </c>
      <c r="D12" s="388">
        <f>+'Revenue By Sch TY'!D10</f>
        <v>2658833.1030243803</v>
      </c>
      <c r="E12" s="402">
        <f>+E11</f>
        <v>-1.423E-3</v>
      </c>
      <c r="F12" s="403">
        <f t="shared" si="4"/>
        <v>-3784</v>
      </c>
      <c r="H12" s="388">
        <f>+'Sch 95 PCORC'!J12</f>
        <v>2697633</v>
      </c>
      <c r="I12" s="403">
        <f t="shared" si="5"/>
        <v>-3839</v>
      </c>
      <c r="K12" s="388">
        <f>+'Sch 95 PCORC'!N12</f>
        <v>2730372</v>
      </c>
      <c r="L12" s="403">
        <f t="shared" si="6"/>
        <v>-3885</v>
      </c>
      <c r="N12" s="388"/>
      <c r="O12" s="403"/>
    </row>
    <row r="13" spans="1:15">
      <c r="A13" s="386">
        <f t="shared" si="0"/>
        <v>7</v>
      </c>
      <c r="B13" s="389">
        <v>11</v>
      </c>
      <c r="D13" s="388">
        <v>0</v>
      </c>
      <c r="E13" s="402">
        <f>+E8</f>
        <v>-1.446E-3</v>
      </c>
      <c r="F13" s="403">
        <f t="shared" si="4"/>
        <v>0</v>
      </c>
      <c r="H13" s="388">
        <f>+'Sch 95 PCORC'!J13</f>
        <v>0</v>
      </c>
      <c r="I13" s="403">
        <f t="shared" si="5"/>
        <v>0</v>
      </c>
      <c r="K13" s="388">
        <f>+'Sch 95 PCORC'!N13</f>
        <v>0</v>
      </c>
      <c r="L13" s="403">
        <f t="shared" si="6"/>
        <v>0</v>
      </c>
      <c r="N13" s="388"/>
      <c r="O13" s="403"/>
    </row>
    <row r="14" spans="1:15">
      <c r="A14" s="386">
        <f t="shared" si="0"/>
        <v>8</v>
      </c>
      <c r="B14" s="389">
        <v>25</v>
      </c>
      <c r="D14" s="388">
        <f>+'Revenue By Sch TY'!D11</f>
        <v>2856045.8325844579</v>
      </c>
      <c r="E14" s="402">
        <f>+E13</f>
        <v>-1.446E-3</v>
      </c>
      <c r="F14" s="403">
        <f t="shared" si="4"/>
        <v>-4130</v>
      </c>
      <c r="H14" s="388">
        <f>+'Sch 95 PCORC'!J14</f>
        <v>2911699.0000000005</v>
      </c>
      <c r="I14" s="403">
        <f t="shared" si="5"/>
        <v>-4210</v>
      </c>
      <c r="K14" s="388">
        <f>+'Sch 95 PCORC'!N14</f>
        <v>2948172</v>
      </c>
      <c r="L14" s="403">
        <f t="shared" si="6"/>
        <v>-4263</v>
      </c>
      <c r="N14" s="388"/>
      <c r="O14" s="403"/>
    </row>
    <row r="15" spans="1:15">
      <c r="A15" s="386">
        <f t="shared" si="0"/>
        <v>9</v>
      </c>
      <c r="B15" s="386">
        <v>12</v>
      </c>
      <c r="D15" s="388">
        <v>0</v>
      </c>
      <c r="E15" s="402">
        <f>+'UE-210821 Sch 95A'!G12</f>
        <v>-1.4189999999999999E-3</v>
      </c>
      <c r="F15" s="403">
        <f t="shared" si="4"/>
        <v>0</v>
      </c>
      <c r="H15" s="388">
        <f>+'Sch 95 PCORC'!J15</f>
        <v>0</v>
      </c>
      <c r="I15" s="403">
        <f t="shared" si="5"/>
        <v>0</v>
      </c>
      <c r="K15" s="388">
        <f>+'Sch 95 PCORC'!N15</f>
        <v>0</v>
      </c>
      <c r="L15" s="403">
        <f t="shared" si="6"/>
        <v>0</v>
      </c>
      <c r="N15" s="388"/>
      <c r="O15" s="403"/>
    </row>
    <row r="16" spans="1:15">
      <c r="A16" s="386">
        <f t="shared" si="0"/>
        <v>10</v>
      </c>
      <c r="B16" s="386" t="s">
        <v>12</v>
      </c>
      <c r="D16" s="388">
        <f>+'Revenue By Sch TY'!D12</f>
        <v>1761911.047761543</v>
      </c>
      <c r="E16" s="402">
        <f>+E15</f>
        <v>-1.4189999999999999E-3</v>
      </c>
      <c r="F16" s="403">
        <f t="shared" si="4"/>
        <v>-2500</v>
      </c>
      <c r="H16" s="388">
        <f>+'Sch 95 PCORC'!J16</f>
        <v>1831289</v>
      </c>
      <c r="I16" s="403">
        <f t="shared" si="5"/>
        <v>-2599</v>
      </c>
      <c r="K16" s="388">
        <f>+'Sch 95 PCORC'!N16</f>
        <v>1853862</v>
      </c>
      <c r="L16" s="403">
        <f t="shared" si="6"/>
        <v>-2631</v>
      </c>
      <c r="N16" s="388"/>
      <c r="O16" s="403"/>
    </row>
    <row r="17" spans="1:15">
      <c r="A17" s="386">
        <f t="shared" si="0"/>
        <v>11</v>
      </c>
      <c r="B17" s="386">
        <v>29</v>
      </c>
      <c r="D17" s="388">
        <f>+'Revenue By Sch TY'!D13</f>
        <v>15293.727999999999</v>
      </c>
      <c r="E17" s="402">
        <f>+'UE-210821 Sch 95A'!G13</f>
        <v>-1.2149999999999999E-3</v>
      </c>
      <c r="F17" s="403">
        <f t="shared" si="4"/>
        <v>-19</v>
      </c>
      <c r="H17" s="388">
        <f>+'Sch 95 PCORC'!J17</f>
        <v>15100.966499999999</v>
      </c>
      <c r="I17" s="403">
        <f t="shared" si="5"/>
        <v>-18</v>
      </c>
      <c r="K17" s="388">
        <f>+'Sch 95 PCORC'!N17</f>
        <v>15233.452499999999</v>
      </c>
      <c r="L17" s="403">
        <f t="shared" si="6"/>
        <v>-19</v>
      </c>
      <c r="N17" s="388"/>
      <c r="O17" s="403"/>
    </row>
    <row r="18" spans="1:15">
      <c r="A18" s="386">
        <f t="shared" si="0"/>
        <v>12</v>
      </c>
      <c r="B18" s="386"/>
      <c r="C18" s="391" t="s">
        <v>13</v>
      </c>
      <c r="D18" s="390">
        <f>SUM(D11:D17)</f>
        <v>7292083.7113703806</v>
      </c>
      <c r="E18" s="404"/>
      <c r="F18" s="405">
        <f t="shared" ref="F18" si="7">SUM(F11:F17)</f>
        <v>-10433</v>
      </c>
      <c r="H18" s="390">
        <f>SUM(H11:H17)</f>
        <v>7455721.9665000001</v>
      </c>
      <c r="I18" s="405">
        <f t="shared" ref="I18" si="8">SUM(I11:I17)</f>
        <v>-10666</v>
      </c>
      <c r="K18" s="390">
        <f>SUM(K11:K17)</f>
        <v>7547639.4524999997</v>
      </c>
      <c r="L18" s="405">
        <f t="shared" ref="L18" si="9">SUM(L11:L17)</f>
        <v>-10798</v>
      </c>
      <c r="N18" s="390"/>
      <c r="O18" s="405"/>
    </row>
    <row r="19" spans="1:15">
      <c r="A19" s="386">
        <f t="shared" si="0"/>
        <v>13</v>
      </c>
      <c r="B19" s="386"/>
      <c r="D19" s="388"/>
      <c r="E19" s="402"/>
      <c r="F19" s="403"/>
      <c r="H19" s="388"/>
      <c r="I19" s="403"/>
      <c r="K19" s="388"/>
      <c r="L19" s="403"/>
      <c r="N19" s="388"/>
      <c r="O19" s="403"/>
    </row>
    <row r="20" spans="1:15">
      <c r="A20" s="386">
        <f t="shared" si="0"/>
        <v>14</v>
      </c>
      <c r="B20" s="386">
        <v>10</v>
      </c>
      <c r="D20" s="388">
        <v>0</v>
      </c>
      <c r="E20" s="402">
        <f>+'UE-210821 Sch 95A'!G17</f>
        <v>-1.3439999999999999E-3</v>
      </c>
      <c r="F20" s="403">
        <f>ROUND(D20*E20,0)</f>
        <v>0</v>
      </c>
      <c r="H20" s="388">
        <v>0</v>
      </c>
      <c r="I20" s="403">
        <f t="shared" ref="I20:I23" si="10">ROUND($E20*H20,0)</f>
        <v>0</v>
      </c>
      <c r="K20" s="388">
        <v>0</v>
      </c>
      <c r="L20" s="403">
        <f t="shared" ref="L20:L23" si="11">ROUND($E20*K20,0)</f>
        <v>0</v>
      </c>
      <c r="N20" s="388"/>
      <c r="O20" s="403"/>
    </row>
    <row r="21" spans="1:15">
      <c r="A21" s="386">
        <f t="shared" si="0"/>
        <v>15</v>
      </c>
      <c r="B21" s="386">
        <v>31</v>
      </c>
      <c r="D21" s="388">
        <f>+'Revenue By Sch TY'!D14</f>
        <v>1307770.0591754341</v>
      </c>
      <c r="E21" s="402">
        <f>+E20</f>
        <v>-1.3439999999999999E-3</v>
      </c>
      <c r="F21" s="403">
        <f>ROUND(D21*E21,0)</f>
        <v>-1758</v>
      </c>
      <c r="H21" s="388">
        <f>+'Sch 95 PCORC'!J21</f>
        <v>1332008</v>
      </c>
      <c r="I21" s="403">
        <f t="shared" si="10"/>
        <v>-1790</v>
      </c>
      <c r="K21" s="388">
        <f>+'Sch 95 PCORC'!N21</f>
        <v>1335448</v>
      </c>
      <c r="L21" s="403">
        <f t="shared" si="11"/>
        <v>-1795</v>
      </c>
      <c r="N21" s="388"/>
      <c r="O21" s="403"/>
    </row>
    <row r="22" spans="1:15">
      <c r="A22" s="386">
        <f t="shared" si="0"/>
        <v>16</v>
      </c>
      <c r="B22" s="386">
        <v>35</v>
      </c>
      <c r="D22" s="388">
        <f>+'Revenue By Sch TY'!D15</f>
        <v>4387.6440000000002</v>
      </c>
      <c r="E22" s="402">
        <f>+'UE-210821 Sch 95A'!G18</f>
        <v>-9.7099999999999997E-4</v>
      </c>
      <c r="F22" s="403">
        <f>ROUND(D22*E22,0)</f>
        <v>-4</v>
      </c>
      <c r="H22" s="388">
        <f>+'Sch 95 PCORC'!J22</f>
        <v>4663</v>
      </c>
      <c r="I22" s="403">
        <f t="shared" si="10"/>
        <v>-5</v>
      </c>
      <c r="K22" s="388">
        <f>+'Sch 95 PCORC'!N22</f>
        <v>4695</v>
      </c>
      <c r="L22" s="403">
        <f t="shared" si="11"/>
        <v>-5</v>
      </c>
      <c r="N22" s="388"/>
      <c r="O22" s="403"/>
    </row>
    <row r="23" spans="1:15">
      <c r="A23" s="386">
        <f t="shared" si="0"/>
        <v>17</v>
      </c>
      <c r="B23" s="386">
        <v>43</v>
      </c>
      <c r="D23" s="388">
        <f>+'Revenue By Sch TY'!D16</f>
        <v>114099.11728442684</v>
      </c>
      <c r="E23" s="402">
        <f>+'UE-210821 Sch 95A'!G19</f>
        <v>-1.062E-3</v>
      </c>
      <c r="F23" s="403">
        <f>ROUND(D23*E23,0)</f>
        <v>-121</v>
      </c>
      <c r="H23" s="388">
        <f>+'Sch 95 PCORC'!J23</f>
        <v>118190</v>
      </c>
      <c r="I23" s="403">
        <f t="shared" si="10"/>
        <v>-126</v>
      </c>
      <c r="K23" s="388">
        <f>+'Sch 95 PCORC'!N23</f>
        <v>119782</v>
      </c>
      <c r="L23" s="403">
        <f t="shared" si="11"/>
        <v>-127</v>
      </c>
      <c r="N23" s="388"/>
      <c r="O23" s="403"/>
    </row>
    <row r="24" spans="1:15">
      <c r="A24" s="386">
        <f t="shared" si="0"/>
        <v>18</v>
      </c>
      <c r="B24" s="386"/>
      <c r="C24" s="387" t="s">
        <v>14</v>
      </c>
      <c r="D24" s="390">
        <f>SUM(D20:D23)</f>
        <v>1426256.8204598611</v>
      </c>
      <c r="E24" s="404"/>
      <c r="F24" s="405">
        <f t="shared" ref="F24" si="12">SUM(F20:F23)</f>
        <v>-1883</v>
      </c>
      <c r="H24" s="390">
        <f>SUM(H20:H23)</f>
        <v>1454861</v>
      </c>
      <c r="I24" s="405">
        <f t="shared" ref="I24" si="13">SUM(I20:I23)</f>
        <v>-1921</v>
      </c>
      <c r="K24" s="390">
        <f>SUM(K20:K23)</f>
        <v>1459925</v>
      </c>
      <c r="L24" s="405">
        <f t="shared" ref="L24" si="14">SUM(L20:L23)</f>
        <v>-1927</v>
      </c>
      <c r="N24" s="390"/>
      <c r="O24" s="405"/>
    </row>
    <row r="25" spans="1:15">
      <c r="A25" s="386">
        <f t="shared" si="0"/>
        <v>19</v>
      </c>
      <c r="B25" s="386"/>
      <c r="D25" s="388"/>
      <c r="E25" s="402"/>
      <c r="F25" s="403"/>
      <c r="H25" s="388"/>
      <c r="I25" s="403"/>
      <c r="K25" s="388"/>
      <c r="L25" s="403"/>
      <c r="N25" s="388"/>
      <c r="O25" s="403"/>
    </row>
    <row r="26" spans="1:15">
      <c r="A26" s="386">
        <f t="shared" si="0"/>
        <v>20</v>
      </c>
      <c r="B26" s="386">
        <v>46</v>
      </c>
      <c r="D26" s="388">
        <f>+'Revenue By Sch TY'!D17</f>
        <v>100810.05100000001</v>
      </c>
      <c r="E26" s="402">
        <f>+'UE-210821 Sch 95A'!G23</f>
        <v>-9.6900000000000003E-4</v>
      </c>
      <c r="F26" s="403">
        <f>ROUND(D26*E26,0)</f>
        <v>-98</v>
      </c>
      <c r="H26" s="388">
        <f>+'Sch 95 PCORC'!J26</f>
        <v>89530.525500000018</v>
      </c>
      <c r="I26" s="403">
        <f t="shared" ref="I26:I27" si="15">ROUND($E26*H26,0)</f>
        <v>-87</v>
      </c>
      <c r="K26" s="388">
        <f>+'Sch 95 PCORC'!N26</f>
        <v>89210.525500000018</v>
      </c>
      <c r="L26" s="403">
        <f t="shared" ref="L26:L27" si="16">ROUND($E26*K26,0)</f>
        <v>-86</v>
      </c>
      <c r="N26" s="388"/>
      <c r="O26" s="403"/>
    </row>
    <row r="27" spans="1:15">
      <c r="A27" s="386">
        <f t="shared" si="0"/>
        <v>21</v>
      </c>
      <c r="B27" s="386">
        <v>49</v>
      </c>
      <c r="D27" s="388">
        <f>+'Revenue By Sch TY'!D18</f>
        <v>513293.73700000002</v>
      </c>
      <c r="E27" s="402">
        <f>+'UE-210821 Sch 95A'!G24</f>
        <v>-1.3010000000000001E-3</v>
      </c>
      <c r="F27" s="403">
        <f>ROUND(D27*E27,0)</f>
        <v>-668</v>
      </c>
      <c r="H27" s="388">
        <f>+'Sch 95 PCORC'!J27</f>
        <v>504715</v>
      </c>
      <c r="I27" s="403">
        <f t="shared" si="15"/>
        <v>-657</v>
      </c>
      <c r="K27" s="388">
        <f>+'Sch 95 PCORC'!N27</f>
        <v>499683</v>
      </c>
      <c r="L27" s="403">
        <f t="shared" si="16"/>
        <v>-650</v>
      </c>
      <c r="N27" s="388"/>
      <c r="O27" s="403"/>
    </row>
    <row r="28" spans="1:15">
      <c r="A28" s="386">
        <f t="shared" si="0"/>
        <v>22</v>
      </c>
      <c r="B28" s="386"/>
      <c r="C28" s="387" t="s">
        <v>15</v>
      </c>
      <c r="D28" s="390">
        <f>SUM(D26:D27)</f>
        <v>614103.78800000006</v>
      </c>
      <c r="E28" s="404"/>
      <c r="F28" s="405">
        <f t="shared" ref="F28" si="17">SUM(F26:F27)</f>
        <v>-766</v>
      </c>
      <c r="H28" s="390">
        <f>SUM(H26:H27)</f>
        <v>594245.52549999999</v>
      </c>
      <c r="I28" s="405">
        <f t="shared" ref="I28" si="18">SUM(I26:I27)</f>
        <v>-744</v>
      </c>
      <c r="K28" s="390">
        <f>SUM(K26:K27)</f>
        <v>588893.52549999999</v>
      </c>
      <c r="L28" s="405">
        <f t="shared" ref="L28" si="19">SUM(L26:L27)</f>
        <v>-736</v>
      </c>
      <c r="N28" s="390"/>
      <c r="O28" s="405"/>
    </row>
    <row r="29" spans="1:15">
      <c r="A29" s="386">
        <f t="shared" si="0"/>
        <v>23</v>
      </c>
      <c r="B29" s="386"/>
      <c r="D29" s="388"/>
      <c r="E29" s="402"/>
      <c r="F29" s="403"/>
      <c r="H29" s="388"/>
      <c r="I29" s="403"/>
      <c r="K29" s="388"/>
      <c r="L29" s="403"/>
      <c r="N29" s="388"/>
      <c r="O29" s="403"/>
    </row>
    <row r="30" spans="1:15">
      <c r="A30" s="386">
        <f t="shared" si="0"/>
        <v>24</v>
      </c>
      <c r="B30" s="386" t="s">
        <v>16</v>
      </c>
      <c r="D30" s="390">
        <f>+'Revenue By Sch TY'!D19</f>
        <v>69892.887000000002</v>
      </c>
      <c r="E30" s="404">
        <f>+'UE-210821 Sch 95A'!G28</f>
        <v>-1.3569999999999999E-3</v>
      </c>
      <c r="F30" s="405">
        <f>ROUND(D30*E30,0)</f>
        <v>-95</v>
      </c>
      <c r="H30" s="388">
        <f>+'Sch 95 PCORC'!J30</f>
        <v>62703</v>
      </c>
      <c r="I30" s="405">
        <f>ROUND($E30*H30,0)</f>
        <v>-85</v>
      </c>
      <c r="K30" s="388">
        <f>+'Sch 95 PCORC'!N30</f>
        <v>61382</v>
      </c>
      <c r="L30" s="405">
        <f>ROUND($E30*K30,0)</f>
        <v>-83</v>
      </c>
      <c r="N30" s="388"/>
      <c r="O30" s="405"/>
    </row>
    <row r="31" spans="1:15">
      <c r="A31" s="386">
        <f t="shared" si="0"/>
        <v>25</v>
      </c>
      <c r="B31" s="386"/>
      <c r="D31" s="388"/>
      <c r="E31" s="402"/>
      <c r="F31" s="403"/>
      <c r="H31" s="388"/>
      <c r="I31" s="403"/>
      <c r="K31" s="388"/>
      <c r="L31" s="403"/>
      <c r="N31" s="388"/>
      <c r="O31" s="403"/>
    </row>
    <row r="32" spans="1:15">
      <c r="A32" s="386">
        <f t="shared" si="0"/>
        <v>26</v>
      </c>
      <c r="B32" s="389" t="s">
        <v>17</v>
      </c>
      <c r="D32" s="388">
        <f>+'Revenue By Sch TY'!D20</f>
        <v>1945214.1669999999</v>
      </c>
      <c r="E32" s="402">
        <v>0</v>
      </c>
      <c r="F32" s="403">
        <f>ROUND(D32*E32,0)</f>
        <v>0</v>
      </c>
      <c r="H32" s="388">
        <f>+'Sch 95 PCORC'!J32</f>
        <v>1895530</v>
      </c>
      <c r="I32" s="403">
        <f t="shared" ref="I32:I33" si="20">ROUND($E32*H32,0)</f>
        <v>0</v>
      </c>
      <c r="K32" s="388">
        <f>+'Sch 95 PCORC'!N32</f>
        <v>1895104</v>
      </c>
      <c r="L32" s="403">
        <f t="shared" ref="L32:L33" si="21">ROUND($E32*K32,0)</f>
        <v>0</v>
      </c>
      <c r="N32" s="388"/>
      <c r="O32" s="403"/>
    </row>
    <row r="33" spans="1:15">
      <c r="A33" s="386">
        <f t="shared" si="0"/>
        <v>27</v>
      </c>
      <c r="B33" s="389" t="s">
        <v>262</v>
      </c>
      <c r="D33" s="388">
        <f>+'Revenue By Sch TY'!D21</f>
        <v>278070.311162</v>
      </c>
      <c r="E33" s="402">
        <v>0</v>
      </c>
      <c r="F33" s="403">
        <f>ROUND(D33*E33,0)</f>
        <v>0</v>
      </c>
      <c r="H33" s="388">
        <f>+'Sch 95 PCORC'!J33</f>
        <v>289426</v>
      </c>
      <c r="I33" s="403">
        <f t="shared" si="20"/>
        <v>0</v>
      </c>
      <c r="K33" s="388">
        <f>+'Sch 95 PCORC'!N33</f>
        <v>289426</v>
      </c>
      <c r="L33" s="403">
        <f t="shared" si="21"/>
        <v>0</v>
      </c>
      <c r="N33" s="388"/>
      <c r="O33" s="403"/>
    </row>
    <row r="34" spans="1:15">
      <c r="A34" s="386">
        <f t="shared" si="0"/>
        <v>28</v>
      </c>
      <c r="B34" s="389"/>
      <c r="C34" s="387" t="s">
        <v>263</v>
      </c>
      <c r="D34" s="390">
        <f>SUM(D32:D33)</f>
        <v>2223284.478162</v>
      </c>
      <c r="E34" s="404"/>
      <c r="F34" s="405">
        <f t="shared" ref="F34" si="22">SUM(F32:F33)</f>
        <v>0</v>
      </c>
      <c r="H34" s="390">
        <f>SUM(H32:H33)</f>
        <v>2184956</v>
      </c>
      <c r="I34" s="405">
        <f t="shared" ref="I34" si="23">SUM(I32:I33)</f>
        <v>0</v>
      </c>
      <c r="K34" s="390">
        <f>SUM(K32:K33)</f>
        <v>2184530</v>
      </c>
      <c r="L34" s="405">
        <f t="shared" ref="L34" si="24">SUM(L32:L33)</f>
        <v>0</v>
      </c>
      <c r="N34" s="390"/>
      <c r="O34" s="405"/>
    </row>
    <row r="35" spans="1:15">
      <c r="A35" s="386">
        <f t="shared" si="0"/>
        <v>29</v>
      </c>
      <c r="B35" s="386"/>
      <c r="D35" s="388"/>
      <c r="E35" s="402"/>
      <c r="F35" s="403"/>
      <c r="H35" s="388"/>
      <c r="I35" s="403"/>
      <c r="K35" s="388"/>
      <c r="L35" s="403"/>
      <c r="N35" s="388"/>
      <c r="O35" s="403"/>
    </row>
    <row r="36" spans="1:15" ht="10.8" thickBot="1">
      <c r="A36" s="386">
        <f t="shared" si="0"/>
        <v>30</v>
      </c>
      <c r="B36" s="386"/>
      <c r="C36" s="391" t="s">
        <v>66</v>
      </c>
      <c r="D36" s="393">
        <f>SUM(D9,D18,D24,D28,D30,D34)</f>
        <v>22980976.256595761</v>
      </c>
      <c r="E36" s="406"/>
      <c r="F36" s="407">
        <f>SUM(F9,F18,F24,F28,F30,F34)</f>
        <v>-28972</v>
      </c>
      <c r="H36" s="393">
        <f>SUM(H9,H18,H24,H28,H30,H34)</f>
        <v>22715537.8675</v>
      </c>
      <c r="I36" s="407">
        <f>SUM(I9,I18,I24,I28,I30,I34)</f>
        <v>-28666</v>
      </c>
      <c r="K36" s="393">
        <f>SUM(K9,K18,K24,K28,K30,K34)</f>
        <v>22906810.8475</v>
      </c>
      <c r="L36" s="407">
        <f>SUM(L9,L18,L24,L28,L30,L34)</f>
        <v>-28935</v>
      </c>
      <c r="N36" s="393"/>
      <c r="O36" s="407"/>
    </row>
    <row r="37" spans="1:15" ht="10.8" thickTop="1">
      <c r="A37" s="386">
        <f t="shared" si="0"/>
        <v>31</v>
      </c>
      <c r="B37" s="386"/>
      <c r="F37" s="403"/>
      <c r="I37" s="403"/>
      <c r="L37" s="403"/>
      <c r="O37" s="403"/>
    </row>
    <row r="38" spans="1:15">
      <c r="A38" s="386">
        <f t="shared" si="0"/>
        <v>32</v>
      </c>
      <c r="B38" s="386">
        <v>5</v>
      </c>
      <c r="C38" s="387" t="s">
        <v>67</v>
      </c>
      <c r="D38" s="388">
        <f>+'Revenue By Sch TY'!D22</f>
        <v>7372.3372879022108</v>
      </c>
      <c r="E38" s="402">
        <f>+'UE-210821 Sch 95A'!G30</f>
        <v>-1.2949999999999999E-3</v>
      </c>
      <c r="F38" s="405">
        <f>ROUND(D38*E38,0)</f>
        <v>-10</v>
      </c>
      <c r="H38" s="390">
        <f>+'Sch 95 PCORC'!J38</f>
        <v>7521</v>
      </c>
      <c r="I38" s="405">
        <f>ROUND($E38*H38,0)</f>
        <v>-10</v>
      </c>
      <c r="K38" s="390">
        <f>+'Sch 95 PCORC'!N38</f>
        <v>7552</v>
      </c>
      <c r="L38" s="405">
        <f>ROUND($E38*K38,0)</f>
        <v>-10</v>
      </c>
      <c r="N38" s="390"/>
      <c r="O38" s="405"/>
    </row>
    <row r="39" spans="1:15">
      <c r="A39" s="386">
        <f t="shared" si="0"/>
        <v>33</v>
      </c>
      <c r="B39" s="386"/>
      <c r="F39" s="403"/>
      <c r="I39" s="403"/>
      <c r="L39" s="403"/>
      <c r="O39" s="403"/>
    </row>
    <row r="40" spans="1:15" ht="10.8" thickBot="1">
      <c r="A40" s="386">
        <f t="shared" si="0"/>
        <v>34</v>
      </c>
      <c r="B40" s="386"/>
      <c r="C40" s="391" t="s">
        <v>68</v>
      </c>
      <c r="D40" s="393">
        <f>SUM(D36,D38)</f>
        <v>22988348.593883663</v>
      </c>
      <c r="F40" s="407">
        <f t="shared" ref="F40" si="25">SUM(F36,F38)</f>
        <v>-28982</v>
      </c>
      <c r="H40" s="393">
        <f>SUM(H36,H38)</f>
        <v>22723058.8675</v>
      </c>
      <c r="I40" s="407">
        <f t="shared" ref="I40" si="26">SUM(I36,I38)</f>
        <v>-28676</v>
      </c>
      <c r="K40" s="393">
        <f>SUM(K36,K38)</f>
        <v>22914362.8475</v>
      </c>
      <c r="L40" s="407">
        <f t="shared" ref="L40" si="27">SUM(L36,L38)</f>
        <v>-28945</v>
      </c>
      <c r="N40" s="393"/>
      <c r="O40" s="407"/>
    </row>
    <row r="41" spans="1:15" ht="10.8" thickTop="1"/>
  </sheetData>
  <mergeCells count="7">
    <mergeCell ref="K5:L5"/>
    <mergeCell ref="N5:O5"/>
    <mergeCell ref="A1:F1"/>
    <mergeCell ref="A2:F2"/>
    <mergeCell ref="A3:F3"/>
    <mergeCell ref="A4:F4"/>
    <mergeCell ref="H5:I5"/>
  </mergeCells>
  <printOptions horizontalCentered="1"/>
  <pageMargins left="0.7" right="0.7" top="0.75" bottom="0.85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O41"/>
  <sheetViews>
    <sheetView zoomScaleNormal="10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activeCell="D5" sqref="D1:O1048576"/>
    </sheetView>
  </sheetViews>
  <sheetFormatPr defaultColWidth="8.88671875" defaultRowHeight="10.199999999999999"/>
  <cols>
    <col min="1" max="1" width="5.5546875" style="387" customWidth="1"/>
    <col min="2" max="2" width="13.6640625" style="387" bestFit="1" customWidth="1"/>
    <col min="3" max="3" width="21" style="387" bestFit="1" customWidth="1"/>
    <col min="4" max="4" width="13.33203125" style="387" bestFit="1" customWidth="1"/>
    <col min="5" max="5" width="9.6640625" style="387" bestFit="1" customWidth="1"/>
    <col min="6" max="6" width="11.5546875" style="387" bestFit="1" customWidth="1"/>
    <col min="7" max="7" width="2" style="387" customWidth="1"/>
    <col min="8" max="8" width="9.88671875" style="387" bestFit="1" customWidth="1"/>
    <col min="9" max="9" width="8.44140625" style="387" bestFit="1" customWidth="1"/>
    <col min="10" max="10" width="2" style="387" customWidth="1"/>
    <col min="11" max="11" width="9.88671875" style="387" bestFit="1" customWidth="1"/>
    <col min="12" max="12" width="8.44140625" style="387" bestFit="1" customWidth="1"/>
    <col min="13" max="13" width="2" style="387" customWidth="1"/>
    <col min="14" max="15" width="8.44140625" style="387" bestFit="1" customWidth="1"/>
    <col min="16" max="16384" width="8.88671875" style="387"/>
  </cols>
  <sheetData>
    <row r="1" spans="1:15" s="409" customFormat="1">
      <c r="A1" s="772" t="s">
        <v>0</v>
      </c>
      <c r="B1" s="772"/>
      <c r="C1" s="772"/>
      <c r="D1" s="772"/>
      <c r="E1" s="772"/>
      <c r="F1" s="772"/>
    </row>
    <row r="2" spans="1:15" s="409" customFormat="1">
      <c r="A2" s="773" t="s">
        <v>157</v>
      </c>
      <c r="B2" s="772"/>
      <c r="C2" s="772"/>
      <c r="D2" s="772"/>
      <c r="E2" s="772"/>
      <c r="F2" s="772"/>
    </row>
    <row r="3" spans="1:15" s="409" customFormat="1">
      <c r="A3" s="772" t="str">
        <f>+'Revenue By Sch TY'!A3</f>
        <v>Test Year ended June 2021</v>
      </c>
      <c r="B3" s="772"/>
      <c r="C3" s="772"/>
      <c r="D3" s="772"/>
      <c r="E3" s="772"/>
      <c r="F3" s="772"/>
    </row>
    <row r="4" spans="1:15" s="409" customFormat="1">
      <c r="A4" s="772"/>
      <c r="B4" s="772"/>
      <c r="C4" s="772"/>
      <c r="D4" s="772"/>
      <c r="E4" s="772"/>
      <c r="F4" s="772"/>
    </row>
    <row r="5" spans="1:15" s="409" customFormat="1">
      <c r="A5" s="411"/>
      <c r="B5" s="398"/>
      <c r="C5" s="398"/>
      <c r="D5" s="398"/>
      <c r="F5" s="409" t="s">
        <v>100</v>
      </c>
      <c r="H5" s="803" t="s">
        <v>512</v>
      </c>
      <c r="I5" s="803"/>
      <c r="K5" s="802" t="s">
        <v>515</v>
      </c>
      <c r="L5" s="803"/>
      <c r="N5" s="802" t="s">
        <v>514</v>
      </c>
      <c r="O5" s="803"/>
    </row>
    <row r="6" spans="1:15" s="409" customFormat="1" ht="51">
      <c r="A6" s="399" t="s">
        <v>2</v>
      </c>
      <c r="B6" s="399" t="s">
        <v>3</v>
      </c>
      <c r="C6" s="399" t="s">
        <v>31</v>
      </c>
      <c r="D6" s="400" t="str">
        <f>+'Revenue By Sch TY'!D7</f>
        <v>Annual mWh
Delivered Sales 
YE 06-2021</v>
      </c>
      <c r="E6" s="400" t="s">
        <v>441</v>
      </c>
      <c r="F6" s="400" t="s">
        <v>444</v>
      </c>
      <c r="H6" s="400" t="s">
        <v>522</v>
      </c>
      <c r="I6" s="400" t="s">
        <v>513</v>
      </c>
      <c r="J6" s="400"/>
      <c r="K6" s="400" t="str">
        <f>+H6</f>
        <v>Annual Delivered MWh</v>
      </c>
      <c r="L6" s="400" t="str">
        <f>+I6</f>
        <v>Annual Delivered $</v>
      </c>
      <c r="M6" s="400"/>
      <c r="N6" s="400" t="str">
        <f>+K6</f>
        <v>Annual Delivered MWh</v>
      </c>
      <c r="O6" s="400" t="str">
        <f>+L6</f>
        <v>Annual Delivered $</v>
      </c>
    </row>
    <row r="7" spans="1:15">
      <c r="A7" s="386">
        <v>1</v>
      </c>
      <c r="B7" s="386">
        <v>7</v>
      </c>
      <c r="D7" s="388">
        <f>+'Revenue By Sch TY'!D9</f>
        <v>11355354.571603522</v>
      </c>
      <c r="E7" s="402">
        <f>+'UE-210140 Sch 120'!G7</f>
        <v>3.8249999999999998E-3</v>
      </c>
      <c r="F7" s="403">
        <f>ROUND(D7*E7,0)</f>
        <v>43434</v>
      </c>
      <c r="H7" s="388">
        <f>+'Sch 95 PCORC'!J7</f>
        <v>10963050.375499999</v>
      </c>
      <c r="I7" s="403">
        <f>ROUND($E7*H7,0)</f>
        <v>41934</v>
      </c>
      <c r="K7" s="388">
        <f>+'Sch 95 PCORC'!N7</f>
        <v>11064440.8695</v>
      </c>
      <c r="L7" s="403">
        <f>ROUND($E7*K7,0)</f>
        <v>42321</v>
      </c>
      <c r="N7" s="388"/>
      <c r="O7" s="403"/>
    </row>
    <row r="8" spans="1:15">
      <c r="A8" s="386">
        <f t="shared" ref="A8:A40" si="0">+A7+1</f>
        <v>2</v>
      </c>
      <c r="B8" s="389" t="s">
        <v>10</v>
      </c>
      <c r="D8" s="388">
        <v>0</v>
      </c>
      <c r="E8" s="402">
        <f>+'UE-210140 Sch 120'!G10</f>
        <v>4.0879999999999996E-3</v>
      </c>
      <c r="F8" s="403">
        <f>ROUND(D8*E8,0)</f>
        <v>0</v>
      </c>
      <c r="H8" s="388">
        <f>+'Sch 95 PCORC'!J8</f>
        <v>0</v>
      </c>
      <c r="I8" s="403">
        <f>ROUND($E8*H8,0)</f>
        <v>0</v>
      </c>
      <c r="K8" s="388">
        <f>+'Sch 95 PCORC'!N8</f>
        <v>0</v>
      </c>
      <c r="L8" s="403">
        <f>ROUND($E8*K8,0)</f>
        <v>0</v>
      </c>
      <c r="N8" s="388"/>
      <c r="O8" s="403"/>
    </row>
    <row r="9" spans="1:15">
      <c r="A9" s="386">
        <f t="shared" si="0"/>
        <v>3</v>
      </c>
      <c r="B9" s="386"/>
      <c r="C9" s="387" t="s">
        <v>11</v>
      </c>
      <c r="D9" s="390">
        <f>SUM(D7:D8)</f>
        <v>11355354.571603522</v>
      </c>
      <c r="E9" s="404"/>
      <c r="F9" s="405">
        <f t="shared" ref="F9" si="1">SUM(F7:F8)</f>
        <v>43434</v>
      </c>
      <c r="H9" s="390">
        <f>SUM(H7:H8)</f>
        <v>10963050.375499999</v>
      </c>
      <c r="I9" s="405">
        <f t="shared" ref="I9" si="2">SUM(I7:I8)</f>
        <v>41934</v>
      </c>
      <c r="K9" s="390">
        <f>SUM(K7:K8)</f>
        <v>11064440.8695</v>
      </c>
      <c r="L9" s="405">
        <f t="shared" ref="L9" si="3">SUM(L7:L8)</f>
        <v>42321</v>
      </c>
      <c r="N9" s="390"/>
      <c r="O9" s="405"/>
    </row>
    <row r="10" spans="1:15">
      <c r="A10" s="386">
        <f t="shared" si="0"/>
        <v>4</v>
      </c>
      <c r="B10" s="386"/>
      <c r="D10" s="388"/>
      <c r="E10" s="402"/>
      <c r="F10" s="403"/>
      <c r="H10" s="388"/>
      <c r="I10" s="403"/>
      <c r="K10" s="388"/>
      <c r="L10" s="403"/>
      <c r="N10" s="388"/>
      <c r="O10" s="403"/>
    </row>
    <row r="11" spans="1:15">
      <c r="A11" s="386">
        <f t="shared" si="0"/>
        <v>5</v>
      </c>
      <c r="B11" s="386">
        <v>8</v>
      </c>
      <c r="D11" s="388">
        <v>0</v>
      </c>
      <c r="E11" s="402">
        <f>+'UE-210140 Sch 120'!G9</f>
        <v>3.8500000000000001E-3</v>
      </c>
      <c r="F11" s="403">
        <f t="shared" ref="F11:F17" si="4">ROUND(D11*E11,0)</f>
        <v>0</v>
      </c>
      <c r="H11" s="388">
        <f>+'Sch 95 PCORC'!J11</f>
        <v>0</v>
      </c>
      <c r="I11" s="403">
        <f t="shared" ref="I11:I17" si="5">ROUND($E11*H11,0)</f>
        <v>0</v>
      </c>
      <c r="K11" s="388">
        <f>+'Sch 95 PCORC'!N11</f>
        <v>0</v>
      </c>
      <c r="L11" s="403">
        <f t="shared" ref="L11:L17" si="6">ROUND($E11*K11,0)</f>
        <v>0</v>
      </c>
      <c r="N11" s="388"/>
      <c r="O11" s="403"/>
    </row>
    <row r="12" spans="1:15">
      <c r="A12" s="386">
        <f t="shared" si="0"/>
        <v>6</v>
      </c>
      <c r="B12" s="386">
        <v>24</v>
      </c>
      <c r="D12" s="388">
        <f>+'Revenue By Sch TY'!D10</f>
        <v>2658833.1030243803</v>
      </c>
      <c r="E12" s="402">
        <f>+E11</f>
        <v>3.8500000000000001E-3</v>
      </c>
      <c r="F12" s="403">
        <f t="shared" si="4"/>
        <v>10237</v>
      </c>
      <c r="H12" s="388">
        <f>+'Sch 95 PCORC'!J12</f>
        <v>2697633</v>
      </c>
      <c r="I12" s="403">
        <f t="shared" si="5"/>
        <v>10386</v>
      </c>
      <c r="K12" s="388">
        <f>+'Sch 95 PCORC'!N12</f>
        <v>2730372</v>
      </c>
      <c r="L12" s="403">
        <f t="shared" si="6"/>
        <v>10512</v>
      </c>
      <c r="N12" s="388"/>
      <c r="O12" s="403"/>
    </row>
    <row r="13" spans="1:15">
      <c r="A13" s="386">
        <f t="shared" si="0"/>
        <v>7</v>
      </c>
      <c r="B13" s="389">
        <v>11</v>
      </c>
      <c r="D13" s="388">
        <v>0</v>
      </c>
      <c r="E13" s="402">
        <f>+E8</f>
        <v>4.0879999999999996E-3</v>
      </c>
      <c r="F13" s="403">
        <f t="shared" si="4"/>
        <v>0</v>
      </c>
      <c r="H13" s="388">
        <f>+'Sch 95 PCORC'!J13</f>
        <v>0</v>
      </c>
      <c r="I13" s="403">
        <f t="shared" si="5"/>
        <v>0</v>
      </c>
      <c r="K13" s="388">
        <f>+'Sch 95 PCORC'!N13</f>
        <v>0</v>
      </c>
      <c r="L13" s="403">
        <f t="shared" si="6"/>
        <v>0</v>
      </c>
      <c r="N13" s="388"/>
      <c r="O13" s="403"/>
    </row>
    <row r="14" spans="1:15">
      <c r="A14" s="386">
        <f t="shared" si="0"/>
        <v>8</v>
      </c>
      <c r="B14" s="389">
        <v>25</v>
      </c>
      <c r="D14" s="388">
        <f>+'Revenue By Sch TY'!D11</f>
        <v>2856045.8325844579</v>
      </c>
      <c r="E14" s="402">
        <f>+E13</f>
        <v>4.0879999999999996E-3</v>
      </c>
      <c r="F14" s="403">
        <f t="shared" si="4"/>
        <v>11676</v>
      </c>
      <c r="H14" s="388">
        <f>+'Sch 95 PCORC'!J14</f>
        <v>2911699.0000000005</v>
      </c>
      <c r="I14" s="403">
        <f t="shared" si="5"/>
        <v>11903</v>
      </c>
      <c r="K14" s="388">
        <f>+'Sch 95 PCORC'!N14</f>
        <v>2948172</v>
      </c>
      <c r="L14" s="403">
        <f t="shared" si="6"/>
        <v>12052</v>
      </c>
      <c r="N14" s="388"/>
      <c r="O14" s="403"/>
    </row>
    <row r="15" spans="1:15">
      <c r="A15" s="386">
        <f t="shared" si="0"/>
        <v>9</v>
      </c>
      <c r="B15" s="386">
        <v>12</v>
      </c>
      <c r="D15" s="388">
        <v>0</v>
      </c>
      <c r="E15" s="402">
        <f>+'UE-210140 Sch 120'!G11</f>
        <v>4.1999999999999997E-3</v>
      </c>
      <c r="F15" s="403">
        <f t="shared" si="4"/>
        <v>0</v>
      </c>
      <c r="H15" s="388">
        <f>+'Sch 95 PCORC'!J15</f>
        <v>0</v>
      </c>
      <c r="I15" s="403">
        <f t="shared" si="5"/>
        <v>0</v>
      </c>
      <c r="K15" s="388">
        <f>+'Sch 95 PCORC'!N15</f>
        <v>0</v>
      </c>
      <c r="L15" s="403">
        <f t="shared" si="6"/>
        <v>0</v>
      </c>
      <c r="N15" s="388"/>
      <c r="O15" s="403"/>
    </row>
    <row r="16" spans="1:15">
      <c r="A16" s="386">
        <f t="shared" si="0"/>
        <v>10</v>
      </c>
      <c r="B16" s="386" t="s">
        <v>12</v>
      </c>
      <c r="D16" s="388">
        <f>+'Revenue By Sch TY'!D12</f>
        <v>1761911.047761543</v>
      </c>
      <c r="E16" s="402">
        <f>+E15</f>
        <v>4.1999999999999997E-3</v>
      </c>
      <c r="F16" s="403">
        <f t="shared" si="4"/>
        <v>7400</v>
      </c>
      <c r="H16" s="388">
        <f>+'Sch 95 PCORC'!J16</f>
        <v>1831289</v>
      </c>
      <c r="I16" s="403">
        <f t="shared" si="5"/>
        <v>7691</v>
      </c>
      <c r="K16" s="388">
        <f>+'Sch 95 PCORC'!N16</f>
        <v>1853862</v>
      </c>
      <c r="L16" s="403">
        <f t="shared" si="6"/>
        <v>7786</v>
      </c>
      <c r="N16" s="388"/>
      <c r="O16" s="403"/>
    </row>
    <row r="17" spans="1:15">
      <c r="A17" s="386">
        <f t="shared" si="0"/>
        <v>11</v>
      </c>
      <c r="B17" s="386">
        <v>29</v>
      </c>
      <c r="D17" s="388">
        <f>+'Revenue By Sch TY'!D13</f>
        <v>15293.727999999999</v>
      </c>
      <c r="E17" s="402">
        <f>+'UE-210140 Sch 120'!G12</f>
        <v>3.4199999999999999E-3</v>
      </c>
      <c r="F17" s="403">
        <f t="shared" si="4"/>
        <v>52</v>
      </c>
      <c r="H17" s="388">
        <f>+'Sch 95 PCORC'!J17</f>
        <v>15100.966499999999</v>
      </c>
      <c r="I17" s="403">
        <f t="shared" si="5"/>
        <v>52</v>
      </c>
      <c r="K17" s="388">
        <f>+'Sch 95 PCORC'!N17</f>
        <v>15233.452499999999</v>
      </c>
      <c r="L17" s="403">
        <f t="shared" si="6"/>
        <v>52</v>
      </c>
      <c r="N17" s="388"/>
      <c r="O17" s="403"/>
    </row>
    <row r="18" spans="1:15">
      <c r="A18" s="386">
        <f t="shared" si="0"/>
        <v>12</v>
      </c>
      <c r="B18" s="386"/>
      <c r="C18" s="391" t="s">
        <v>13</v>
      </c>
      <c r="D18" s="390">
        <f>SUM(D11:D17)</f>
        <v>7292083.7113703806</v>
      </c>
      <c r="E18" s="404"/>
      <c r="F18" s="405">
        <f t="shared" ref="F18" si="7">SUM(F11:F17)</f>
        <v>29365</v>
      </c>
      <c r="H18" s="390">
        <f>SUM(H11:H17)</f>
        <v>7455721.9665000001</v>
      </c>
      <c r="I18" s="405">
        <f t="shared" ref="I18" si="8">SUM(I11:I17)</f>
        <v>30032</v>
      </c>
      <c r="K18" s="390">
        <f>SUM(K11:K17)</f>
        <v>7547639.4524999997</v>
      </c>
      <c r="L18" s="405">
        <f t="shared" ref="L18" si="9">SUM(L11:L17)</f>
        <v>30402</v>
      </c>
      <c r="N18" s="390"/>
      <c r="O18" s="405"/>
    </row>
    <row r="19" spans="1:15">
      <c r="A19" s="386">
        <f t="shared" si="0"/>
        <v>13</v>
      </c>
      <c r="B19" s="386"/>
      <c r="D19" s="388"/>
      <c r="E19" s="402"/>
      <c r="F19" s="403"/>
      <c r="H19" s="388"/>
      <c r="I19" s="403"/>
      <c r="K19" s="388"/>
      <c r="L19" s="403"/>
      <c r="N19" s="388"/>
      <c r="O19" s="403"/>
    </row>
    <row r="20" spans="1:15">
      <c r="A20" s="386">
        <f t="shared" si="0"/>
        <v>14</v>
      </c>
      <c r="B20" s="386">
        <v>10</v>
      </c>
      <c r="D20" s="388">
        <v>0</v>
      </c>
      <c r="E20" s="402">
        <f>+'UE-210140 Sch 120'!G16</f>
        <v>3.8219999999999999E-3</v>
      </c>
      <c r="F20" s="403">
        <f>ROUND(D20*E20,0)</f>
        <v>0</v>
      </c>
      <c r="H20" s="388">
        <v>0</v>
      </c>
      <c r="I20" s="403">
        <f t="shared" ref="I20:I23" si="10">ROUND($E20*H20,0)</f>
        <v>0</v>
      </c>
      <c r="K20" s="388">
        <v>0</v>
      </c>
      <c r="L20" s="403">
        <f t="shared" ref="L20:L23" si="11">ROUND($E20*K20,0)</f>
        <v>0</v>
      </c>
      <c r="N20" s="388"/>
      <c r="O20" s="403"/>
    </row>
    <row r="21" spans="1:15">
      <c r="A21" s="386">
        <f t="shared" si="0"/>
        <v>15</v>
      </c>
      <c r="B21" s="386">
        <v>31</v>
      </c>
      <c r="D21" s="388">
        <f>+'Revenue By Sch TY'!D14</f>
        <v>1307770.0591754341</v>
      </c>
      <c r="E21" s="402">
        <f>+E20</f>
        <v>3.8219999999999999E-3</v>
      </c>
      <c r="F21" s="403">
        <f>ROUND(D21*E21,0)</f>
        <v>4998</v>
      </c>
      <c r="H21" s="388">
        <f>+'Sch 95 PCORC'!J21</f>
        <v>1332008</v>
      </c>
      <c r="I21" s="403">
        <f t="shared" si="10"/>
        <v>5091</v>
      </c>
      <c r="K21" s="388">
        <f>+'Sch 95 PCORC'!N21</f>
        <v>1335448</v>
      </c>
      <c r="L21" s="403">
        <f t="shared" si="11"/>
        <v>5104</v>
      </c>
      <c r="N21" s="388"/>
      <c r="O21" s="403"/>
    </row>
    <row r="22" spans="1:15">
      <c r="A22" s="386">
        <f t="shared" si="0"/>
        <v>16</v>
      </c>
      <c r="B22" s="386">
        <v>35</v>
      </c>
      <c r="D22" s="388">
        <f>+'Revenue By Sch TY'!D15</f>
        <v>4387.6440000000002</v>
      </c>
      <c r="E22" s="402">
        <f>+'UE-210140 Sch 120'!G17</f>
        <v>2.8170000000000001E-3</v>
      </c>
      <c r="F22" s="403">
        <f>ROUND(D22*E22,0)</f>
        <v>12</v>
      </c>
      <c r="H22" s="388">
        <f>+'Sch 95 PCORC'!J22</f>
        <v>4663</v>
      </c>
      <c r="I22" s="403">
        <f t="shared" si="10"/>
        <v>13</v>
      </c>
      <c r="K22" s="388">
        <f>+'Sch 95 PCORC'!N22</f>
        <v>4695</v>
      </c>
      <c r="L22" s="403">
        <f t="shared" si="11"/>
        <v>13</v>
      </c>
      <c r="N22" s="388"/>
      <c r="O22" s="403"/>
    </row>
    <row r="23" spans="1:15">
      <c r="A23" s="386">
        <f t="shared" si="0"/>
        <v>17</v>
      </c>
      <c r="B23" s="386">
        <v>43</v>
      </c>
      <c r="D23" s="388">
        <f>+'Revenue By Sch TY'!D16</f>
        <v>114099.11728442684</v>
      </c>
      <c r="E23" s="402">
        <f>+'UE-210140 Sch 120'!G18</f>
        <v>3.0660000000000001E-3</v>
      </c>
      <c r="F23" s="403">
        <f>ROUND(D23*E23,0)</f>
        <v>350</v>
      </c>
      <c r="H23" s="388">
        <f>+'Sch 95 PCORC'!J23</f>
        <v>118190</v>
      </c>
      <c r="I23" s="403">
        <f t="shared" si="10"/>
        <v>362</v>
      </c>
      <c r="K23" s="388">
        <f>+'Sch 95 PCORC'!N23</f>
        <v>119782</v>
      </c>
      <c r="L23" s="403">
        <f t="shared" si="11"/>
        <v>367</v>
      </c>
      <c r="N23" s="388"/>
      <c r="O23" s="403"/>
    </row>
    <row r="24" spans="1:15">
      <c r="A24" s="386">
        <f t="shared" si="0"/>
        <v>18</v>
      </c>
      <c r="B24" s="386"/>
      <c r="C24" s="387" t="s">
        <v>14</v>
      </c>
      <c r="D24" s="390">
        <f>SUM(D20:D23)</f>
        <v>1426256.8204598611</v>
      </c>
      <c r="E24" s="404"/>
      <c r="F24" s="405">
        <f t="shared" ref="F24" si="12">SUM(F20:F23)</f>
        <v>5360</v>
      </c>
      <c r="H24" s="390">
        <f>SUM(H20:H23)</f>
        <v>1454861</v>
      </c>
      <c r="I24" s="405">
        <f t="shared" ref="I24" si="13">SUM(I20:I23)</f>
        <v>5466</v>
      </c>
      <c r="K24" s="390">
        <f>SUM(K20:K23)</f>
        <v>1459925</v>
      </c>
      <c r="L24" s="405">
        <f t="shared" ref="L24" si="14">SUM(L20:L23)</f>
        <v>5484</v>
      </c>
      <c r="N24" s="390"/>
      <c r="O24" s="405"/>
    </row>
    <row r="25" spans="1:15">
      <c r="A25" s="386">
        <f t="shared" si="0"/>
        <v>19</v>
      </c>
      <c r="B25" s="386"/>
      <c r="D25" s="388"/>
      <c r="E25" s="402"/>
      <c r="F25" s="403"/>
      <c r="H25" s="388"/>
      <c r="I25" s="403"/>
      <c r="K25" s="388"/>
      <c r="L25" s="403"/>
      <c r="N25" s="388"/>
      <c r="O25" s="403"/>
    </row>
    <row r="26" spans="1:15">
      <c r="A26" s="386">
        <f t="shared" si="0"/>
        <v>20</v>
      </c>
      <c r="B26" s="386">
        <v>46</v>
      </c>
      <c r="D26" s="388">
        <f>+'Revenue By Sch TY'!D17</f>
        <v>100810.05100000001</v>
      </c>
      <c r="E26" s="402">
        <f>+'UE-210140 Sch 120'!G22</f>
        <v>3.5590000000000001E-3</v>
      </c>
      <c r="F26" s="403">
        <f>ROUND(D26*E26,0)</f>
        <v>359</v>
      </c>
      <c r="H26" s="388">
        <f>+'Sch 95 PCORC'!J26</f>
        <v>89530.525500000018</v>
      </c>
      <c r="I26" s="403">
        <f t="shared" ref="I26:I27" si="15">ROUND($E26*H26,0)</f>
        <v>319</v>
      </c>
      <c r="K26" s="388">
        <f>+'Sch 95 PCORC'!N26</f>
        <v>89210.525500000018</v>
      </c>
      <c r="L26" s="403">
        <f t="shared" ref="L26:L27" si="16">ROUND($E26*K26,0)</f>
        <v>318</v>
      </c>
      <c r="N26" s="388"/>
      <c r="O26" s="403"/>
    </row>
    <row r="27" spans="1:15">
      <c r="A27" s="386">
        <f t="shared" si="0"/>
        <v>21</v>
      </c>
      <c r="B27" s="386">
        <v>49</v>
      </c>
      <c r="D27" s="388">
        <f>+'Revenue By Sch TY'!D18</f>
        <v>513293.73700000002</v>
      </c>
      <c r="E27" s="402">
        <f>+'UE-210140 Sch 120'!G23</f>
        <v>3.49E-3</v>
      </c>
      <c r="F27" s="403">
        <f>ROUND(D27*E27,0)</f>
        <v>1791</v>
      </c>
      <c r="H27" s="388">
        <f>+'Sch 95 PCORC'!J27</f>
        <v>504715</v>
      </c>
      <c r="I27" s="403">
        <f t="shared" si="15"/>
        <v>1761</v>
      </c>
      <c r="K27" s="388">
        <f>+'Sch 95 PCORC'!N27</f>
        <v>499683</v>
      </c>
      <c r="L27" s="403">
        <f t="shared" si="16"/>
        <v>1744</v>
      </c>
      <c r="N27" s="388"/>
      <c r="O27" s="403"/>
    </row>
    <row r="28" spans="1:15">
      <c r="A28" s="386">
        <f t="shared" si="0"/>
        <v>22</v>
      </c>
      <c r="B28" s="386"/>
      <c r="C28" s="387" t="s">
        <v>15</v>
      </c>
      <c r="D28" s="390">
        <f>SUM(D26:D27)</f>
        <v>614103.78800000006</v>
      </c>
      <c r="E28" s="404"/>
      <c r="F28" s="405">
        <f t="shared" ref="F28" si="17">SUM(F26:F27)</f>
        <v>2150</v>
      </c>
      <c r="H28" s="390">
        <f>SUM(H26:H27)</f>
        <v>594245.52549999999</v>
      </c>
      <c r="I28" s="405">
        <f t="shared" ref="I28" si="18">SUM(I26:I27)</f>
        <v>2080</v>
      </c>
      <c r="K28" s="390">
        <f>SUM(K26:K27)</f>
        <v>588893.52549999999</v>
      </c>
      <c r="L28" s="405">
        <f t="shared" ref="L28" si="19">SUM(L26:L27)</f>
        <v>2062</v>
      </c>
      <c r="N28" s="390"/>
      <c r="O28" s="405"/>
    </row>
    <row r="29" spans="1:15">
      <c r="A29" s="386">
        <f t="shared" si="0"/>
        <v>23</v>
      </c>
      <c r="B29" s="386"/>
      <c r="D29" s="388"/>
      <c r="E29" s="402"/>
      <c r="F29" s="403"/>
      <c r="H29" s="388"/>
      <c r="I29" s="403"/>
      <c r="K29" s="388"/>
      <c r="L29" s="403"/>
      <c r="N29" s="388"/>
      <c r="O29" s="403"/>
    </row>
    <row r="30" spans="1:15">
      <c r="A30" s="386">
        <f t="shared" si="0"/>
        <v>24</v>
      </c>
      <c r="B30" s="386" t="s">
        <v>16</v>
      </c>
      <c r="D30" s="390">
        <f>+'Revenue By Sch TY'!D19</f>
        <v>69892.887000000002</v>
      </c>
      <c r="E30" s="404">
        <f>+'UE-210140 Sch 120'!G31</f>
        <v>3.607E-3</v>
      </c>
      <c r="F30" s="405">
        <f>ROUND(D30*E30,0)</f>
        <v>252</v>
      </c>
      <c r="H30" s="388">
        <f>+'Sch 95 PCORC'!J30</f>
        <v>62703</v>
      </c>
      <c r="I30" s="405">
        <f>ROUND($E30*H30,0)</f>
        <v>226</v>
      </c>
      <c r="K30" s="388">
        <f>+'Sch 95 PCORC'!N30</f>
        <v>61382</v>
      </c>
      <c r="L30" s="405">
        <f>ROUND($E30*K30,0)</f>
        <v>221</v>
      </c>
      <c r="N30" s="388"/>
      <c r="O30" s="405"/>
    </row>
    <row r="31" spans="1:15">
      <c r="A31" s="386">
        <f t="shared" si="0"/>
        <v>25</v>
      </c>
      <c r="B31" s="386"/>
      <c r="D31" s="388"/>
      <c r="E31" s="402"/>
      <c r="F31" s="403"/>
      <c r="H31" s="388"/>
      <c r="I31" s="403"/>
      <c r="K31" s="388"/>
      <c r="L31" s="403"/>
      <c r="N31" s="388"/>
      <c r="O31" s="403"/>
    </row>
    <row r="32" spans="1:15">
      <c r="A32" s="386">
        <f t="shared" si="0"/>
        <v>26</v>
      </c>
      <c r="B32" s="389" t="s">
        <v>17</v>
      </c>
      <c r="D32" s="388">
        <f>+'Revenue By Sch TY'!D20</f>
        <v>1945214.1669999999</v>
      </c>
      <c r="E32" s="402">
        <f>+'UE-210140 Sch 120'!$G$27</f>
        <v>1.047E-3</v>
      </c>
      <c r="F32" s="403">
        <f>ROUND(D32*E32,0)</f>
        <v>2037</v>
      </c>
      <c r="H32" s="388">
        <f>+'Sch 95 PCORC'!J32</f>
        <v>1895530</v>
      </c>
      <c r="I32" s="403">
        <f t="shared" ref="I32:I33" si="20">ROUND($E32*H32,0)</f>
        <v>1985</v>
      </c>
      <c r="K32" s="388">
        <f>+'Sch 95 PCORC'!N32</f>
        <v>1895104</v>
      </c>
      <c r="L32" s="403">
        <f t="shared" ref="L32:L33" si="21">ROUND($E32*K32,0)</f>
        <v>1984</v>
      </c>
      <c r="N32" s="388"/>
      <c r="O32" s="403"/>
    </row>
    <row r="33" spans="1:15">
      <c r="A33" s="386">
        <f t="shared" si="0"/>
        <v>27</v>
      </c>
      <c r="B33" s="389" t="s">
        <v>262</v>
      </c>
      <c r="D33" s="388">
        <f>+'Revenue By Sch TY'!D21</f>
        <v>278070.311162</v>
      </c>
      <c r="E33" s="402">
        <f>+'UE-210140 Sch 120'!$G$29</f>
        <v>2.2720000000000001E-3</v>
      </c>
      <c r="F33" s="403">
        <f>ROUND(D33*E33,0)</f>
        <v>632</v>
      </c>
      <c r="H33" s="388">
        <f>+'Sch 95 PCORC'!J33</f>
        <v>289426</v>
      </c>
      <c r="I33" s="403">
        <f t="shared" si="20"/>
        <v>658</v>
      </c>
      <c r="K33" s="388">
        <f>+'Sch 95 PCORC'!N33</f>
        <v>289426</v>
      </c>
      <c r="L33" s="403">
        <f t="shared" si="21"/>
        <v>658</v>
      </c>
      <c r="N33" s="388"/>
      <c r="O33" s="403"/>
    </row>
    <row r="34" spans="1:15">
      <c r="A34" s="386">
        <f t="shared" si="0"/>
        <v>28</v>
      </c>
      <c r="B34" s="389"/>
      <c r="C34" s="387" t="s">
        <v>263</v>
      </c>
      <c r="D34" s="390">
        <f>SUM(D32:D33)</f>
        <v>2223284.478162</v>
      </c>
      <c r="E34" s="404"/>
      <c r="F34" s="405">
        <f t="shared" ref="F34" si="22">SUM(F32:F33)</f>
        <v>2669</v>
      </c>
      <c r="H34" s="390">
        <f>SUM(H32:H33)</f>
        <v>2184956</v>
      </c>
      <c r="I34" s="405">
        <f t="shared" ref="I34" si="23">SUM(I32:I33)</f>
        <v>2643</v>
      </c>
      <c r="K34" s="390">
        <f>SUM(K32:K33)</f>
        <v>2184530</v>
      </c>
      <c r="L34" s="405">
        <f t="shared" ref="L34" si="24">SUM(L32:L33)</f>
        <v>2642</v>
      </c>
      <c r="N34" s="390"/>
      <c r="O34" s="405"/>
    </row>
    <row r="35" spans="1:15">
      <c r="A35" s="386">
        <f t="shared" si="0"/>
        <v>29</v>
      </c>
      <c r="B35" s="386"/>
      <c r="D35" s="388"/>
      <c r="E35" s="402"/>
      <c r="F35" s="403"/>
      <c r="H35" s="388"/>
      <c r="I35" s="403"/>
      <c r="K35" s="388"/>
      <c r="L35" s="403"/>
      <c r="N35" s="388"/>
      <c r="O35" s="403"/>
    </row>
    <row r="36" spans="1:15" ht="10.8" thickBot="1">
      <c r="A36" s="386">
        <f t="shared" si="0"/>
        <v>30</v>
      </c>
      <c r="B36" s="386"/>
      <c r="C36" s="391" t="s">
        <v>66</v>
      </c>
      <c r="D36" s="393">
        <f>SUM(D9,D18,D24,D28,D30,D34)</f>
        <v>22980976.256595761</v>
      </c>
      <c r="E36" s="406"/>
      <c r="F36" s="407">
        <f>SUM(F9,F18,F24,F28,F30,F34)</f>
        <v>83230</v>
      </c>
      <c r="H36" s="393">
        <f>SUM(H9,H18,H24,H28,H30,H34)</f>
        <v>22715537.8675</v>
      </c>
      <c r="I36" s="407">
        <f>SUM(I9,I18,I24,I28,I30,I34)</f>
        <v>82381</v>
      </c>
      <c r="K36" s="393">
        <f>SUM(K9,K18,K24,K28,K30,K34)</f>
        <v>22906810.8475</v>
      </c>
      <c r="L36" s="407">
        <f>SUM(L9,L18,L24,L28,L30,L34)</f>
        <v>83132</v>
      </c>
      <c r="N36" s="393"/>
      <c r="O36" s="407"/>
    </row>
    <row r="37" spans="1:15" ht="10.8" thickTop="1">
      <c r="A37" s="386">
        <f t="shared" si="0"/>
        <v>31</v>
      </c>
      <c r="B37" s="386"/>
      <c r="F37" s="403"/>
      <c r="I37" s="403"/>
      <c r="L37" s="403"/>
      <c r="O37" s="403"/>
    </row>
    <row r="38" spans="1:15">
      <c r="A38" s="386">
        <f t="shared" si="0"/>
        <v>32</v>
      </c>
      <c r="B38" s="386">
        <v>5</v>
      </c>
      <c r="C38" s="387" t="s">
        <v>67</v>
      </c>
      <c r="D38" s="388">
        <f>+'Revenue By Sch TY'!D22</f>
        <v>7372.3372879022108</v>
      </c>
      <c r="E38" s="402">
        <v>0</v>
      </c>
      <c r="F38" s="405">
        <f>ROUND(D38*E38,0)</f>
        <v>0</v>
      </c>
      <c r="H38" s="390">
        <f>+'Sch 95 PCORC'!J38</f>
        <v>7521</v>
      </c>
      <c r="I38" s="405">
        <f>ROUND($E38*H38,0)</f>
        <v>0</v>
      </c>
      <c r="K38" s="390">
        <f>+'Sch 95 PCORC'!N38</f>
        <v>7552</v>
      </c>
      <c r="L38" s="405">
        <f>ROUND($E38*K38,0)</f>
        <v>0</v>
      </c>
      <c r="N38" s="390"/>
      <c r="O38" s="405"/>
    </row>
    <row r="39" spans="1:15">
      <c r="A39" s="386">
        <f t="shared" si="0"/>
        <v>33</v>
      </c>
      <c r="B39" s="386"/>
      <c r="F39" s="403"/>
      <c r="I39" s="403"/>
      <c r="L39" s="403"/>
      <c r="O39" s="403"/>
    </row>
    <row r="40" spans="1:15" ht="10.8" thickBot="1">
      <c r="A40" s="386">
        <f t="shared" si="0"/>
        <v>34</v>
      </c>
      <c r="B40" s="386"/>
      <c r="C40" s="391" t="s">
        <v>68</v>
      </c>
      <c r="D40" s="393">
        <f>SUM(D36,D38)</f>
        <v>22988348.593883663</v>
      </c>
      <c r="E40" s="402">
        <f>+F40/D40</f>
        <v>3.6205297505426024E-3</v>
      </c>
      <c r="F40" s="407">
        <f t="shared" ref="F40" si="25">SUM(F36,F38)</f>
        <v>83230</v>
      </c>
      <c r="H40" s="393">
        <f>SUM(H36,H38)</f>
        <v>22723058.8675</v>
      </c>
      <c r="I40" s="407">
        <f t="shared" ref="I40" si="26">SUM(I36,I38)</f>
        <v>82381</v>
      </c>
      <c r="K40" s="393">
        <f>SUM(K36,K38)</f>
        <v>22914362.8475</v>
      </c>
      <c r="L40" s="407">
        <f t="shared" ref="L40" si="27">SUM(L36,L38)</f>
        <v>83132</v>
      </c>
      <c r="N40" s="393"/>
      <c r="O40" s="407"/>
    </row>
    <row r="41" spans="1:15" ht="10.8" thickTop="1"/>
  </sheetData>
  <mergeCells count="7">
    <mergeCell ref="K5:L5"/>
    <mergeCell ref="N5:O5"/>
    <mergeCell ref="A1:F1"/>
    <mergeCell ref="A2:F2"/>
    <mergeCell ref="A3:F3"/>
    <mergeCell ref="A4:F4"/>
    <mergeCell ref="H5:I5"/>
  </mergeCells>
  <printOptions horizontalCentered="1"/>
  <pageMargins left="0.7" right="0.7" top="0.75" bottom="0.81" header="0.3" footer="0.3"/>
  <pageSetup scale="95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O41"/>
  <sheetViews>
    <sheetView zoomScaleNormal="10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activeCell="D5" sqref="D1:O1048576"/>
    </sheetView>
  </sheetViews>
  <sheetFormatPr defaultColWidth="8.88671875" defaultRowHeight="10.199999999999999"/>
  <cols>
    <col min="1" max="1" width="4.88671875" style="387" customWidth="1"/>
    <col min="2" max="2" width="13.6640625" style="387" bestFit="1" customWidth="1"/>
    <col min="3" max="3" width="21" style="387" bestFit="1" customWidth="1"/>
    <col min="4" max="4" width="13.33203125" style="387" bestFit="1" customWidth="1"/>
    <col min="5" max="5" width="15.5546875" style="387" bestFit="1" customWidth="1"/>
    <col min="6" max="6" width="12.88671875" style="387" bestFit="1" customWidth="1"/>
    <col min="7" max="7" width="2" style="387" customWidth="1"/>
    <col min="8" max="8" width="9.88671875" style="387" bestFit="1" customWidth="1"/>
    <col min="9" max="9" width="8.44140625" style="387" bestFit="1" customWidth="1"/>
    <col min="10" max="10" width="2" style="387" customWidth="1"/>
    <col min="11" max="11" width="9.88671875" style="387" bestFit="1" customWidth="1"/>
    <col min="12" max="12" width="8.44140625" style="387" bestFit="1" customWidth="1"/>
    <col min="13" max="13" width="2" style="387" customWidth="1"/>
    <col min="14" max="15" width="8.44140625" style="387" bestFit="1" customWidth="1"/>
    <col min="16" max="16384" width="8.88671875" style="387"/>
  </cols>
  <sheetData>
    <row r="1" spans="1:15" s="409" customFormat="1">
      <c r="A1" s="772" t="s">
        <v>0</v>
      </c>
      <c r="B1" s="772"/>
      <c r="C1" s="772"/>
      <c r="D1" s="772"/>
      <c r="E1" s="772"/>
      <c r="F1" s="772"/>
    </row>
    <row r="2" spans="1:15" s="409" customFormat="1">
      <c r="A2" s="773" t="s">
        <v>158</v>
      </c>
      <c r="B2" s="772"/>
      <c r="C2" s="772"/>
      <c r="D2" s="772"/>
      <c r="E2" s="772"/>
      <c r="F2" s="772"/>
    </row>
    <row r="3" spans="1:15" s="409" customFormat="1">
      <c r="A3" s="772" t="str">
        <f>+'Revenue By Sch TY'!A3</f>
        <v>Test Year ended June 2021</v>
      </c>
      <c r="B3" s="772"/>
      <c r="C3" s="772"/>
      <c r="D3" s="772"/>
      <c r="E3" s="772"/>
      <c r="F3" s="772"/>
    </row>
    <row r="4" spans="1:15" s="409" customFormat="1">
      <c r="A4" s="772"/>
      <c r="B4" s="772"/>
      <c r="C4" s="772"/>
      <c r="D4" s="772"/>
      <c r="E4" s="772"/>
      <c r="F4" s="772"/>
    </row>
    <row r="5" spans="1:15" s="409" customFormat="1">
      <c r="A5" s="411"/>
      <c r="B5" s="398"/>
      <c r="C5" s="398"/>
      <c r="D5" s="398"/>
      <c r="F5" s="409" t="s">
        <v>100</v>
      </c>
      <c r="H5" s="803" t="s">
        <v>512</v>
      </c>
      <c r="I5" s="803"/>
      <c r="K5" s="802" t="s">
        <v>515</v>
      </c>
      <c r="L5" s="803"/>
      <c r="N5" s="802" t="s">
        <v>514</v>
      </c>
      <c r="O5" s="803"/>
    </row>
    <row r="6" spans="1:15" s="409" customFormat="1" ht="51">
      <c r="A6" s="399" t="s">
        <v>2</v>
      </c>
      <c r="B6" s="399" t="s">
        <v>3</v>
      </c>
      <c r="C6" s="399" t="s">
        <v>31</v>
      </c>
      <c r="D6" s="400" t="str">
        <f>+'Revenue By Sch TY'!D7</f>
        <v>Annual mWh
Delivered Sales 
YE 06-2021</v>
      </c>
      <c r="E6" s="400" t="s">
        <v>437</v>
      </c>
      <c r="F6" s="400" t="s">
        <v>436</v>
      </c>
      <c r="H6" s="400" t="s">
        <v>522</v>
      </c>
      <c r="I6" s="400" t="s">
        <v>513</v>
      </c>
      <c r="J6" s="400"/>
      <c r="K6" s="400" t="str">
        <f>+H6</f>
        <v>Annual Delivered MWh</v>
      </c>
      <c r="L6" s="400" t="str">
        <f>+I6</f>
        <v>Annual Delivered $</v>
      </c>
      <c r="M6" s="400"/>
      <c r="N6" s="400" t="str">
        <f>+K6</f>
        <v>Annual Delivered MWh</v>
      </c>
      <c r="O6" s="400" t="str">
        <f>+L6</f>
        <v>Annual Delivered $</v>
      </c>
    </row>
    <row r="7" spans="1:15">
      <c r="A7" s="386">
        <v>1</v>
      </c>
      <c r="B7" s="386">
        <v>7</v>
      </c>
      <c r="D7" s="388">
        <f>+'Revenue By Sch TY'!D9</f>
        <v>11355354.571603522</v>
      </c>
      <c r="E7" s="402">
        <f>+'UE-210674 Sch 129'!G9</f>
        <v>1.3519999999999999E-3</v>
      </c>
      <c r="F7" s="403">
        <f>ROUND(D7*E7,0)</f>
        <v>15352</v>
      </c>
      <c r="H7" s="388">
        <f>+'Sch 95 PCORC'!J7</f>
        <v>10963050.375499999</v>
      </c>
      <c r="I7" s="403">
        <f>ROUND($E7*H7,0)</f>
        <v>14822</v>
      </c>
      <c r="K7" s="388">
        <f>+'Sch 95 PCORC'!N7</f>
        <v>11064440.8695</v>
      </c>
      <c r="L7" s="403">
        <f>ROUND($E7*K7,0)</f>
        <v>14959</v>
      </c>
      <c r="N7" s="388"/>
      <c r="O7" s="403"/>
    </row>
    <row r="8" spans="1:15">
      <c r="A8" s="386">
        <f t="shared" ref="A8:A40" si="0">+A7+1</f>
        <v>2</v>
      </c>
      <c r="B8" s="389" t="s">
        <v>10</v>
      </c>
      <c r="D8" s="388">
        <v>0</v>
      </c>
      <c r="E8" s="402">
        <f>+'UE-210674 Sch 129'!G12</f>
        <v>1.206E-3</v>
      </c>
      <c r="F8" s="403">
        <f>ROUND(D8*E8,0)</f>
        <v>0</v>
      </c>
      <c r="H8" s="388">
        <f>+'Sch 95 PCORC'!J8</f>
        <v>0</v>
      </c>
      <c r="I8" s="403">
        <f>ROUND($E8*H8,0)</f>
        <v>0</v>
      </c>
      <c r="K8" s="388">
        <f>+'Sch 95 PCORC'!N8</f>
        <v>0</v>
      </c>
      <c r="L8" s="403">
        <f>ROUND($E8*K8,0)</f>
        <v>0</v>
      </c>
      <c r="N8" s="388"/>
      <c r="O8" s="403"/>
    </row>
    <row r="9" spans="1:15">
      <c r="A9" s="386">
        <f t="shared" si="0"/>
        <v>3</v>
      </c>
      <c r="B9" s="386"/>
      <c r="C9" s="387" t="s">
        <v>11</v>
      </c>
      <c r="D9" s="390">
        <f>SUM(D7:D8)</f>
        <v>11355354.571603522</v>
      </c>
      <c r="E9" s="404"/>
      <c r="F9" s="405">
        <f t="shared" ref="F9" si="1">SUM(F7:F8)</f>
        <v>15352</v>
      </c>
      <c r="H9" s="390">
        <f>SUM(H7:H8)</f>
        <v>10963050.375499999</v>
      </c>
      <c r="I9" s="405">
        <f t="shared" ref="I9" si="2">SUM(I7:I8)</f>
        <v>14822</v>
      </c>
      <c r="K9" s="390">
        <f>SUM(K7:K8)</f>
        <v>11064440.8695</v>
      </c>
      <c r="L9" s="405">
        <f t="shared" ref="L9" si="3">SUM(L7:L8)</f>
        <v>14959</v>
      </c>
      <c r="N9" s="390"/>
      <c r="O9" s="405"/>
    </row>
    <row r="10" spans="1:15">
      <c r="A10" s="386">
        <f t="shared" si="0"/>
        <v>4</v>
      </c>
      <c r="B10" s="386"/>
      <c r="D10" s="388"/>
      <c r="E10" s="402"/>
      <c r="F10" s="403"/>
      <c r="H10" s="388"/>
      <c r="I10" s="403"/>
      <c r="K10" s="388"/>
      <c r="L10" s="403"/>
      <c r="N10" s="388"/>
      <c r="O10" s="403"/>
    </row>
    <row r="11" spans="1:15">
      <c r="A11" s="386">
        <f t="shared" si="0"/>
        <v>5</v>
      </c>
      <c r="B11" s="386">
        <v>8</v>
      </c>
      <c r="D11" s="388">
        <v>0</v>
      </c>
      <c r="E11" s="402">
        <f>+'UE-210674 Sch 129'!G11</f>
        <v>1.3339999999999999E-3</v>
      </c>
      <c r="F11" s="403">
        <f t="shared" ref="F11:F17" si="4">ROUND(D11*E11,0)</f>
        <v>0</v>
      </c>
      <c r="H11" s="388">
        <f>+'Sch 95 PCORC'!J11</f>
        <v>0</v>
      </c>
      <c r="I11" s="403">
        <f t="shared" ref="I11:I17" si="5">ROUND($E11*H11,0)</f>
        <v>0</v>
      </c>
      <c r="K11" s="388">
        <f>+'Sch 95 PCORC'!N11</f>
        <v>0</v>
      </c>
      <c r="L11" s="403">
        <f t="shared" ref="L11:L17" si="6">ROUND($E11*K11,0)</f>
        <v>0</v>
      </c>
      <c r="N11" s="388"/>
      <c r="O11" s="403"/>
    </row>
    <row r="12" spans="1:15">
      <c r="A12" s="386">
        <f t="shared" si="0"/>
        <v>6</v>
      </c>
      <c r="B12" s="386">
        <v>24</v>
      </c>
      <c r="D12" s="388">
        <f>+'Revenue By Sch TY'!D10</f>
        <v>2658833.1030243803</v>
      </c>
      <c r="E12" s="402">
        <f>+E11</f>
        <v>1.3339999999999999E-3</v>
      </c>
      <c r="F12" s="403">
        <f t="shared" si="4"/>
        <v>3547</v>
      </c>
      <c r="H12" s="388">
        <f>+'Sch 95 PCORC'!J12</f>
        <v>2697633</v>
      </c>
      <c r="I12" s="403">
        <f t="shared" si="5"/>
        <v>3599</v>
      </c>
      <c r="K12" s="388">
        <f>+'Sch 95 PCORC'!N12</f>
        <v>2730372</v>
      </c>
      <c r="L12" s="403">
        <f t="shared" si="6"/>
        <v>3642</v>
      </c>
      <c r="N12" s="388"/>
      <c r="O12" s="403"/>
    </row>
    <row r="13" spans="1:15">
      <c r="A13" s="386">
        <f t="shared" si="0"/>
        <v>7</v>
      </c>
      <c r="B13" s="389">
        <v>11</v>
      </c>
      <c r="D13" s="388">
        <v>0</v>
      </c>
      <c r="E13" s="402">
        <f>+E8</f>
        <v>1.206E-3</v>
      </c>
      <c r="F13" s="403">
        <f t="shared" si="4"/>
        <v>0</v>
      </c>
      <c r="H13" s="388">
        <f>+'Sch 95 PCORC'!J13</f>
        <v>0</v>
      </c>
      <c r="I13" s="403">
        <f t="shared" si="5"/>
        <v>0</v>
      </c>
      <c r="K13" s="388">
        <f>+'Sch 95 PCORC'!N13</f>
        <v>0</v>
      </c>
      <c r="L13" s="403">
        <f t="shared" si="6"/>
        <v>0</v>
      </c>
      <c r="N13" s="388"/>
      <c r="O13" s="403"/>
    </row>
    <row r="14" spans="1:15">
      <c r="A14" s="386">
        <f t="shared" si="0"/>
        <v>8</v>
      </c>
      <c r="B14" s="389">
        <v>25</v>
      </c>
      <c r="D14" s="388">
        <f>+'Revenue By Sch TY'!D11</f>
        <v>2856045.8325844579</v>
      </c>
      <c r="E14" s="402">
        <f>+E13</f>
        <v>1.206E-3</v>
      </c>
      <c r="F14" s="403">
        <f t="shared" si="4"/>
        <v>3444</v>
      </c>
      <c r="H14" s="388">
        <f>+'Sch 95 PCORC'!J14</f>
        <v>2911699.0000000005</v>
      </c>
      <c r="I14" s="403">
        <f t="shared" si="5"/>
        <v>3512</v>
      </c>
      <c r="K14" s="388">
        <f>+'Sch 95 PCORC'!N14</f>
        <v>2948172</v>
      </c>
      <c r="L14" s="403">
        <f t="shared" si="6"/>
        <v>3555</v>
      </c>
      <c r="N14" s="388"/>
      <c r="O14" s="403"/>
    </row>
    <row r="15" spans="1:15">
      <c r="A15" s="386">
        <f t="shared" si="0"/>
        <v>9</v>
      </c>
      <c r="B15" s="386">
        <v>12</v>
      </c>
      <c r="D15" s="388">
        <v>0</v>
      </c>
      <c r="E15" s="402">
        <f>+'UE-210674 Sch 129'!G13</f>
        <v>1.1180000000000001E-3</v>
      </c>
      <c r="F15" s="403">
        <f t="shared" si="4"/>
        <v>0</v>
      </c>
      <c r="H15" s="388">
        <f>+'Sch 95 PCORC'!J15</f>
        <v>0</v>
      </c>
      <c r="I15" s="403">
        <f t="shared" si="5"/>
        <v>0</v>
      </c>
      <c r="K15" s="388">
        <f>+'Sch 95 PCORC'!N15</f>
        <v>0</v>
      </c>
      <c r="L15" s="403">
        <f t="shared" si="6"/>
        <v>0</v>
      </c>
      <c r="N15" s="388"/>
      <c r="O15" s="403"/>
    </row>
    <row r="16" spans="1:15">
      <c r="A16" s="386">
        <f t="shared" si="0"/>
        <v>10</v>
      </c>
      <c r="B16" s="386" t="s">
        <v>12</v>
      </c>
      <c r="D16" s="388">
        <f>+'Revenue By Sch TY'!D12</f>
        <v>1761911.047761543</v>
      </c>
      <c r="E16" s="402">
        <f>+E15</f>
        <v>1.1180000000000001E-3</v>
      </c>
      <c r="F16" s="403">
        <f t="shared" si="4"/>
        <v>1970</v>
      </c>
      <c r="H16" s="388">
        <f>+'Sch 95 PCORC'!J16</f>
        <v>1831289</v>
      </c>
      <c r="I16" s="403">
        <f t="shared" si="5"/>
        <v>2047</v>
      </c>
      <c r="K16" s="388">
        <f>+'Sch 95 PCORC'!N16</f>
        <v>1853862</v>
      </c>
      <c r="L16" s="403">
        <f t="shared" si="6"/>
        <v>2073</v>
      </c>
      <c r="N16" s="388"/>
      <c r="O16" s="403"/>
    </row>
    <row r="17" spans="1:15">
      <c r="A17" s="386">
        <f t="shared" si="0"/>
        <v>11</v>
      </c>
      <c r="B17" s="386">
        <v>29</v>
      </c>
      <c r="D17" s="388">
        <f>+'Revenue By Sch TY'!D13</f>
        <v>15293.727999999999</v>
      </c>
      <c r="E17" s="402">
        <f>+'UE-210674 Sch 129'!G14</f>
        <v>1.054E-3</v>
      </c>
      <c r="F17" s="403">
        <f t="shared" si="4"/>
        <v>16</v>
      </c>
      <c r="H17" s="388">
        <f>+'Sch 95 PCORC'!J17</f>
        <v>15100.966499999999</v>
      </c>
      <c r="I17" s="403">
        <f t="shared" si="5"/>
        <v>16</v>
      </c>
      <c r="K17" s="388">
        <f>+'Sch 95 PCORC'!N17</f>
        <v>15233.452499999999</v>
      </c>
      <c r="L17" s="403">
        <f t="shared" si="6"/>
        <v>16</v>
      </c>
      <c r="N17" s="388"/>
      <c r="O17" s="403"/>
    </row>
    <row r="18" spans="1:15">
      <c r="A18" s="386">
        <f t="shared" si="0"/>
        <v>12</v>
      </c>
      <c r="B18" s="386"/>
      <c r="C18" s="391" t="s">
        <v>13</v>
      </c>
      <c r="D18" s="390">
        <f>SUM(D11:D17)</f>
        <v>7292083.7113703806</v>
      </c>
      <c r="E18" s="404"/>
      <c r="F18" s="405">
        <f t="shared" ref="F18" si="7">SUM(F11:F17)</f>
        <v>8977</v>
      </c>
      <c r="H18" s="390">
        <f>SUM(H11:H17)</f>
        <v>7455721.9665000001</v>
      </c>
      <c r="I18" s="405">
        <f t="shared" ref="I18" si="8">SUM(I11:I17)</f>
        <v>9174</v>
      </c>
      <c r="K18" s="390">
        <f>SUM(K11:K17)</f>
        <v>7547639.4524999997</v>
      </c>
      <c r="L18" s="405">
        <f t="shared" ref="L18" si="9">SUM(L11:L17)</f>
        <v>9286</v>
      </c>
      <c r="N18" s="390"/>
      <c r="O18" s="405"/>
    </row>
    <row r="19" spans="1:15">
      <c r="A19" s="386">
        <f t="shared" si="0"/>
        <v>13</v>
      </c>
      <c r="B19" s="386"/>
      <c r="D19" s="388"/>
      <c r="E19" s="402"/>
      <c r="F19" s="403"/>
      <c r="H19" s="388"/>
      <c r="I19" s="403"/>
      <c r="K19" s="388"/>
      <c r="L19" s="403"/>
      <c r="N19" s="388"/>
      <c r="O19" s="403"/>
    </row>
    <row r="20" spans="1:15">
      <c r="A20" s="386">
        <f t="shared" si="0"/>
        <v>14</v>
      </c>
      <c r="B20" s="386">
        <v>10</v>
      </c>
      <c r="D20" s="388">
        <v>0</v>
      </c>
      <c r="E20" s="402">
        <f>+'UE-210674 Sch 129'!G18</f>
        <v>1.1069999999999999E-3</v>
      </c>
      <c r="F20" s="403">
        <f>ROUND(D20*E20,0)</f>
        <v>0</v>
      </c>
      <c r="H20" s="388">
        <v>0</v>
      </c>
      <c r="I20" s="403">
        <f t="shared" ref="I20:I23" si="10">ROUND($E20*H20,0)</f>
        <v>0</v>
      </c>
      <c r="K20" s="388">
        <v>0</v>
      </c>
      <c r="L20" s="403">
        <f t="shared" ref="L20:L23" si="11">ROUND($E20*K20,0)</f>
        <v>0</v>
      </c>
      <c r="N20" s="388"/>
      <c r="O20" s="403"/>
    </row>
    <row r="21" spans="1:15">
      <c r="A21" s="386">
        <f t="shared" si="0"/>
        <v>15</v>
      </c>
      <c r="B21" s="386">
        <v>31</v>
      </c>
      <c r="D21" s="388">
        <f>+'Revenue By Sch TY'!D14</f>
        <v>1307770.0591754341</v>
      </c>
      <c r="E21" s="402">
        <f>+E20</f>
        <v>1.1069999999999999E-3</v>
      </c>
      <c r="F21" s="403">
        <f>ROUND(D21*E21,0)</f>
        <v>1448</v>
      </c>
      <c r="H21" s="388">
        <f>+'Sch 95 PCORC'!J21</f>
        <v>1332008</v>
      </c>
      <c r="I21" s="403">
        <f t="shared" si="10"/>
        <v>1475</v>
      </c>
      <c r="K21" s="388">
        <f>+'Sch 95 PCORC'!N21</f>
        <v>1335448</v>
      </c>
      <c r="L21" s="403">
        <f t="shared" si="11"/>
        <v>1478</v>
      </c>
      <c r="N21" s="388"/>
      <c r="O21" s="403"/>
    </row>
    <row r="22" spans="1:15">
      <c r="A22" s="386">
        <f t="shared" si="0"/>
        <v>16</v>
      </c>
      <c r="B22" s="386">
        <v>35</v>
      </c>
      <c r="D22" s="388">
        <f>+'Revenue By Sch TY'!D15</f>
        <v>4387.6440000000002</v>
      </c>
      <c r="E22" s="402">
        <f>+'UE-210674 Sch 129'!G19</f>
        <v>8.1999999999999998E-4</v>
      </c>
      <c r="F22" s="403">
        <f>ROUND(D22*E22,0)</f>
        <v>4</v>
      </c>
      <c r="H22" s="388">
        <f>+'Sch 95 PCORC'!J22</f>
        <v>4663</v>
      </c>
      <c r="I22" s="403">
        <f t="shared" si="10"/>
        <v>4</v>
      </c>
      <c r="K22" s="388">
        <f>+'Sch 95 PCORC'!N22</f>
        <v>4695</v>
      </c>
      <c r="L22" s="403">
        <f t="shared" si="11"/>
        <v>4</v>
      </c>
      <c r="N22" s="388"/>
      <c r="O22" s="403"/>
    </row>
    <row r="23" spans="1:15">
      <c r="A23" s="386">
        <f t="shared" si="0"/>
        <v>17</v>
      </c>
      <c r="B23" s="386">
        <v>43</v>
      </c>
      <c r="D23" s="388">
        <f>+'Revenue By Sch TY'!D16</f>
        <v>114099.11728442684</v>
      </c>
      <c r="E23" s="402">
        <f>+'UE-210674 Sch 129'!G20</f>
        <v>1.1590000000000001E-3</v>
      </c>
      <c r="F23" s="403">
        <f>ROUND(D23*E23,0)</f>
        <v>132</v>
      </c>
      <c r="H23" s="388">
        <f>+'Sch 95 PCORC'!J23</f>
        <v>118190</v>
      </c>
      <c r="I23" s="403">
        <f t="shared" si="10"/>
        <v>137</v>
      </c>
      <c r="K23" s="388">
        <f>+'Sch 95 PCORC'!N23</f>
        <v>119782</v>
      </c>
      <c r="L23" s="403">
        <f t="shared" si="11"/>
        <v>139</v>
      </c>
      <c r="N23" s="388"/>
      <c r="O23" s="403"/>
    </row>
    <row r="24" spans="1:15">
      <c r="A24" s="386">
        <f t="shared" si="0"/>
        <v>18</v>
      </c>
      <c r="B24" s="386"/>
      <c r="C24" s="387" t="s">
        <v>14</v>
      </c>
      <c r="D24" s="390">
        <f>SUM(D20:D23)</f>
        <v>1426256.8204598611</v>
      </c>
      <c r="E24" s="404"/>
      <c r="F24" s="405">
        <f t="shared" ref="F24" si="12">SUM(F20:F23)</f>
        <v>1584</v>
      </c>
      <c r="H24" s="390">
        <f>SUM(H20:H23)</f>
        <v>1454861</v>
      </c>
      <c r="I24" s="405">
        <f t="shared" ref="I24" si="13">SUM(I20:I23)</f>
        <v>1616</v>
      </c>
      <c r="K24" s="390">
        <f>SUM(K20:K23)</f>
        <v>1459925</v>
      </c>
      <c r="L24" s="405">
        <f t="shared" ref="L24" si="14">SUM(L20:L23)</f>
        <v>1621</v>
      </c>
      <c r="N24" s="390"/>
      <c r="O24" s="405"/>
    </row>
    <row r="25" spans="1:15">
      <c r="A25" s="386">
        <f t="shared" si="0"/>
        <v>19</v>
      </c>
      <c r="B25" s="386"/>
      <c r="D25" s="388"/>
      <c r="E25" s="402"/>
      <c r="F25" s="403"/>
      <c r="H25" s="388"/>
      <c r="I25" s="403"/>
      <c r="K25" s="388"/>
      <c r="L25" s="403"/>
      <c r="N25" s="388"/>
      <c r="O25" s="403"/>
    </row>
    <row r="26" spans="1:15">
      <c r="A26" s="386">
        <f t="shared" si="0"/>
        <v>20</v>
      </c>
      <c r="B26" s="386">
        <v>46</v>
      </c>
      <c r="D26" s="388">
        <f>+'Revenue By Sch TY'!D17</f>
        <v>100810.05100000001</v>
      </c>
      <c r="E26" s="402">
        <f>+'UE-210674 Sch 129'!G24</f>
        <v>8.6200000000000003E-4</v>
      </c>
      <c r="F26" s="403">
        <f>ROUND(D26*E26,0)</f>
        <v>87</v>
      </c>
      <c r="H26" s="388">
        <f>+'Sch 95 PCORC'!J26</f>
        <v>89530.525500000018</v>
      </c>
      <c r="I26" s="403">
        <f t="shared" ref="I26:I27" si="15">ROUND($E26*H26,0)</f>
        <v>77</v>
      </c>
      <c r="K26" s="388">
        <f>+'Sch 95 PCORC'!N26</f>
        <v>89210.525500000018</v>
      </c>
      <c r="L26" s="403">
        <f t="shared" ref="L26:L27" si="16">ROUND($E26*K26,0)</f>
        <v>77</v>
      </c>
      <c r="N26" s="388"/>
      <c r="O26" s="403"/>
    </row>
    <row r="27" spans="1:15">
      <c r="A27" s="386">
        <f t="shared" si="0"/>
        <v>21</v>
      </c>
      <c r="B27" s="386">
        <v>49</v>
      </c>
      <c r="D27" s="388">
        <f>+'Revenue By Sch TY'!D18</f>
        <v>513293.73700000002</v>
      </c>
      <c r="E27" s="402">
        <f>+'UE-210674 Sch 129'!G25</f>
        <v>8.4800000000000001E-4</v>
      </c>
      <c r="F27" s="403">
        <f>ROUND(D27*E27,0)</f>
        <v>435</v>
      </c>
      <c r="H27" s="388">
        <f>+'Sch 95 PCORC'!J27</f>
        <v>504715</v>
      </c>
      <c r="I27" s="403">
        <f t="shared" si="15"/>
        <v>428</v>
      </c>
      <c r="K27" s="388">
        <f>+'Sch 95 PCORC'!N27</f>
        <v>499683</v>
      </c>
      <c r="L27" s="403">
        <f t="shared" si="16"/>
        <v>424</v>
      </c>
      <c r="N27" s="388"/>
      <c r="O27" s="403"/>
    </row>
    <row r="28" spans="1:15">
      <c r="A28" s="386">
        <f t="shared" si="0"/>
        <v>22</v>
      </c>
      <c r="B28" s="386"/>
      <c r="C28" s="387" t="s">
        <v>15</v>
      </c>
      <c r="D28" s="390">
        <f>SUM(D26:D27)</f>
        <v>614103.78800000006</v>
      </c>
      <c r="E28" s="404"/>
      <c r="F28" s="405">
        <f t="shared" ref="F28" si="17">SUM(F26:F27)</f>
        <v>522</v>
      </c>
      <c r="H28" s="390">
        <f>SUM(H26:H27)</f>
        <v>594245.52549999999</v>
      </c>
      <c r="I28" s="405">
        <f t="shared" ref="I28" si="18">SUM(I26:I27)</f>
        <v>505</v>
      </c>
      <c r="K28" s="390">
        <f>SUM(K26:K27)</f>
        <v>588893.52549999999</v>
      </c>
      <c r="L28" s="405">
        <f t="shared" ref="L28" si="19">SUM(L26:L27)</f>
        <v>501</v>
      </c>
      <c r="N28" s="390"/>
      <c r="O28" s="405"/>
    </row>
    <row r="29" spans="1:15">
      <c r="A29" s="386">
        <f t="shared" si="0"/>
        <v>23</v>
      </c>
      <c r="B29" s="386"/>
      <c r="D29" s="388"/>
      <c r="E29" s="402"/>
      <c r="F29" s="403"/>
      <c r="H29" s="388"/>
      <c r="I29" s="403"/>
      <c r="K29" s="388"/>
      <c r="L29" s="403"/>
      <c r="N29" s="388"/>
      <c r="O29" s="403"/>
    </row>
    <row r="30" spans="1:15">
      <c r="A30" s="386">
        <f t="shared" si="0"/>
        <v>24</v>
      </c>
      <c r="B30" s="386" t="s">
        <v>16</v>
      </c>
      <c r="D30" s="390">
        <f>+'Revenue By Sch TY'!D19</f>
        <v>69892.887000000002</v>
      </c>
      <c r="E30" s="404">
        <f>+'UE-210674 Sch 129'!G29</f>
        <v>2.944E-3</v>
      </c>
      <c r="F30" s="405">
        <f>ROUND(D30*E30,0)</f>
        <v>206</v>
      </c>
      <c r="H30" s="388">
        <f>+'Sch 95 PCORC'!J30</f>
        <v>62703</v>
      </c>
      <c r="I30" s="405">
        <f>ROUND($E30*H30,0)</f>
        <v>185</v>
      </c>
      <c r="K30" s="388">
        <f>+'Sch 95 PCORC'!N30</f>
        <v>61382</v>
      </c>
      <c r="L30" s="405">
        <f>ROUND($E30*K30,0)</f>
        <v>181</v>
      </c>
      <c r="N30" s="388"/>
      <c r="O30" s="405"/>
    </row>
    <row r="31" spans="1:15">
      <c r="A31" s="386">
        <f t="shared" si="0"/>
        <v>25</v>
      </c>
      <c r="B31" s="386"/>
      <c r="D31" s="388"/>
      <c r="E31" s="402"/>
      <c r="F31" s="403"/>
      <c r="H31" s="388"/>
      <c r="I31" s="403"/>
      <c r="K31" s="388"/>
      <c r="L31" s="403"/>
      <c r="N31" s="388"/>
      <c r="O31" s="403"/>
    </row>
    <row r="32" spans="1:15">
      <c r="A32" s="386">
        <f t="shared" si="0"/>
        <v>26</v>
      </c>
      <c r="B32" s="389" t="s">
        <v>17</v>
      </c>
      <c r="D32" s="388">
        <f>+'Revenue By Sch TY'!D20</f>
        <v>1945214.1669999999</v>
      </c>
      <c r="E32" s="402">
        <f>+'UE-210674 Sch 129'!$G$31</f>
        <v>6.0000000000000002E-5</v>
      </c>
      <c r="F32" s="403">
        <f>ROUND(D32*E32,0)</f>
        <v>117</v>
      </c>
      <c r="H32" s="388">
        <f>+'Sch 95 PCORC'!J32</f>
        <v>1895530</v>
      </c>
      <c r="I32" s="403">
        <f t="shared" ref="I32:I33" si="20">ROUND($E32*H32,0)</f>
        <v>114</v>
      </c>
      <c r="K32" s="388">
        <f>+'Sch 95 PCORC'!N32</f>
        <v>1895104</v>
      </c>
      <c r="L32" s="403">
        <f t="shared" ref="L32:L33" si="21">ROUND($E32*K32,0)</f>
        <v>114</v>
      </c>
      <c r="N32" s="388"/>
      <c r="O32" s="403"/>
    </row>
    <row r="33" spans="1:15">
      <c r="A33" s="386">
        <f t="shared" si="0"/>
        <v>27</v>
      </c>
      <c r="B33" s="389" t="s">
        <v>262</v>
      </c>
      <c r="D33" s="388">
        <f>+'Revenue By Sch TY'!D21</f>
        <v>278070.311162</v>
      </c>
      <c r="E33" s="402">
        <f>+'UE-210674 Sch 129'!$G$33</f>
        <v>6.1399999999999996E-4</v>
      </c>
      <c r="F33" s="403">
        <f>ROUND(D33*E33,0)</f>
        <v>171</v>
      </c>
      <c r="H33" s="388">
        <f>+'Sch 95 PCORC'!J33</f>
        <v>289426</v>
      </c>
      <c r="I33" s="403">
        <f t="shared" si="20"/>
        <v>178</v>
      </c>
      <c r="K33" s="388">
        <f>+'Sch 95 PCORC'!N33</f>
        <v>289426</v>
      </c>
      <c r="L33" s="403">
        <f t="shared" si="21"/>
        <v>178</v>
      </c>
      <c r="N33" s="388"/>
      <c r="O33" s="403"/>
    </row>
    <row r="34" spans="1:15">
      <c r="A34" s="386">
        <f t="shared" si="0"/>
        <v>28</v>
      </c>
      <c r="B34" s="389"/>
      <c r="C34" s="387" t="s">
        <v>263</v>
      </c>
      <c r="D34" s="390">
        <f>SUM(D32:D33)</f>
        <v>2223284.478162</v>
      </c>
      <c r="E34" s="404"/>
      <c r="F34" s="405">
        <f t="shared" ref="F34" si="22">SUM(F32:F33)</f>
        <v>288</v>
      </c>
      <c r="H34" s="390">
        <f>SUM(H32:H33)</f>
        <v>2184956</v>
      </c>
      <c r="I34" s="405">
        <f t="shared" ref="I34" si="23">SUM(I32:I33)</f>
        <v>292</v>
      </c>
      <c r="K34" s="390">
        <f>SUM(K32:K33)</f>
        <v>2184530</v>
      </c>
      <c r="L34" s="405">
        <f t="shared" ref="L34" si="24">SUM(L32:L33)</f>
        <v>292</v>
      </c>
      <c r="N34" s="390"/>
      <c r="O34" s="405"/>
    </row>
    <row r="35" spans="1:15">
      <c r="A35" s="386">
        <f t="shared" si="0"/>
        <v>29</v>
      </c>
      <c r="B35" s="386"/>
      <c r="D35" s="388"/>
      <c r="E35" s="402"/>
      <c r="F35" s="403"/>
      <c r="H35" s="388"/>
      <c r="I35" s="403"/>
      <c r="K35" s="388"/>
      <c r="L35" s="403"/>
      <c r="N35" s="388"/>
      <c r="O35" s="403"/>
    </row>
    <row r="36" spans="1:15" ht="10.8" thickBot="1">
      <c r="A36" s="386">
        <f t="shared" si="0"/>
        <v>30</v>
      </c>
      <c r="B36" s="386"/>
      <c r="C36" s="391" t="s">
        <v>66</v>
      </c>
      <c r="D36" s="393">
        <f>SUM(D9,D18,D24,D28,D30,D34)</f>
        <v>22980976.256595761</v>
      </c>
      <c r="E36" s="406"/>
      <c r="F36" s="407">
        <f>SUM(F9,F18,F24,F28,F30,F34)</f>
        <v>26929</v>
      </c>
      <c r="H36" s="393">
        <f>SUM(H9,H18,H24,H28,H30,H34)</f>
        <v>22715537.8675</v>
      </c>
      <c r="I36" s="407">
        <f>SUM(I9,I18,I24,I28,I30,I34)</f>
        <v>26594</v>
      </c>
      <c r="K36" s="393">
        <f>SUM(K9,K18,K24,K28,K30,K34)</f>
        <v>22906810.8475</v>
      </c>
      <c r="L36" s="407">
        <f>SUM(L9,L18,L24,L28,L30,L34)</f>
        <v>26840</v>
      </c>
      <c r="N36" s="393"/>
      <c r="O36" s="407"/>
    </row>
    <row r="37" spans="1:15" ht="10.8" thickTop="1">
      <c r="A37" s="386">
        <f t="shared" si="0"/>
        <v>31</v>
      </c>
      <c r="B37" s="386"/>
      <c r="F37" s="403"/>
      <c r="I37" s="403"/>
      <c r="L37" s="403"/>
      <c r="O37" s="403"/>
    </row>
    <row r="38" spans="1:15">
      <c r="A38" s="386">
        <f t="shared" si="0"/>
        <v>32</v>
      </c>
      <c r="B38" s="386">
        <v>5</v>
      </c>
      <c r="C38" s="387" t="s">
        <v>67</v>
      </c>
      <c r="D38" s="388">
        <f>+'Revenue By Sch TY'!D22</f>
        <v>7372.3372879022108</v>
      </c>
      <c r="E38" s="404">
        <v>0</v>
      </c>
      <c r="F38" s="405">
        <f>ROUND(D38*E38,0)</f>
        <v>0</v>
      </c>
      <c r="H38" s="390">
        <f>+'Sch 95 PCORC'!J38</f>
        <v>7521</v>
      </c>
      <c r="I38" s="405">
        <f>ROUND($E38*H38,0)</f>
        <v>0</v>
      </c>
      <c r="K38" s="390">
        <f>+'Sch 95 PCORC'!N38</f>
        <v>7552</v>
      </c>
      <c r="L38" s="405">
        <f>ROUND($E38*K38,0)</f>
        <v>0</v>
      </c>
      <c r="N38" s="390"/>
      <c r="O38" s="405"/>
    </row>
    <row r="39" spans="1:15">
      <c r="A39" s="386">
        <f t="shared" si="0"/>
        <v>33</v>
      </c>
      <c r="B39" s="386"/>
      <c r="F39" s="403"/>
      <c r="I39" s="403"/>
      <c r="L39" s="403"/>
      <c r="O39" s="403"/>
    </row>
    <row r="40" spans="1:15" ht="10.8" thickBot="1">
      <c r="A40" s="386">
        <f t="shared" si="0"/>
        <v>34</v>
      </c>
      <c r="B40" s="386"/>
      <c r="C40" s="391" t="s">
        <v>68</v>
      </c>
      <c r="D40" s="393">
        <f>SUM(D36,D38)</f>
        <v>22988348.593883663</v>
      </c>
      <c r="F40" s="407">
        <f t="shared" ref="F40" si="25">SUM(F36,F38)</f>
        <v>26929</v>
      </c>
      <c r="H40" s="393">
        <f>SUM(H36,H38)</f>
        <v>22723058.8675</v>
      </c>
      <c r="I40" s="407">
        <f t="shared" ref="I40" si="26">SUM(I36,I38)</f>
        <v>26594</v>
      </c>
      <c r="K40" s="393">
        <f>SUM(K36,K38)</f>
        <v>22914362.8475</v>
      </c>
      <c r="L40" s="407">
        <f t="shared" ref="L40" si="27">SUM(L36,L38)</f>
        <v>26840</v>
      </c>
      <c r="N40" s="393"/>
      <c r="O40" s="407"/>
    </row>
    <row r="41" spans="1:15" ht="10.8" thickTop="1"/>
  </sheetData>
  <mergeCells count="7">
    <mergeCell ref="K5:L5"/>
    <mergeCell ref="N5:O5"/>
    <mergeCell ref="A1:F1"/>
    <mergeCell ref="A2:F2"/>
    <mergeCell ref="A3:F3"/>
    <mergeCell ref="A4:F4"/>
    <mergeCell ref="H5:I5"/>
  </mergeCells>
  <printOptions horizontalCentered="1"/>
  <pageMargins left="0.7" right="0.7" top="0.75" bottom="0.86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O41"/>
  <sheetViews>
    <sheetView zoomScaleNormal="10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activeCell="H29" sqref="H29"/>
    </sheetView>
  </sheetViews>
  <sheetFormatPr defaultColWidth="9.109375" defaultRowHeight="10.199999999999999"/>
  <cols>
    <col min="1" max="1" width="7.6640625" style="392" bestFit="1" customWidth="1"/>
    <col min="2" max="2" width="14.5546875" style="392" bestFit="1" customWidth="1"/>
    <col min="3" max="3" width="21" style="392" bestFit="1" customWidth="1"/>
    <col min="4" max="4" width="13.33203125" style="392" bestFit="1" customWidth="1"/>
    <col min="5" max="6" width="12.6640625" style="392" bestFit="1" customWidth="1"/>
    <col min="7" max="7" width="2" style="387" customWidth="1"/>
    <col min="8" max="8" width="9.88671875" style="387" bestFit="1" customWidth="1"/>
    <col min="9" max="9" width="8.44140625" style="387" bestFit="1" customWidth="1"/>
    <col min="10" max="10" width="2" style="387" customWidth="1"/>
    <col min="11" max="11" width="9.88671875" style="387" bestFit="1" customWidth="1"/>
    <col min="12" max="12" width="8.44140625" style="387" bestFit="1" customWidth="1"/>
    <col min="13" max="13" width="2" style="387" customWidth="1"/>
    <col min="14" max="15" width="8.44140625" style="387" bestFit="1" customWidth="1"/>
    <col min="16" max="16384" width="9.109375" style="392"/>
  </cols>
  <sheetData>
    <row r="1" spans="1:15" s="410" customFormat="1">
      <c r="A1" s="772" t="s">
        <v>0</v>
      </c>
      <c r="B1" s="772"/>
      <c r="C1" s="772"/>
      <c r="D1" s="772"/>
      <c r="E1" s="772"/>
      <c r="F1" s="772"/>
      <c r="G1" s="409"/>
      <c r="H1" s="409"/>
      <c r="I1" s="409"/>
      <c r="J1" s="409"/>
      <c r="K1" s="409"/>
      <c r="L1" s="409"/>
      <c r="M1" s="409"/>
      <c r="N1" s="409"/>
      <c r="O1" s="409"/>
    </row>
    <row r="2" spans="1:15" s="410" customFormat="1">
      <c r="A2" s="773" t="s">
        <v>162</v>
      </c>
      <c r="B2" s="772"/>
      <c r="C2" s="772"/>
      <c r="D2" s="772"/>
      <c r="E2" s="772"/>
      <c r="F2" s="772"/>
      <c r="G2" s="409"/>
      <c r="H2" s="409"/>
      <c r="I2" s="409"/>
      <c r="J2" s="409"/>
      <c r="K2" s="409"/>
      <c r="L2" s="409"/>
      <c r="M2" s="409"/>
      <c r="N2" s="409"/>
      <c r="O2" s="409"/>
    </row>
    <row r="3" spans="1:15" s="410" customFormat="1">
      <c r="A3" s="772" t="str">
        <f>+'Revenue By Sch TY'!A3</f>
        <v>Test Year ended June 2021</v>
      </c>
      <c r="B3" s="772"/>
      <c r="C3" s="772"/>
      <c r="D3" s="772"/>
      <c r="E3" s="772"/>
      <c r="F3" s="772"/>
      <c r="G3" s="409"/>
      <c r="H3" s="409"/>
      <c r="I3" s="409"/>
      <c r="J3" s="409"/>
      <c r="K3" s="409"/>
      <c r="L3" s="409"/>
      <c r="M3" s="409"/>
      <c r="N3" s="409"/>
      <c r="O3" s="409"/>
    </row>
    <row r="4" spans="1:15" s="410" customFormat="1">
      <c r="A4" s="772"/>
      <c r="B4" s="772"/>
      <c r="C4" s="772"/>
      <c r="D4" s="772"/>
      <c r="E4" s="772"/>
      <c r="F4" s="772"/>
      <c r="G4" s="409"/>
      <c r="H4" s="409"/>
      <c r="I4" s="409"/>
      <c r="J4" s="409"/>
      <c r="K4" s="409"/>
      <c r="L4" s="409"/>
      <c r="M4" s="409"/>
      <c r="N4" s="409"/>
      <c r="O4" s="409"/>
    </row>
    <row r="5" spans="1:15" s="410" customFormat="1">
      <c r="A5" s="411"/>
      <c r="B5" s="398"/>
      <c r="C5" s="398"/>
      <c r="D5" s="398"/>
      <c r="E5" s="409"/>
      <c r="F5" s="409" t="s">
        <v>100</v>
      </c>
      <c r="G5" s="409"/>
      <c r="H5" s="803" t="s">
        <v>512</v>
      </c>
      <c r="I5" s="803"/>
      <c r="J5" s="409"/>
      <c r="K5" s="802" t="s">
        <v>515</v>
      </c>
      <c r="L5" s="803"/>
      <c r="M5" s="409"/>
      <c r="N5" s="802" t="s">
        <v>514</v>
      </c>
      <c r="O5" s="803"/>
    </row>
    <row r="6" spans="1:15" s="410" customFormat="1" ht="40.799999999999997">
      <c r="A6" s="399" t="s">
        <v>2</v>
      </c>
      <c r="B6" s="399" t="s">
        <v>3</v>
      </c>
      <c r="C6" s="399" t="s">
        <v>31</v>
      </c>
      <c r="D6" s="400" t="str">
        <f>+'Revenue By Sch TY'!D7</f>
        <v>Annual mWh
Delivered Sales 
YE 06-2021</v>
      </c>
      <c r="E6" s="400" t="s">
        <v>438</v>
      </c>
      <c r="F6" s="400" t="s">
        <v>439</v>
      </c>
      <c r="G6" s="409"/>
      <c r="H6" s="400" t="s">
        <v>522</v>
      </c>
      <c r="I6" s="400" t="s">
        <v>513</v>
      </c>
      <c r="J6" s="400"/>
      <c r="K6" s="400" t="str">
        <f>+H6</f>
        <v>Annual Delivered MWh</v>
      </c>
      <c r="L6" s="400" t="str">
        <f>+I6</f>
        <v>Annual Delivered $</v>
      </c>
      <c r="M6" s="400"/>
      <c r="N6" s="400" t="str">
        <f>+K6</f>
        <v>Annual Delivered MWh</v>
      </c>
      <c r="O6" s="400" t="str">
        <f>+L6</f>
        <v>Annual Delivered $</v>
      </c>
    </row>
    <row r="7" spans="1:15">
      <c r="A7" s="386">
        <v>1</v>
      </c>
      <c r="B7" s="386">
        <v>7</v>
      </c>
      <c r="C7" s="387"/>
      <c r="D7" s="388">
        <f>+'Revenue By Sch TY'!D9</f>
        <v>11355354.571603522</v>
      </c>
      <c r="E7" s="402">
        <f>+'UE-210924 Sch 137'!G9</f>
        <v>-2.0999999999999999E-5</v>
      </c>
      <c r="F7" s="403">
        <f>ROUND(D7*E7,0)</f>
        <v>-238</v>
      </c>
      <c r="H7" s="388">
        <f>+'Sch 95 PCORC'!J7</f>
        <v>10963050.375499999</v>
      </c>
      <c r="I7" s="403">
        <f>ROUND($E7*H7,0)</f>
        <v>-230</v>
      </c>
      <c r="K7" s="388">
        <f>+'Sch 95 PCORC'!N7</f>
        <v>11064440.8695</v>
      </c>
      <c r="L7" s="403">
        <f>ROUND($E7*K7,0)</f>
        <v>-232</v>
      </c>
      <c r="N7" s="388"/>
      <c r="O7" s="403"/>
    </row>
    <row r="8" spans="1:15">
      <c r="A8" s="386">
        <f t="shared" ref="A8:A40" si="0">+A7+1</f>
        <v>2</v>
      </c>
      <c r="B8" s="389" t="s">
        <v>10</v>
      </c>
      <c r="C8" s="387"/>
      <c r="D8" s="388">
        <v>0</v>
      </c>
      <c r="E8" s="402">
        <f>+'UE-210924 Sch 137'!G12</f>
        <v>-2.1999999999999999E-5</v>
      </c>
      <c r="F8" s="403">
        <f>ROUND(D8*E8,0)</f>
        <v>0</v>
      </c>
      <c r="H8" s="388">
        <f>+'Sch 95 PCORC'!J8</f>
        <v>0</v>
      </c>
      <c r="I8" s="403">
        <f>ROUND($E8*H8,0)</f>
        <v>0</v>
      </c>
      <c r="K8" s="388">
        <f>+'Sch 95 PCORC'!N8</f>
        <v>0</v>
      </c>
      <c r="L8" s="403">
        <f>ROUND($E8*K8,0)</f>
        <v>0</v>
      </c>
      <c r="N8" s="388"/>
      <c r="O8" s="403"/>
    </row>
    <row r="9" spans="1:15">
      <c r="A9" s="386">
        <f t="shared" si="0"/>
        <v>3</v>
      </c>
      <c r="B9" s="386"/>
      <c r="C9" s="387" t="s">
        <v>11</v>
      </c>
      <c r="D9" s="390">
        <f>SUM(D7:D8)</f>
        <v>11355354.571603522</v>
      </c>
      <c r="E9" s="404"/>
      <c r="F9" s="405">
        <f t="shared" ref="F9" si="1">SUM(F7:F8)</f>
        <v>-238</v>
      </c>
      <c r="H9" s="390">
        <f>SUM(H7:H8)</f>
        <v>10963050.375499999</v>
      </c>
      <c r="I9" s="405">
        <f t="shared" ref="I9" si="2">SUM(I7:I8)</f>
        <v>-230</v>
      </c>
      <c r="K9" s="390">
        <f>SUM(K7:K8)</f>
        <v>11064440.8695</v>
      </c>
      <c r="L9" s="405">
        <f t="shared" ref="L9" si="3">SUM(L7:L8)</f>
        <v>-232</v>
      </c>
      <c r="N9" s="390"/>
      <c r="O9" s="405"/>
    </row>
    <row r="10" spans="1:15">
      <c r="A10" s="386">
        <f t="shared" si="0"/>
        <v>4</v>
      </c>
      <c r="B10" s="386"/>
      <c r="C10" s="387"/>
      <c r="D10" s="388"/>
      <c r="E10" s="402"/>
      <c r="F10" s="403"/>
      <c r="H10" s="388"/>
      <c r="I10" s="403"/>
      <c r="K10" s="388"/>
      <c r="L10" s="403"/>
      <c r="N10" s="388"/>
      <c r="O10" s="403"/>
    </row>
    <row r="11" spans="1:15">
      <c r="A11" s="386">
        <f t="shared" si="0"/>
        <v>5</v>
      </c>
      <c r="B11" s="386">
        <v>8</v>
      </c>
      <c r="C11" s="387"/>
      <c r="D11" s="388">
        <v>0</v>
      </c>
      <c r="E11" s="402">
        <f>+'UE-210924 Sch 137'!G11</f>
        <v>-2.0999999999999999E-5</v>
      </c>
      <c r="F11" s="403">
        <f t="shared" ref="F11:F17" si="4">ROUND(D11*E11,0)</f>
        <v>0</v>
      </c>
      <c r="H11" s="388">
        <f>+'Sch 95 PCORC'!J11</f>
        <v>0</v>
      </c>
      <c r="I11" s="403">
        <f t="shared" ref="I11:I17" si="5">ROUND($E11*H11,0)</f>
        <v>0</v>
      </c>
      <c r="K11" s="388">
        <f>+'Sch 95 PCORC'!N11</f>
        <v>0</v>
      </c>
      <c r="L11" s="403">
        <f t="shared" ref="L11:L17" si="6">ROUND($E11*K11,0)</f>
        <v>0</v>
      </c>
      <c r="N11" s="388"/>
      <c r="O11" s="403"/>
    </row>
    <row r="12" spans="1:15">
      <c r="A12" s="386">
        <f t="shared" si="0"/>
        <v>6</v>
      </c>
      <c r="B12" s="386">
        <v>24</v>
      </c>
      <c r="C12" s="387"/>
      <c r="D12" s="388">
        <f>+'Revenue By Sch TY'!D10</f>
        <v>2658833.1030243803</v>
      </c>
      <c r="E12" s="402">
        <f>+E11</f>
        <v>-2.0999999999999999E-5</v>
      </c>
      <c r="F12" s="403">
        <f t="shared" si="4"/>
        <v>-56</v>
      </c>
      <c r="H12" s="388">
        <f>+'Sch 95 PCORC'!J12</f>
        <v>2697633</v>
      </c>
      <c r="I12" s="403">
        <f t="shared" si="5"/>
        <v>-57</v>
      </c>
      <c r="K12" s="388">
        <f>+'Sch 95 PCORC'!N12</f>
        <v>2730372</v>
      </c>
      <c r="L12" s="403">
        <f t="shared" si="6"/>
        <v>-57</v>
      </c>
      <c r="N12" s="388"/>
      <c r="O12" s="403"/>
    </row>
    <row r="13" spans="1:15">
      <c r="A13" s="386">
        <f t="shared" si="0"/>
        <v>7</v>
      </c>
      <c r="B13" s="389">
        <v>11</v>
      </c>
      <c r="C13" s="387"/>
      <c r="D13" s="388">
        <v>0</v>
      </c>
      <c r="E13" s="402">
        <f>+E8</f>
        <v>-2.1999999999999999E-5</v>
      </c>
      <c r="F13" s="403">
        <f t="shared" si="4"/>
        <v>0</v>
      </c>
      <c r="H13" s="388">
        <f>+'Sch 95 PCORC'!J13</f>
        <v>0</v>
      </c>
      <c r="I13" s="403">
        <f t="shared" si="5"/>
        <v>0</v>
      </c>
      <c r="K13" s="388">
        <f>+'Sch 95 PCORC'!N13</f>
        <v>0</v>
      </c>
      <c r="L13" s="403">
        <f t="shared" si="6"/>
        <v>0</v>
      </c>
      <c r="N13" s="388"/>
      <c r="O13" s="403"/>
    </row>
    <row r="14" spans="1:15">
      <c r="A14" s="386">
        <f t="shared" si="0"/>
        <v>8</v>
      </c>
      <c r="B14" s="389">
        <v>25</v>
      </c>
      <c r="C14" s="387"/>
      <c r="D14" s="388">
        <f>+'Revenue By Sch TY'!D11</f>
        <v>2856045.8325844579</v>
      </c>
      <c r="E14" s="402">
        <f>+E13</f>
        <v>-2.1999999999999999E-5</v>
      </c>
      <c r="F14" s="403">
        <f t="shared" si="4"/>
        <v>-63</v>
      </c>
      <c r="H14" s="388">
        <f>+'Sch 95 PCORC'!J14</f>
        <v>2911699.0000000005</v>
      </c>
      <c r="I14" s="403">
        <f t="shared" si="5"/>
        <v>-64</v>
      </c>
      <c r="K14" s="388">
        <f>+'Sch 95 PCORC'!N14</f>
        <v>2948172</v>
      </c>
      <c r="L14" s="403">
        <f t="shared" si="6"/>
        <v>-65</v>
      </c>
      <c r="N14" s="388"/>
      <c r="O14" s="403"/>
    </row>
    <row r="15" spans="1:15">
      <c r="A15" s="386">
        <f t="shared" si="0"/>
        <v>9</v>
      </c>
      <c r="B15" s="386">
        <v>12</v>
      </c>
      <c r="C15" s="387"/>
      <c r="D15" s="388">
        <v>0</v>
      </c>
      <c r="E15" s="402">
        <f>+'UE-210924 Sch 137'!G13</f>
        <v>-2.0999999999999999E-5</v>
      </c>
      <c r="F15" s="403">
        <f t="shared" si="4"/>
        <v>0</v>
      </c>
      <c r="H15" s="388">
        <f>+'Sch 95 PCORC'!J15</f>
        <v>0</v>
      </c>
      <c r="I15" s="403">
        <f t="shared" si="5"/>
        <v>0</v>
      </c>
      <c r="K15" s="388">
        <f>+'Sch 95 PCORC'!N15</f>
        <v>0</v>
      </c>
      <c r="L15" s="403">
        <f t="shared" si="6"/>
        <v>0</v>
      </c>
      <c r="N15" s="388"/>
      <c r="O15" s="403"/>
    </row>
    <row r="16" spans="1:15">
      <c r="A16" s="386">
        <f t="shared" si="0"/>
        <v>10</v>
      </c>
      <c r="B16" s="386" t="s">
        <v>12</v>
      </c>
      <c r="C16" s="387"/>
      <c r="D16" s="388">
        <f>+'Revenue By Sch TY'!D12</f>
        <v>1761911.047761543</v>
      </c>
      <c r="E16" s="402">
        <f>+E15</f>
        <v>-2.0999999999999999E-5</v>
      </c>
      <c r="F16" s="403">
        <f t="shared" si="4"/>
        <v>-37</v>
      </c>
      <c r="H16" s="388">
        <f>+'Sch 95 PCORC'!J16</f>
        <v>1831289</v>
      </c>
      <c r="I16" s="403">
        <f t="shared" si="5"/>
        <v>-38</v>
      </c>
      <c r="K16" s="388">
        <f>+'Sch 95 PCORC'!N16</f>
        <v>1853862</v>
      </c>
      <c r="L16" s="403">
        <f t="shared" si="6"/>
        <v>-39</v>
      </c>
      <c r="N16" s="388"/>
      <c r="O16" s="403"/>
    </row>
    <row r="17" spans="1:15">
      <c r="A17" s="386">
        <f t="shared" si="0"/>
        <v>11</v>
      </c>
      <c r="B17" s="386">
        <v>29</v>
      </c>
      <c r="C17" s="387"/>
      <c r="D17" s="388">
        <f>+'Revenue By Sch TY'!D13</f>
        <v>15293.727999999999</v>
      </c>
      <c r="E17" s="402">
        <f>+'UE-210924 Sch 137'!G14</f>
        <v>-1.8E-5</v>
      </c>
      <c r="F17" s="403">
        <f t="shared" si="4"/>
        <v>0</v>
      </c>
      <c r="H17" s="388">
        <f>+'Sch 95 PCORC'!J17</f>
        <v>15100.966499999999</v>
      </c>
      <c r="I17" s="403">
        <f t="shared" si="5"/>
        <v>0</v>
      </c>
      <c r="K17" s="388">
        <f>+'Sch 95 PCORC'!N17</f>
        <v>15233.452499999999</v>
      </c>
      <c r="L17" s="403">
        <f t="shared" si="6"/>
        <v>0</v>
      </c>
      <c r="N17" s="388"/>
      <c r="O17" s="403"/>
    </row>
    <row r="18" spans="1:15">
      <c r="A18" s="386">
        <f t="shared" si="0"/>
        <v>12</v>
      </c>
      <c r="B18" s="386"/>
      <c r="C18" s="391" t="s">
        <v>13</v>
      </c>
      <c r="D18" s="390">
        <f>SUM(D11:D17)</f>
        <v>7292083.7113703806</v>
      </c>
      <c r="E18" s="404"/>
      <c r="F18" s="405">
        <f t="shared" ref="F18" si="7">SUM(F11:F17)</f>
        <v>-156</v>
      </c>
      <c r="H18" s="390">
        <f>SUM(H11:H17)</f>
        <v>7455721.9665000001</v>
      </c>
      <c r="I18" s="405">
        <f t="shared" ref="I18" si="8">SUM(I11:I17)</f>
        <v>-159</v>
      </c>
      <c r="K18" s="390">
        <f>SUM(K11:K17)</f>
        <v>7547639.4524999997</v>
      </c>
      <c r="L18" s="405">
        <f t="shared" ref="L18" si="9">SUM(L11:L17)</f>
        <v>-161</v>
      </c>
      <c r="N18" s="390"/>
      <c r="O18" s="405"/>
    </row>
    <row r="19" spans="1:15">
      <c r="A19" s="386">
        <f t="shared" si="0"/>
        <v>13</v>
      </c>
      <c r="B19" s="386"/>
      <c r="C19" s="387"/>
      <c r="D19" s="388"/>
      <c r="E19" s="402"/>
      <c r="F19" s="403"/>
      <c r="H19" s="388"/>
      <c r="I19" s="403"/>
      <c r="K19" s="388"/>
      <c r="L19" s="403"/>
      <c r="N19" s="388"/>
      <c r="O19" s="403"/>
    </row>
    <row r="20" spans="1:15">
      <c r="A20" s="386">
        <f t="shared" si="0"/>
        <v>14</v>
      </c>
      <c r="B20" s="386">
        <v>10</v>
      </c>
      <c r="C20" s="387"/>
      <c r="D20" s="388">
        <v>0</v>
      </c>
      <c r="E20" s="402">
        <f>+'UE-210924 Sch 137'!G18</f>
        <v>-2.0000000000000002E-5</v>
      </c>
      <c r="F20" s="403">
        <f>ROUND(D20*E20,0)</f>
        <v>0</v>
      </c>
      <c r="H20" s="388">
        <v>0</v>
      </c>
      <c r="I20" s="403">
        <f t="shared" ref="I20:I23" si="10">ROUND($E20*H20,0)</f>
        <v>0</v>
      </c>
      <c r="K20" s="388">
        <v>0</v>
      </c>
      <c r="L20" s="403">
        <f t="shared" ref="L20:L23" si="11">ROUND($E20*K20,0)</f>
        <v>0</v>
      </c>
      <c r="N20" s="388"/>
      <c r="O20" s="403"/>
    </row>
    <row r="21" spans="1:15">
      <c r="A21" s="386">
        <f t="shared" si="0"/>
        <v>15</v>
      </c>
      <c r="B21" s="386">
        <v>31</v>
      </c>
      <c r="C21" s="387"/>
      <c r="D21" s="388">
        <f>+'Revenue By Sch TY'!D14</f>
        <v>1307770.0591754341</v>
      </c>
      <c r="E21" s="402">
        <f>+E20</f>
        <v>-2.0000000000000002E-5</v>
      </c>
      <c r="F21" s="403">
        <f>ROUND(D21*E21,0)</f>
        <v>-26</v>
      </c>
      <c r="H21" s="388">
        <f>+'Sch 95 PCORC'!J21</f>
        <v>1332008</v>
      </c>
      <c r="I21" s="403">
        <f t="shared" si="10"/>
        <v>-27</v>
      </c>
      <c r="K21" s="388">
        <f>+'Sch 95 PCORC'!N21</f>
        <v>1335448</v>
      </c>
      <c r="L21" s="403">
        <f t="shared" si="11"/>
        <v>-27</v>
      </c>
      <c r="N21" s="388"/>
      <c r="O21" s="403"/>
    </row>
    <row r="22" spans="1:15">
      <c r="A22" s="386">
        <f t="shared" si="0"/>
        <v>16</v>
      </c>
      <c r="B22" s="386">
        <v>35</v>
      </c>
      <c r="C22" s="387"/>
      <c r="D22" s="388">
        <f>+'Revenue By Sch TY'!D15</f>
        <v>4387.6440000000002</v>
      </c>
      <c r="E22" s="402">
        <f>+'UE-210924 Sch 137'!G19</f>
        <v>-1.5E-5</v>
      </c>
      <c r="F22" s="403">
        <f>ROUND(D22*E22,0)</f>
        <v>0</v>
      </c>
      <c r="H22" s="388">
        <f>+'Sch 95 PCORC'!J22</f>
        <v>4663</v>
      </c>
      <c r="I22" s="403">
        <f t="shared" si="10"/>
        <v>0</v>
      </c>
      <c r="K22" s="388">
        <f>+'Sch 95 PCORC'!N22</f>
        <v>4695</v>
      </c>
      <c r="L22" s="403">
        <f t="shared" si="11"/>
        <v>0</v>
      </c>
      <c r="N22" s="388"/>
      <c r="O22" s="403"/>
    </row>
    <row r="23" spans="1:15">
      <c r="A23" s="386">
        <f t="shared" si="0"/>
        <v>17</v>
      </c>
      <c r="B23" s="386">
        <v>43</v>
      </c>
      <c r="C23" s="387"/>
      <c r="D23" s="388">
        <f>+'Revenue By Sch TY'!D16</f>
        <v>114099.11728442684</v>
      </c>
      <c r="E23" s="402">
        <f>+'UE-210924 Sch 137'!G20</f>
        <v>-1.5999999999999999E-5</v>
      </c>
      <c r="F23" s="403">
        <f>ROUND(D23*E23,0)</f>
        <v>-2</v>
      </c>
      <c r="H23" s="388">
        <f>+'Sch 95 PCORC'!J23</f>
        <v>118190</v>
      </c>
      <c r="I23" s="403">
        <f t="shared" si="10"/>
        <v>-2</v>
      </c>
      <c r="K23" s="388">
        <f>+'Sch 95 PCORC'!N23</f>
        <v>119782</v>
      </c>
      <c r="L23" s="403">
        <f t="shared" si="11"/>
        <v>-2</v>
      </c>
      <c r="N23" s="388"/>
      <c r="O23" s="403"/>
    </row>
    <row r="24" spans="1:15">
      <c r="A24" s="386">
        <f t="shared" si="0"/>
        <v>18</v>
      </c>
      <c r="B24" s="386"/>
      <c r="C24" s="387" t="s">
        <v>14</v>
      </c>
      <c r="D24" s="390">
        <f>SUM(D20:D23)</f>
        <v>1426256.8204598611</v>
      </c>
      <c r="E24" s="404"/>
      <c r="F24" s="405">
        <f t="shared" ref="F24" si="12">SUM(F20:F23)</f>
        <v>-28</v>
      </c>
      <c r="H24" s="390">
        <f>SUM(H20:H23)</f>
        <v>1454861</v>
      </c>
      <c r="I24" s="405">
        <f t="shared" ref="I24" si="13">SUM(I20:I23)</f>
        <v>-29</v>
      </c>
      <c r="K24" s="390">
        <f>SUM(K20:K23)</f>
        <v>1459925</v>
      </c>
      <c r="L24" s="405">
        <f t="shared" ref="L24" si="14">SUM(L20:L23)</f>
        <v>-29</v>
      </c>
      <c r="N24" s="390"/>
      <c r="O24" s="405"/>
    </row>
    <row r="25" spans="1:15">
      <c r="A25" s="386">
        <f t="shared" si="0"/>
        <v>19</v>
      </c>
      <c r="B25" s="386"/>
      <c r="C25" s="387"/>
      <c r="D25" s="388"/>
      <c r="E25" s="402"/>
      <c r="F25" s="403"/>
      <c r="H25" s="388"/>
      <c r="I25" s="403"/>
      <c r="K25" s="388"/>
      <c r="L25" s="403"/>
      <c r="N25" s="388"/>
      <c r="O25" s="403"/>
    </row>
    <row r="26" spans="1:15">
      <c r="A26" s="386">
        <f t="shared" si="0"/>
        <v>20</v>
      </c>
      <c r="B26" s="386">
        <v>46</v>
      </c>
      <c r="C26" s="387"/>
      <c r="D26" s="388">
        <f>+'Revenue By Sch TY'!D17</f>
        <v>100810.05100000001</v>
      </c>
      <c r="E26" s="402">
        <f>+'UE-210924 Sch 137'!G24</f>
        <v>-1.5E-5</v>
      </c>
      <c r="F26" s="403">
        <f>ROUND(D26*E26,0)</f>
        <v>-2</v>
      </c>
      <c r="H26" s="388">
        <f>+'Sch 95 PCORC'!J26</f>
        <v>89530.525500000018</v>
      </c>
      <c r="I26" s="403">
        <f t="shared" ref="I26:I27" si="15">ROUND($E26*H26,0)</f>
        <v>-1</v>
      </c>
      <c r="K26" s="388">
        <f>+'Sch 95 PCORC'!N26</f>
        <v>89210.525500000018</v>
      </c>
      <c r="L26" s="403">
        <f t="shared" ref="L26:L27" si="16">ROUND($E26*K26,0)</f>
        <v>-1</v>
      </c>
      <c r="N26" s="388"/>
      <c r="O26" s="403"/>
    </row>
    <row r="27" spans="1:15">
      <c r="A27" s="386">
        <f t="shared" si="0"/>
        <v>21</v>
      </c>
      <c r="B27" s="386">
        <v>49</v>
      </c>
      <c r="C27" s="387"/>
      <c r="D27" s="388">
        <f>+'Revenue By Sch TY'!D18</f>
        <v>513293.73700000002</v>
      </c>
      <c r="E27" s="402">
        <f>+'UE-210924 Sch 137'!G25</f>
        <v>-2.0000000000000002E-5</v>
      </c>
      <c r="F27" s="403">
        <f>ROUND(D27*E27,0)</f>
        <v>-10</v>
      </c>
      <c r="H27" s="388">
        <f>+'Sch 95 PCORC'!J27</f>
        <v>504715</v>
      </c>
      <c r="I27" s="403">
        <f t="shared" si="15"/>
        <v>-10</v>
      </c>
      <c r="K27" s="388">
        <f>+'Sch 95 PCORC'!N27</f>
        <v>499683</v>
      </c>
      <c r="L27" s="403">
        <f t="shared" si="16"/>
        <v>-10</v>
      </c>
      <c r="N27" s="388"/>
      <c r="O27" s="403"/>
    </row>
    <row r="28" spans="1:15">
      <c r="A28" s="386">
        <f t="shared" si="0"/>
        <v>22</v>
      </c>
      <c r="B28" s="386"/>
      <c r="C28" s="387" t="s">
        <v>15</v>
      </c>
      <c r="D28" s="390">
        <f>SUM(D26:D27)</f>
        <v>614103.78800000006</v>
      </c>
      <c r="E28" s="404"/>
      <c r="F28" s="405">
        <f t="shared" ref="F28" si="17">SUM(F26:F27)</f>
        <v>-12</v>
      </c>
      <c r="H28" s="390">
        <f>SUM(H26:H27)</f>
        <v>594245.52549999999</v>
      </c>
      <c r="I28" s="405">
        <f t="shared" ref="I28" si="18">SUM(I26:I27)</f>
        <v>-11</v>
      </c>
      <c r="K28" s="390">
        <f>SUM(K26:K27)</f>
        <v>588893.52549999999</v>
      </c>
      <c r="L28" s="405">
        <f t="shared" ref="L28" si="19">SUM(L26:L27)</f>
        <v>-11</v>
      </c>
      <c r="N28" s="390"/>
      <c r="O28" s="405"/>
    </row>
    <row r="29" spans="1:15">
      <c r="A29" s="386">
        <f t="shared" si="0"/>
        <v>23</v>
      </c>
      <c r="B29" s="386"/>
      <c r="C29" s="387"/>
      <c r="D29" s="388"/>
      <c r="E29" s="402"/>
      <c r="F29" s="403"/>
      <c r="H29" s="388"/>
      <c r="I29" s="403"/>
      <c r="K29" s="388"/>
      <c r="L29" s="403"/>
      <c r="N29" s="388"/>
      <c r="O29" s="403"/>
    </row>
    <row r="30" spans="1:15">
      <c r="A30" s="386">
        <f t="shared" si="0"/>
        <v>24</v>
      </c>
      <c r="B30" s="386" t="s">
        <v>16</v>
      </c>
      <c r="C30" s="387"/>
      <c r="D30" s="390">
        <f>+'Revenue By Sch TY'!D19</f>
        <v>69892.887000000002</v>
      </c>
      <c r="E30" s="404">
        <f>+'UE-210924 Sch 137'!G29</f>
        <v>-2.0000000000000002E-5</v>
      </c>
      <c r="F30" s="405">
        <f>ROUND(D30*E30,0)</f>
        <v>-1</v>
      </c>
      <c r="H30" s="390">
        <f>+'Sch 95 PCORC'!J30</f>
        <v>62703</v>
      </c>
      <c r="I30" s="405">
        <f>ROUND($E30*H30,0)</f>
        <v>-1</v>
      </c>
      <c r="K30" s="390">
        <f>+'Sch 95 PCORC'!N30</f>
        <v>61382</v>
      </c>
      <c r="L30" s="405">
        <f>ROUND($E30*K30,0)</f>
        <v>-1</v>
      </c>
      <c r="N30" s="390"/>
      <c r="O30" s="405"/>
    </row>
    <row r="31" spans="1:15">
      <c r="A31" s="386">
        <f t="shared" si="0"/>
        <v>25</v>
      </c>
      <c r="B31" s="386"/>
      <c r="C31" s="387"/>
      <c r="D31" s="388"/>
      <c r="E31" s="402"/>
      <c r="F31" s="403"/>
      <c r="H31" s="403"/>
      <c r="I31" s="403"/>
      <c r="K31" s="388"/>
      <c r="L31" s="403"/>
      <c r="N31" s="388"/>
      <c r="O31" s="403"/>
    </row>
    <row r="32" spans="1:15">
      <c r="A32" s="386">
        <f t="shared" si="0"/>
        <v>26</v>
      </c>
      <c r="B32" s="389" t="s">
        <v>17</v>
      </c>
      <c r="C32" s="387"/>
      <c r="D32" s="388">
        <f>+'Revenue By Sch TY'!D20</f>
        <v>1945214.1669999999</v>
      </c>
      <c r="E32" s="402">
        <v>0</v>
      </c>
      <c r="F32" s="403">
        <f>ROUND(D32*E32,0)</f>
        <v>0</v>
      </c>
      <c r="H32" s="388">
        <f>+'Sch 95 PCORC'!J32</f>
        <v>1895530</v>
      </c>
      <c r="I32" s="403">
        <f t="shared" ref="I32:I33" si="20">ROUND($E32*H32,0)</f>
        <v>0</v>
      </c>
      <c r="K32" s="388">
        <f>+'Sch 95 PCORC'!N32</f>
        <v>1895104</v>
      </c>
      <c r="L32" s="403">
        <f t="shared" ref="L32:L33" si="21">ROUND($E32*K32,0)</f>
        <v>0</v>
      </c>
      <c r="N32" s="388"/>
      <c r="O32" s="403"/>
    </row>
    <row r="33" spans="1:15">
      <c r="A33" s="386">
        <f t="shared" si="0"/>
        <v>27</v>
      </c>
      <c r="B33" s="389" t="s">
        <v>262</v>
      </c>
      <c r="C33" s="387"/>
      <c r="D33" s="388">
        <f>+'Revenue By Sch TY'!D21</f>
        <v>278070.311162</v>
      </c>
      <c r="E33" s="402">
        <v>0</v>
      </c>
      <c r="F33" s="403">
        <f>ROUND(D33*E33,0)</f>
        <v>0</v>
      </c>
      <c r="H33" s="388">
        <f>+'Sch 95 PCORC'!J33</f>
        <v>289426</v>
      </c>
      <c r="I33" s="403">
        <f t="shared" si="20"/>
        <v>0</v>
      </c>
      <c r="K33" s="388">
        <f>+'Sch 95 PCORC'!N33</f>
        <v>289426</v>
      </c>
      <c r="L33" s="403">
        <f t="shared" si="21"/>
        <v>0</v>
      </c>
      <c r="N33" s="388"/>
      <c r="O33" s="403"/>
    </row>
    <row r="34" spans="1:15">
      <c r="A34" s="386">
        <f t="shared" si="0"/>
        <v>28</v>
      </c>
      <c r="B34" s="389"/>
      <c r="C34" s="387" t="s">
        <v>263</v>
      </c>
      <c r="D34" s="390">
        <f>SUM(D32:D33)</f>
        <v>2223284.478162</v>
      </c>
      <c r="E34" s="404"/>
      <c r="F34" s="405">
        <f t="shared" ref="F34" si="22">SUM(F32:F33)</f>
        <v>0</v>
      </c>
      <c r="H34" s="390">
        <f>SUM(H32:H33)</f>
        <v>2184956</v>
      </c>
      <c r="I34" s="405">
        <f t="shared" ref="I34" si="23">SUM(I32:I33)</f>
        <v>0</v>
      </c>
      <c r="K34" s="390">
        <f>SUM(K32:K33)</f>
        <v>2184530</v>
      </c>
      <c r="L34" s="405">
        <f t="shared" ref="L34" si="24">SUM(L32:L33)</f>
        <v>0</v>
      </c>
      <c r="N34" s="390"/>
      <c r="O34" s="405"/>
    </row>
    <row r="35" spans="1:15">
      <c r="A35" s="386">
        <f t="shared" si="0"/>
        <v>29</v>
      </c>
      <c r="B35" s="386"/>
      <c r="C35" s="387"/>
      <c r="D35" s="388"/>
      <c r="E35" s="402"/>
      <c r="F35" s="403"/>
      <c r="H35" s="388"/>
      <c r="I35" s="403"/>
      <c r="K35" s="388"/>
      <c r="L35" s="403"/>
      <c r="N35" s="388"/>
      <c r="O35" s="403"/>
    </row>
    <row r="36" spans="1:15" ht="10.8" thickBot="1">
      <c r="A36" s="386">
        <f t="shared" si="0"/>
        <v>30</v>
      </c>
      <c r="B36" s="386"/>
      <c r="C36" s="391" t="s">
        <v>66</v>
      </c>
      <c r="D36" s="393">
        <f>SUM(D9,D18,D24,D28,D30,D34)</f>
        <v>22980976.256595761</v>
      </c>
      <c r="E36" s="406"/>
      <c r="F36" s="407">
        <f>SUM(F9,F18,F24,F28,F30,F34)</f>
        <v>-435</v>
      </c>
      <c r="H36" s="393">
        <f>SUM(H9,H18,H24,H28,H30,H34)</f>
        <v>22715537.8675</v>
      </c>
      <c r="I36" s="407">
        <f>SUM(I9,I18,I24,I28,I30,I34)</f>
        <v>-430</v>
      </c>
      <c r="K36" s="393">
        <f>SUM(K9,K18,K24,K28,K30,K34)</f>
        <v>22906810.8475</v>
      </c>
      <c r="L36" s="407">
        <f>SUM(L9,L18,L24,L28,L30,L34)</f>
        <v>-434</v>
      </c>
      <c r="N36" s="393"/>
      <c r="O36" s="407"/>
    </row>
    <row r="37" spans="1:15" ht="10.8" thickTop="1">
      <c r="A37" s="386">
        <f t="shared" si="0"/>
        <v>31</v>
      </c>
      <c r="B37" s="386"/>
      <c r="C37" s="387"/>
      <c r="D37" s="387"/>
      <c r="E37" s="387"/>
      <c r="F37" s="403"/>
      <c r="I37" s="403"/>
      <c r="L37" s="403"/>
      <c r="O37" s="403"/>
    </row>
    <row r="38" spans="1:15">
      <c r="A38" s="386">
        <f t="shared" si="0"/>
        <v>32</v>
      </c>
      <c r="B38" s="386">
        <v>5</v>
      </c>
      <c r="C38" s="387" t="s">
        <v>67</v>
      </c>
      <c r="D38" s="388">
        <f>+'Revenue By Sch TY'!D22</f>
        <v>7372.3372879022108</v>
      </c>
      <c r="E38" s="404">
        <f>+'UE-210924 Sch 137'!G31</f>
        <v>-1.9000000000000001E-5</v>
      </c>
      <c r="F38" s="405">
        <f>ROUND(D38*E38,0)</f>
        <v>0</v>
      </c>
      <c r="H38" s="390">
        <f>+'Sch 95 PCORC'!J38</f>
        <v>7521</v>
      </c>
      <c r="I38" s="405">
        <f>ROUND($E38*H38,0)</f>
        <v>0</v>
      </c>
      <c r="K38" s="390">
        <f>+'Sch 95 PCORC'!N38</f>
        <v>7552</v>
      </c>
      <c r="L38" s="405">
        <f>ROUND($E38*K38,0)</f>
        <v>0</v>
      </c>
      <c r="N38" s="390"/>
      <c r="O38" s="405"/>
    </row>
    <row r="39" spans="1:15">
      <c r="A39" s="386">
        <f t="shared" si="0"/>
        <v>33</v>
      </c>
      <c r="B39" s="386"/>
      <c r="C39" s="387"/>
      <c r="D39" s="387"/>
      <c r="E39" s="387"/>
      <c r="F39" s="403"/>
      <c r="I39" s="403"/>
      <c r="L39" s="403"/>
      <c r="O39" s="403"/>
    </row>
    <row r="40" spans="1:15" ht="10.8" thickBot="1">
      <c r="A40" s="386">
        <f t="shared" si="0"/>
        <v>34</v>
      </c>
      <c r="B40" s="386"/>
      <c r="C40" s="391" t="s">
        <v>68</v>
      </c>
      <c r="D40" s="393">
        <f>SUM(D36,D38)</f>
        <v>22988348.593883663</v>
      </c>
      <c r="E40" s="387"/>
      <c r="F40" s="407">
        <f t="shared" ref="F40" si="25">SUM(F36,F38)</f>
        <v>-435</v>
      </c>
      <c r="H40" s="393">
        <f>SUM(H36,H38)</f>
        <v>22723058.8675</v>
      </c>
      <c r="I40" s="407">
        <f t="shared" ref="I40" si="26">SUM(I36,I38)</f>
        <v>-430</v>
      </c>
      <c r="K40" s="393">
        <f>SUM(K36,K38)</f>
        <v>22914362.8475</v>
      </c>
      <c r="L40" s="407">
        <f t="shared" ref="L40" si="27">SUM(L36,L38)</f>
        <v>-434</v>
      </c>
      <c r="N40" s="393"/>
      <c r="O40" s="407"/>
    </row>
    <row r="41" spans="1:15" ht="10.8" thickTop="1">
      <c r="D41" s="387"/>
    </row>
  </sheetData>
  <mergeCells count="7">
    <mergeCell ref="K5:L5"/>
    <mergeCell ref="N5:O5"/>
    <mergeCell ref="A1:F1"/>
    <mergeCell ref="A2:F2"/>
    <mergeCell ref="A3:F3"/>
    <mergeCell ref="A4:F4"/>
    <mergeCell ref="H5:I5"/>
  </mergeCells>
  <printOptions horizontalCentered="1"/>
  <pageMargins left="0.7" right="0.7" top="0.75" bottom="0.9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35"/>
  <sheetViews>
    <sheetView zoomScaleNormal="100" workbookViewId="0">
      <pane xSplit="5" ySplit="7" topLeftCell="O8" activePane="bottomRight" state="frozen"/>
      <selection activeCell="F7" sqref="F7:F62"/>
      <selection pane="topRight" activeCell="F7" sqref="F7:F62"/>
      <selection pane="bottomLeft" activeCell="F7" sqref="F7:F62"/>
      <selection pane="bottomRight" sqref="A1:B1"/>
    </sheetView>
  </sheetViews>
  <sheetFormatPr defaultColWidth="6.33203125" defaultRowHeight="10.199999999999999"/>
  <cols>
    <col min="1" max="1" width="5" style="387" bestFit="1" customWidth="1"/>
    <col min="2" max="2" width="32.44140625" style="387" bestFit="1" customWidth="1"/>
    <col min="3" max="3" width="15.6640625" style="387" bestFit="1" customWidth="1"/>
    <col min="4" max="4" width="11.33203125" style="387" bestFit="1" customWidth="1"/>
    <col min="5" max="5" width="11.33203125" style="387" customWidth="1"/>
    <col min="6" max="6" width="1.44140625" style="387" customWidth="1"/>
    <col min="7" max="8" width="10.6640625" style="387" bestFit="1" customWidth="1"/>
    <col min="9" max="9" width="1" style="387" customWidth="1"/>
    <col min="10" max="10" width="11.33203125" style="387" customWidth="1"/>
    <col min="11" max="11" width="12" style="387" customWidth="1"/>
    <col min="12" max="12" width="1" style="387" customWidth="1"/>
    <col min="13" max="14" width="12" style="387" customWidth="1"/>
    <col min="15" max="15" width="1" style="387" customWidth="1"/>
    <col min="16" max="17" width="9.6640625" style="387" customWidth="1"/>
    <col min="18" max="18" width="1" style="387" customWidth="1"/>
    <col min="19" max="20" width="9.6640625" style="387" customWidth="1"/>
    <col min="21" max="21" width="1" style="387" customWidth="1"/>
    <col min="22" max="22" width="11.88671875" style="387" bestFit="1" customWidth="1"/>
    <col min="23" max="23" width="9.6640625" style="387" customWidth="1"/>
    <col min="24" max="24" width="12.88671875" style="387" bestFit="1" customWidth="1"/>
    <col min="25" max="26" width="9.6640625" style="387" customWidth="1"/>
    <col min="27" max="27" width="6.33203125" style="387"/>
    <col min="28" max="29" width="9.6640625" style="387" customWidth="1"/>
    <col min="30" max="30" width="6.33203125" style="387"/>
    <col min="31" max="32" width="9.6640625" style="387" customWidth="1"/>
    <col min="33" max="33" width="6.33203125" style="387"/>
    <col min="34" max="35" width="9.6640625" style="387" customWidth="1"/>
    <col min="36" max="36" width="6.33203125" style="387"/>
    <col min="37" max="38" width="9.6640625" style="387" customWidth="1"/>
    <col min="39" max="39" width="6.33203125" style="387"/>
    <col min="40" max="41" width="9.5546875" style="387" customWidth="1"/>
    <col min="42" max="42" width="6.33203125" style="387"/>
    <col min="43" max="45" width="9.5546875" style="387" customWidth="1"/>
    <col min="46" max="16384" width="6.33203125" style="387"/>
  </cols>
  <sheetData>
    <row r="1" spans="1:43" s="409" customFormat="1">
      <c r="A1" s="772" t="s">
        <v>0</v>
      </c>
      <c r="B1" s="772"/>
      <c r="C1" s="398"/>
      <c r="D1" s="436"/>
      <c r="E1" s="436"/>
      <c r="F1" s="436"/>
      <c r="G1" s="436"/>
      <c r="H1" s="436"/>
    </row>
    <row r="2" spans="1:43" s="409" customFormat="1">
      <c r="A2" s="772" t="s">
        <v>61</v>
      </c>
      <c r="B2" s="772"/>
      <c r="C2" s="398"/>
      <c r="D2" s="436"/>
      <c r="E2" s="436"/>
      <c r="F2" s="436"/>
      <c r="G2" s="436"/>
      <c r="H2" s="436"/>
    </row>
    <row r="3" spans="1:43" s="409" customFormat="1">
      <c r="A3" s="773" t="s">
        <v>556</v>
      </c>
      <c r="B3" s="772"/>
      <c r="C3" s="398"/>
      <c r="D3" s="436"/>
      <c r="E3" s="436"/>
      <c r="F3" s="436"/>
      <c r="G3" s="436"/>
      <c r="H3" s="436"/>
    </row>
    <row r="4" spans="1:43" s="409" customFormat="1">
      <c r="A4" s="772" t="s">
        <v>174</v>
      </c>
      <c r="B4" s="772"/>
      <c r="C4" s="398"/>
      <c r="D4" s="436"/>
      <c r="E4" s="436"/>
      <c r="F4" s="436"/>
      <c r="G4" s="436"/>
      <c r="H4" s="436"/>
    </row>
    <row r="5" spans="1:43" s="409" customFormat="1">
      <c r="A5" s="773" t="s">
        <v>557</v>
      </c>
      <c r="B5" s="772"/>
      <c r="C5" s="398"/>
      <c r="D5" s="398"/>
      <c r="E5" s="398"/>
      <c r="F5" s="703"/>
      <c r="G5" s="703"/>
      <c r="H5" s="703"/>
    </row>
    <row r="6" spans="1:43" s="409" customFormat="1">
      <c r="A6" s="411"/>
      <c r="B6" s="398"/>
      <c r="C6" s="398"/>
      <c r="D6" s="398"/>
      <c r="E6" s="398"/>
      <c r="F6" s="703"/>
      <c r="G6" s="703"/>
      <c r="H6" s="703"/>
    </row>
    <row r="7" spans="1:43" s="409" customFormat="1" ht="61.2">
      <c r="A7" s="399" t="s">
        <v>2</v>
      </c>
      <c r="B7" s="399" t="s">
        <v>579</v>
      </c>
      <c r="C7" s="399" t="s">
        <v>315</v>
      </c>
      <c r="D7" s="400" t="s">
        <v>558</v>
      </c>
      <c r="E7" s="438" t="s">
        <v>600</v>
      </c>
      <c r="F7" s="439"/>
      <c r="G7" s="439" t="s">
        <v>593</v>
      </c>
      <c r="H7" s="439" t="s">
        <v>594</v>
      </c>
      <c r="J7" s="439" t="s">
        <v>887</v>
      </c>
      <c r="K7" s="439" t="s">
        <v>888</v>
      </c>
      <c r="L7" s="439"/>
      <c r="M7" s="439" t="s">
        <v>818</v>
      </c>
      <c r="N7" s="439" t="s">
        <v>819</v>
      </c>
      <c r="P7" s="738" t="s">
        <v>582</v>
      </c>
      <c r="Q7" s="738" t="s">
        <v>583</v>
      </c>
      <c r="S7" s="738" t="s">
        <v>584</v>
      </c>
      <c r="T7" s="738" t="s">
        <v>585</v>
      </c>
      <c r="V7" s="439" t="s">
        <v>617</v>
      </c>
      <c r="W7" s="439" t="s">
        <v>597</v>
      </c>
      <c r="X7" s="439" t="s">
        <v>598</v>
      </c>
      <c r="AQ7" s="608"/>
    </row>
    <row r="8" spans="1:43" s="433" customFormat="1" ht="25.5" customHeight="1">
      <c r="A8" s="430"/>
      <c r="B8" s="430" t="s">
        <v>106</v>
      </c>
      <c r="C8" s="430" t="s">
        <v>107</v>
      </c>
      <c r="D8" s="431" t="s">
        <v>266</v>
      </c>
      <c r="E8" s="432" t="s">
        <v>274</v>
      </c>
      <c r="F8" s="432"/>
      <c r="G8" s="440" t="s">
        <v>620</v>
      </c>
      <c r="H8" s="440" t="s">
        <v>619</v>
      </c>
      <c r="I8" s="440"/>
      <c r="J8" s="440" t="s">
        <v>621</v>
      </c>
      <c r="K8" s="440" t="s">
        <v>622</v>
      </c>
      <c r="L8" s="440"/>
      <c r="M8" s="440" t="s">
        <v>623</v>
      </c>
      <c r="N8" s="440" t="s">
        <v>624</v>
      </c>
      <c r="O8" s="440"/>
      <c r="P8" s="733" t="s">
        <v>625</v>
      </c>
      <c r="Q8" s="739" t="s">
        <v>626</v>
      </c>
      <c r="R8" s="440"/>
      <c r="S8" s="733" t="s">
        <v>627</v>
      </c>
      <c r="T8" s="739" t="s">
        <v>628</v>
      </c>
      <c r="U8" s="440"/>
      <c r="V8" s="441" t="s">
        <v>880</v>
      </c>
      <c r="W8" s="441" t="s">
        <v>881</v>
      </c>
      <c r="X8" s="433" t="s">
        <v>882</v>
      </c>
    </row>
    <row r="9" spans="1:43">
      <c r="A9" s="386">
        <v>1</v>
      </c>
      <c r="B9" s="434" t="s">
        <v>11</v>
      </c>
      <c r="C9" s="434" t="s">
        <v>902</v>
      </c>
      <c r="D9" s="388">
        <f>+'Revenue by Sch RY#2'!D9</f>
        <v>11064440.8695</v>
      </c>
      <c r="E9" s="403">
        <f>+'Revenue by Sch RY#2'!Y9</f>
        <v>1384797.0741398777</v>
      </c>
      <c r="F9" s="403"/>
      <c r="G9" s="718">
        <f>SUM('Revenue by Sch RY#2'!AB9,'Revenue by Sch RY#2'!AG9)</f>
        <v>0</v>
      </c>
      <c r="H9" s="727">
        <f>+G9/$E9</f>
        <v>0</v>
      </c>
      <c r="I9" s="435"/>
      <c r="J9" s="403">
        <f>SUM('Revenue by Sch RY#2'!AA9,'Revenue by Sch RY#2'!AF9)</f>
        <v>1926</v>
      </c>
      <c r="K9" s="453">
        <f>+J9/$E9</f>
        <v>1.3908174966330523E-3</v>
      </c>
      <c r="L9" s="453"/>
      <c r="M9" s="718">
        <f>SUM('Revenue by Sch RY#2'!AC9,'Revenue by Sch RY#2'!AH9)</f>
        <v>221</v>
      </c>
      <c r="N9" s="453">
        <f>+M9/$E9</f>
        <v>1.5959016965519447E-4</v>
      </c>
      <c r="O9" s="435"/>
      <c r="P9" s="742">
        <f>SUM('Revenue by Sch RY#2'!AD9,'Revenue by Sch RY#2'!AI9)</f>
        <v>-45806</v>
      </c>
      <c r="Q9" s="740">
        <f>+P9/$E9</f>
        <v>-3.3077770639030939E-2</v>
      </c>
      <c r="S9" s="742">
        <f>SUM('Revenue by Sch RY#2'!AE9,'Revenue by Sch RY#2'!AJ9)</f>
        <v>63476</v>
      </c>
      <c r="T9" s="740">
        <f>+S9/$E9</f>
        <v>4.5837762936801467E-2</v>
      </c>
      <c r="V9" s="403">
        <f>SUM(E9,G9,J9,P9,S9,M9)</f>
        <v>1404614.0741398777</v>
      </c>
      <c r="W9" s="403">
        <f t="shared" ref="W9:W22" si="0">+V9-E9</f>
        <v>19817</v>
      </c>
      <c r="X9" s="453">
        <f>+W9/$E9</f>
        <v>1.4310399964058773E-2</v>
      </c>
    </row>
    <row r="10" spans="1:43">
      <c r="A10" s="386">
        <f>+A9+1</f>
        <v>2</v>
      </c>
      <c r="B10" s="434" t="s">
        <v>568</v>
      </c>
      <c r="C10" s="434" t="s">
        <v>901</v>
      </c>
      <c r="D10" s="388">
        <f>+'Revenue by Sch RY#2'!D10</f>
        <v>2730372</v>
      </c>
      <c r="E10" s="403">
        <f>+'Revenue by Sch RY#2'!Y10</f>
        <v>339070.43306399998</v>
      </c>
      <c r="F10" s="403"/>
      <c r="G10" s="718">
        <f>SUM('Revenue by Sch RY#2'!AB10,'Revenue by Sch RY#2'!AG10)</f>
        <v>-3</v>
      </c>
      <c r="H10" s="727">
        <f t="shared" ref="H10:H23" si="1">+G10/$E10</f>
        <v>-8.8477192567060134E-6</v>
      </c>
      <c r="I10" s="435"/>
      <c r="J10" s="403">
        <f>SUM('Revenue by Sch RY#2'!AA10,'Revenue by Sch RY#2'!AF10)</f>
        <v>397</v>
      </c>
      <c r="K10" s="453">
        <f t="shared" ref="K10:K23" si="2">+J10/$E10</f>
        <v>1.1708481816374292E-3</v>
      </c>
      <c r="L10" s="453"/>
      <c r="M10" s="718">
        <f>SUM('Revenue by Sch RY#2'!AC10,'Revenue by Sch RY#2'!AH10)</f>
        <v>34</v>
      </c>
      <c r="N10" s="453">
        <f t="shared" ref="N10:N23" si="3">+M10/$E10</f>
        <v>1.0027415157600149E-4</v>
      </c>
      <c r="O10" s="435"/>
      <c r="P10" s="742">
        <f>SUM('Revenue by Sch RY#2'!AD10,'Revenue by Sch RY#2'!AI10)</f>
        <v>-8866</v>
      </c>
      <c r="Q10" s="740">
        <f t="shared" ref="Q10:Q23" si="4">+P10/$E10</f>
        <v>-2.6147959643318505E-2</v>
      </c>
      <c r="S10" s="742">
        <f>SUM('Revenue by Sch RY#2'!AE10,'Revenue by Sch RY#2'!AJ10)</f>
        <v>12164</v>
      </c>
      <c r="T10" s="740">
        <f t="shared" ref="T10:T23" si="5">+S10/$E10</f>
        <v>3.587455234619065E-2</v>
      </c>
      <c r="V10" s="403">
        <f t="shared" ref="V10:V22" si="6">SUM(E10,G10,J10,P10,S10,M10)</f>
        <v>342796.43306399998</v>
      </c>
      <c r="W10" s="403">
        <f t="shared" si="0"/>
        <v>3726</v>
      </c>
      <c r="X10" s="453">
        <f t="shared" ref="X10:X23" si="7">+W10/$E10</f>
        <v>1.0988867316828868E-2</v>
      </c>
    </row>
    <row r="11" spans="1:43">
      <c r="A11" s="386">
        <f>+A10+1</f>
        <v>3</v>
      </c>
      <c r="B11" s="391" t="s">
        <v>570</v>
      </c>
      <c r="C11" s="434" t="s">
        <v>166</v>
      </c>
      <c r="D11" s="388">
        <f>+'Revenue by Sch RY#2'!D11</f>
        <v>2948172</v>
      </c>
      <c r="E11" s="403">
        <f>+'Revenue by Sch RY#2'!Y11</f>
        <v>342154.85321436683</v>
      </c>
      <c r="F11" s="403"/>
      <c r="G11" s="718">
        <f>SUM('Revenue by Sch RY#2'!AB11,'Revenue by Sch RY#2'!AG11)</f>
        <v>-4</v>
      </c>
      <c r="H11" s="727">
        <f t="shared" si="1"/>
        <v>-1.16906130730635E-5</v>
      </c>
      <c r="I11" s="435"/>
      <c r="J11" s="403">
        <f>SUM('Revenue by Sch RY#2'!AA11,'Revenue by Sch RY#2'!AF11)</f>
        <v>445</v>
      </c>
      <c r="K11" s="453">
        <f t="shared" si="2"/>
        <v>1.3005807043783145E-3</v>
      </c>
      <c r="L11" s="453"/>
      <c r="M11" s="718">
        <f>SUM('Revenue by Sch RY#2'!AC11,'Revenue by Sch RY#2'!AH11)</f>
        <v>34</v>
      </c>
      <c r="N11" s="453">
        <f t="shared" si="3"/>
        <v>9.9370211121039751E-5</v>
      </c>
      <c r="O11" s="435"/>
      <c r="P11" s="742">
        <f>SUM('Revenue by Sch RY#2'!AD11,'Revenue by Sch RY#2'!AI11)</f>
        <v>-9933</v>
      </c>
      <c r="Q11" s="740">
        <f t="shared" si="4"/>
        <v>-2.9030714913684939E-2</v>
      </c>
      <c r="S11" s="742">
        <f>SUM('Revenue by Sch RY#2'!AE11,'Revenue by Sch RY#2'!AJ11)</f>
        <v>13620</v>
      </c>
      <c r="T11" s="740">
        <f t="shared" si="5"/>
        <v>3.9806537513781222E-2</v>
      </c>
      <c r="V11" s="403">
        <f t="shared" si="6"/>
        <v>346316.85321436683</v>
      </c>
      <c r="W11" s="403">
        <f t="shared" si="0"/>
        <v>4162</v>
      </c>
      <c r="X11" s="453">
        <f t="shared" si="7"/>
        <v>1.2164082902522572E-2</v>
      </c>
    </row>
    <row r="12" spans="1:43">
      <c r="A12" s="386">
        <f t="shared" ref="A12:A23" si="8">+A11+1</f>
        <v>4</v>
      </c>
      <c r="B12" s="391" t="s">
        <v>569</v>
      </c>
      <c r="C12" s="434" t="s">
        <v>63</v>
      </c>
      <c r="D12" s="388">
        <f>+'Revenue by Sch RY#2'!D12</f>
        <v>1853862</v>
      </c>
      <c r="E12" s="403">
        <f>+'Revenue by Sch RY#2'!Y12</f>
        <v>195135.74323055093</v>
      </c>
      <c r="F12" s="403"/>
      <c r="G12" s="718">
        <f>SUM('Revenue by Sch RY#2'!AB12,'Revenue by Sch RY#2'!AG12)</f>
        <v>-6</v>
      </c>
      <c r="H12" s="727">
        <f t="shared" si="1"/>
        <v>-3.0747826618883757E-5</v>
      </c>
      <c r="I12" s="435"/>
      <c r="J12" s="403">
        <f>SUM('Revenue by Sch RY#2'!AA12,'Revenue by Sch RY#2'!AF12)</f>
        <v>277</v>
      </c>
      <c r="K12" s="453">
        <f t="shared" si="2"/>
        <v>1.4195246622384669E-3</v>
      </c>
      <c r="L12" s="453"/>
      <c r="M12" s="718">
        <f>SUM('Revenue by Sch RY#2'!AC12,'Revenue by Sch RY#2'!AH12)</f>
        <v>16</v>
      </c>
      <c r="N12" s="453">
        <f t="shared" si="3"/>
        <v>8.1994204317023357E-5</v>
      </c>
      <c r="O12" s="435"/>
      <c r="P12" s="742">
        <f>SUM('Revenue by Sch RY#2'!AD12,'Revenue by Sch RY#2'!AI12)</f>
        <v>-5433</v>
      </c>
      <c r="Q12" s="740">
        <f t="shared" si="4"/>
        <v>-2.7842157003399242E-2</v>
      </c>
      <c r="S12" s="742">
        <f>SUM('Revenue by Sch RY#2'!AE12,'Revenue by Sch RY#2'!AJ12)</f>
        <v>7522</v>
      </c>
      <c r="T12" s="740">
        <f t="shared" si="5"/>
        <v>3.8547525304540607E-2</v>
      </c>
      <c r="V12" s="403">
        <f t="shared" si="6"/>
        <v>197511.74323055093</v>
      </c>
      <c r="W12" s="403">
        <f t="shared" si="0"/>
        <v>2376</v>
      </c>
      <c r="X12" s="453">
        <f t="shared" si="7"/>
        <v>1.2176139341077969E-2</v>
      </c>
    </row>
    <row r="13" spans="1:43">
      <c r="A13" s="386">
        <f t="shared" si="8"/>
        <v>5</v>
      </c>
      <c r="B13" s="434" t="s">
        <v>571</v>
      </c>
      <c r="C13" s="434">
        <v>29</v>
      </c>
      <c r="D13" s="388">
        <f>+'Revenue by Sch RY#2'!D13</f>
        <v>15233.452499999999</v>
      </c>
      <c r="E13" s="403">
        <f>+'Revenue by Sch RY#2'!Y13</f>
        <v>1569.0961887460082</v>
      </c>
      <c r="F13" s="403"/>
      <c r="G13" s="718">
        <f>SUM('Revenue by Sch RY#2'!AB13,'Revenue by Sch RY#2'!AG13)</f>
        <v>0</v>
      </c>
      <c r="H13" s="727">
        <f t="shared" si="1"/>
        <v>0</v>
      </c>
      <c r="I13" s="435"/>
      <c r="J13" s="403">
        <f>SUM('Revenue by Sch RY#2'!AA13,'Revenue by Sch RY#2'!AF13)</f>
        <v>2</v>
      </c>
      <c r="K13" s="453">
        <f t="shared" si="2"/>
        <v>1.2746191179001983E-3</v>
      </c>
      <c r="L13" s="453"/>
      <c r="M13" s="718">
        <f>SUM('Revenue by Sch RY#2'!AC13,'Revenue by Sch RY#2'!AH13)</f>
        <v>0</v>
      </c>
      <c r="N13" s="453">
        <f t="shared" si="3"/>
        <v>0</v>
      </c>
      <c r="O13" s="435"/>
      <c r="P13" s="742">
        <f>SUM('Revenue by Sch RY#2'!AD13,'Revenue by Sch RY#2'!AI13)</f>
        <v>-51</v>
      </c>
      <c r="Q13" s="740">
        <f t="shared" si="4"/>
        <v>-3.2502787506455057E-2</v>
      </c>
      <c r="S13" s="742">
        <f>SUM('Revenue by Sch RY#2'!AE13,'Revenue by Sch RY#2'!AJ13)</f>
        <v>70</v>
      </c>
      <c r="T13" s="740">
        <f t="shared" si="5"/>
        <v>4.4611669126506937E-2</v>
      </c>
      <c r="V13" s="403">
        <f t="shared" si="6"/>
        <v>1590.0961887460082</v>
      </c>
      <c r="W13" s="403">
        <f t="shared" si="0"/>
        <v>21</v>
      </c>
      <c r="X13" s="453">
        <f t="shared" si="7"/>
        <v>1.3383500737952081E-2</v>
      </c>
    </row>
    <row r="14" spans="1:43">
      <c r="A14" s="386">
        <f t="shared" si="8"/>
        <v>6</v>
      </c>
      <c r="B14" s="391" t="s">
        <v>572</v>
      </c>
      <c r="C14" s="434" t="s">
        <v>64</v>
      </c>
      <c r="D14" s="388">
        <f>+'Revenue by Sch RY#2'!D14</f>
        <v>1335448</v>
      </c>
      <c r="E14" s="403">
        <f>+'Revenue by Sch RY#2'!Y14</f>
        <v>138561.9344936033</v>
      </c>
      <c r="F14" s="403"/>
      <c r="G14" s="718">
        <f>SUM('Revenue by Sch RY#2'!AB14,'Revenue by Sch RY#2'!AG14)</f>
        <v>-3</v>
      </c>
      <c r="H14" s="727">
        <f t="shared" si="1"/>
        <v>-2.1650967929713009E-5</v>
      </c>
      <c r="I14" s="435"/>
      <c r="J14" s="403">
        <f>SUM('Revenue by Sch RY#2'!AA14,'Revenue by Sch RY#2'!AF14)</f>
        <v>206</v>
      </c>
      <c r="K14" s="453">
        <f t="shared" si="2"/>
        <v>1.4866997978402934E-3</v>
      </c>
      <c r="L14" s="453"/>
      <c r="M14" s="718">
        <f>SUM('Revenue by Sch RY#2'!AC14,'Revenue by Sch RY#2'!AH14)</f>
        <v>36</v>
      </c>
      <c r="N14" s="453">
        <f t="shared" si="3"/>
        <v>2.598116151565561E-4</v>
      </c>
      <c r="O14" s="435"/>
      <c r="P14" s="742">
        <f>SUM('Revenue by Sch RY#2'!AD14,'Revenue by Sch RY#2'!AI14)</f>
        <v>-3748</v>
      </c>
      <c r="Q14" s="740">
        <f t="shared" si="4"/>
        <v>-2.7049275933521456E-2</v>
      </c>
      <c r="S14" s="742">
        <f>SUM('Revenue by Sch RY#2'!AE14,'Revenue by Sch RY#2'!AJ14)</f>
        <v>5328</v>
      </c>
      <c r="T14" s="740">
        <f t="shared" si="5"/>
        <v>3.8452119043170307E-2</v>
      </c>
      <c r="V14" s="403">
        <f t="shared" si="6"/>
        <v>140380.9344936033</v>
      </c>
      <c r="W14" s="403">
        <f t="shared" si="0"/>
        <v>1819</v>
      </c>
      <c r="X14" s="453">
        <f t="shared" si="7"/>
        <v>1.3127703554715988E-2</v>
      </c>
    </row>
    <row r="15" spans="1:43">
      <c r="A15" s="386">
        <f t="shared" si="8"/>
        <v>7</v>
      </c>
      <c r="B15" s="391" t="s">
        <v>573</v>
      </c>
      <c r="C15" s="434">
        <v>35</v>
      </c>
      <c r="D15" s="388">
        <f>+'Revenue by Sch RY#2'!D15</f>
        <v>4695</v>
      </c>
      <c r="E15" s="403">
        <f>+'Revenue by Sch RY#2'!Y15</f>
        <v>376.08723693641753</v>
      </c>
      <c r="F15" s="403"/>
      <c r="G15" s="718">
        <f>SUM('Revenue by Sch RY#2'!AB15,'Revenue by Sch RY#2'!AG15)</f>
        <v>0</v>
      </c>
      <c r="H15" s="727">
        <f t="shared" si="1"/>
        <v>0</v>
      </c>
      <c r="I15" s="435"/>
      <c r="J15" s="403">
        <f>SUM('Revenue by Sch RY#2'!AA15,'Revenue by Sch RY#2'!AF15)</f>
        <v>0</v>
      </c>
      <c r="K15" s="453">
        <f t="shared" si="2"/>
        <v>0</v>
      </c>
      <c r="L15" s="453"/>
      <c r="M15" s="718">
        <f>SUM('Revenue by Sch RY#2'!AC15,'Revenue by Sch RY#2'!AH15)</f>
        <v>1</v>
      </c>
      <c r="N15" s="453">
        <f t="shared" si="3"/>
        <v>2.6589575550234985E-3</v>
      </c>
      <c r="O15" s="435"/>
      <c r="P15" s="742">
        <f>SUM('Revenue by Sch RY#2'!AD15,'Revenue by Sch RY#2'!AI15)</f>
        <v>-19</v>
      </c>
      <c r="Q15" s="740">
        <f t="shared" si="4"/>
        <v>-5.0520193545446478E-2</v>
      </c>
      <c r="S15" s="742">
        <f>SUM('Revenue by Sch RY#2'!AE15,'Revenue by Sch RY#2'!AJ15)</f>
        <v>26</v>
      </c>
      <c r="T15" s="740">
        <f t="shared" si="5"/>
        <v>6.9132896430610963E-2</v>
      </c>
      <c r="V15" s="403">
        <f t="shared" si="6"/>
        <v>384.08723693641753</v>
      </c>
      <c r="W15" s="403">
        <f t="shared" si="0"/>
        <v>8</v>
      </c>
      <c r="X15" s="453">
        <f t="shared" si="7"/>
        <v>2.1271660440187988E-2</v>
      </c>
    </row>
    <row r="16" spans="1:43">
      <c r="A16" s="386">
        <f t="shared" si="8"/>
        <v>8</v>
      </c>
      <c r="B16" s="434" t="s">
        <v>574</v>
      </c>
      <c r="C16" s="434">
        <v>43</v>
      </c>
      <c r="D16" s="388">
        <f>+'Revenue by Sch RY#2'!D16</f>
        <v>119782</v>
      </c>
      <c r="E16" s="403">
        <f>+'Revenue by Sch RY#2'!Y16</f>
        <v>13028.074082303612</v>
      </c>
      <c r="F16" s="403"/>
      <c r="G16" s="718">
        <f>SUM('Revenue by Sch RY#2'!AB16,'Revenue by Sch RY#2'!AG16)</f>
        <v>0</v>
      </c>
      <c r="H16" s="727">
        <f t="shared" si="1"/>
        <v>0</v>
      </c>
      <c r="I16" s="435"/>
      <c r="J16" s="403">
        <f>SUM('Revenue by Sch RY#2'!AA16,'Revenue by Sch RY#2'!AF16)</f>
        <v>3</v>
      </c>
      <c r="K16" s="453">
        <f t="shared" si="2"/>
        <v>2.302719481826544E-4</v>
      </c>
      <c r="L16" s="453"/>
      <c r="M16" s="718">
        <f>SUM('Revenue by Sch RY#2'!AC16,'Revenue by Sch RY#2'!AH16)</f>
        <v>1</v>
      </c>
      <c r="N16" s="453">
        <f t="shared" si="3"/>
        <v>7.6757316060884791E-5</v>
      </c>
      <c r="O16" s="435"/>
      <c r="P16" s="742">
        <f>SUM('Revenue by Sch RY#2'!AD16,'Revenue by Sch RY#2'!AI16)</f>
        <v>-311</v>
      </c>
      <c r="Q16" s="740">
        <f t="shared" si="4"/>
        <v>-2.3871525294935171E-2</v>
      </c>
      <c r="S16" s="742">
        <f>SUM('Revenue by Sch RY#2'!AE16,'Revenue by Sch RY#2'!AJ16)</f>
        <v>421</v>
      </c>
      <c r="T16" s="740">
        <f t="shared" si="5"/>
        <v>3.23148300616325E-2</v>
      </c>
      <c r="V16" s="403">
        <f t="shared" si="6"/>
        <v>13142.074082303612</v>
      </c>
      <c r="W16" s="403">
        <f t="shared" si="0"/>
        <v>114</v>
      </c>
      <c r="X16" s="453">
        <f t="shared" si="7"/>
        <v>8.7503340309408664E-3</v>
      </c>
    </row>
    <row r="17" spans="1:24">
      <c r="A17" s="386">
        <f t="shared" si="8"/>
        <v>9</v>
      </c>
      <c r="B17" s="434" t="s">
        <v>575</v>
      </c>
      <c r="C17" s="434">
        <v>46</v>
      </c>
      <c r="D17" s="388">
        <f>+'Revenue by Sch RY#2'!D17</f>
        <v>89210.525500000018</v>
      </c>
      <c r="E17" s="403">
        <f>+'Revenue by Sch RY#2'!Y17</f>
        <v>6684.3069567610009</v>
      </c>
      <c r="F17" s="403"/>
      <c r="G17" s="718">
        <f>SUM('Revenue by Sch RY#2'!AB17,'Revenue by Sch RY#2'!AG17)</f>
        <v>0</v>
      </c>
      <c r="H17" s="727">
        <f t="shared" si="1"/>
        <v>0</v>
      </c>
      <c r="I17" s="435"/>
      <c r="J17" s="403">
        <f>SUM('Revenue by Sch RY#2'!AA17,'Revenue by Sch RY#2'!AF17)</f>
        <v>3</v>
      </c>
      <c r="K17" s="453">
        <f t="shared" si="2"/>
        <v>4.4881242279958114E-4</v>
      </c>
      <c r="L17" s="453"/>
      <c r="M17" s="718">
        <f>SUM('Revenue by Sch RY#2'!AC17,'Revenue by Sch RY#2'!AH17)</f>
        <v>3</v>
      </c>
      <c r="N17" s="453">
        <f t="shared" si="3"/>
        <v>4.4881242279958114E-4</v>
      </c>
      <c r="O17" s="435"/>
      <c r="P17" s="742">
        <f>SUM('Revenue by Sch RY#2'!AD17,'Revenue by Sch RY#2'!AI17)</f>
        <v>-132</v>
      </c>
      <c r="Q17" s="740">
        <f t="shared" si="4"/>
        <v>-1.9747746603181571E-2</v>
      </c>
      <c r="S17" s="742">
        <f>SUM('Revenue by Sch RY#2'!AE17,'Revenue by Sch RY#2'!AJ17)</f>
        <v>197</v>
      </c>
      <c r="T17" s="740">
        <f t="shared" si="5"/>
        <v>2.9472015763839163E-2</v>
      </c>
      <c r="V17" s="403">
        <f t="shared" si="6"/>
        <v>6755.3069567610009</v>
      </c>
      <c r="W17" s="403">
        <f t="shared" si="0"/>
        <v>71</v>
      </c>
      <c r="X17" s="453">
        <f t="shared" si="7"/>
        <v>1.0621894006256754E-2</v>
      </c>
    </row>
    <row r="18" spans="1:24">
      <c r="A18" s="386">
        <f t="shared" si="8"/>
        <v>10</v>
      </c>
      <c r="B18" s="391" t="s">
        <v>576</v>
      </c>
      <c r="C18" s="434">
        <v>49</v>
      </c>
      <c r="D18" s="388">
        <f>+'Revenue by Sch RY#2'!D18</f>
        <v>499683</v>
      </c>
      <c r="E18" s="403">
        <f>+'Revenue by Sch RY#2'!Y18</f>
        <v>38520.934112939227</v>
      </c>
      <c r="F18" s="403"/>
      <c r="G18" s="718">
        <f>SUM('Revenue by Sch RY#2'!AB18,'Revenue by Sch RY#2'!AG18)</f>
        <v>-4</v>
      </c>
      <c r="H18" s="727">
        <f t="shared" si="1"/>
        <v>-1.038396417976893E-4</v>
      </c>
      <c r="I18" s="435"/>
      <c r="J18" s="403">
        <f>SUM('Revenue by Sch RY#2'!AA18,'Revenue by Sch RY#2'!AF18)</f>
        <v>85</v>
      </c>
      <c r="K18" s="453">
        <f t="shared" si="2"/>
        <v>2.2065923882008979E-3</v>
      </c>
      <c r="L18" s="453"/>
      <c r="M18" s="718">
        <f>SUM('Revenue by Sch RY#2'!AC18,'Revenue by Sch RY#2'!AH18)</f>
        <v>21</v>
      </c>
      <c r="N18" s="453">
        <f t="shared" si="3"/>
        <v>5.451581194378689E-4</v>
      </c>
      <c r="O18" s="435"/>
      <c r="P18" s="742">
        <f>SUM('Revenue by Sch RY#2'!AD18,'Revenue by Sch RY#2'!AI18)</f>
        <v>-755</v>
      </c>
      <c r="Q18" s="740">
        <f t="shared" si="4"/>
        <v>-1.9599732389313857E-2</v>
      </c>
      <c r="S18" s="742">
        <f>SUM('Revenue by Sch RY#2'!AE18,'Revenue by Sch RY#2'!AJ18)</f>
        <v>1095</v>
      </c>
      <c r="T18" s="740">
        <f t="shared" si="5"/>
        <v>2.8426101942117449E-2</v>
      </c>
      <c r="V18" s="403">
        <f t="shared" si="6"/>
        <v>38962.934112939227</v>
      </c>
      <c r="W18" s="403">
        <f t="shared" si="0"/>
        <v>442</v>
      </c>
      <c r="X18" s="453">
        <f t="shared" si="7"/>
        <v>1.1474280418644669E-2</v>
      </c>
    </row>
    <row r="19" spans="1:24">
      <c r="A19" s="386">
        <f t="shared" si="8"/>
        <v>11</v>
      </c>
      <c r="B19" s="434" t="s">
        <v>577</v>
      </c>
      <c r="C19" s="434" t="s">
        <v>16</v>
      </c>
      <c r="D19" s="388">
        <f>+'Revenue by Sch RY#2'!D19</f>
        <v>61382</v>
      </c>
      <c r="E19" s="403">
        <f>+'Revenue by Sch RY#2'!Y19</f>
        <v>19493.545299997822</v>
      </c>
      <c r="F19" s="403"/>
      <c r="G19" s="718">
        <f>SUM('Revenue by Sch RY#2'!AB19,'Revenue by Sch RY#2'!AG19)</f>
        <v>0</v>
      </c>
      <c r="H19" s="727">
        <f t="shared" si="1"/>
        <v>0</v>
      </c>
      <c r="I19" s="435"/>
      <c r="J19" s="403">
        <f>SUM('Revenue by Sch RY#2'!AA19,'Revenue by Sch RY#2'!AF19)</f>
        <v>7</v>
      </c>
      <c r="K19" s="453">
        <f t="shared" si="2"/>
        <v>3.5909322251405866E-4</v>
      </c>
      <c r="L19" s="453"/>
      <c r="M19" s="718">
        <f>SUM('Revenue by Sch RY#2'!AC19,'Revenue by Sch RY#2'!AH19)</f>
        <v>5</v>
      </c>
      <c r="N19" s="453">
        <f t="shared" si="3"/>
        <v>2.5649515893861333E-4</v>
      </c>
      <c r="O19" s="435"/>
      <c r="P19" s="742">
        <f>SUM('Revenue by Sch RY#2'!AD19,'Revenue by Sch RY#2'!AI19)</f>
        <v>-837</v>
      </c>
      <c r="Q19" s="740">
        <f t="shared" si="4"/>
        <v>-4.293728960632387E-2</v>
      </c>
      <c r="S19" s="742">
        <f>SUM('Revenue by Sch RY#2'!AE19,'Revenue by Sch RY#2'!AJ19)</f>
        <v>1292</v>
      </c>
      <c r="T19" s="740">
        <f t="shared" si="5"/>
        <v>6.6278349069737674E-2</v>
      </c>
      <c r="V19" s="403">
        <f t="shared" si="6"/>
        <v>19960.545299997822</v>
      </c>
      <c r="W19" s="403">
        <f t="shared" si="0"/>
        <v>467</v>
      </c>
      <c r="X19" s="453">
        <f t="shared" si="7"/>
        <v>2.3956647844866483E-2</v>
      </c>
    </row>
    <row r="20" spans="1:24">
      <c r="A20" s="386">
        <f t="shared" si="8"/>
        <v>12</v>
      </c>
      <c r="B20" s="434" t="s">
        <v>112</v>
      </c>
      <c r="C20" s="434" t="s">
        <v>17</v>
      </c>
      <c r="D20" s="388">
        <f>+'Revenue by Sch RY#2'!D20</f>
        <v>1895104</v>
      </c>
      <c r="E20" s="403">
        <f>+'Revenue by Sch RY#2'!Y20</f>
        <v>11530.090999999999</v>
      </c>
      <c r="F20" s="403"/>
      <c r="G20" s="718">
        <f>SUM('Revenue by Sch RY#2'!AB20,'Revenue by Sch RY#2'!AG20)</f>
        <v>0</v>
      </c>
      <c r="H20" s="727">
        <f t="shared" si="1"/>
        <v>0</v>
      </c>
      <c r="I20" s="435"/>
      <c r="J20" s="403">
        <f>SUM('Revenue by Sch RY#2'!AA20,'Revenue by Sch RY#2'!AF20)</f>
        <v>0</v>
      </c>
      <c r="K20" s="453">
        <f t="shared" si="2"/>
        <v>0</v>
      </c>
      <c r="L20" s="453"/>
      <c r="M20" s="718">
        <f>SUM('Revenue by Sch RY#2'!AC20,'Revenue by Sch RY#2'!AH20)</f>
        <v>0</v>
      </c>
      <c r="N20" s="453">
        <f t="shared" si="3"/>
        <v>0</v>
      </c>
      <c r="O20" s="435"/>
      <c r="P20" s="742">
        <f>SUM('Revenue by Sch RY#2'!AD20,'Revenue by Sch RY#2'!AI20)</f>
        <v>-47.28</v>
      </c>
      <c r="Q20" s="740">
        <f t="shared" si="4"/>
        <v>-4.1005747482825601E-3</v>
      </c>
      <c r="S20" s="742">
        <f>SUM('Revenue by Sch RY#2'!AE20,'Revenue by Sch RY#2'!AJ20)</f>
        <v>67.44</v>
      </c>
      <c r="T20" s="740">
        <f t="shared" si="5"/>
        <v>5.8490431688700464E-3</v>
      </c>
      <c r="V20" s="403">
        <f t="shared" si="6"/>
        <v>11550.250999999998</v>
      </c>
      <c r="W20" s="403">
        <f t="shared" si="0"/>
        <v>20.159999999999854</v>
      </c>
      <c r="X20" s="453">
        <f t="shared" si="7"/>
        <v>1.7484684205874748E-3</v>
      </c>
    </row>
    <row r="21" spans="1:24">
      <c r="A21" s="386">
        <f t="shared" si="8"/>
        <v>13</v>
      </c>
      <c r="B21" s="434" t="s">
        <v>262</v>
      </c>
      <c r="C21" s="434" t="s">
        <v>262</v>
      </c>
      <c r="D21" s="388">
        <f>+'Revenue by Sch RY#2'!D21</f>
        <v>289426</v>
      </c>
      <c r="E21" s="403">
        <f>+'Revenue by Sch RY#2'!Y21</f>
        <v>5420.1232504366453</v>
      </c>
      <c r="F21" s="403"/>
      <c r="G21" s="718">
        <f>SUM('Revenue by Sch RY#2'!AB21,'Revenue by Sch RY#2'!AG21)</f>
        <v>0</v>
      </c>
      <c r="H21" s="727">
        <f t="shared" si="1"/>
        <v>0</v>
      </c>
      <c r="I21" s="435"/>
      <c r="J21" s="403">
        <f>SUM('Revenue by Sch RY#2'!AA21,'Revenue by Sch RY#2'!AF21)</f>
        <v>0</v>
      </c>
      <c r="K21" s="453">
        <f t="shared" si="2"/>
        <v>0</v>
      </c>
      <c r="L21" s="453"/>
      <c r="M21" s="718">
        <f>SUM('Revenue by Sch RY#2'!AC21,'Revenue by Sch RY#2'!AH21)</f>
        <v>0</v>
      </c>
      <c r="N21" s="453">
        <f t="shared" si="3"/>
        <v>0</v>
      </c>
      <c r="O21" s="435"/>
      <c r="P21" s="742">
        <f>SUM('Revenue by Sch RY#2'!AD21,'Revenue by Sch RY#2'!AI21)</f>
        <v>-212</v>
      </c>
      <c r="Q21" s="740">
        <f t="shared" si="4"/>
        <v>-3.9113501705504809E-2</v>
      </c>
      <c r="S21" s="742">
        <f>SUM('Revenue by Sch RY#2'!AE21,'Revenue by Sch RY#2'!AJ21)</f>
        <v>303</v>
      </c>
      <c r="T21" s="740">
        <f t="shared" si="5"/>
        <v>5.5902787814943192E-2</v>
      </c>
      <c r="V21" s="403">
        <f t="shared" si="6"/>
        <v>5511.1232504366453</v>
      </c>
      <c r="W21" s="403">
        <f t="shared" si="0"/>
        <v>91</v>
      </c>
      <c r="X21" s="453">
        <f t="shared" si="7"/>
        <v>1.6789286109438386E-2</v>
      </c>
    </row>
    <row r="22" spans="1:24">
      <c r="A22" s="386">
        <f t="shared" si="8"/>
        <v>14</v>
      </c>
      <c r="B22" s="434" t="s">
        <v>67</v>
      </c>
      <c r="C22" s="434">
        <v>5</v>
      </c>
      <c r="D22" s="388">
        <f>+'Revenue by Sch RY#2'!D22</f>
        <v>7552</v>
      </c>
      <c r="E22" s="403">
        <f>+'Revenue by Sch RY#2'!Y22</f>
        <v>676.5834219176636</v>
      </c>
      <c r="F22" s="403"/>
      <c r="G22" s="718">
        <f>SUM('Revenue by Sch RY#2'!AB22,'Revenue by Sch RY#2'!AG22)</f>
        <v>0</v>
      </c>
      <c r="H22" s="727">
        <f t="shared" si="1"/>
        <v>0</v>
      </c>
      <c r="I22" s="435"/>
      <c r="J22" s="403">
        <f>SUM('Revenue by Sch RY#2'!AA22,'Revenue by Sch RY#2'!AF22)</f>
        <v>1</v>
      </c>
      <c r="K22" s="453">
        <f t="shared" si="2"/>
        <v>1.47801434029475E-3</v>
      </c>
      <c r="L22" s="453"/>
      <c r="M22" s="718">
        <f>SUM('Revenue by Sch RY#2'!AC22,'Revenue by Sch RY#2'!AH22)</f>
        <v>1</v>
      </c>
      <c r="N22" s="453">
        <f t="shared" si="3"/>
        <v>1.47801434029475E-3</v>
      </c>
      <c r="O22" s="435"/>
      <c r="P22" s="742">
        <f>SUM('Revenue by Sch RY#2'!AD22,'Revenue by Sch RY#2'!AI22)</f>
        <v>-19</v>
      </c>
      <c r="Q22" s="740">
        <f t="shared" si="4"/>
        <v>-2.8082272465600248E-2</v>
      </c>
      <c r="S22" s="742">
        <f>SUM('Revenue by Sch RY#2'!AE22,'Revenue by Sch RY#2'!AJ22)</f>
        <v>7</v>
      </c>
      <c r="T22" s="740">
        <f t="shared" si="5"/>
        <v>1.034610038206325E-2</v>
      </c>
      <c r="V22" s="403">
        <f t="shared" si="6"/>
        <v>666.5834219176636</v>
      </c>
      <c r="W22" s="403">
        <f t="shared" si="0"/>
        <v>-10</v>
      </c>
      <c r="X22" s="453">
        <f t="shared" si="7"/>
        <v>-1.4780143402947499E-2</v>
      </c>
    </row>
    <row r="23" spans="1:24" ht="10.8" thickBot="1">
      <c r="A23" s="386">
        <f t="shared" si="8"/>
        <v>15</v>
      </c>
      <c r="B23" s="434"/>
      <c r="C23" s="434" t="s">
        <v>19</v>
      </c>
      <c r="D23" s="393">
        <f>SUM(D9:D22)</f>
        <v>22914362.8475</v>
      </c>
      <c r="E23" s="407">
        <f>SUM(E9:E22)</f>
        <v>2497018.8796924367</v>
      </c>
      <c r="F23" s="412"/>
      <c r="G23" s="720">
        <f>SUM(G9:G22)</f>
        <v>-20</v>
      </c>
      <c r="H23" s="728">
        <f t="shared" si="1"/>
        <v>-8.0095509740252515E-6</v>
      </c>
      <c r="I23" s="403"/>
      <c r="J23" s="407">
        <f>SUM(J9:J22)</f>
        <v>3352</v>
      </c>
      <c r="K23" s="454">
        <f t="shared" si="2"/>
        <v>1.3424007432466323E-3</v>
      </c>
      <c r="L23" s="609"/>
      <c r="M23" s="720">
        <f>SUM(M9:M22)</f>
        <v>373</v>
      </c>
      <c r="N23" s="454">
        <f t="shared" si="3"/>
        <v>1.4937812566557094E-4</v>
      </c>
      <c r="O23" s="403"/>
      <c r="P23" s="743">
        <f>SUM(P9:P22)</f>
        <v>-76169.279999999999</v>
      </c>
      <c r="Q23" s="741">
        <f t="shared" si="4"/>
        <v>-3.0504086540740109E-2</v>
      </c>
      <c r="S23" s="743">
        <f>SUM(S9:S22)</f>
        <v>105588.44</v>
      </c>
      <c r="T23" s="741">
        <f t="shared" si="5"/>
        <v>4.2285799622390347E-2</v>
      </c>
      <c r="V23" s="407">
        <f>SUM(V9:V22)</f>
        <v>2530143.0396924368</v>
      </c>
      <c r="W23" s="407">
        <f>SUM(W9:W22)</f>
        <v>33124.160000000003</v>
      </c>
      <c r="X23" s="454">
        <f t="shared" si="7"/>
        <v>1.3265482399588416E-2</v>
      </c>
    </row>
    <row r="24" spans="1:24" ht="10.8" thickTop="1">
      <c r="E24" s="403"/>
      <c r="F24" s="403"/>
      <c r="G24" s="403"/>
      <c r="H24" s="403"/>
    </row>
    <row r="25" spans="1:24">
      <c r="D25" s="388">
        <f>+'Revenue by Sch RY#2'!D24</f>
        <v>22914362.8475</v>
      </c>
      <c r="E25" s="403">
        <f>+'Revenue by Sch RY#2'!Y24</f>
        <v>2497018.8796924367</v>
      </c>
      <c r="F25" s="403"/>
      <c r="G25" s="403"/>
      <c r="H25" s="403"/>
      <c r="J25" s="403"/>
      <c r="T25" s="383"/>
      <c r="V25" s="403">
        <f>+'Revenue by Sch RY#2'!AL24</f>
        <v>2530143.0396924368</v>
      </c>
    </row>
    <row r="26" spans="1:24">
      <c r="D26" s="426">
        <f>+D25-D23</f>
        <v>0</v>
      </c>
      <c r="E26" s="427">
        <f>+E25-E23</f>
        <v>0</v>
      </c>
      <c r="F26" s="427"/>
      <c r="G26" s="427"/>
      <c r="H26" s="427"/>
      <c r="I26" s="425"/>
      <c r="J26" s="427"/>
      <c r="K26" s="425"/>
      <c r="L26" s="425"/>
      <c r="M26" s="425"/>
      <c r="N26" s="425"/>
      <c r="O26" s="425"/>
      <c r="P26" s="425"/>
      <c r="Q26" s="425"/>
      <c r="R26" s="425"/>
      <c r="S26" s="425"/>
      <c r="T26" s="610"/>
      <c r="U26" s="425"/>
      <c r="V26" s="427">
        <f>+V25-V23</f>
        <v>0</v>
      </c>
    </row>
    <row r="27" spans="1:24" ht="12.75" customHeight="1">
      <c r="V27" s="425"/>
      <c r="W27" s="427"/>
      <c r="X27" s="427"/>
    </row>
    <row r="28" spans="1:24">
      <c r="B28" s="391" t="s">
        <v>601</v>
      </c>
      <c r="T28" s="383"/>
      <c r="W28" s="403"/>
      <c r="X28" s="403"/>
    </row>
    <row r="29" spans="1:24">
      <c r="S29" s="425"/>
      <c r="T29" s="425"/>
      <c r="U29" s="425"/>
      <c r="V29" s="425"/>
      <c r="W29" s="427"/>
    </row>
    <row r="31" spans="1:24">
      <c r="B31" s="449"/>
    </row>
    <row r="32" spans="1:24">
      <c r="B32" s="711"/>
    </row>
    <row r="33" spans="2:24" ht="10.8" thickBot="1"/>
    <row r="34" spans="2:24">
      <c r="B34" s="744"/>
      <c r="C34" s="730" t="s">
        <v>900</v>
      </c>
      <c r="D34" s="751">
        <v>22914363</v>
      </c>
      <c r="E34" s="752">
        <v>2497053</v>
      </c>
      <c r="F34" s="752"/>
      <c r="G34" s="752">
        <v>-20</v>
      </c>
      <c r="H34" s="753">
        <v>0</v>
      </c>
      <c r="I34" s="752"/>
      <c r="J34" s="752">
        <v>3352</v>
      </c>
      <c r="K34" s="753">
        <v>1.2999999999999999E-3</v>
      </c>
      <c r="L34" s="753"/>
      <c r="M34" s="752">
        <v>373</v>
      </c>
      <c r="N34" s="753">
        <v>1E-4</v>
      </c>
      <c r="O34" s="752"/>
      <c r="P34" s="752">
        <v>-75703</v>
      </c>
      <c r="Q34" s="753">
        <v>-3.0300000000000001E-2</v>
      </c>
      <c r="R34" s="754"/>
      <c r="S34" s="752">
        <v>105134</v>
      </c>
      <c r="T34" s="753">
        <v>4.2099999999999999E-2</v>
      </c>
      <c r="U34" s="754"/>
      <c r="V34" s="752">
        <v>2530188</v>
      </c>
      <c r="W34" s="752">
        <v>33136</v>
      </c>
      <c r="X34" s="755">
        <v>1.3299999999999999E-2</v>
      </c>
    </row>
    <row r="35" spans="2:24" ht="10.8" thickBot="1">
      <c r="B35" s="745"/>
      <c r="C35" s="731" t="s">
        <v>899</v>
      </c>
      <c r="D35" s="746">
        <f>D23-D34</f>
        <v>-0.15249999985098839</v>
      </c>
      <c r="E35" s="747">
        <f t="shared" ref="E35:X35" si="9">E23-E34</f>
        <v>-34.120307563338429</v>
      </c>
      <c r="F35" s="747">
        <f t="shared" si="9"/>
        <v>0</v>
      </c>
      <c r="G35" s="747">
        <f t="shared" si="9"/>
        <v>0</v>
      </c>
      <c r="H35" s="748">
        <f t="shared" si="9"/>
        <v>-8.0095509740252515E-6</v>
      </c>
      <c r="I35" s="747">
        <f t="shared" si="9"/>
        <v>0</v>
      </c>
      <c r="J35" s="747">
        <f t="shared" si="9"/>
        <v>0</v>
      </c>
      <c r="K35" s="748">
        <f t="shared" si="9"/>
        <v>4.2400743246632372E-5</v>
      </c>
      <c r="L35" s="748">
        <f t="shared" si="9"/>
        <v>0</v>
      </c>
      <c r="M35" s="747">
        <f t="shared" si="9"/>
        <v>0</v>
      </c>
      <c r="N35" s="748">
        <f t="shared" si="9"/>
        <v>4.937812566557094E-5</v>
      </c>
      <c r="O35" s="747">
        <f t="shared" si="9"/>
        <v>0</v>
      </c>
      <c r="P35" s="747">
        <f t="shared" si="9"/>
        <v>-466.27999999999884</v>
      </c>
      <c r="Q35" s="748">
        <f t="shared" si="9"/>
        <v>-2.040865407401081E-4</v>
      </c>
      <c r="R35" s="749">
        <f t="shared" si="9"/>
        <v>0</v>
      </c>
      <c r="S35" s="747">
        <f t="shared" si="9"/>
        <v>454.44000000000233</v>
      </c>
      <c r="T35" s="748">
        <f t="shared" si="9"/>
        <v>1.8579962239034797E-4</v>
      </c>
      <c r="U35" s="749">
        <f t="shared" si="9"/>
        <v>0</v>
      </c>
      <c r="V35" s="747">
        <f t="shared" si="9"/>
        <v>-44.960307563189417</v>
      </c>
      <c r="W35" s="747">
        <f t="shared" si="9"/>
        <v>-11.839999999996508</v>
      </c>
      <c r="X35" s="750">
        <f t="shared" si="9"/>
        <v>-3.4517600411582833E-5</v>
      </c>
    </row>
  </sheetData>
  <mergeCells count="5">
    <mergeCell ref="A1:B1"/>
    <mergeCell ref="A2:B2"/>
    <mergeCell ref="A3:B3"/>
    <mergeCell ref="A4:B4"/>
    <mergeCell ref="A5:B5"/>
  </mergeCells>
  <printOptions horizontalCentered="1"/>
  <pageMargins left="0.25" right="0.25" top="0.75" bottom="0.75" header="0.3" footer="0.3"/>
  <pageSetup scale="63" orientation="landscape" r:id="rId1"/>
  <headerFooter>
    <oddFooter>&amp;L&amp;"Times New Roman,Regular"&amp;A&amp;R&amp;"Times New Roman,Regular"Exhibit No.___(BDJ-7)
Page &amp;P of &amp;N</oddFooter>
  </headerFooter>
  <customProperties>
    <customPr name="_pios_id" r:id="rId2"/>
  </customPropertie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F42"/>
  <sheetViews>
    <sheetView zoomScaleNormal="10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activeCell="O7" sqref="O7"/>
    </sheetView>
  </sheetViews>
  <sheetFormatPr defaultColWidth="15.6640625" defaultRowHeight="10.199999999999999"/>
  <cols>
    <col min="1" max="1" width="4.44140625" style="392" bestFit="1" customWidth="1"/>
    <col min="2" max="2" width="12.33203125" style="392" bestFit="1" customWidth="1"/>
    <col min="3" max="3" width="18.33203125" style="392" bestFit="1" customWidth="1"/>
    <col min="4" max="4" width="10.6640625" style="392" bestFit="1" customWidth="1"/>
    <col min="5" max="5" width="9.88671875" style="392" bestFit="1" customWidth="1"/>
    <col min="6" max="6" width="10.6640625" style="392" bestFit="1" customWidth="1"/>
    <col min="7" max="7" width="13.33203125" style="392" bestFit="1" customWidth="1"/>
    <col min="8" max="10" width="9.44140625" style="392" bestFit="1" customWidth="1"/>
    <col min="11" max="12" width="11" style="392" bestFit="1" customWidth="1"/>
    <col min="13" max="14" width="11.33203125" style="392" bestFit="1" customWidth="1"/>
    <col min="15" max="15" width="10.88671875" style="392" bestFit="1" customWidth="1"/>
    <col min="16" max="18" width="9.44140625" style="392" bestFit="1" customWidth="1"/>
    <col min="19" max="19" width="14.44140625" style="392" bestFit="1" customWidth="1"/>
    <col min="20" max="20" width="12.6640625" style="392" bestFit="1" customWidth="1"/>
    <col min="21" max="21" width="0.88671875" style="392" customWidth="1"/>
    <col min="22" max="24" width="9.44140625" style="392" bestFit="1" customWidth="1"/>
    <col min="25" max="25" width="14.44140625" style="392" bestFit="1" customWidth="1"/>
    <col min="26" max="26" width="12.6640625" style="392" bestFit="1" customWidth="1"/>
    <col min="27" max="27" width="1.109375" style="392" customWidth="1"/>
    <col min="28" max="30" width="9.44140625" style="392" bestFit="1" customWidth="1"/>
    <col min="31" max="31" width="14.44140625" style="392" bestFit="1" customWidth="1"/>
    <col min="32" max="32" width="12.6640625" style="392" bestFit="1" customWidth="1"/>
    <col min="33" max="16384" width="15.6640625" style="392"/>
  </cols>
  <sheetData>
    <row r="1" spans="1:32" s="410" customFormat="1">
      <c r="A1" s="772" t="s">
        <v>0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  <c r="O1" s="772"/>
      <c r="P1" s="398"/>
      <c r="Q1" s="398"/>
      <c r="R1" s="398"/>
    </row>
    <row r="2" spans="1:32" s="410" customFormat="1">
      <c r="A2" s="773" t="s">
        <v>465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772"/>
      <c r="P2" s="398"/>
      <c r="Q2" s="398"/>
      <c r="R2" s="398"/>
    </row>
    <row r="3" spans="1:32" s="410" customFormat="1">
      <c r="A3" s="772" t="str">
        <f>+'Revenue By Sch TY'!A3</f>
        <v>Test Year ended June 2021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  <c r="O3" s="772"/>
      <c r="P3" s="398"/>
      <c r="Q3" s="398"/>
      <c r="R3" s="398"/>
    </row>
    <row r="4" spans="1:32" s="410" customFormat="1">
      <c r="A4" s="772"/>
      <c r="B4" s="772"/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2"/>
      <c r="N4" s="772"/>
      <c r="O4" s="772"/>
      <c r="P4" s="398"/>
      <c r="Q4" s="398"/>
      <c r="R4" s="398"/>
    </row>
    <row r="5" spans="1:32" s="410" customFormat="1">
      <c r="A5" s="411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409"/>
      <c r="N5" s="409"/>
      <c r="O5" s="409" t="s">
        <v>100</v>
      </c>
      <c r="P5" s="398"/>
      <c r="Q5" s="398"/>
      <c r="R5" s="398"/>
    </row>
    <row r="6" spans="1:32" s="410" customFormat="1" ht="61.2">
      <c r="A6" s="399" t="s">
        <v>2</v>
      </c>
      <c r="B6" s="399" t="s">
        <v>3</v>
      </c>
      <c r="C6" s="399" t="s">
        <v>31</v>
      </c>
      <c r="D6" s="400" t="s">
        <v>462</v>
      </c>
      <c r="E6" s="400" t="s">
        <v>463</v>
      </c>
      <c r="F6" s="400" t="s">
        <v>464</v>
      </c>
      <c r="G6" s="400" t="str">
        <f>+'Revenue By Sch TY'!D7</f>
        <v>Annual mWh
Delivered Sales 
YE 06-2021</v>
      </c>
      <c r="H6" s="400" t="s">
        <v>466</v>
      </c>
      <c r="I6" s="400" t="s">
        <v>467</v>
      </c>
      <c r="J6" s="400" t="s">
        <v>468</v>
      </c>
      <c r="K6" s="400" t="s">
        <v>487</v>
      </c>
      <c r="L6" s="400" t="s">
        <v>488</v>
      </c>
      <c r="M6" s="400" t="s">
        <v>489</v>
      </c>
      <c r="N6" s="400" t="s">
        <v>490</v>
      </c>
      <c r="O6" s="400" t="s">
        <v>491</v>
      </c>
      <c r="P6" s="400" t="s">
        <v>516</v>
      </c>
      <c r="Q6" s="400" t="s">
        <v>517</v>
      </c>
      <c r="R6" s="400" t="s">
        <v>518</v>
      </c>
      <c r="S6" s="400" t="s">
        <v>492</v>
      </c>
      <c r="T6" s="400" t="s">
        <v>493</v>
      </c>
      <c r="V6" s="400" t="s">
        <v>697</v>
      </c>
      <c r="W6" s="400" t="s">
        <v>698</v>
      </c>
      <c r="X6" s="400" t="s">
        <v>699</v>
      </c>
      <c r="Y6" s="400" t="s">
        <v>700</v>
      </c>
      <c r="Z6" s="400" t="s">
        <v>701</v>
      </c>
      <c r="AB6" s="428" t="s">
        <v>702</v>
      </c>
      <c r="AC6" s="428" t="s">
        <v>703</v>
      </c>
      <c r="AD6" s="428" t="s">
        <v>704</v>
      </c>
      <c r="AE6" s="428" t="s">
        <v>705</v>
      </c>
      <c r="AF6" s="428" t="s">
        <v>706</v>
      </c>
    </row>
    <row r="7" spans="1:32">
      <c r="A7" s="386">
        <v>1</v>
      </c>
      <c r="B7" s="386">
        <v>7</v>
      </c>
      <c r="C7" s="387"/>
      <c r="D7" s="388"/>
      <c r="E7" s="388"/>
      <c r="F7" s="388"/>
      <c r="G7" s="388">
        <f>SUM(D7:F7)</f>
        <v>0</v>
      </c>
      <c r="H7" s="388"/>
      <c r="I7" s="388"/>
      <c r="J7" s="388"/>
      <c r="K7" s="388"/>
      <c r="L7" s="388"/>
      <c r="M7" s="388"/>
      <c r="N7" s="388"/>
      <c r="O7" s="403">
        <f t="shared" ref="O7:O8" si="0">ROUND(D7*H7+E7*I7+F7*J7+K7*M7+L7*N7,-3)/1000</f>
        <v>0</v>
      </c>
      <c r="P7" s="388"/>
      <c r="Q7" s="388"/>
      <c r="R7" s="388"/>
      <c r="S7" s="388"/>
      <c r="T7" s="403">
        <f>ROUND($D7*P7+$E7*Q7+$F7*R7+$G7*S7,-3)/1000</f>
        <v>0</v>
      </c>
      <c r="V7" s="388"/>
      <c r="W7" s="388"/>
      <c r="X7" s="388"/>
      <c r="Y7" s="388"/>
      <c r="Z7" s="403">
        <f>ROUND($D7*V7+$E7*W7+$F7*X7+$G7*Y7,-3)/1000</f>
        <v>0</v>
      </c>
      <c r="AB7" s="388"/>
      <c r="AC7" s="388"/>
      <c r="AD7" s="388"/>
      <c r="AE7" s="388"/>
      <c r="AF7" s="403"/>
    </row>
    <row r="8" spans="1:32">
      <c r="A8" s="386">
        <f t="shared" ref="A8:A40" si="1">+A7+1</f>
        <v>2</v>
      </c>
      <c r="B8" s="389" t="s">
        <v>10</v>
      </c>
      <c r="C8" s="387"/>
      <c r="D8" s="388"/>
      <c r="E8" s="388"/>
      <c r="F8" s="388"/>
      <c r="G8" s="388">
        <v>0</v>
      </c>
      <c r="H8" s="388"/>
      <c r="I8" s="388"/>
      <c r="J8" s="388"/>
      <c r="K8" s="388"/>
      <c r="L8" s="388"/>
      <c r="M8" s="388"/>
      <c r="N8" s="388"/>
      <c r="O8" s="403">
        <f t="shared" si="0"/>
        <v>0</v>
      </c>
      <c r="P8" s="388"/>
      <c r="Q8" s="388"/>
      <c r="R8" s="388"/>
      <c r="S8" s="388"/>
      <c r="T8" s="403">
        <f t="shared" ref="T8" si="2">ROUND(D8*P8+E8*Q8+F8*R8+G8*S8,-3)/1000</f>
        <v>0</v>
      </c>
      <c r="V8" s="388"/>
      <c r="W8" s="388"/>
      <c r="X8" s="388"/>
      <c r="Y8" s="388"/>
      <c r="Z8" s="403">
        <f>ROUND($D8*V8+$E8*W8+$F8*X8+$G8*Y8,-3)/1000</f>
        <v>0</v>
      </c>
      <c r="AB8" s="388"/>
      <c r="AC8" s="388"/>
      <c r="AD8" s="388"/>
      <c r="AE8" s="388"/>
      <c r="AF8" s="403"/>
    </row>
    <row r="9" spans="1:32">
      <c r="A9" s="386">
        <f t="shared" si="1"/>
        <v>3</v>
      </c>
      <c r="B9" s="386"/>
      <c r="C9" s="387" t="s">
        <v>11</v>
      </c>
      <c r="D9" s="390">
        <f t="shared" ref="D9:F9" si="3">SUM(D7:D8)</f>
        <v>0</v>
      </c>
      <c r="E9" s="390">
        <f t="shared" si="3"/>
        <v>0</v>
      </c>
      <c r="F9" s="390">
        <f t="shared" si="3"/>
        <v>0</v>
      </c>
      <c r="G9" s="390">
        <f>SUM(G7:G8)</f>
        <v>0</v>
      </c>
      <c r="H9" s="390"/>
      <c r="I9" s="390"/>
      <c r="J9" s="390"/>
      <c r="K9" s="390">
        <f t="shared" ref="K9:L9" si="4">SUM(K7:K8)</f>
        <v>0</v>
      </c>
      <c r="L9" s="390">
        <f t="shared" si="4"/>
        <v>0</v>
      </c>
      <c r="M9" s="390"/>
      <c r="N9" s="390"/>
      <c r="O9" s="405">
        <f t="shared" ref="O9:T9" si="5">SUM(O7:O8)</f>
        <v>0</v>
      </c>
      <c r="P9" s="390"/>
      <c r="Q9" s="390"/>
      <c r="R9" s="390"/>
      <c r="S9" s="390"/>
      <c r="T9" s="405">
        <f t="shared" si="5"/>
        <v>0</v>
      </c>
      <c r="V9" s="390"/>
      <c r="W9" s="390"/>
      <c r="X9" s="390"/>
      <c r="Y9" s="390"/>
      <c r="Z9" s="405">
        <f t="shared" ref="Z9" si="6">SUM(Z7:Z8)</f>
        <v>0</v>
      </c>
      <c r="AB9" s="390"/>
      <c r="AC9" s="390"/>
      <c r="AD9" s="390"/>
      <c r="AE9" s="390"/>
      <c r="AF9" s="405"/>
    </row>
    <row r="10" spans="1:32">
      <c r="A10" s="386">
        <f t="shared" si="1"/>
        <v>4</v>
      </c>
      <c r="B10" s="386"/>
      <c r="C10" s="387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403"/>
      <c r="P10" s="388"/>
      <c r="Q10" s="388"/>
      <c r="R10" s="388"/>
      <c r="S10" s="388"/>
      <c r="T10" s="403"/>
      <c r="V10" s="388"/>
      <c r="W10" s="388"/>
      <c r="X10" s="388"/>
      <c r="Y10" s="388"/>
      <c r="Z10" s="403"/>
      <c r="AB10" s="388"/>
      <c r="AC10" s="388"/>
      <c r="AD10" s="388"/>
      <c r="AE10" s="388"/>
      <c r="AF10" s="403"/>
    </row>
    <row r="11" spans="1:32">
      <c r="A11" s="386">
        <f t="shared" si="1"/>
        <v>5</v>
      </c>
      <c r="B11" s="386">
        <v>8</v>
      </c>
      <c r="C11" s="387"/>
      <c r="D11" s="388"/>
      <c r="E11" s="388"/>
      <c r="F11" s="388"/>
      <c r="G11" s="388">
        <f t="shared" ref="G11:G17" si="7">SUM(D11:F11)</f>
        <v>0</v>
      </c>
      <c r="H11" s="388"/>
      <c r="I11" s="388"/>
      <c r="J11" s="388"/>
      <c r="K11" s="388"/>
      <c r="L11" s="388"/>
      <c r="M11" s="402"/>
      <c r="N11" s="388"/>
      <c r="O11" s="403">
        <f t="shared" ref="O11" si="8">ROUND(D11*H11+E11*I11+F11*J11+K11*M11+L11*N11,-3)/1000</f>
        <v>0</v>
      </c>
      <c r="P11" s="388"/>
      <c r="Q11" s="388"/>
      <c r="R11" s="388"/>
      <c r="S11" s="388"/>
      <c r="T11" s="403">
        <f>ROUND(D11*P11+E11*Q11+F11*R11+G11*S11,-3)/1000</f>
        <v>0</v>
      </c>
      <c r="V11" s="388"/>
      <c r="W11" s="388"/>
      <c r="X11" s="388"/>
      <c r="Y11" s="388"/>
      <c r="Z11" s="403">
        <f t="shared" ref="Z11:Z17" si="9">ROUND($D11*V11+$E11*W11+$F11*X11+$G11*Y11,-3)/1000</f>
        <v>0</v>
      </c>
      <c r="AB11" s="388"/>
      <c r="AC11" s="388"/>
      <c r="AD11" s="388"/>
      <c r="AE11" s="388"/>
      <c r="AF11" s="403"/>
    </row>
    <row r="12" spans="1:32">
      <c r="A12" s="386">
        <f t="shared" si="1"/>
        <v>6</v>
      </c>
      <c r="B12" s="386">
        <v>24</v>
      </c>
      <c r="C12" s="387"/>
      <c r="D12" s="388">
        <v>35151999.691</v>
      </c>
      <c r="E12" s="388">
        <v>3071183.0340000005</v>
      </c>
      <c r="F12" s="388">
        <v>46244444.485999994</v>
      </c>
      <c r="G12" s="388">
        <f t="shared" si="7"/>
        <v>84467627.210999995</v>
      </c>
      <c r="H12" s="402">
        <v>4.5429999999999998E-2</v>
      </c>
      <c r="I12" s="402">
        <v>4.5159999999999999E-2</v>
      </c>
      <c r="J12" s="402">
        <v>4.4970000000000003E-2</v>
      </c>
      <c r="K12" s="388">
        <v>33498800.010999996</v>
      </c>
      <c r="L12" s="388">
        <v>50968827.200000003</v>
      </c>
      <c r="M12" s="402">
        <f>+N12-0.000581</f>
        <v>-4.0198999999999999E-2</v>
      </c>
      <c r="N12" s="402">
        <v>-3.9618E-2</v>
      </c>
      <c r="O12" s="403">
        <f>ROUND(D12*H12+E12*I12+F12*J12+K12*M12+L12*N12,-3)/1000</f>
        <v>449</v>
      </c>
      <c r="P12" s="402">
        <v>4.6339999999999999E-2</v>
      </c>
      <c r="Q12" s="402">
        <v>4.6059999999999997E-2</v>
      </c>
      <c r="R12" s="402">
        <v>4.5870000000000001E-2</v>
      </c>
      <c r="S12" s="708">
        <v>-4.7826E-2</v>
      </c>
      <c r="T12" s="403">
        <f>ROUND(D12*P12+E12*Q12+F12*R12+G12*S12,-3)/1000</f>
        <v>-148</v>
      </c>
      <c r="V12" s="402">
        <v>4.727E-2</v>
      </c>
      <c r="W12" s="402">
        <v>4.6980000000000001E-2</v>
      </c>
      <c r="X12" s="402">
        <v>4.6789999999999998E-2</v>
      </c>
      <c r="Y12" s="708">
        <v>-4.8783E-2</v>
      </c>
      <c r="Z12" s="403">
        <f t="shared" si="9"/>
        <v>-151</v>
      </c>
      <c r="AB12" s="402"/>
      <c r="AC12" s="402"/>
      <c r="AD12" s="402"/>
      <c r="AE12" s="402"/>
      <c r="AF12" s="403"/>
    </row>
    <row r="13" spans="1:32">
      <c r="A13" s="386">
        <f t="shared" si="1"/>
        <v>7</v>
      </c>
      <c r="B13" s="389">
        <v>11</v>
      </c>
      <c r="C13" s="387"/>
      <c r="D13" s="388"/>
      <c r="E13" s="388"/>
      <c r="F13" s="388"/>
      <c r="G13" s="388">
        <f t="shared" si="7"/>
        <v>0</v>
      </c>
      <c r="H13" s="402"/>
      <c r="I13" s="402"/>
      <c r="J13" s="402"/>
      <c r="K13" s="388"/>
      <c r="L13" s="388"/>
      <c r="M13" s="402"/>
      <c r="N13" s="402"/>
      <c r="O13" s="403">
        <f t="shared" ref="O13:O17" si="10">ROUND(D13*H13+E13*I13+F13*J13+K13*M13+L13*N13,-3)/1000</f>
        <v>0</v>
      </c>
      <c r="P13" s="402"/>
      <c r="Q13" s="402"/>
      <c r="R13" s="402"/>
      <c r="S13" s="708"/>
      <c r="T13" s="403">
        <f t="shared" ref="T13:T17" si="11">ROUND(D13*P13+E13*Q13+F13*R13+G13*S13,-3)/1000</f>
        <v>0</v>
      </c>
      <c r="V13" s="402"/>
      <c r="W13" s="402"/>
      <c r="X13" s="402"/>
      <c r="Y13" s="708"/>
      <c r="Z13" s="403">
        <f t="shared" si="9"/>
        <v>0</v>
      </c>
      <c r="AB13" s="402"/>
      <c r="AC13" s="402"/>
      <c r="AD13" s="402"/>
      <c r="AE13" s="402"/>
      <c r="AF13" s="403"/>
    </row>
    <row r="14" spans="1:32">
      <c r="A14" s="386">
        <f t="shared" si="1"/>
        <v>8</v>
      </c>
      <c r="B14" s="389">
        <v>25</v>
      </c>
      <c r="C14" s="387"/>
      <c r="D14" s="388">
        <v>55952940.548999995</v>
      </c>
      <c r="E14" s="388">
        <v>22662635.780000001</v>
      </c>
      <c r="F14" s="388">
        <v>47236786.548</v>
      </c>
      <c r="G14" s="388">
        <f t="shared" si="7"/>
        <v>125852362.877</v>
      </c>
      <c r="H14" s="402">
        <f>+H$12</f>
        <v>4.5429999999999998E-2</v>
      </c>
      <c r="I14" s="402">
        <f t="shared" ref="I14:S16" si="12">+I$12</f>
        <v>4.5159999999999999E-2</v>
      </c>
      <c r="J14" s="402">
        <f t="shared" si="12"/>
        <v>4.4970000000000003E-2</v>
      </c>
      <c r="K14" s="388">
        <v>66061174.435999997</v>
      </c>
      <c r="L14" s="388">
        <v>59791188.441</v>
      </c>
      <c r="M14" s="402">
        <f t="shared" si="12"/>
        <v>-4.0198999999999999E-2</v>
      </c>
      <c r="N14" s="402">
        <f t="shared" si="12"/>
        <v>-3.9618E-2</v>
      </c>
      <c r="O14" s="403">
        <f t="shared" si="10"/>
        <v>665</v>
      </c>
      <c r="P14" s="402">
        <f>+P$12</f>
        <v>4.6339999999999999E-2</v>
      </c>
      <c r="Q14" s="402">
        <f t="shared" si="12"/>
        <v>4.6059999999999997E-2</v>
      </c>
      <c r="R14" s="402">
        <f t="shared" si="12"/>
        <v>4.5870000000000001E-2</v>
      </c>
      <c r="S14" s="708">
        <f t="shared" si="12"/>
        <v>-4.7826E-2</v>
      </c>
      <c r="T14" s="403">
        <f t="shared" si="11"/>
        <v>-216</v>
      </c>
      <c r="V14" s="402">
        <f>+V$12</f>
        <v>4.727E-2</v>
      </c>
      <c r="W14" s="402">
        <f t="shared" ref="W14:Y16" si="13">+W$12</f>
        <v>4.6980000000000001E-2</v>
      </c>
      <c r="X14" s="402">
        <f t="shared" si="13"/>
        <v>4.6789999999999998E-2</v>
      </c>
      <c r="Y14" s="708">
        <f t="shared" si="13"/>
        <v>-4.8783E-2</v>
      </c>
      <c r="Z14" s="403">
        <f t="shared" si="9"/>
        <v>-220</v>
      </c>
      <c r="AB14" s="402"/>
      <c r="AC14" s="402"/>
      <c r="AD14" s="402"/>
      <c r="AE14" s="402"/>
      <c r="AF14" s="403"/>
    </row>
    <row r="15" spans="1:32">
      <c r="A15" s="386">
        <f t="shared" si="1"/>
        <v>9</v>
      </c>
      <c r="B15" s="386">
        <v>12</v>
      </c>
      <c r="C15" s="387"/>
      <c r="D15" s="388"/>
      <c r="E15" s="388"/>
      <c r="F15" s="388"/>
      <c r="G15" s="388">
        <f t="shared" si="7"/>
        <v>0</v>
      </c>
      <c r="H15" s="402"/>
      <c r="I15" s="402"/>
      <c r="J15" s="402"/>
      <c r="K15" s="388"/>
      <c r="L15" s="388"/>
      <c r="M15" s="402"/>
      <c r="N15" s="402"/>
      <c r="O15" s="403">
        <f t="shared" si="10"/>
        <v>0</v>
      </c>
      <c r="P15" s="402"/>
      <c r="Q15" s="402"/>
      <c r="R15" s="402"/>
      <c r="S15" s="708"/>
      <c r="T15" s="403">
        <f t="shared" si="11"/>
        <v>0</v>
      </c>
      <c r="V15" s="402"/>
      <c r="W15" s="402"/>
      <c r="X15" s="402"/>
      <c r="Y15" s="708"/>
      <c r="Z15" s="403">
        <f t="shared" si="9"/>
        <v>0</v>
      </c>
      <c r="AB15" s="402"/>
      <c r="AC15" s="402"/>
      <c r="AD15" s="402"/>
      <c r="AE15" s="402"/>
      <c r="AF15" s="403"/>
    </row>
    <row r="16" spans="1:32">
      <c r="A16" s="386">
        <f t="shared" si="1"/>
        <v>10</v>
      </c>
      <c r="B16" s="386" t="s">
        <v>12</v>
      </c>
      <c r="C16" s="387"/>
      <c r="D16" s="388">
        <v>149745476.727</v>
      </c>
      <c r="E16" s="388">
        <v>27849300</v>
      </c>
      <c r="F16" s="388">
        <v>44925321</v>
      </c>
      <c r="G16" s="388">
        <f t="shared" si="7"/>
        <v>222520097.727</v>
      </c>
      <c r="H16" s="402">
        <f>+H$12</f>
        <v>4.5429999999999998E-2</v>
      </c>
      <c r="I16" s="402">
        <f t="shared" si="12"/>
        <v>4.5159999999999999E-2</v>
      </c>
      <c r="J16" s="402">
        <f t="shared" si="12"/>
        <v>4.4970000000000003E-2</v>
      </c>
      <c r="K16" s="388">
        <v>59827916.727000006</v>
      </c>
      <c r="L16" s="388">
        <v>162692181</v>
      </c>
      <c r="M16" s="402">
        <f t="shared" si="12"/>
        <v>-4.0198999999999999E-2</v>
      </c>
      <c r="N16" s="402">
        <f t="shared" si="12"/>
        <v>-3.9618E-2</v>
      </c>
      <c r="O16" s="403">
        <f t="shared" si="10"/>
        <v>1230</v>
      </c>
      <c r="P16" s="402">
        <f>+P$12</f>
        <v>4.6339999999999999E-2</v>
      </c>
      <c r="Q16" s="402">
        <f t="shared" si="12"/>
        <v>4.6059999999999997E-2</v>
      </c>
      <c r="R16" s="402">
        <f t="shared" si="12"/>
        <v>4.5870000000000001E-2</v>
      </c>
      <c r="S16" s="708">
        <f t="shared" si="12"/>
        <v>-4.7826E-2</v>
      </c>
      <c r="T16" s="403">
        <f t="shared" si="11"/>
        <v>-360</v>
      </c>
      <c r="V16" s="402">
        <f>+V$12</f>
        <v>4.727E-2</v>
      </c>
      <c r="W16" s="402">
        <f t="shared" si="13"/>
        <v>4.6980000000000001E-2</v>
      </c>
      <c r="X16" s="402">
        <f t="shared" si="13"/>
        <v>4.6789999999999998E-2</v>
      </c>
      <c r="Y16" s="708">
        <f t="shared" si="13"/>
        <v>-4.8783E-2</v>
      </c>
      <c r="Z16" s="403">
        <f t="shared" si="9"/>
        <v>-366</v>
      </c>
      <c r="AB16" s="402"/>
      <c r="AC16" s="402"/>
      <c r="AD16" s="402"/>
      <c r="AE16" s="402"/>
      <c r="AF16" s="403"/>
    </row>
    <row r="17" spans="1:32">
      <c r="A17" s="386">
        <f t="shared" si="1"/>
        <v>11</v>
      </c>
      <c r="B17" s="386">
        <v>29</v>
      </c>
      <c r="C17" s="387"/>
      <c r="D17" s="388"/>
      <c r="E17" s="388"/>
      <c r="F17" s="388"/>
      <c r="G17" s="388">
        <f t="shared" si="7"/>
        <v>0</v>
      </c>
      <c r="H17" s="402"/>
      <c r="I17" s="402"/>
      <c r="J17" s="402"/>
      <c r="K17" s="388"/>
      <c r="L17" s="388"/>
      <c r="M17" s="402"/>
      <c r="N17" s="402"/>
      <c r="O17" s="403">
        <f t="shared" si="10"/>
        <v>0</v>
      </c>
      <c r="P17" s="402"/>
      <c r="Q17" s="402"/>
      <c r="R17" s="402"/>
      <c r="S17" s="708"/>
      <c r="T17" s="403">
        <f t="shared" si="11"/>
        <v>0</v>
      </c>
      <c r="V17" s="402"/>
      <c r="W17" s="402"/>
      <c r="X17" s="402"/>
      <c r="Y17" s="708"/>
      <c r="Z17" s="403">
        <f t="shared" si="9"/>
        <v>0</v>
      </c>
      <c r="AB17" s="402"/>
      <c r="AC17" s="402"/>
      <c r="AD17" s="402"/>
      <c r="AE17" s="402"/>
      <c r="AF17" s="403"/>
    </row>
    <row r="18" spans="1:32">
      <c r="A18" s="386">
        <f t="shared" si="1"/>
        <v>12</v>
      </c>
      <c r="B18" s="386"/>
      <c r="C18" s="391" t="s">
        <v>13</v>
      </c>
      <c r="D18" s="390">
        <f t="shared" ref="D18" si="14">SUM(D11:D17)</f>
        <v>240850416.96700001</v>
      </c>
      <c r="E18" s="390">
        <f t="shared" ref="E18" si="15">SUM(E11:E17)</f>
        <v>53583118.814000003</v>
      </c>
      <c r="F18" s="390">
        <f t="shared" ref="F18" si="16">SUM(F11:F17)</f>
        <v>138406552.03399998</v>
      </c>
      <c r="G18" s="390">
        <f>SUM(G11:G17)</f>
        <v>432840087.815</v>
      </c>
      <c r="H18" s="404"/>
      <c r="I18" s="404"/>
      <c r="J18" s="404"/>
      <c r="K18" s="390">
        <f>SUM(K11:K17)</f>
        <v>159387891.17399999</v>
      </c>
      <c r="L18" s="390">
        <f>SUM(L11:L17)</f>
        <v>273452196.64100003</v>
      </c>
      <c r="M18" s="404"/>
      <c r="N18" s="404"/>
      <c r="O18" s="405">
        <f t="shared" ref="O18:T18" si="17">SUM(O11:O17)</f>
        <v>2344</v>
      </c>
      <c r="P18" s="404"/>
      <c r="Q18" s="404"/>
      <c r="R18" s="404"/>
      <c r="S18" s="709"/>
      <c r="T18" s="405">
        <f t="shared" si="17"/>
        <v>-724</v>
      </c>
      <c r="V18" s="404"/>
      <c r="W18" s="404"/>
      <c r="X18" s="404"/>
      <c r="Y18" s="709"/>
      <c r="Z18" s="405">
        <f t="shared" ref="Z18" si="18">SUM(Z11:Z17)</f>
        <v>-737</v>
      </c>
      <c r="AB18" s="404"/>
      <c r="AC18" s="404"/>
      <c r="AD18" s="404"/>
      <c r="AE18" s="404"/>
      <c r="AF18" s="405"/>
    </row>
    <row r="19" spans="1:32">
      <c r="A19" s="386">
        <f t="shared" si="1"/>
        <v>13</v>
      </c>
      <c r="B19" s="386"/>
      <c r="C19" s="387"/>
      <c r="D19" s="388"/>
      <c r="E19" s="388"/>
      <c r="F19" s="388"/>
      <c r="G19" s="388"/>
      <c r="H19" s="402"/>
      <c r="I19" s="402"/>
      <c r="J19" s="402"/>
      <c r="K19" s="388"/>
      <c r="L19" s="388"/>
      <c r="M19" s="402"/>
      <c r="N19" s="402"/>
      <c r="O19" s="403"/>
      <c r="P19" s="402"/>
      <c r="Q19" s="402"/>
      <c r="R19" s="402"/>
      <c r="S19" s="708"/>
      <c r="T19" s="403"/>
      <c r="V19" s="402"/>
      <c r="W19" s="402"/>
      <c r="X19" s="402"/>
      <c r="Y19" s="708"/>
      <c r="Z19" s="403"/>
      <c r="AB19" s="402"/>
      <c r="AC19" s="402"/>
      <c r="AD19" s="402"/>
      <c r="AE19" s="402"/>
      <c r="AF19" s="403"/>
    </row>
    <row r="20" spans="1:32">
      <c r="A20" s="386">
        <f t="shared" si="1"/>
        <v>14</v>
      </c>
      <c r="B20" s="386">
        <v>10</v>
      </c>
      <c r="C20" s="387"/>
      <c r="D20" s="388"/>
      <c r="E20" s="388"/>
      <c r="F20" s="388"/>
      <c r="G20" s="388">
        <f>SUM(D20:F20)</f>
        <v>0</v>
      </c>
      <c r="H20" s="402"/>
      <c r="I20" s="402"/>
      <c r="J20" s="402"/>
      <c r="K20" s="388"/>
      <c r="L20" s="388"/>
      <c r="M20" s="402"/>
      <c r="N20" s="402"/>
      <c r="O20" s="403">
        <f t="shared" ref="O20:O23" si="19">ROUND(D20*H20+E20*I20+F20*J20+K20*M20+L20*N20,-3)/1000</f>
        <v>0</v>
      </c>
      <c r="P20" s="402"/>
      <c r="Q20" s="402"/>
      <c r="R20" s="402"/>
      <c r="S20" s="708"/>
      <c r="T20" s="403">
        <f t="shared" ref="T20:T23" si="20">ROUND(D20*P20+E20*Q20+F20*R20+G20*S20,-3)/1000</f>
        <v>0</v>
      </c>
      <c r="V20" s="402"/>
      <c r="W20" s="402"/>
      <c r="X20" s="402"/>
      <c r="Y20" s="708"/>
      <c r="Z20" s="403">
        <f t="shared" ref="Z20:Z23" si="21">ROUND($D20*V20+$E20*W20+$F20*X20+$G20*Y20,-3)/1000</f>
        <v>0</v>
      </c>
      <c r="AB20" s="402"/>
      <c r="AC20" s="402"/>
      <c r="AD20" s="402"/>
      <c r="AE20" s="402"/>
      <c r="AF20" s="403"/>
    </row>
    <row r="21" spans="1:32">
      <c r="A21" s="386">
        <f t="shared" si="1"/>
        <v>15</v>
      </c>
      <c r="B21" s="386">
        <v>31</v>
      </c>
      <c r="C21" s="387"/>
      <c r="D21" s="388">
        <v>68616747.640000001</v>
      </c>
      <c r="E21" s="388">
        <v>7191900</v>
      </c>
      <c r="F21" s="388">
        <v>25245156.715999998</v>
      </c>
      <c r="G21" s="388">
        <f>SUM(D21:F21)</f>
        <v>101053804.35600001</v>
      </c>
      <c r="H21" s="402">
        <f>+H$12</f>
        <v>4.5429999999999998E-2</v>
      </c>
      <c r="I21" s="402">
        <f t="shared" ref="I21:S21" si="22">+I$12</f>
        <v>4.5159999999999999E-2</v>
      </c>
      <c r="J21" s="402">
        <f t="shared" si="22"/>
        <v>4.4970000000000003E-2</v>
      </c>
      <c r="K21" s="388">
        <v>46992804.355999999</v>
      </c>
      <c r="L21" s="388">
        <v>54061000</v>
      </c>
      <c r="M21" s="402">
        <f t="shared" si="22"/>
        <v>-4.0198999999999999E-2</v>
      </c>
      <c r="N21" s="402">
        <f t="shared" si="22"/>
        <v>-3.9618E-2</v>
      </c>
      <c r="O21" s="403">
        <f t="shared" si="19"/>
        <v>546</v>
      </c>
      <c r="P21" s="402">
        <f>+P$12</f>
        <v>4.6339999999999999E-2</v>
      </c>
      <c r="Q21" s="402">
        <f t="shared" si="22"/>
        <v>4.6059999999999997E-2</v>
      </c>
      <c r="R21" s="402">
        <f t="shared" si="22"/>
        <v>4.5870000000000001E-2</v>
      </c>
      <c r="S21" s="708">
        <f t="shared" si="22"/>
        <v>-4.7826E-2</v>
      </c>
      <c r="T21" s="403">
        <f t="shared" si="20"/>
        <v>-164</v>
      </c>
      <c r="V21" s="402">
        <f>+V$12</f>
        <v>4.727E-2</v>
      </c>
      <c r="W21" s="402">
        <f t="shared" ref="W21:Y21" si="23">+W$12</f>
        <v>4.6980000000000001E-2</v>
      </c>
      <c r="X21" s="402">
        <f t="shared" si="23"/>
        <v>4.6789999999999998E-2</v>
      </c>
      <c r="Y21" s="708">
        <f t="shared" si="23"/>
        <v>-4.8783E-2</v>
      </c>
      <c r="Z21" s="403">
        <f t="shared" si="21"/>
        <v>-167</v>
      </c>
      <c r="AB21" s="402"/>
      <c r="AC21" s="402"/>
      <c r="AD21" s="402"/>
      <c r="AE21" s="402"/>
      <c r="AF21" s="403"/>
    </row>
    <row r="22" spans="1:32">
      <c r="A22" s="386">
        <f t="shared" si="1"/>
        <v>16</v>
      </c>
      <c r="B22" s="386">
        <v>35</v>
      </c>
      <c r="C22" s="387"/>
      <c r="D22" s="388"/>
      <c r="E22" s="388"/>
      <c r="F22" s="388"/>
      <c r="G22" s="388">
        <f>SUM(D22:F22)</f>
        <v>0</v>
      </c>
      <c r="H22" s="402"/>
      <c r="I22" s="402"/>
      <c r="J22" s="402"/>
      <c r="K22" s="388"/>
      <c r="L22" s="388"/>
      <c r="M22" s="402"/>
      <c r="N22" s="402"/>
      <c r="O22" s="403">
        <f t="shared" si="19"/>
        <v>0</v>
      </c>
      <c r="P22" s="402"/>
      <c r="Q22" s="402"/>
      <c r="R22" s="402"/>
      <c r="S22" s="708"/>
      <c r="T22" s="403">
        <f t="shared" si="20"/>
        <v>0</v>
      </c>
      <c r="V22" s="402"/>
      <c r="W22" s="402"/>
      <c r="X22" s="402"/>
      <c r="Y22" s="708"/>
      <c r="Z22" s="403">
        <f t="shared" si="21"/>
        <v>0</v>
      </c>
      <c r="AB22" s="402"/>
      <c r="AC22" s="402"/>
      <c r="AD22" s="402"/>
      <c r="AE22" s="402"/>
      <c r="AF22" s="403"/>
    </row>
    <row r="23" spans="1:32">
      <c r="A23" s="386">
        <f t="shared" si="1"/>
        <v>17</v>
      </c>
      <c r="B23" s="386">
        <v>43</v>
      </c>
      <c r="C23" s="387"/>
      <c r="D23" s="388">
        <v>6773510.0999999996</v>
      </c>
      <c r="E23" s="388">
        <v>0</v>
      </c>
      <c r="F23" s="388">
        <v>0</v>
      </c>
      <c r="G23" s="388">
        <f>SUM(D23:F23)</f>
        <v>6773510.0999999996</v>
      </c>
      <c r="H23" s="402">
        <f>+H$12</f>
        <v>4.5429999999999998E-2</v>
      </c>
      <c r="I23" s="402">
        <f t="shared" ref="I23:S23" si="24">+I$12</f>
        <v>4.5159999999999999E-2</v>
      </c>
      <c r="J23" s="402">
        <f t="shared" si="24"/>
        <v>4.4970000000000003E-2</v>
      </c>
      <c r="K23" s="388">
        <v>0</v>
      </c>
      <c r="L23" s="388">
        <v>6773510.0999999996</v>
      </c>
      <c r="M23" s="402">
        <f t="shared" si="24"/>
        <v>-4.0198999999999999E-2</v>
      </c>
      <c r="N23" s="402">
        <f t="shared" si="24"/>
        <v>-3.9618E-2</v>
      </c>
      <c r="O23" s="403">
        <f t="shared" si="19"/>
        <v>39</v>
      </c>
      <c r="P23" s="402">
        <f>+P$12</f>
        <v>4.6339999999999999E-2</v>
      </c>
      <c r="Q23" s="402">
        <f t="shared" si="24"/>
        <v>4.6059999999999997E-2</v>
      </c>
      <c r="R23" s="402">
        <f t="shared" si="24"/>
        <v>4.5870000000000001E-2</v>
      </c>
      <c r="S23" s="708">
        <f t="shared" si="24"/>
        <v>-4.7826E-2</v>
      </c>
      <c r="T23" s="403">
        <f t="shared" si="20"/>
        <v>-10</v>
      </c>
      <c r="V23" s="402">
        <f>+V$12</f>
        <v>4.727E-2</v>
      </c>
      <c r="W23" s="402">
        <f t="shared" ref="W23:Y23" si="25">+W$12</f>
        <v>4.6980000000000001E-2</v>
      </c>
      <c r="X23" s="402">
        <f t="shared" si="25"/>
        <v>4.6789999999999998E-2</v>
      </c>
      <c r="Y23" s="708">
        <f t="shared" si="25"/>
        <v>-4.8783E-2</v>
      </c>
      <c r="Z23" s="403">
        <f t="shared" si="21"/>
        <v>-10</v>
      </c>
      <c r="AB23" s="402"/>
      <c r="AC23" s="402"/>
      <c r="AD23" s="402"/>
      <c r="AE23" s="402"/>
      <c r="AF23" s="403"/>
    </row>
    <row r="24" spans="1:32">
      <c r="A24" s="386">
        <f t="shared" si="1"/>
        <v>18</v>
      </c>
      <c r="B24" s="386"/>
      <c r="C24" s="387" t="s">
        <v>14</v>
      </c>
      <c r="D24" s="390">
        <f t="shared" ref="D24" si="26">SUM(D20:D23)</f>
        <v>75390257.739999995</v>
      </c>
      <c r="E24" s="390">
        <f t="shared" ref="E24" si="27">SUM(E20:E23)</f>
        <v>7191900</v>
      </c>
      <c r="F24" s="390">
        <f t="shared" ref="F24" si="28">SUM(F20:F23)</f>
        <v>25245156.715999998</v>
      </c>
      <c r="G24" s="390">
        <f>SUM(G20:G23)</f>
        <v>107827314.456</v>
      </c>
      <c r="H24" s="404"/>
      <c r="I24" s="404"/>
      <c r="J24" s="404"/>
      <c r="K24" s="390">
        <f t="shared" ref="K24:L24" si="29">SUM(K20:K23)</f>
        <v>46992804.355999999</v>
      </c>
      <c r="L24" s="390">
        <f t="shared" si="29"/>
        <v>60834510.100000001</v>
      </c>
      <c r="M24" s="404"/>
      <c r="N24" s="404"/>
      <c r="O24" s="405">
        <f t="shared" ref="O24:T24" si="30">SUM(O20:O23)</f>
        <v>585</v>
      </c>
      <c r="P24" s="404"/>
      <c r="Q24" s="404"/>
      <c r="R24" s="404"/>
      <c r="S24" s="709"/>
      <c r="T24" s="405">
        <f t="shared" si="30"/>
        <v>-174</v>
      </c>
      <c r="V24" s="404"/>
      <c r="W24" s="404"/>
      <c r="X24" s="404"/>
      <c r="Y24" s="709"/>
      <c r="Z24" s="405">
        <f t="shared" ref="Z24" si="31">SUM(Z20:Z23)</f>
        <v>-177</v>
      </c>
      <c r="AB24" s="404"/>
      <c r="AC24" s="404"/>
      <c r="AD24" s="404"/>
      <c r="AE24" s="404"/>
      <c r="AF24" s="405"/>
    </row>
    <row r="25" spans="1:32">
      <c r="A25" s="386">
        <f t="shared" si="1"/>
        <v>19</v>
      </c>
      <c r="B25" s="386"/>
      <c r="C25" s="387"/>
      <c r="D25" s="388"/>
      <c r="E25" s="388"/>
      <c r="F25" s="388"/>
      <c r="G25" s="388"/>
      <c r="H25" s="402"/>
      <c r="I25" s="402"/>
      <c r="J25" s="402"/>
      <c r="K25" s="388"/>
      <c r="L25" s="388"/>
      <c r="M25" s="402"/>
      <c r="N25" s="402"/>
      <c r="O25" s="403"/>
      <c r="P25" s="402"/>
      <c r="Q25" s="402"/>
      <c r="R25" s="402"/>
      <c r="S25" s="708"/>
      <c r="T25" s="403"/>
      <c r="V25" s="402"/>
      <c r="W25" s="402"/>
      <c r="X25" s="402"/>
      <c r="Y25" s="708"/>
      <c r="Z25" s="403"/>
      <c r="AB25" s="402"/>
      <c r="AC25" s="402"/>
      <c r="AD25" s="402"/>
      <c r="AE25" s="402"/>
      <c r="AF25" s="403"/>
    </row>
    <row r="26" spans="1:32">
      <c r="A26" s="386">
        <f t="shared" si="1"/>
        <v>20</v>
      </c>
      <c r="B26" s="386">
        <v>46</v>
      </c>
      <c r="C26" s="387"/>
      <c r="D26" s="388">
        <v>0</v>
      </c>
      <c r="E26" s="388">
        <v>0</v>
      </c>
      <c r="F26" s="388">
        <v>12559791.120000001</v>
      </c>
      <c r="G26" s="388">
        <f>SUM(D26:F26)</f>
        <v>12559791.120000001</v>
      </c>
      <c r="H26" s="402">
        <f t="shared" ref="H26:S27" si="32">+H$12</f>
        <v>4.5429999999999998E-2</v>
      </c>
      <c r="I26" s="402">
        <f t="shared" si="32"/>
        <v>4.5159999999999999E-2</v>
      </c>
      <c r="J26" s="402">
        <f t="shared" si="32"/>
        <v>4.4970000000000003E-2</v>
      </c>
      <c r="K26" s="388">
        <v>12559791.120000001</v>
      </c>
      <c r="L26" s="388">
        <v>0</v>
      </c>
      <c r="M26" s="402">
        <f t="shared" si="32"/>
        <v>-4.0198999999999999E-2</v>
      </c>
      <c r="N26" s="402">
        <f t="shared" si="32"/>
        <v>-3.9618E-2</v>
      </c>
      <c r="O26" s="403">
        <f t="shared" ref="O26:O27" si="33">ROUND(D26*H26+E26*I26+F26*J26+K26*M26+L26*N26,-3)/1000</f>
        <v>60</v>
      </c>
      <c r="P26" s="402">
        <f t="shared" si="32"/>
        <v>4.6339999999999999E-2</v>
      </c>
      <c r="Q26" s="402">
        <f t="shared" si="32"/>
        <v>4.6059999999999997E-2</v>
      </c>
      <c r="R26" s="402">
        <f t="shared" si="32"/>
        <v>4.5870000000000001E-2</v>
      </c>
      <c r="S26" s="708">
        <f t="shared" si="32"/>
        <v>-4.7826E-2</v>
      </c>
      <c r="T26" s="403">
        <f t="shared" ref="T26:T27" si="34">ROUND(D26*P26+E26*Q26+F26*R26+G26*S26,-3)/1000</f>
        <v>-25</v>
      </c>
      <c r="V26" s="402">
        <f t="shared" ref="V26:Y27" si="35">+V$12</f>
        <v>4.727E-2</v>
      </c>
      <c r="W26" s="402">
        <f t="shared" si="35"/>
        <v>4.6980000000000001E-2</v>
      </c>
      <c r="X26" s="402">
        <f t="shared" si="35"/>
        <v>4.6789999999999998E-2</v>
      </c>
      <c r="Y26" s="708">
        <f t="shared" si="35"/>
        <v>-4.8783E-2</v>
      </c>
      <c r="Z26" s="403">
        <f t="shared" ref="Z26:Z27" si="36">ROUND($D26*V26+$E26*W26+$F26*X26+$G26*Y26,-3)/1000</f>
        <v>-25</v>
      </c>
      <c r="AB26" s="402"/>
      <c r="AC26" s="402"/>
      <c r="AD26" s="402"/>
      <c r="AE26" s="402"/>
      <c r="AF26" s="403"/>
    </row>
    <row r="27" spans="1:32">
      <c r="A27" s="386">
        <f t="shared" si="1"/>
        <v>21</v>
      </c>
      <c r="B27" s="386">
        <v>49</v>
      </c>
      <c r="C27" s="387"/>
      <c r="D27" s="388">
        <v>100137292.153</v>
      </c>
      <c r="E27" s="388">
        <v>0</v>
      </c>
      <c r="F27" s="388">
        <v>23295137.717000004</v>
      </c>
      <c r="G27" s="388">
        <f>SUM(D27:F27)</f>
        <v>123432429.87</v>
      </c>
      <c r="H27" s="402">
        <f t="shared" si="32"/>
        <v>4.5429999999999998E-2</v>
      </c>
      <c r="I27" s="402">
        <f t="shared" si="32"/>
        <v>4.5159999999999999E-2</v>
      </c>
      <c r="J27" s="402">
        <f t="shared" si="32"/>
        <v>4.4970000000000003E-2</v>
      </c>
      <c r="K27" s="388">
        <v>123432429.87</v>
      </c>
      <c r="L27" s="388">
        <v>0</v>
      </c>
      <c r="M27" s="402">
        <f t="shared" si="32"/>
        <v>-4.0198999999999999E-2</v>
      </c>
      <c r="N27" s="402">
        <f t="shared" si="32"/>
        <v>-3.9618E-2</v>
      </c>
      <c r="O27" s="403">
        <f t="shared" si="33"/>
        <v>635</v>
      </c>
      <c r="P27" s="402">
        <f t="shared" si="32"/>
        <v>4.6339999999999999E-2</v>
      </c>
      <c r="Q27" s="402">
        <f t="shared" si="32"/>
        <v>4.6059999999999997E-2</v>
      </c>
      <c r="R27" s="402">
        <f t="shared" si="32"/>
        <v>4.5870000000000001E-2</v>
      </c>
      <c r="S27" s="708">
        <f t="shared" si="32"/>
        <v>-4.7826E-2</v>
      </c>
      <c r="T27" s="403">
        <f t="shared" si="34"/>
        <v>-194</v>
      </c>
      <c r="V27" s="402">
        <f t="shared" si="35"/>
        <v>4.727E-2</v>
      </c>
      <c r="W27" s="402">
        <f t="shared" si="35"/>
        <v>4.6980000000000001E-2</v>
      </c>
      <c r="X27" s="402">
        <f t="shared" si="35"/>
        <v>4.6789999999999998E-2</v>
      </c>
      <c r="Y27" s="708">
        <f t="shared" si="35"/>
        <v>-4.8783E-2</v>
      </c>
      <c r="Z27" s="403">
        <f t="shared" si="36"/>
        <v>-198</v>
      </c>
      <c r="AB27" s="402"/>
      <c r="AC27" s="402"/>
      <c r="AD27" s="402"/>
      <c r="AE27" s="402"/>
      <c r="AF27" s="403"/>
    </row>
    <row r="28" spans="1:32">
      <c r="A28" s="386">
        <f t="shared" si="1"/>
        <v>22</v>
      </c>
      <c r="B28" s="386"/>
      <c r="C28" s="387" t="s">
        <v>15</v>
      </c>
      <c r="D28" s="390">
        <f t="shared" ref="D28" si="37">SUM(D26:D27)</f>
        <v>100137292.153</v>
      </c>
      <c r="E28" s="390">
        <f t="shared" ref="E28" si="38">SUM(E26:E27)</f>
        <v>0</v>
      </c>
      <c r="F28" s="390">
        <f t="shared" ref="F28" si="39">SUM(F26:F27)</f>
        <v>35854928.837000005</v>
      </c>
      <c r="G28" s="390">
        <f>SUM(G26:G27)</f>
        <v>135992220.99000001</v>
      </c>
      <c r="H28" s="404"/>
      <c r="I28" s="404"/>
      <c r="J28" s="404"/>
      <c r="K28" s="390">
        <f t="shared" ref="K28:L28" si="40">SUM(K26:K27)</f>
        <v>135992220.99000001</v>
      </c>
      <c r="L28" s="390">
        <f t="shared" si="40"/>
        <v>0</v>
      </c>
      <c r="M28" s="404"/>
      <c r="N28" s="404"/>
      <c r="O28" s="405">
        <f t="shared" ref="O28:T28" si="41">SUM(O26:O27)</f>
        <v>695</v>
      </c>
      <c r="P28" s="404"/>
      <c r="Q28" s="404"/>
      <c r="R28" s="404"/>
      <c r="S28" s="404"/>
      <c r="T28" s="405">
        <f t="shared" si="41"/>
        <v>-219</v>
      </c>
      <c r="V28" s="404"/>
      <c r="W28" s="404"/>
      <c r="X28" s="404"/>
      <c r="Y28" s="404"/>
      <c r="Z28" s="405">
        <f t="shared" ref="Z28" si="42">SUM(Z26:Z27)</f>
        <v>-223</v>
      </c>
      <c r="AB28" s="404"/>
      <c r="AC28" s="404"/>
      <c r="AD28" s="404"/>
      <c r="AE28" s="404"/>
      <c r="AF28" s="405"/>
    </row>
    <row r="29" spans="1:32">
      <c r="A29" s="386">
        <f t="shared" si="1"/>
        <v>23</v>
      </c>
      <c r="B29" s="386"/>
      <c r="C29" s="387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403"/>
      <c r="P29" s="388"/>
      <c r="Q29" s="388"/>
      <c r="R29" s="388"/>
      <c r="S29" s="388"/>
      <c r="T29" s="403"/>
      <c r="V29" s="388"/>
      <c r="W29" s="388"/>
      <c r="X29" s="388"/>
      <c r="Y29" s="388"/>
      <c r="Z29" s="403"/>
      <c r="AB29" s="388"/>
      <c r="AC29" s="388"/>
      <c r="AD29" s="388"/>
      <c r="AE29" s="388"/>
      <c r="AF29" s="403"/>
    </row>
    <row r="30" spans="1:32">
      <c r="A30" s="386">
        <f t="shared" si="1"/>
        <v>24</v>
      </c>
      <c r="B30" s="386" t="s">
        <v>16</v>
      </c>
      <c r="C30" s="387"/>
      <c r="D30" s="390"/>
      <c r="E30" s="390"/>
      <c r="F30" s="390"/>
      <c r="G30" s="390">
        <f>SUM(D30:F30)</f>
        <v>0</v>
      </c>
      <c r="H30" s="390"/>
      <c r="I30" s="390"/>
      <c r="J30" s="390"/>
      <c r="K30" s="390">
        <f t="shared" ref="K30:L30" si="43">SUM(H30:J30)</f>
        <v>0</v>
      </c>
      <c r="L30" s="390">
        <f t="shared" si="43"/>
        <v>0</v>
      </c>
      <c r="M30" s="390"/>
      <c r="N30" s="390"/>
      <c r="O30" s="405">
        <f>ROUND(D30*H30+E30*I30+F30*J30+K30*M30+L30*N30,-3)/1000</f>
        <v>0</v>
      </c>
      <c r="P30" s="390"/>
      <c r="Q30" s="390"/>
      <c r="R30" s="390"/>
      <c r="S30" s="390"/>
      <c r="T30" s="405">
        <f>ROUND(D30*P30+E30*Q30+F30*R30+G30*S30,-3)/1000</f>
        <v>0</v>
      </c>
      <c r="V30" s="390"/>
      <c r="W30" s="390"/>
      <c r="X30" s="390"/>
      <c r="Y30" s="390"/>
      <c r="Z30" s="403">
        <f>ROUND($D30*V30+$E30*W30+$F30*X30+$G30*Y30,-3)/1000</f>
        <v>0</v>
      </c>
      <c r="AB30" s="390"/>
      <c r="AC30" s="390"/>
      <c r="AD30" s="390"/>
      <c r="AE30" s="390"/>
      <c r="AF30" s="403"/>
    </row>
    <row r="31" spans="1:32">
      <c r="A31" s="386">
        <f t="shared" si="1"/>
        <v>25</v>
      </c>
      <c r="B31" s="386"/>
      <c r="C31" s="387"/>
      <c r="D31" s="388"/>
      <c r="E31" s="388"/>
      <c r="F31" s="388"/>
      <c r="G31" s="388"/>
      <c r="H31" s="388"/>
      <c r="I31" s="388"/>
      <c r="J31" s="388"/>
      <c r="K31" s="388"/>
      <c r="L31" s="388"/>
      <c r="M31" s="388"/>
      <c r="N31" s="388"/>
      <c r="O31" s="403"/>
      <c r="P31" s="388"/>
      <c r="Q31" s="388"/>
      <c r="R31" s="388"/>
      <c r="S31" s="388"/>
      <c r="T31" s="403"/>
      <c r="V31" s="388"/>
      <c r="W31" s="388"/>
      <c r="X31" s="388"/>
      <c r="Y31" s="388"/>
      <c r="Z31" s="403"/>
      <c r="AB31" s="388"/>
      <c r="AC31" s="388"/>
      <c r="AD31" s="388"/>
      <c r="AE31" s="388"/>
      <c r="AF31" s="403"/>
    </row>
    <row r="32" spans="1:32">
      <c r="A32" s="386">
        <f t="shared" si="1"/>
        <v>26</v>
      </c>
      <c r="B32" s="389" t="s">
        <v>17</v>
      </c>
      <c r="C32" s="387"/>
      <c r="D32" s="388"/>
      <c r="E32" s="388"/>
      <c r="F32" s="388"/>
      <c r="G32" s="388">
        <f>SUM(D32:F32)</f>
        <v>0</v>
      </c>
      <c r="H32" s="388"/>
      <c r="I32" s="388"/>
      <c r="J32" s="388"/>
      <c r="K32" s="388">
        <f t="shared" ref="K32:L32" si="44">SUM(H32:J32)</f>
        <v>0</v>
      </c>
      <c r="L32" s="388">
        <f t="shared" si="44"/>
        <v>0</v>
      </c>
      <c r="M32" s="388"/>
      <c r="N32" s="388"/>
      <c r="O32" s="403">
        <f t="shared" ref="O32:O33" si="45">ROUND(D32*H32+E32*I32+F32*J32+K32*M32+L32*N32,-3)/1000</f>
        <v>0</v>
      </c>
      <c r="P32" s="388"/>
      <c r="Q32" s="388"/>
      <c r="R32" s="388"/>
      <c r="S32" s="388"/>
      <c r="T32" s="403">
        <f t="shared" ref="T32:T33" si="46">ROUND(D32*P32+E32*Q32+F32*R32+G32*S32,-3)/1000</f>
        <v>0</v>
      </c>
      <c r="V32" s="388"/>
      <c r="W32" s="388"/>
      <c r="X32" s="388"/>
      <c r="Y32" s="388"/>
      <c r="Z32" s="403">
        <f t="shared" ref="Z32:Z33" si="47">ROUND($D32*V32+$E32*W32+$F32*X32+$G32*Y32,-3)/1000</f>
        <v>0</v>
      </c>
      <c r="AB32" s="388"/>
      <c r="AC32" s="388"/>
      <c r="AD32" s="388"/>
      <c r="AE32" s="388"/>
      <c r="AF32" s="403"/>
    </row>
    <row r="33" spans="1:32">
      <c r="A33" s="386">
        <f t="shared" si="1"/>
        <v>27</v>
      </c>
      <c r="B33" s="389" t="s">
        <v>262</v>
      </c>
      <c r="C33" s="387"/>
      <c r="D33" s="388"/>
      <c r="E33" s="388"/>
      <c r="F33" s="388"/>
      <c r="G33" s="388">
        <f>SUM(D33:F33)</f>
        <v>0</v>
      </c>
      <c r="H33" s="388"/>
      <c r="I33" s="388"/>
      <c r="J33" s="388"/>
      <c r="K33" s="388">
        <f t="shared" ref="K33:L33" si="48">SUM(H33:J33)</f>
        <v>0</v>
      </c>
      <c r="L33" s="388">
        <f t="shared" si="48"/>
        <v>0</v>
      </c>
      <c r="M33" s="388"/>
      <c r="N33" s="388"/>
      <c r="O33" s="403">
        <f t="shared" si="45"/>
        <v>0</v>
      </c>
      <c r="P33" s="388"/>
      <c r="Q33" s="388"/>
      <c r="R33" s="388"/>
      <c r="S33" s="388"/>
      <c r="T33" s="403">
        <f t="shared" si="46"/>
        <v>0</v>
      </c>
      <c r="V33" s="388"/>
      <c r="W33" s="388"/>
      <c r="X33" s="388"/>
      <c r="Y33" s="388"/>
      <c r="Z33" s="403">
        <f t="shared" si="47"/>
        <v>0</v>
      </c>
      <c r="AB33" s="388"/>
      <c r="AC33" s="388"/>
      <c r="AD33" s="388"/>
      <c r="AE33" s="388"/>
      <c r="AF33" s="403"/>
    </row>
    <row r="34" spans="1:32">
      <c r="A34" s="386">
        <f t="shared" si="1"/>
        <v>28</v>
      </c>
      <c r="B34" s="389"/>
      <c r="C34" s="387" t="s">
        <v>263</v>
      </c>
      <c r="D34" s="390">
        <f>SUM(D32:D33)</f>
        <v>0</v>
      </c>
      <c r="E34" s="390">
        <f>SUM(E32:E33)</f>
        <v>0</v>
      </c>
      <c r="F34" s="390">
        <f>SUM(F32:F33)</f>
        <v>0</v>
      </c>
      <c r="G34" s="390">
        <f>SUM(G32:G33)</f>
        <v>0</v>
      </c>
      <c r="H34" s="390"/>
      <c r="I34" s="390"/>
      <c r="J34" s="390"/>
      <c r="K34" s="390">
        <f t="shared" ref="K34:L34" si="49">SUM(K32:K33)</f>
        <v>0</v>
      </c>
      <c r="L34" s="390">
        <f t="shared" si="49"/>
        <v>0</v>
      </c>
      <c r="M34" s="390"/>
      <c r="N34" s="390"/>
      <c r="O34" s="405">
        <f t="shared" ref="O34:T34" si="50">SUM(O32:O33)</f>
        <v>0</v>
      </c>
      <c r="P34" s="390"/>
      <c r="Q34" s="390"/>
      <c r="R34" s="390"/>
      <c r="S34" s="390"/>
      <c r="T34" s="405">
        <f t="shared" si="50"/>
        <v>0</v>
      </c>
      <c r="V34" s="390"/>
      <c r="W34" s="390"/>
      <c r="X34" s="390"/>
      <c r="Y34" s="390"/>
      <c r="Z34" s="405">
        <f t="shared" ref="Z34" si="51">SUM(Z32:Z33)</f>
        <v>0</v>
      </c>
      <c r="AB34" s="390"/>
      <c r="AC34" s="390"/>
      <c r="AD34" s="390"/>
      <c r="AE34" s="390"/>
      <c r="AF34" s="405"/>
    </row>
    <row r="35" spans="1:32">
      <c r="A35" s="386">
        <f t="shared" si="1"/>
        <v>29</v>
      </c>
      <c r="B35" s="386"/>
      <c r="C35" s="387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403"/>
      <c r="P35" s="388"/>
      <c r="Q35" s="388"/>
      <c r="R35" s="388"/>
      <c r="S35" s="388"/>
      <c r="T35" s="403"/>
      <c r="V35" s="388"/>
      <c r="W35" s="388"/>
      <c r="X35" s="388"/>
      <c r="Y35" s="388"/>
      <c r="Z35" s="403"/>
      <c r="AB35" s="388"/>
      <c r="AC35" s="388"/>
      <c r="AD35" s="388"/>
      <c r="AE35" s="388"/>
      <c r="AF35" s="403"/>
    </row>
    <row r="36" spans="1:32" ht="10.8" thickBot="1">
      <c r="A36" s="386">
        <f t="shared" si="1"/>
        <v>30</v>
      </c>
      <c r="B36" s="386"/>
      <c r="C36" s="391" t="s">
        <v>66</v>
      </c>
      <c r="D36" s="393">
        <f t="shared" ref="D36:F36" si="52">SUM(D9,D18,D24,D28,D30,D34)</f>
        <v>416377966.86000001</v>
      </c>
      <c r="E36" s="393">
        <f t="shared" si="52"/>
        <v>60775018.814000003</v>
      </c>
      <c r="F36" s="393">
        <f t="shared" si="52"/>
        <v>199506637.58699998</v>
      </c>
      <c r="G36" s="393">
        <f>SUM(G9,G18,G24,G28,G30,G34)</f>
        <v>676659623.26100004</v>
      </c>
      <c r="H36" s="393"/>
      <c r="I36" s="393"/>
      <c r="J36" s="393"/>
      <c r="K36" s="393">
        <f t="shared" ref="K36:L36" si="53">SUM(K9,K18,K24,K28,K30,K34)</f>
        <v>342372916.51999998</v>
      </c>
      <c r="L36" s="393">
        <f t="shared" si="53"/>
        <v>334286706.74100006</v>
      </c>
      <c r="M36" s="393"/>
      <c r="N36" s="393"/>
      <c r="O36" s="407">
        <f>SUM(O9,O18,O24,O28,O30,O34)</f>
        <v>3624</v>
      </c>
      <c r="P36" s="393"/>
      <c r="Q36" s="393"/>
      <c r="R36" s="393"/>
      <c r="S36" s="393"/>
      <c r="T36" s="407">
        <f>SUM(T9,T18,T24,T28,T30,T34)</f>
        <v>-1117</v>
      </c>
      <c r="V36" s="393"/>
      <c r="W36" s="393"/>
      <c r="X36" s="393"/>
      <c r="Y36" s="393"/>
      <c r="Z36" s="407">
        <f>SUM(Z9,Z18,Z24,Z28,Z30,Z34)</f>
        <v>-1137</v>
      </c>
      <c r="AB36" s="393"/>
      <c r="AC36" s="393"/>
      <c r="AD36" s="393"/>
      <c r="AE36" s="393"/>
      <c r="AF36" s="407"/>
    </row>
    <row r="37" spans="1:32" ht="10.8" thickTop="1">
      <c r="A37" s="386">
        <f t="shared" si="1"/>
        <v>31</v>
      </c>
      <c r="B37" s="386"/>
      <c r="C37" s="387"/>
      <c r="D37" s="387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403"/>
      <c r="P37" s="387"/>
      <c r="Q37" s="387"/>
      <c r="R37" s="387"/>
      <c r="T37" s="403"/>
      <c r="V37" s="387"/>
      <c r="W37" s="387"/>
      <c r="X37" s="387"/>
      <c r="Z37" s="403"/>
      <c r="AB37" s="387"/>
      <c r="AC37" s="387"/>
      <c r="AD37" s="387"/>
      <c r="AF37" s="403"/>
    </row>
    <row r="38" spans="1:32">
      <c r="A38" s="386">
        <f t="shared" si="1"/>
        <v>32</v>
      </c>
      <c r="B38" s="386">
        <v>5</v>
      </c>
      <c r="C38" s="387" t="s">
        <v>67</v>
      </c>
      <c r="D38" s="388"/>
      <c r="E38" s="388"/>
      <c r="F38" s="388"/>
      <c r="G38" s="388">
        <f>SUM(D38:F38)</f>
        <v>0</v>
      </c>
      <c r="H38" s="388"/>
      <c r="I38" s="388"/>
      <c r="J38" s="388"/>
      <c r="K38" s="388">
        <f t="shared" ref="K38:L38" si="54">SUM(H38:J38)</f>
        <v>0</v>
      </c>
      <c r="L38" s="388">
        <f t="shared" si="54"/>
        <v>0</v>
      </c>
      <c r="M38" s="388"/>
      <c r="N38" s="388"/>
      <c r="O38" s="403">
        <f>ROUND(D38*H38+E38*I38+F38*J38+K38*M38+L38*N38,-3)/1000</f>
        <v>0</v>
      </c>
      <c r="P38" s="388"/>
      <c r="Q38" s="388"/>
      <c r="R38" s="388"/>
      <c r="T38" s="403">
        <f>ROUND(D38*P38+E38*Q38+F38*R38+G38*S38,-3)/1000</f>
        <v>0</v>
      </c>
      <c r="V38" s="388"/>
      <c r="W38" s="388"/>
      <c r="X38" s="388"/>
      <c r="Z38" s="403">
        <f>ROUND(K38*V38+L38*W38+M38*X38+N38*Y38,-3)/1000</f>
        <v>0</v>
      </c>
      <c r="AB38" s="388"/>
      <c r="AC38" s="388"/>
      <c r="AD38" s="388"/>
      <c r="AF38" s="403"/>
    </row>
    <row r="39" spans="1:32">
      <c r="A39" s="386">
        <f t="shared" si="1"/>
        <v>33</v>
      </c>
      <c r="B39" s="386"/>
      <c r="C39" s="387"/>
      <c r="D39" s="387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403"/>
      <c r="P39" s="387"/>
      <c r="Q39" s="387"/>
      <c r="R39" s="387"/>
      <c r="T39" s="403"/>
      <c r="V39" s="387"/>
      <c r="W39" s="387"/>
      <c r="X39" s="387"/>
      <c r="Z39" s="403"/>
      <c r="AB39" s="387"/>
      <c r="AC39" s="387"/>
      <c r="AD39" s="387"/>
      <c r="AF39" s="403"/>
    </row>
    <row r="40" spans="1:32" ht="10.8" thickBot="1">
      <c r="A40" s="386">
        <f t="shared" si="1"/>
        <v>34</v>
      </c>
      <c r="B40" s="386"/>
      <c r="C40" s="391" t="s">
        <v>68</v>
      </c>
      <c r="D40" s="393">
        <f t="shared" ref="D40:F40" si="55">SUM(D36,D38)</f>
        <v>416377966.86000001</v>
      </c>
      <c r="E40" s="393">
        <f t="shared" si="55"/>
        <v>60775018.814000003</v>
      </c>
      <c r="F40" s="393">
        <f t="shared" si="55"/>
        <v>199506637.58699998</v>
      </c>
      <c r="G40" s="393">
        <f>SUM(G36,G38)</f>
        <v>676659623.26100004</v>
      </c>
      <c r="H40" s="394"/>
      <c r="I40" s="394"/>
      <c r="J40" s="394"/>
      <c r="K40" s="393">
        <f t="shared" ref="K40:L40" si="56">SUM(K36,K38)</f>
        <v>342372916.51999998</v>
      </c>
      <c r="L40" s="393">
        <f t="shared" si="56"/>
        <v>334286706.74100006</v>
      </c>
      <c r="M40" s="387"/>
      <c r="N40" s="387"/>
      <c r="O40" s="407">
        <f t="shared" ref="O40:T40" si="57">SUM(O36,O38)</f>
        <v>3624</v>
      </c>
      <c r="P40" s="394"/>
      <c r="Q40" s="394"/>
      <c r="R40" s="394"/>
      <c r="T40" s="407">
        <f t="shared" si="57"/>
        <v>-1117</v>
      </c>
      <c r="V40" s="394"/>
      <c r="W40" s="394"/>
      <c r="X40" s="394"/>
      <c r="Z40" s="407">
        <f t="shared" ref="Z40" si="58">SUM(Z36,Z38)</f>
        <v>-1137</v>
      </c>
      <c r="AB40" s="394"/>
      <c r="AC40" s="394"/>
      <c r="AD40" s="394"/>
      <c r="AF40" s="407"/>
    </row>
    <row r="41" spans="1:32" ht="10.8" thickTop="1">
      <c r="G41" s="387"/>
      <c r="H41" s="387"/>
      <c r="I41" s="387"/>
      <c r="J41" s="387"/>
      <c r="K41" s="387"/>
      <c r="L41" s="387"/>
      <c r="P41" s="387"/>
      <c r="Q41" s="387"/>
      <c r="R41" s="387"/>
    </row>
    <row r="42" spans="1:32">
      <c r="B42" s="711" t="s">
        <v>874</v>
      </c>
      <c r="T42" s="420">
        <f>+T40-O40</f>
        <v>-4741</v>
      </c>
    </row>
  </sheetData>
  <mergeCells count="4">
    <mergeCell ref="A1:O1"/>
    <mergeCell ref="A2:O2"/>
    <mergeCell ref="A3:O3"/>
    <mergeCell ref="A4:O4"/>
  </mergeCells>
  <printOptions horizontalCentered="1"/>
  <pageMargins left="0.7" right="0.7" top="0.75" bottom="0.9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O41"/>
  <sheetViews>
    <sheetView zoomScaleNormal="100" workbookViewId="0">
      <pane xSplit="3" ySplit="6" topLeftCell="D10" activePane="bottomRight" state="frozen"/>
      <selection sqref="A1:XFD1048576"/>
      <selection pane="topRight" sqref="A1:XFD1048576"/>
      <selection pane="bottomLeft" sqref="A1:XFD1048576"/>
      <selection pane="bottomRight" activeCell="D5" sqref="D1:O1048576"/>
    </sheetView>
  </sheetViews>
  <sheetFormatPr defaultColWidth="9.109375" defaultRowHeight="10.199999999999999"/>
  <cols>
    <col min="1" max="1" width="5.88671875" style="392" customWidth="1"/>
    <col min="2" max="2" width="13.6640625" style="392" bestFit="1" customWidth="1"/>
    <col min="3" max="3" width="21" style="392" bestFit="1" customWidth="1"/>
    <col min="4" max="4" width="13.33203125" style="392" bestFit="1" customWidth="1"/>
    <col min="5" max="5" width="9.6640625" style="392" bestFit="1" customWidth="1"/>
    <col min="6" max="6" width="15.6640625" style="392" bestFit="1" customWidth="1"/>
    <col min="7" max="7" width="2" style="387" customWidth="1"/>
    <col min="8" max="8" width="9.88671875" style="387" bestFit="1" customWidth="1"/>
    <col min="9" max="9" width="8.44140625" style="387" bestFit="1" customWidth="1"/>
    <col min="10" max="10" width="2" style="387" customWidth="1"/>
    <col min="11" max="11" width="9.88671875" style="387" bestFit="1" customWidth="1"/>
    <col min="12" max="12" width="8.44140625" style="387" bestFit="1" customWidth="1"/>
    <col min="13" max="13" width="2" style="387" customWidth="1"/>
    <col min="14" max="15" width="8.44140625" style="387" bestFit="1" customWidth="1"/>
    <col min="16" max="16384" width="9.109375" style="392"/>
  </cols>
  <sheetData>
    <row r="1" spans="1:15" s="410" customFormat="1">
      <c r="A1" s="772" t="s">
        <v>0</v>
      </c>
      <c r="B1" s="772"/>
      <c r="C1" s="772"/>
      <c r="D1" s="772"/>
      <c r="E1" s="772"/>
      <c r="F1" s="772"/>
      <c r="G1" s="409"/>
      <c r="H1" s="409"/>
      <c r="I1" s="409"/>
      <c r="J1" s="409"/>
      <c r="K1" s="409"/>
      <c r="L1" s="409"/>
      <c r="M1" s="409"/>
      <c r="N1" s="409"/>
      <c r="O1" s="409"/>
    </row>
    <row r="2" spans="1:15" s="410" customFormat="1">
      <c r="A2" s="773" t="s">
        <v>165</v>
      </c>
      <c r="B2" s="772"/>
      <c r="C2" s="772"/>
      <c r="D2" s="772"/>
      <c r="E2" s="772"/>
      <c r="F2" s="772"/>
      <c r="G2" s="409"/>
      <c r="H2" s="409"/>
      <c r="I2" s="409"/>
      <c r="J2" s="409"/>
      <c r="K2" s="409"/>
      <c r="L2" s="409"/>
      <c r="M2" s="409"/>
      <c r="N2" s="409"/>
      <c r="O2" s="409"/>
    </row>
    <row r="3" spans="1:15" s="410" customFormat="1">
      <c r="A3" s="772" t="str">
        <f>+'Revenue By Sch TY'!A3</f>
        <v>Test Year ended June 2021</v>
      </c>
      <c r="B3" s="772"/>
      <c r="C3" s="772"/>
      <c r="D3" s="772"/>
      <c r="E3" s="772"/>
      <c r="F3" s="772"/>
      <c r="G3" s="409"/>
      <c r="H3" s="409"/>
      <c r="I3" s="409"/>
      <c r="J3" s="409"/>
      <c r="K3" s="409"/>
      <c r="L3" s="409"/>
      <c r="M3" s="409"/>
      <c r="N3" s="409"/>
      <c r="O3" s="409"/>
    </row>
    <row r="4" spans="1:15" s="410" customFormat="1">
      <c r="A4" s="772"/>
      <c r="B4" s="772"/>
      <c r="C4" s="772"/>
      <c r="D4" s="772"/>
      <c r="E4" s="772"/>
      <c r="F4" s="772"/>
      <c r="G4" s="409"/>
      <c r="H4" s="409"/>
      <c r="I4" s="409"/>
      <c r="J4" s="409"/>
      <c r="K4" s="409"/>
      <c r="L4" s="409"/>
      <c r="M4" s="409"/>
      <c r="N4" s="409"/>
      <c r="O4" s="409"/>
    </row>
    <row r="5" spans="1:15" s="410" customFormat="1">
      <c r="A5" s="411"/>
      <c r="B5" s="398"/>
      <c r="C5" s="398"/>
      <c r="D5" s="398"/>
      <c r="E5" s="409"/>
      <c r="F5" s="409" t="s">
        <v>100</v>
      </c>
      <c r="G5" s="409"/>
      <c r="H5" s="803" t="s">
        <v>512</v>
      </c>
      <c r="I5" s="803"/>
      <c r="J5" s="409"/>
      <c r="K5" s="802" t="s">
        <v>515</v>
      </c>
      <c r="L5" s="803"/>
      <c r="M5" s="409"/>
      <c r="N5" s="802" t="s">
        <v>514</v>
      </c>
      <c r="O5" s="803"/>
    </row>
    <row r="6" spans="1:15" s="410" customFormat="1" ht="40.799999999999997">
      <c r="A6" s="399" t="s">
        <v>2</v>
      </c>
      <c r="B6" s="399" t="s">
        <v>3</v>
      </c>
      <c r="C6" s="399" t="s">
        <v>31</v>
      </c>
      <c r="D6" s="400" t="str">
        <f>+'Revenue By Sch TY'!D7</f>
        <v>Annual mWh
Delivered Sales 
YE 06-2021</v>
      </c>
      <c r="E6" s="400" t="s">
        <v>441</v>
      </c>
      <c r="F6" s="400" t="s">
        <v>440</v>
      </c>
      <c r="G6" s="409"/>
      <c r="H6" s="400" t="s">
        <v>522</v>
      </c>
      <c r="I6" s="400" t="s">
        <v>513</v>
      </c>
      <c r="J6" s="400"/>
      <c r="K6" s="400" t="str">
        <f>+H6</f>
        <v>Annual Delivered MWh</v>
      </c>
      <c r="L6" s="400" t="str">
        <f>+I6</f>
        <v>Annual Delivered $</v>
      </c>
      <c r="M6" s="400"/>
      <c r="N6" s="400" t="str">
        <f>+K6</f>
        <v>Annual Delivered MWh</v>
      </c>
      <c r="O6" s="400" t="str">
        <f>+L6</f>
        <v>Annual Delivered $</v>
      </c>
    </row>
    <row r="7" spans="1:15">
      <c r="A7" s="386">
        <v>1</v>
      </c>
      <c r="B7" s="386">
        <v>7</v>
      </c>
      <c r="C7" s="387"/>
      <c r="D7" s="388">
        <f>+'Revenue By Sch TY'!D9</f>
        <v>11355354.571603522</v>
      </c>
      <c r="E7" s="402">
        <f>+'UE-210217 Sch 140'!G8</f>
        <v>3.0720000000000001E-3</v>
      </c>
      <c r="F7" s="403">
        <f>ROUND(D7*E7,0)</f>
        <v>34884</v>
      </c>
      <c r="H7" s="388">
        <f>+'Sch 95 PCORC'!J7</f>
        <v>10963050.375499999</v>
      </c>
      <c r="I7" s="403">
        <f>ROUND($E7*H7,0)</f>
        <v>33678</v>
      </c>
      <c r="K7" s="388">
        <f>+'Sch 95 PCORC'!N7</f>
        <v>11064440.8695</v>
      </c>
      <c r="L7" s="403">
        <f>ROUND($E7*K7,0)</f>
        <v>33990</v>
      </c>
      <c r="N7" s="388">
        <f>+'Sch 95 PCORC'!Q7</f>
        <v>0</v>
      </c>
      <c r="O7" s="403">
        <f>ROUND($E7*N7,0)</f>
        <v>0</v>
      </c>
    </row>
    <row r="8" spans="1:15">
      <c r="A8" s="386">
        <f t="shared" ref="A8:A40" si="0">+A7+1</f>
        <v>2</v>
      </c>
      <c r="B8" s="389" t="s">
        <v>10</v>
      </c>
      <c r="C8" s="387"/>
      <c r="D8" s="388">
        <v>0</v>
      </c>
      <c r="E8" s="402">
        <f>+'UE-210217 Sch 140'!G13</f>
        <v>2.4289999999999997E-3</v>
      </c>
      <c r="F8" s="403">
        <f>ROUND(D8*E8,0)</f>
        <v>0</v>
      </c>
      <c r="H8" s="388">
        <f>+'Sch 95 PCORC'!J8</f>
        <v>0</v>
      </c>
      <c r="I8" s="403">
        <f>ROUND($E8*H8,0)</f>
        <v>0</v>
      </c>
      <c r="K8" s="388">
        <f>+'Sch 95 PCORC'!N8</f>
        <v>0</v>
      </c>
      <c r="L8" s="403">
        <f>ROUND($E8*K8,0)</f>
        <v>0</v>
      </c>
      <c r="N8" s="388">
        <f>+'Sch 95 PCORC'!Q8</f>
        <v>0</v>
      </c>
      <c r="O8" s="403">
        <f>ROUND($E8*N8,0)</f>
        <v>0</v>
      </c>
    </row>
    <row r="9" spans="1:15">
      <c r="A9" s="386">
        <f t="shared" si="0"/>
        <v>3</v>
      </c>
      <c r="B9" s="386"/>
      <c r="C9" s="387" t="s">
        <v>11</v>
      </c>
      <c r="D9" s="390">
        <f>SUM(D7:D8)</f>
        <v>11355354.571603522</v>
      </c>
      <c r="E9" s="404"/>
      <c r="F9" s="405">
        <f t="shared" ref="F9" si="1">SUM(F7:F8)</f>
        <v>34884</v>
      </c>
      <c r="H9" s="390">
        <f>SUM(H7:H8)</f>
        <v>10963050.375499999</v>
      </c>
      <c r="I9" s="405">
        <f t="shared" ref="I9" si="2">SUM(I7:I8)</f>
        <v>33678</v>
      </c>
      <c r="K9" s="390">
        <f>SUM(K7:K8)</f>
        <v>11064440.8695</v>
      </c>
      <c r="L9" s="405">
        <f t="shared" ref="L9" si="3">SUM(L7:L8)</f>
        <v>33990</v>
      </c>
      <c r="N9" s="390">
        <f>SUM(N7:N8)</f>
        <v>0</v>
      </c>
      <c r="O9" s="405">
        <f t="shared" ref="O9" si="4">SUM(O7:O8)</f>
        <v>0</v>
      </c>
    </row>
    <row r="10" spans="1:15">
      <c r="A10" s="386">
        <f t="shared" si="0"/>
        <v>4</v>
      </c>
      <c r="B10" s="386"/>
      <c r="C10" s="387"/>
      <c r="D10" s="388"/>
      <c r="E10" s="402"/>
      <c r="F10" s="403"/>
      <c r="H10" s="388"/>
      <c r="I10" s="403"/>
      <c r="K10" s="388"/>
      <c r="L10" s="403"/>
      <c r="N10" s="388"/>
      <c r="O10" s="403"/>
    </row>
    <row r="11" spans="1:15">
      <c r="A11" s="386">
        <f t="shared" si="0"/>
        <v>5</v>
      </c>
      <c r="B11" s="386">
        <v>8</v>
      </c>
      <c r="C11" s="387"/>
      <c r="D11" s="388">
        <v>0</v>
      </c>
      <c r="E11" s="402">
        <f>+'UE-210217 Sch 140'!G12</f>
        <v>2.6389999999999999E-3</v>
      </c>
      <c r="F11" s="403">
        <f t="shared" ref="F11:F17" si="5">ROUND(D11*E11,0)</f>
        <v>0</v>
      </c>
      <c r="H11" s="388">
        <f>+'Sch 95 PCORC'!J11</f>
        <v>0</v>
      </c>
      <c r="I11" s="403">
        <f t="shared" ref="I11:I17" si="6">ROUND($E11*H11,0)</f>
        <v>0</v>
      </c>
      <c r="K11" s="388">
        <f>+'Sch 95 PCORC'!N11</f>
        <v>0</v>
      </c>
      <c r="L11" s="403">
        <f t="shared" ref="L11:L17" si="7">ROUND($E11*K11,0)</f>
        <v>0</v>
      </c>
      <c r="N11" s="388"/>
      <c r="O11" s="403"/>
    </row>
    <row r="12" spans="1:15">
      <c r="A12" s="386">
        <f t="shared" si="0"/>
        <v>6</v>
      </c>
      <c r="B12" s="386">
        <v>24</v>
      </c>
      <c r="C12" s="387"/>
      <c r="D12" s="388">
        <f>+'Revenue By Sch TY'!D10</f>
        <v>2658833.1030243803</v>
      </c>
      <c r="E12" s="402">
        <f>+E11</f>
        <v>2.6389999999999999E-3</v>
      </c>
      <c r="F12" s="403">
        <f t="shared" si="5"/>
        <v>7017</v>
      </c>
      <c r="H12" s="388">
        <f>+'Sch 95 PCORC'!J12</f>
        <v>2697633</v>
      </c>
      <c r="I12" s="403">
        <f t="shared" si="6"/>
        <v>7119</v>
      </c>
      <c r="K12" s="388">
        <f>+'Sch 95 PCORC'!N12</f>
        <v>2730372</v>
      </c>
      <c r="L12" s="403">
        <f t="shared" si="7"/>
        <v>7205</v>
      </c>
      <c r="N12" s="388"/>
      <c r="O12" s="403"/>
    </row>
    <row r="13" spans="1:15">
      <c r="A13" s="386">
        <f t="shared" si="0"/>
        <v>7</v>
      </c>
      <c r="B13" s="389">
        <v>11</v>
      </c>
      <c r="C13" s="387"/>
      <c r="D13" s="388">
        <v>0</v>
      </c>
      <c r="E13" s="402">
        <f>+'UE-210217 Sch 140'!G13</f>
        <v>2.4289999999999997E-3</v>
      </c>
      <c r="F13" s="403">
        <f t="shared" si="5"/>
        <v>0</v>
      </c>
      <c r="H13" s="388">
        <f>+'Sch 95 PCORC'!J13</f>
        <v>0</v>
      </c>
      <c r="I13" s="403">
        <f t="shared" si="6"/>
        <v>0</v>
      </c>
      <c r="K13" s="388">
        <f>+'Sch 95 PCORC'!N13</f>
        <v>0</v>
      </c>
      <c r="L13" s="403">
        <f t="shared" si="7"/>
        <v>0</v>
      </c>
      <c r="N13" s="388"/>
      <c r="O13" s="403"/>
    </row>
    <row r="14" spans="1:15">
      <c r="A14" s="386">
        <f t="shared" si="0"/>
        <v>8</v>
      </c>
      <c r="B14" s="389">
        <v>25</v>
      </c>
      <c r="C14" s="387"/>
      <c r="D14" s="388">
        <f>+'Revenue By Sch TY'!D11</f>
        <v>2856045.8325844579</v>
      </c>
      <c r="E14" s="402">
        <f>+E13</f>
        <v>2.4289999999999997E-3</v>
      </c>
      <c r="F14" s="403">
        <f t="shared" si="5"/>
        <v>6937</v>
      </c>
      <c r="H14" s="388">
        <f>+'Sch 95 PCORC'!J14</f>
        <v>2911699.0000000005</v>
      </c>
      <c r="I14" s="403">
        <f t="shared" si="6"/>
        <v>7073</v>
      </c>
      <c r="K14" s="388">
        <f>+'Sch 95 PCORC'!N14</f>
        <v>2948172</v>
      </c>
      <c r="L14" s="403">
        <f t="shared" si="7"/>
        <v>7161</v>
      </c>
      <c r="N14" s="388"/>
      <c r="O14" s="403"/>
    </row>
    <row r="15" spans="1:15">
      <c r="A15" s="386">
        <f t="shared" si="0"/>
        <v>9</v>
      </c>
      <c r="B15" s="386">
        <v>12</v>
      </c>
      <c r="C15" s="387"/>
      <c r="D15" s="388">
        <v>0</v>
      </c>
      <c r="E15" s="402">
        <f>+'UE-210217 Sch 140'!G14</f>
        <v>2.307E-3</v>
      </c>
      <c r="F15" s="403">
        <f t="shared" si="5"/>
        <v>0</v>
      </c>
      <c r="H15" s="388">
        <f>+'Sch 95 PCORC'!J15</f>
        <v>0</v>
      </c>
      <c r="I15" s="403">
        <f t="shared" si="6"/>
        <v>0</v>
      </c>
      <c r="K15" s="388">
        <f>+'Sch 95 PCORC'!N15</f>
        <v>0</v>
      </c>
      <c r="L15" s="403">
        <f t="shared" si="7"/>
        <v>0</v>
      </c>
      <c r="N15" s="388"/>
      <c r="O15" s="403"/>
    </row>
    <row r="16" spans="1:15">
      <c r="A16" s="386">
        <f t="shared" si="0"/>
        <v>10</v>
      </c>
      <c r="B16" s="386" t="s">
        <v>12</v>
      </c>
      <c r="C16" s="387"/>
      <c r="D16" s="388">
        <f>+'Revenue By Sch TY'!D12</f>
        <v>1761911.047761543</v>
      </c>
      <c r="E16" s="402">
        <f>+E15</f>
        <v>2.307E-3</v>
      </c>
      <c r="F16" s="403">
        <f t="shared" si="5"/>
        <v>4065</v>
      </c>
      <c r="H16" s="388">
        <f>+'Sch 95 PCORC'!J16</f>
        <v>1831289</v>
      </c>
      <c r="I16" s="403">
        <f t="shared" si="6"/>
        <v>4225</v>
      </c>
      <c r="K16" s="388">
        <f>+'Sch 95 PCORC'!N16</f>
        <v>1853862</v>
      </c>
      <c r="L16" s="403">
        <f t="shared" si="7"/>
        <v>4277</v>
      </c>
      <c r="N16" s="388"/>
      <c r="O16" s="403"/>
    </row>
    <row r="17" spans="1:15">
      <c r="A17" s="386">
        <f t="shared" si="0"/>
        <v>11</v>
      </c>
      <c r="B17" s="386">
        <v>29</v>
      </c>
      <c r="C17" s="387"/>
      <c r="D17" s="388">
        <f>+'Revenue By Sch TY'!D13</f>
        <v>15293.727999999999</v>
      </c>
      <c r="E17" s="402">
        <f>+'UE-210217 Sch 140'!G15</f>
        <v>2.4289999999999997E-3</v>
      </c>
      <c r="F17" s="403">
        <f t="shared" si="5"/>
        <v>37</v>
      </c>
      <c r="H17" s="388">
        <f>+'Sch 95 PCORC'!J17</f>
        <v>15100.966499999999</v>
      </c>
      <c r="I17" s="403">
        <f t="shared" si="6"/>
        <v>37</v>
      </c>
      <c r="K17" s="388">
        <f>+'Sch 95 PCORC'!N17</f>
        <v>15233.452499999999</v>
      </c>
      <c r="L17" s="403">
        <f t="shared" si="7"/>
        <v>37</v>
      </c>
      <c r="N17" s="388"/>
      <c r="O17" s="403"/>
    </row>
    <row r="18" spans="1:15">
      <c r="A18" s="386">
        <f t="shared" si="0"/>
        <v>12</v>
      </c>
      <c r="B18" s="386"/>
      <c r="C18" s="391" t="s">
        <v>13</v>
      </c>
      <c r="D18" s="390">
        <f>SUM(D11:D17)</f>
        <v>7292083.7113703806</v>
      </c>
      <c r="E18" s="404"/>
      <c r="F18" s="405">
        <f t="shared" ref="F18" si="8">SUM(F11:F17)</f>
        <v>18056</v>
      </c>
      <c r="H18" s="390">
        <f>SUM(H11:H17)</f>
        <v>7455721.9665000001</v>
      </c>
      <c r="I18" s="405">
        <f t="shared" ref="I18" si="9">SUM(I11:I17)</f>
        <v>18454</v>
      </c>
      <c r="K18" s="390">
        <f>SUM(K11:K17)</f>
        <v>7547639.4524999997</v>
      </c>
      <c r="L18" s="405">
        <f t="shared" ref="L18" si="10">SUM(L11:L17)</f>
        <v>18680</v>
      </c>
      <c r="N18" s="390"/>
      <c r="O18" s="405"/>
    </row>
    <row r="19" spans="1:15">
      <c r="A19" s="386">
        <f t="shared" si="0"/>
        <v>13</v>
      </c>
      <c r="B19" s="386"/>
      <c r="C19" s="387"/>
      <c r="D19" s="388"/>
      <c r="E19" s="402"/>
      <c r="F19" s="403"/>
      <c r="H19" s="388"/>
      <c r="I19" s="403"/>
      <c r="K19" s="388"/>
      <c r="L19" s="403"/>
      <c r="N19" s="388"/>
      <c r="O19" s="403"/>
    </row>
    <row r="20" spans="1:15">
      <c r="A20" s="386">
        <f t="shared" si="0"/>
        <v>14</v>
      </c>
      <c r="B20" s="386">
        <v>10</v>
      </c>
      <c r="C20" s="387"/>
      <c r="D20" s="388">
        <v>0</v>
      </c>
      <c r="E20" s="402">
        <f>+'UE-210217 Sch 140'!G19</f>
        <v>2.222E-3</v>
      </c>
      <c r="F20" s="403">
        <f>ROUND(D20*E20,0)</f>
        <v>0</v>
      </c>
      <c r="H20" s="388">
        <v>0</v>
      </c>
      <c r="I20" s="403">
        <f t="shared" ref="I20:I23" si="11">ROUND($E20*H20,0)</f>
        <v>0</v>
      </c>
      <c r="K20" s="388">
        <v>0</v>
      </c>
      <c r="L20" s="403">
        <f t="shared" ref="L20:L23" si="12">ROUND($E20*K20,0)</f>
        <v>0</v>
      </c>
      <c r="N20" s="388"/>
      <c r="O20" s="403"/>
    </row>
    <row r="21" spans="1:15">
      <c r="A21" s="386">
        <f t="shared" si="0"/>
        <v>15</v>
      </c>
      <c r="B21" s="386">
        <v>31</v>
      </c>
      <c r="C21" s="387"/>
      <c r="D21" s="388">
        <f>+'Revenue By Sch TY'!D14</f>
        <v>1307770.0591754341</v>
      </c>
      <c r="E21" s="402">
        <f>+E20</f>
        <v>2.222E-3</v>
      </c>
      <c r="F21" s="403">
        <f>ROUND(D21*E21,0)</f>
        <v>2906</v>
      </c>
      <c r="H21" s="388">
        <f>+'Sch 95 PCORC'!J21</f>
        <v>1332008</v>
      </c>
      <c r="I21" s="403">
        <f t="shared" si="11"/>
        <v>2960</v>
      </c>
      <c r="K21" s="388">
        <f>+'Sch 95 PCORC'!N21</f>
        <v>1335448</v>
      </c>
      <c r="L21" s="403">
        <f t="shared" si="12"/>
        <v>2967</v>
      </c>
      <c r="N21" s="388"/>
      <c r="O21" s="403"/>
    </row>
    <row r="22" spans="1:15">
      <c r="A22" s="386">
        <f t="shared" si="0"/>
        <v>16</v>
      </c>
      <c r="B22" s="386">
        <v>35</v>
      </c>
      <c r="C22" s="387"/>
      <c r="D22" s="388">
        <f>+'Revenue By Sch TY'!D15</f>
        <v>4387.6440000000002</v>
      </c>
      <c r="E22" s="402">
        <f>+'UE-210217 Sch 140'!G20</f>
        <v>2.222E-3</v>
      </c>
      <c r="F22" s="403">
        <f>ROUND(D22*E22,0)</f>
        <v>10</v>
      </c>
      <c r="H22" s="388">
        <f>+'Sch 95 PCORC'!J22</f>
        <v>4663</v>
      </c>
      <c r="I22" s="403">
        <f t="shared" si="11"/>
        <v>10</v>
      </c>
      <c r="K22" s="388">
        <f>+'Sch 95 PCORC'!N22</f>
        <v>4695</v>
      </c>
      <c r="L22" s="403">
        <f t="shared" si="12"/>
        <v>10</v>
      </c>
      <c r="N22" s="388"/>
      <c r="O22" s="403"/>
    </row>
    <row r="23" spans="1:15">
      <c r="A23" s="386">
        <f t="shared" si="0"/>
        <v>17</v>
      </c>
      <c r="B23" s="386">
        <v>43</v>
      </c>
      <c r="C23" s="387"/>
      <c r="D23" s="388">
        <f>+'Revenue By Sch TY'!D16</f>
        <v>114099.11728442684</v>
      </c>
      <c r="E23" s="402">
        <f>+'UE-210217 Sch 140'!G21</f>
        <v>3.0560000000000001E-3</v>
      </c>
      <c r="F23" s="403">
        <f>ROUND(D23*E23,0)</f>
        <v>349</v>
      </c>
      <c r="H23" s="388">
        <f>+'Sch 95 PCORC'!J23</f>
        <v>118190</v>
      </c>
      <c r="I23" s="403">
        <f t="shared" si="11"/>
        <v>361</v>
      </c>
      <c r="K23" s="388">
        <f>+'Sch 95 PCORC'!N23</f>
        <v>119782</v>
      </c>
      <c r="L23" s="403">
        <f t="shared" si="12"/>
        <v>366</v>
      </c>
      <c r="N23" s="388"/>
      <c r="O23" s="403"/>
    </row>
    <row r="24" spans="1:15">
      <c r="A24" s="386">
        <f t="shared" si="0"/>
        <v>18</v>
      </c>
      <c r="B24" s="386"/>
      <c r="C24" s="387" t="s">
        <v>14</v>
      </c>
      <c r="D24" s="390">
        <f>SUM(D20:D23)</f>
        <v>1426256.8204598611</v>
      </c>
      <c r="E24" s="404"/>
      <c r="F24" s="405">
        <f t="shared" ref="F24" si="13">SUM(F20:F23)</f>
        <v>3265</v>
      </c>
      <c r="H24" s="390">
        <f>SUM(H20:H23)</f>
        <v>1454861</v>
      </c>
      <c r="I24" s="405">
        <f t="shared" ref="I24" si="14">SUM(I20:I23)</f>
        <v>3331</v>
      </c>
      <c r="K24" s="390">
        <f>SUM(K20:K23)</f>
        <v>1459925</v>
      </c>
      <c r="L24" s="405">
        <f t="shared" ref="L24" si="15">SUM(L20:L23)</f>
        <v>3343</v>
      </c>
      <c r="N24" s="390"/>
      <c r="O24" s="405"/>
    </row>
    <row r="25" spans="1:15">
      <c r="A25" s="386">
        <f t="shared" si="0"/>
        <v>19</v>
      </c>
      <c r="B25" s="386"/>
      <c r="C25" s="387"/>
      <c r="D25" s="388"/>
      <c r="E25" s="402"/>
      <c r="F25" s="403"/>
      <c r="H25" s="388"/>
      <c r="I25" s="403"/>
      <c r="K25" s="388"/>
      <c r="L25" s="403"/>
      <c r="N25" s="388"/>
      <c r="O25" s="403"/>
    </row>
    <row r="26" spans="1:15">
      <c r="A26" s="386">
        <f t="shared" si="0"/>
        <v>20</v>
      </c>
      <c r="B26" s="386">
        <v>46</v>
      </c>
      <c r="C26" s="387"/>
      <c r="D26" s="388">
        <f>+'Revenue By Sch TY'!D17</f>
        <v>100810.05100000001</v>
      </c>
      <c r="E26" s="402">
        <f>+'UE-210217 Sch 140'!G27</f>
        <v>1.668E-3</v>
      </c>
      <c r="F26" s="403">
        <f>ROUND(D26*E26,0)</f>
        <v>168</v>
      </c>
      <c r="H26" s="388">
        <f>+'Sch 95 PCORC'!J26</f>
        <v>89530.525500000018</v>
      </c>
      <c r="I26" s="403">
        <f t="shared" ref="I26:I27" si="16">ROUND($E26*H26,0)</f>
        <v>149</v>
      </c>
      <c r="K26" s="388">
        <f>+'Sch 95 PCORC'!N26</f>
        <v>89210.525500000018</v>
      </c>
      <c r="L26" s="403">
        <f t="shared" ref="L26:L27" si="17">ROUND($E26*K26,0)</f>
        <v>149</v>
      </c>
      <c r="N26" s="388"/>
      <c r="O26" s="403"/>
    </row>
    <row r="27" spans="1:15">
      <c r="A27" s="386">
        <f t="shared" si="0"/>
        <v>21</v>
      </c>
      <c r="B27" s="386">
        <v>49</v>
      </c>
      <c r="C27" s="387"/>
      <c r="D27" s="388">
        <f>+'Revenue By Sch TY'!D18</f>
        <v>513293.73700000002</v>
      </c>
      <c r="E27" s="402">
        <f>+'UE-210217 Sch 140'!G28</f>
        <v>1.668E-3</v>
      </c>
      <c r="F27" s="403">
        <f>ROUND(D27*E27,0)</f>
        <v>856</v>
      </c>
      <c r="H27" s="388">
        <f>+'Sch 95 PCORC'!J27</f>
        <v>504715</v>
      </c>
      <c r="I27" s="403">
        <f t="shared" si="16"/>
        <v>842</v>
      </c>
      <c r="K27" s="388">
        <f>+'Sch 95 PCORC'!N27</f>
        <v>499683</v>
      </c>
      <c r="L27" s="403">
        <f t="shared" si="17"/>
        <v>833</v>
      </c>
      <c r="N27" s="388"/>
      <c r="O27" s="403"/>
    </row>
    <row r="28" spans="1:15">
      <c r="A28" s="386">
        <f t="shared" si="0"/>
        <v>22</v>
      </c>
      <c r="B28" s="386"/>
      <c r="C28" s="387" t="s">
        <v>15</v>
      </c>
      <c r="D28" s="390">
        <f>SUM(D26:D27)</f>
        <v>614103.78800000006</v>
      </c>
      <c r="E28" s="404"/>
      <c r="F28" s="405">
        <f t="shared" ref="F28" si="18">SUM(F26:F27)</f>
        <v>1024</v>
      </c>
      <c r="H28" s="390">
        <f>SUM(H26:H27)</f>
        <v>594245.52549999999</v>
      </c>
      <c r="I28" s="405">
        <f t="shared" ref="I28" si="19">SUM(I26:I27)</f>
        <v>991</v>
      </c>
      <c r="K28" s="390">
        <f>SUM(K26:K27)</f>
        <v>588893.52549999999</v>
      </c>
      <c r="L28" s="405">
        <f t="shared" ref="L28" si="20">SUM(L26:L27)</f>
        <v>982</v>
      </c>
      <c r="N28" s="390"/>
      <c r="O28" s="405"/>
    </row>
    <row r="29" spans="1:15">
      <c r="A29" s="386">
        <f t="shared" si="0"/>
        <v>23</v>
      </c>
      <c r="B29" s="386"/>
      <c r="C29" s="387"/>
      <c r="D29" s="388"/>
      <c r="E29" s="402"/>
      <c r="F29" s="403"/>
      <c r="H29" s="388"/>
      <c r="I29" s="403"/>
      <c r="K29" s="388"/>
      <c r="L29" s="403"/>
      <c r="N29" s="388"/>
      <c r="O29" s="403"/>
    </row>
    <row r="30" spans="1:15">
      <c r="A30" s="386">
        <f t="shared" si="0"/>
        <v>24</v>
      </c>
      <c r="B30" s="386" t="s">
        <v>16</v>
      </c>
      <c r="C30" s="387"/>
      <c r="D30" s="390">
        <f>+'Revenue By Sch TY'!D19</f>
        <v>69892.887000000002</v>
      </c>
      <c r="E30" s="404">
        <f>+'UE-210217 Sch 140'!G31</f>
        <v>9.2899999999999996E-3</v>
      </c>
      <c r="F30" s="405">
        <f>ROUND(D30*E30,0)</f>
        <v>649</v>
      </c>
      <c r="H30" s="390">
        <f>+'Sch 95 PCORC'!J30</f>
        <v>62703</v>
      </c>
      <c r="I30" s="405">
        <f>ROUND($E30*H30,0)</f>
        <v>583</v>
      </c>
      <c r="K30" s="390">
        <f>+'Sch 95 PCORC'!N30</f>
        <v>61382</v>
      </c>
      <c r="L30" s="405">
        <f>ROUND($E30*K30,0)</f>
        <v>570</v>
      </c>
      <c r="N30" s="390"/>
      <c r="O30" s="405"/>
    </row>
    <row r="31" spans="1:15">
      <c r="A31" s="386">
        <f t="shared" si="0"/>
        <v>25</v>
      </c>
      <c r="B31" s="386"/>
      <c r="C31" s="387"/>
      <c r="D31" s="388"/>
      <c r="E31" s="402"/>
      <c r="F31" s="403"/>
      <c r="H31" s="403"/>
      <c r="I31" s="403"/>
      <c r="K31" s="388"/>
      <c r="L31" s="403"/>
      <c r="N31" s="388"/>
      <c r="O31" s="403"/>
    </row>
    <row r="32" spans="1:15">
      <c r="A32" s="386">
        <f t="shared" si="0"/>
        <v>26</v>
      </c>
      <c r="B32" s="389" t="s">
        <v>17</v>
      </c>
      <c r="C32" s="387"/>
      <c r="D32" s="388">
        <f>+'Revenue By Sch TY'!D20</f>
        <v>1945214.1669999999</v>
      </c>
      <c r="E32" s="402">
        <f>+'UE-210217 Sch 140'!$G$33</f>
        <v>2.1999999999999999E-5</v>
      </c>
      <c r="F32" s="403">
        <f>ROUND(D32*E32,0)</f>
        <v>43</v>
      </c>
      <c r="H32" s="388">
        <f>+'Sch 95 PCORC'!J32</f>
        <v>1895530</v>
      </c>
      <c r="I32" s="403">
        <f t="shared" ref="I32:I33" si="21">ROUND($E32*H32,0)</f>
        <v>42</v>
      </c>
      <c r="K32" s="388">
        <f>+'Sch 95 PCORC'!N32</f>
        <v>1895104</v>
      </c>
      <c r="L32" s="403">
        <f t="shared" ref="L32:L33" si="22">ROUND($E32*K32,0)</f>
        <v>42</v>
      </c>
      <c r="N32" s="388"/>
      <c r="O32" s="403"/>
    </row>
    <row r="33" spans="1:15">
      <c r="A33" s="386">
        <f t="shared" si="0"/>
        <v>27</v>
      </c>
      <c r="B33" s="389" t="s">
        <v>262</v>
      </c>
      <c r="C33" s="387"/>
      <c r="D33" s="388">
        <f>+'Revenue By Sch TY'!D21</f>
        <v>278070.311162</v>
      </c>
      <c r="E33" s="402">
        <f>+'UE-210217 Sch 140'!$G$24</f>
        <v>4.8499999999999997E-4</v>
      </c>
      <c r="F33" s="403">
        <f>ROUND(D33*E33,0)</f>
        <v>135</v>
      </c>
      <c r="H33" s="388">
        <f>+'Sch 95 PCORC'!J33</f>
        <v>289426</v>
      </c>
      <c r="I33" s="403">
        <f t="shared" si="21"/>
        <v>140</v>
      </c>
      <c r="K33" s="388">
        <f>+'Sch 95 PCORC'!N33</f>
        <v>289426</v>
      </c>
      <c r="L33" s="403">
        <f t="shared" si="22"/>
        <v>140</v>
      </c>
      <c r="N33" s="388"/>
      <c r="O33" s="403"/>
    </row>
    <row r="34" spans="1:15">
      <c r="A34" s="386">
        <f t="shared" si="0"/>
        <v>28</v>
      </c>
      <c r="B34" s="389"/>
      <c r="C34" s="387" t="s">
        <v>263</v>
      </c>
      <c r="D34" s="390">
        <f>SUM(D32:D33)</f>
        <v>2223284.478162</v>
      </c>
      <c r="E34" s="404"/>
      <c r="F34" s="405">
        <f t="shared" ref="F34" si="23">SUM(F32:F33)</f>
        <v>178</v>
      </c>
      <c r="H34" s="390">
        <f>SUM(H32:H33)</f>
        <v>2184956</v>
      </c>
      <c r="I34" s="405">
        <f t="shared" ref="I34" si="24">SUM(I32:I33)</f>
        <v>182</v>
      </c>
      <c r="K34" s="390">
        <f>SUM(K32:K33)</f>
        <v>2184530</v>
      </c>
      <c r="L34" s="405">
        <f t="shared" ref="L34" si="25">SUM(L32:L33)</f>
        <v>182</v>
      </c>
      <c r="N34" s="390"/>
      <c r="O34" s="405"/>
    </row>
    <row r="35" spans="1:15">
      <c r="A35" s="386">
        <f t="shared" si="0"/>
        <v>29</v>
      </c>
      <c r="B35" s="386"/>
      <c r="C35" s="387"/>
      <c r="D35" s="388"/>
      <c r="E35" s="402"/>
      <c r="F35" s="403"/>
      <c r="H35" s="388"/>
      <c r="I35" s="403"/>
      <c r="K35" s="388"/>
      <c r="L35" s="403"/>
      <c r="N35" s="388"/>
      <c r="O35" s="403"/>
    </row>
    <row r="36" spans="1:15" ht="10.8" thickBot="1">
      <c r="A36" s="386">
        <f t="shared" si="0"/>
        <v>30</v>
      </c>
      <c r="B36" s="386"/>
      <c r="C36" s="391" t="s">
        <v>66</v>
      </c>
      <c r="D36" s="393">
        <f>SUM(D9,D18,D24,D28,D30,D34)</f>
        <v>22980976.256595761</v>
      </c>
      <c r="E36" s="406"/>
      <c r="F36" s="407">
        <f>SUM(F9,F18,F24,F28,F30,F34)</f>
        <v>58056</v>
      </c>
      <c r="H36" s="393">
        <f>SUM(H9,H18,H24,H28,H30,H34)</f>
        <v>22715537.8675</v>
      </c>
      <c r="I36" s="407">
        <f>SUM(I9,I18,I24,I28,I30,I34)</f>
        <v>57219</v>
      </c>
      <c r="K36" s="393">
        <f>SUM(K9,K18,K24,K28,K30,K34)</f>
        <v>22906810.8475</v>
      </c>
      <c r="L36" s="407">
        <f>SUM(L9,L18,L24,L28,L30,L34)</f>
        <v>57747</v>
      </c>
      <c r="N36" s="393"/>
      <c r="O36" s="407"/>
    </row>
    <row r="37" spans="1:15" ht="10.8" thickTop="1">
      <c r="A37" s="386">
        <f t="shared" si="0"/>
        <v>31</v>
      </c>
      <c r="B37" s="386"/>
      <c r="C37" s="387"/>
      <c r="D37" s="387"/>
      <c r="E37" s="387"/>
      <c r="F37" s="403"/>
      <c r="I37" s="403"/>
      <c r="L37" s="403"/>
      <c r="O37" s="403"/>
    </row>
    <row r="38" spans="1:15">
      <c r="A38" s="386">
        <f t="shared" si="0"/>
        <v>32</v>
      </c>
      <c r="B38" s="386">
        <v>5</v>
      </c>
      <c r="C38" s="387" t="s">
        <v>67</v>
      </c>
      <c r="D38" s="388">
        <f>+'Revenue By Sch TY'!D22</f>
        <v>7372.3372879022108</v>
      </c>
      <c r="E38" s="404">
        <v>0</v>
      </c>
      <c r="F38" s="405">
        <f>ROUND(D38*E38,-3)</f>
        <v>0</v>
      </c>
      <c r="H38" s="390">
        <f>+'Sch 95 PCORC'!J38</f>
        <v>7521</v>
      </c>
      <c r="I38" s="405">
        <f>ROUND($E38*H38,0)</f>
        <v>0</v>
      </c>
      <c r="K38" s="390">
        <f>+'Sch 95 PCORC'!N38</f>
        <v>7552</v>
      </c>
      <c r="L38" s="405">
        <f>ROUND($E38*K38,0)</f>
        <v>0</v>
      </c>
      <c r="N38" s="390"/>
      <c r="O38" s="405"/>
    </row>
    <row r="39" spans="1:15">
      <c r="A39" s="386">
        <f t="shared" si="0"/>
        <v>33</v>
      </c>
      <c r="B39" s="386"/>
      <c r="C39" s="387"/>
      <c r="D39" s="387"/>
      <c r="E39" s="387"/>
      <c r="F39" s="403"/>
      <c r="I39" s="403"/>
      <c r="L39" s="403"/>
      <c r="O39" s="403"/>
    </row>
    <row r="40" spans="1:15" ht="10.8" thickBot="1">
      <c r="A40" s="386">
        <f t="shared" si="0"/>
        <v>34</v>
      </c>
      <c r="B40" s="386"/>
      <c r="C40" s="391" t="s">
        <v>68</v>
      </c>
      <c r="D40" s="393">
        <f>SUM(D36,D38)</f>
        <v>22988348.593883663</v>
      </c>
      <c r="E40" s="387"/>
      <c r="F40" s="407">
        <f t="shared" ref="F40" si="26">SUM(F36,F38)</f>
        <v>58056</v>
      </c>
      <c r="H40" s="393">
        <f>SUM(H36,H38)</f>
        <v>22723058.8675</v>
      </c>
      <c r="I40" s="407">
        <f t="shared" ref="I40" si="27">SUM(I36,I38)</f>
        <v>57219</v>
      </c>
      <c r="K40" s="393">
        <f>SUM(K36,K38)</f>
        <v>22914362.8475</v>
      </c>
      <c r="L40" s="407">
        <f t="shared" ref="L40" si="28">SUM(L36,L38)</f>
        <v>57747</v>
      </c>
      <c r="N40" s="393"/>
      <c r="O40" s="407"/>
    </row>
    <row r="41" spans="1:15" ht="10.8" thickTop="1">
      <c r="D41" s="387"/>
    </row>
  </sheetData>
  <mergeCells count="7">
    <mergeCell ref="K5:L5"/>
    <mergeCell ref="N5:O5"/>
    <mergeCell ref="A1:F1"/>
    <mergeCell ref="A2:F2"/>
    <mergeCell ref="A3:F3"/>
    <mergeCell ref="A4:F4"/>
    <mergeCell ref="H5:I5"/>
  </mergeCells>
  <printOptions horizontalCentered="1"/>
  <pageMargins left="0.7" right="0.7" top="0.75" bottom="0.87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O41"/>
  <sheetViews>
    <sheetView zoomScaleNormal="10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activeCell="O1" sqref="D1:O1048576"/>
    </sheetView>
  </sheetViews>
  <sheetFormatPr defaultColWidth="3.5546875" defaultRowHeight="10.199999999999999"/>
  <cols>
    <col min="1" max="1" width="5" style="384" customWidth="1"/>
    <col min="2" max="2" width="13.6640625" style="384" bestFit="1" customWidth="1"/>
    <col min="3" max="3" width="21" style="384" bestFit="1" customWidth="1"/>
    <col min="4" max="4" width="13.33203125" style="384" bestFit="1" customWidth="1"/>
    <col min="5" max="6" width="13.88671875" style="384" bestFit="1" customWidth="1"/>
    <col min="7" max="7" width="2" style="387" customWidth="1"/>
    <col min="8" max="8" width="9.88671875" style="387" bestFit="1" customWidth="1"/>
    <col min="9" max="9" width="8.44140625" style="387" bestFit="1" customWidth="1"/>
    <col min="10" max="10" width="2" style="387" customWidth="1"/>
    <col min="11" max="11" width="9.88671875" style="387" bestFit="1" customWidth="1"/>
    <col min="12" max="12" width="8.44140625" style="387" bestFit="1" customWidth="1"/>
    <col min="13" max="13" width="2" style="387" customWidth="1"/>
    <col min="14" max="15" width="8.44140625" style="387" bestFit="1" customWidth="1"/>
    <col min="16" max="16384" width="3.5546875" style="384"/>
  </cols>
  <sheetData>
    <row r="1" spans="1:15" s="395" customFormat="1">
      <c r="A1" s="772" t="s">
        <v>0</v>
      </c>
      <c r="B1" s="772"/>
      <c r="C1" s="772"/>
      <c r="D1" s="772"/>
      <c r="E1" s="772"/>
      <c r="F1" s="772"/>
      <c r="G1" s="409"/>
      <c r="H1" s="409"/>
      <c r="I1" s="409"/>
      <c r="J1" s="409"/>
      <c r="K1" s="409"/>
      <c r="L1" s="409"/>
      <c r="M1" s="409"/>
      <c r="N1" s="409"/>
      <c r="O1" s="409"/>
    </row>
    <row r="2" spans="1:15" s="395" customFormat="1">
      <c r="A2" s="773" t="s">
        <v>261</v>
      </c>
      <c r="B2" s="772"/>
      <c r="C2" s="772"/>
      <c r="D2" s="772"/>
      <c r="E2" s="772"/>
      <c r="F2" s="772"/>
      <c r="G2" s="409"/>
      <c r="H2" s="409"/>
      <c r="I2" s="409"/>
      <c r="J2" s="409"/>
      <c r="K2" s="409"/>
      <c r="L2" s="409"/>
      <c r="M2" s="409"/>
      <c r="N2" s="409"/>
      <c r="O2" s="409"/>
    </row>
    <row r="3" spans="1:15" s="395" customFormat="1">
      <c r="A3" s="772" t="str">
        <f>+'Revenue By Sch TY'!A3</f>
        <v>Test Year ended June 2021</v>
      </c>
      <c r="B3" s="772"/>
      <c r="C3" s="772"/>
      <c r="D3" s="772"/>
      <c r="E3" s="772"/>
      <c r="F3" s="772"/>
      <c r="G3" s="409"/>
      <c r="H3" s="409"/>
      <c r="I3" s="409"/>
      <c r="J3" s="409"/>
      <c r="K3" s="409"/>
      <c r="L3" s="409"/>
      <c r="M3" s="409"/>
      <c r="N3" s="409"/>
      <c r="O3" s="409"/>
    </row>
    <row r="4" spans="1:15" s="395" customFormat="1">
      <c r="G4" s="409"/>
      <c r="H4" s="409"/>
      <c r="I4" s="409"/>
      <c r="J4" s="409"/>
      <c r="K4" s="409"/>
      <c r="L4" s="409"/>
      <c r="M4" s="409"/>
      <c r="N4" s="409"/>
      <c r="O4" s="409"/>
    </row>
    <row r="5" spans="1:15" s="395" customFormat="1">
      <c r="G5" s="409"/>
      <c r="H5" s="803" t="s">
        <v>512</v>
      </c>
      <c r="I5" s="803"/>
      <c r="J5" s="409"/>
      <c r="K5" s="802" t="s">
        <v>515</v>
      </c>
      <c r="L5" s="803"/>
      <c r="M5" s="409"/>
      <c r="N5" s="802" t="s">
        <v>514</v>
      </c>
      <c r="O5" s="803"/>
    </row>
    <row r="6" spans="1:15" s="395" customFormat="1" ht="40.799999999999997">
      <c r="A6" s="399" t="s">
        <v>167</v>
      </c>
      <c r="B6" s="399" t="s">
        <v>3</v>
      </c>
      <c r="C6" s="399" t="s">
        <v>31</v>
      </c>
      <c r="D6" s="400" t="str">
        <f>+'Revenue By Sch TY'!D7</f>
        <v>Annual mWh
Delivered Sales 
YE 06-2021</v>
      </c>
      <c r="E6" s="400" t="s">
        <v>434</v>
      </c>
      <c r="F6" s="400" t="s">
        <v>442</v>
      </c>
      <c r="G6" s="409"/>
      <c r="H6" s="400" t="s">
        <v>522</v>
      </c>
      <c r="I6" s="400" t="s">
        <v>513</v>
      </c>
      <c r="J6" s="400"/>
      <c r="K6" s="400" t="str">
        <f>+H6</f>
        <v>Annual Delivered MWh</v>
      </c>
      <c r="L6" s="400" t="str">
        <f>+I6</f>
        <v>Annual Delivered $</v>
      </c>
      <c r="M6" s="400"/>
      <c r="N6" s="400" t="str">
        <f>+K6</f>
        <v>Annual Delivered MWh</v>
      </c>
      <c r="O6" s="400" t="str">
        <f>+L6</f>
        <v>Annual Delivered $</v>
      </c>
    </row>
    <row r="7" spans="1:15">
      <c r="A7" s="385">
        <v>1</v>
      </c>
      <c r="B7" s="386">
        <v>7</v>
      </c>
      <c r="C7" s="387"/>
      <c r="D7" s="388">
        <f>+'Revenue By Sch TY'!D9</f>
        <v>11355354.571603522</v>
      </c>
      <c r="E7" s="402">
        <v>0</v>
      </c>
      <c r="F7" s="403">
        <f>ROUND(D7*E7,0)</f>
        <v>0</v>
      </c>
      <c r="H7" s="388">
        <f>+'Sch 95 PCORC'!J7</f>
        <v>10963050.375499999</v>
      </c>
      <c r="I7" s="403">
        <f>ROUND($E7*H7,0)</f>
        <v>0</v>
      </c>
      <c r="K7" s="388">
        <f>+'Sch 95 PCORC'!N7</f>
        <v>11064440.8695</v>
      </c>
      <c r="L7" s="403">
        <f>ROUND($E7*K7,0)</f>
        <v>0</v>
      </c>
      <c r="N7" s="388"/>
      <c r="O7" s="403"/>
    </row>
    <row r="8" spans="1:15">
      <c r="A8" s="385">
        <v>2</v>
      </c>
      <c r="B8" s="389" t="s">
        <v>10</v>
      </c>
      <c r="C8" s="387"/>
      <c r="D8" s="388">
        <v>0</v>
      </c>
      <c r="E8" s="402">
        <v>0</v>
      </c>
      <c r="F8" s="403">
        <f>ROUND(D8*E8,0)</f>
        <v>0</v>
      </c>
      <c r="H8" s="388">
        <f>+'Sch 95 PCORC'!J8</f>
        <v>0</v>
      </c>
      <c r="I8" s="403">
        <f>ROUND($E8*H8,0)</f>
        <v>0</v>
      </c>
      <c r="K8" s="388">
        <f>+'Sch 95 PCORC'!N8</f>
        <v>0</v>
      </c>
      <c r="L8" s="403">
        <f>ROUND($E8*K8,0)</f>
        <v>0</v>
      </c>
      <c r="N8" s="388"/>
      <c r="O8" s="403"/>
    </row>
    <row r="9" spans="1:15">
      <c r="A9" s="385">
        <v>3</v>
      </c>
      <c r="B9" s="386"/>
      <c r="C9" s="387" t="s">
        <v>11</v>
      </c>
      <c r="D9" s="390">
        <f>SUM(D7:D8)</f>
        <v>11355354.571603522</v>
      </c>
      <c r="E9" s="404"/>
      <c r="F9" s="405">
        <f t="shared" ref="F9" si="0">SUM(F7:F8)</f>
        <v>0</v>
      </c>
      <c r="H9" s="390">
        <f>SUM(H7:H8)</f>
        <v>10963050.375499999</v>
      </c>
      <c r="I9" s="405">
        <f t="shared" ref="I9" si="1">SUM(I7:I8)</f>
        <v>0</v>
      </c>
      <c r="K9" s="390">
        <f>SUM(K7:K8)</f>
        <v>11064440.8695</v>
      </c>
      <c r="L9" s="405">
        <f t="shared" ref="L9" si="2">SUM(L7:L8)</f>
        <v>0</v>
      </c>
      <c r="N9" s="390"/>
      <c r="O9" s="405"/>
    </row>
    <row r="10" spans="1:15">
      <c r="A10" s="385">
        <v>4</v>
      </c>
      <c r="B10" s="386"/>
      <c r="C10" s="387"/>
      <c r="D10" s="388"/>
      <c r="E10" s="402"/>
      <c r="F10" s="403"/>
      <c r="H10" s="388"/>
      <c r="I10" s="403"/>
      <c r="K10" s="388"/>
      <c r="L10" s="403"/>
      <c r="N10" s="388"/>
      <c r="O10" s="403"/>
    </row>
    <row r="11" spans="1:15">
      <c r="A11" s="385">
        <v>5</v>
      </c>
      <c r="B11" s="386">
        <v>8</v>
      </c>
      <c r="C11" s="387"/>
      <c r="D11" s="388">
        <v>0</v>
      </c>
      <c r="E11" s="402">
        <v>0</v>
      </c>
      <c r="F11" s="403">
        <f t="shared" ref="F11:F17" si="3">ROUND(D11*E11,0)</f>
        <v>0</v>
      </c>
      <c r="H11" s="388">
        <f>+'Sch 95 PCORC'!J11</f>
        <v>0</v>
      </c>
      <c r="I11" s="403">
        <f t="shared" ref="I11:I17" si="4">ROUND($E11*H11,0)</f>
        <v>0</v>
      </c>
      <c r="K11" s="388">
        <f>+'Sch 95 PCORC'!N11</f>
        <v>0</v>
      </c>
      <c r="L11" s="403">
        <f t="shared" ref="L11:L17" si="5">ROUND($E11*K11,0)</f>
        <v>0</v>
      </c>
      <c r="N11" s="388"/>
      <c r="O11" s="403"/>
    </row>
    <row r="12" spans="1:15">
      <c r="A12" s="385">
        <v>6</v>
      </c>
      <c r="B12" s="386">
        <v>24</v>
      </c>
      <c r="C12" s="387"/>
      <c r="D12" s="388">
        <f>+'Revenue By Sch TY'!D10</f>
        <v>2658833.1030243803</v>
      </c>
      <c r="E12" s="402">
        <f>+E11</f>
        <v>0</v>
      </c>
      <c r="F12" s="403">
        <f t="shared" si="3"/>
        <v>0</v>
      </c>
      <c r="H12" s="388">
        <f>+'Sch 95 PCORC'!J12</f>
        <v>2697633</v>
      </c>
      <c r="I12" s="403">
        <f t="shared" si="4"/>
        <v>0</v>
      </c>
      <c r="K12" s="388">
        <f>+'Sch 95 PCORC'!N12</f>
        <v>2730372</v>
      </c>
      <c r="L12" s="403">
        <f t="shared" si="5"/>
        <v>0</v>
      </c>
      <c r="N12" s="388"/>
      <c r="O12" s="403"/>
    </row>
    <row r="13" spans="1:15">
      <c r="A13" s="385">
        <v>7</v>
      </c>
      <c r="B13" s="389">
        <v>11</v>
      </c>
      <c r="C13" s="387"/>
      <c r="D13" s="388">
        <v>0</v>
      </c>
      <c r="E13" s="402">
        <f>+E8</f>
        <v>0</v>
      </c>
      <c r="F13" s="403">
        <f t="shared" si="3"/>
        <v>0</v>
      </c>
      <c r="H13" s="388">
        <f>+'Sch 95 PCORC'!J13</f>
        <v>0</v>
      </c>
      <c r="I13" s="403">
        <f t="shared" si="4"/>
        <v>0</v>
      </c>
      <c r="K13" s="388">
        <f>+'Sch 95 PCORC'!N13</f>
        <v>0</v>
      </c>
      <c r="L13" s="403">
        <f t="shared" si="5"/>
        <v>0</v>
      </c>
      <c r="N13" s="388"/>
      <c r="O13" s="403"/>
    </row>
    <row r="14" spans="1:15">
      <c r="A14" s="385">
        <v>8</v>
      </c>
      <c r="B14" s="389">
        <v>25</v>
      </c>
      <c r="C14" s="387"/>
      <c r="D14" s="388">
        <f>+'Revenue By Sch TY'!D11</f>
        <v>2856045.8325844579</v>
      </c>
      <c r="E14" s="402">
        <f>+E13</f>
        <v>0</v>
      </c>
      <c r="F14" s="403">
        <f t="shared" si="3"/>
        <v>0</v>
      </c>
      <c r="H14" s="388">
        <f>+'Sch 95 PCORC'!J14</f>
        <v>2911699.0000000005</v>
      </c>
      <c r="I14" s="403">
        <f t="shared" si="4"/>
        <v>0</v>
      </c>
      <c r="K14" s="388">
        <f>+'Sch 95 PCORC'!N14</f>
        <v>2948172</v>
      </c>
      <c r="L14" s="403">
        <f t="shared" si="5"/>
        <v>0</v>
      </c>
      <c r="N14" s="388"/>
      <c r="O14" s="403"/>
    </row>
    <row r="15" spans="1:15">
      <c r="A15" s="385">
        <v>9</v>
      </c>
      <c r="B15" s="386">
        <v>12</v>
      </c>
      <c r="C15" s="387"/>
      <c r="D15" s="388">
        <v>0</v>
      </c>
      <c r="E15" s="402">
        <v>0</v>
      </c>
      <c r="F15" s="403">
        <f t="shared" si="3"/>
        <v>0</v>
      </c>
      <c r="H15" s="388">
        <f>+'Sch 95 PCORC'!J15</f>
        <v>0</v>
      </c>
      <c r="I15" s="403">
        <f t="shared" si="4"/>
        <v>0</v>
      </c>
      <c r="K15" s="388">
        <f>+'Sch 95 PCORC'!N15</f>
        <v>0</v>
      </c>
      <c r="L15" s="403">
        <f t="shared" si="5"/>
        <v>0</v>
      </c>
      <c r="N15" s="388"/>
      <c r="O15" s="403"/>
    </row>
    <row r="16" spans="1:15">
      <c r="A16" s="385">
        <v>10</v>
      </c>
      <c r="B16" s="386" t="s">
        <v>12</v>
      </c>
      <c r="C16" s="387"/>
      <c r="D16" s="388">
        <f>+'Revenue By Sch TY'!D12</f>
        <v>1761911.047761543</v>
      </c>
      <c r="E16" s="402">
        <f>+E15</f>
        <v>0</v>
      </c>
      <c r="F16" s="403">
        <f t="shared" si="3"/>
        <v>0</v>
      </c>
      <c r="H16" s="388">
        <f>+'Sch 95 PCORC'!J16</f>
        <v>1831289</v>
      </c>
      <c r="I16" s="403">
        <f t="shared" si="4"/>
        <v>0</v>
      </c>
      <c r="K16" s="388">
        <f>+'Sch 95 PCORC'!N16</f>
        <v>1853862</v>
      </c>
      <c r="L16" s="403">
        <f t="shared" si="5"/>
        <v>0</v>
      </c>
      <c r="N16" s="388"/>
      <c r="O16" s="403"/>
    </row>
    <row r="17" spans="1:15">
      <c r="A17" s="385">
        <v>11</v>
      </c>
      <c r="B17" s="386">
        <v>29</v>
      </c>
      <c r="C17" s="387"/>
      <c r="D17" s="388">
        <f>+'Revenue By Sch TY'!D13</f>
        <v>15293.727999999999</v>
      </c>
      <c r="E17" s="402">
        <v>0</v>
      </c>
      <c r="F17" s="403">
        <f t="shared" si="3"/>
        <v>0</v>
      </c>
      <c r="H17" s="388">
        <f>+'Sch 95 PCORC'!J17</f>
        <v>15100.966499999999</v>
      </c>
      <c r="I17" s="403">
        <f t="shared" si="4"/>
        <v>0</v>
      </c>
      <c r="K17" s="388">
        <f>+'Sch 95 PCORC'!N17</f>
        <v>15233.452499999999</v>
      </c>
      <c r="L17" s="403">
        <f t="shared" si="5"/>
        <v>0</v>
      </c>
      <c r="N17" s="388"/>
      <c r="O17" s="403"/>
    </row>
    <row r="18" spans="1:15">
      <c r="A18" s="385">
        <v>12</v>
      </c>
      <c r="B18" s="386"/>
      <c r="C18" s="391" t="s">
        <v>13</v>
      </c>
      <c r="D18" s="390">
        <f>SUM(D11:D17)</f>
        <v>7292083.7113703806</v>
      </c>
      <c r="E18" s="404"/>
      <c r="F18" s="405">
        <f t="shared" ref="F18" si="6">SUM(F11:F17)</f>
        <v>0</v>
      </c>
      <c r="H18" s="390">
        <f>SUM(H11:H17)</f>
        <v>7455721.9665000001</v>
      </c>
      <c r="I18" s="405">
        <f t="shared" ref="I18" si="7">SUM(I11:I17)</f>
        <v>0</v>
      </c>
      <c r="K18" s="390">
        <f>SUM(K11:K17)</f>
        <v>7547639.4524999997</v>
      </c>
      <c r="L18" s="405">
        <f t="shared" ref="L18" si="8">SUM(L11:L17)</f>
        <v>0</v>
      </c>
      <c r="N18" s="390"/>
      <c r="O18" s="405"/>
    </row>
    <row r="19" spans="1:15">
      <c r="A19" s="385">
        <v>13</v>
      </c>
      <c r="B19" s="386"/>
      <c r="C19" s="387"/>
      <c r="D19" s="388"/>
      <c r="E19" s="402"/>
      <c r="F19" s="403"/>
      <c r="H19" s="388"/>
      <c r="I19" s="403"/>
      <c r="K19" s="388"/>
      <c r="L19" s="403"/>
      <c r="N19" s="388"/>
      <c r="O19" s="403"/>
    </row>
    <row r="20" spans="1:15">
      <c r="A20" s="385">
        <v>14</v>
      </c>
      <c r="B20" s="386">
        <v>10</v>
      </c>
      <c r="C20" s="387"/>
      <c r="D20" s="388">
        <v>0</v>
      </c>
      <c r="E20" s="402">
        <v>0</v>
      </c>
      <c r="F20" s="403">
        <f>ROUND(D20*E20,0)</f>
        <v>0</v>
      </c>
      <c r="H20" s="388">
        <v>0</v>
      </c>
      <c r="I20" s="403">
        <f t="shared" ref="I20:I23" si="9">ROUND($E20*H20,0)</f>
        <v>0</v>
      </c>
      <c r="K20" s="388">
        <v>0</v>
      </c>
      <c r="L20" s="403">
        <f t="shared" ref="L20:L23" si="10">ROUND($E20*K20,0)</f>
        <v>0</v>
      </c>
      <c r="N20" s="388"/>
      <c r="O20" s="403"/>
    </row>
    <row r="21" spans="1:15">
      <c r="A21" s="385">
        <v>15</v>
      </c>
      <c r="B21" s="386">
        <v>31</v>
      </c>
      <c r="C21" s="387"/>
      <c r="D21" s="388">
        <f>+'Revenue By Sch TY'!D14</f>
        <v>1307770.0591754341</v>
      </c>
      <c r="E21" s="402">
        <f>+E20</f>
        <v>0</v>
      </c>
      <c r="F21" s="403">
        <f>ROUND(D21*E21,0)</f>
        <v>0</v>
      </c>
      <c r="H21" s="388">
        <f>+'Sch 95 PCORC'!J21</f>
        <v>1332008</v>
      </c>
      <c r="I21" s="403">
        <f t="shared" si="9"/>
        <v>0</v>
      </c>
      <c r="K21" s="388">
        <f>+'Sch 95 PCORC'!N21</f>
        <v>1335448</v>
      </c>
      <c r="L21" s="403">
        <f t="shared" si="10"/>
        <v>0</v>
      </c>
      <c r="N21" s="388"/>
      <c r="O21" s="403"/>
    </row>
    <row r="22" spans="1:15">
      <c r="A22" s="385">
        <v>16</v>
      </c>
      <c r="B22" s="386">
        <v>35</v>
      </c>
      <c r="C22" s="387"/>
      <c r="D22" s="388">
        <f>+'Revenue By Sch TY'!D15</f>
        <v>4387.6440000000002</v>
      </c>
      <c r="E22" s="402">
        <v>0</v>
      </c>
      <c r="F22" s="403">
        <f>ROUND(D22*E22,0)</f>
        <v>0</v>
      </c>
      <c r="H22" s="388">
        <f>+'Sch 95 PCORC'!J22</f>
        <v>4663</v>
      </c>
      <c r="I22" s="403">
        <f t="shared" si="9"/>
        <v>0</v>
      </c>
      <c r="K22" s="388">
        <f>+'Sch 95 PCORC'!N22</f>
        <v>4695</v>
      </c>
      <c r="L22" s="403">
        <f t="shared" si="10"/>
        <v>0</v>
      </c>
      <c r="N22" s="388"/>
      <c r="O22" s="403"/>
    </row>
    <row r="23" spans="1:15">
      <c r="A23" s="385">
        <v>19</v>
      </c>
      <c r="B23" s="386">
        <v>43</v>
      </c>
      <c r="C23" s="387"/>
      <c r="D23" s="388">
        <f>+'Revenue By Sch TY'!D16</f>
        <v>114099.11728442684</v>
      </c>
      <c r="E23" s="402">
        <v>0</v>
      </c>
      <c r="F23" s="403">
        <f>ROUND(D23*E23,0)</f>
        <v>0</v>
      </c>
      <c r="H23" s="388">
        <f>+'Sch 95 PCORC'!J23</f>
        <v>118190</v>
      </c>
      <c r="I23" s="403">
        <f t="shared" si="9"/>
        <v>0</v>
      </c>
      <c r="K23" s="388">
        <f>+'Sch 95 PCORC'!N23</f>
        <v>119782</v>
      </c>
      <c r="L23" s="403">
        <f t="shared" si="10"/>
        <v>0</v>
      </c>
      <c r="N23" s="388"/>
      <c r="O23" s="403"/>
    </row>
    <row r="24" spans="1:15">
      <c r="A24" s="385">
        <v>20</v>
      </c>
      <c r="B24" s="386"/>
      <c r="C24" s="387" t="s">
        <v>14</v>
      </c>
      <c r="D24" s="390">
        <f>SUM(D20:D23)</f>
        <v>1426256.8204598611</v>
      </c>
      <c r="E24" s="404"/>
      <c r="F24" s="405">
        <f t="shared" ref="F24" si="11">SUM(F20:F23)</f>
        <v>0</v>
      </c>
      <c r="H24" s="390">
        <f>SUM(H20:H23)</f>
        <v>1454861</v>
      </c>
      <c r="I24" s="405">
        <f t="shared" ref="I24" si="12">SUM(I20:I23)</f>
        <v>0</v>
      </c>
      <c r="K24" s="390">
        <f>SUM(K20:K23)</f>
        <v>1459925</v>
      </c>
      <c r="L24" s="405">
        <f t="shared" ref="L24" si="13">SUM(L20:L23)</f>
        <v>0</v>
      </c>
      <c r="N24" s="390"/>
      <c r="O24" s="405"/>
    </row>
    <row r="25" spans="1:15">
      <c r="A25" s="385">
        <v>21</v>
      </c>
      <c r="B25" s="386"/>
      <c r="C25" s="387"/>
      <c r="D25" s="388"/>
      <c r="E25" s="402"/>
      <c r="F25" s="403"/>
      <c r="H25" s="388"/>
      <c r="I25" s="403"/>
      <c r="K25" s="388"/>
      <c r="L25" s="403"/>
      <c r="N25" s="388"/>
      <c r="O25" s="403"/>
    </row>
    <row r="26" spans="1:15">
      <c r="A26" s="385">
        <v>22</v>
      </c>
      <c r="B26" s="386">
        <v>46</v>
      </c>
      <c r="C26" s="387"/>
      <c r="D26" s="388">
        <f>+'Revenue By Sch TY'!D17</f>
        <v>100810.05100000001</v>
      </c>
      <c r="E26" s="402">
        <v>0</v>
      </c>
      <c r="F26" s="403">
        <f>ROUND(D26*E26,0)</f>
        <v>0</v>
      </c>
      <c r="H26" s="388">
        <f>+'Sch 95 PCORC'!J26</f>
        <v>89530.525500000018</v>
      </c>
      <c r="I26" s="403">
        <f t="shared" ref="I26:I27" si="14">ROUND($E26*H26,0)</f>
        <v>0</v>
      </c>
      <c r="K26" s="388">
        <f>+'Sch 95 PCORC'!N26</f>
        <v>89210.525500000018</v>
      </c>
      <c r="L26" s="403">
        <f t="shared" ref="L26:L27" si="15">ROUND($E26*K26,0)</f>
        <v>0</v>
      </c>
      <c r="N26" s="388"/>
      <c r="O26" s="403"/>
    </row>
    <row r="27" spans="1:15">
      <c r="A27" s="385">
        <v>23</v>
      </c>
      <c r="B27" s="386">
        <v>49</v>
      </c>
      <c r="C27" s="387"/>
      <c r="D27" s="388">
        <f>+'Revenue By Sch TY'!D18</f>
        <v>513293.73700000002</v>
      </c>
      <c r="E27" s="402">
        <v>0</v>
      </c>
      <c r="F27" s="403">
        <f>ROUND(D27*E27,0)</f>
        <v>0</v>
      </c>
      <c r="H27" s="388">
        <f>+'Sch 95 PCORC'!J27</f>
        <v>504715</v>
      </c>
      <c r="I27" s="403">
        <f t="shared" si="14"/>
        <v>0</v>
      </c>
      <c r="K27" s="388">
        <f>+'Sch 95 PCORC'!N27</f>
        <v>499683</v>
      </c>
      <c r="L27" s="403">
        <f t="shared" si="15"/>
        <v>0</v>
      </c>
      <c r="N27" s="388"/>
      <c r="O27" s="403"/>
    </row>
    <row r="28" spans="1:15">
      <c r="A28" s="385">
        <v>24</v>
      </c>
      <c r="B28" s="386"/>
      <c r="C28" s="387" t="s">
        <v>15</v>
      </c>
      <c r="D28" s="390">
        <f>SUM(D26:D27)</f>
        <v>614103.78800000006</v>
      </c>
      <c r="E28" s="404"/>
      <c r="F28" s="405">
        <f t="shared" ref="F28" si="16">SUM(F26:F27)</f>
        <v>0</v>
      </c>
      <c r="H28" s="390">
        <f>SUM(H26:H27)</f>
        <v>594245.52549999999</v>
      </c>
      <c r="I28" s="405">
        <f t="shared" ref="I28" si="17">SUM(I26:I27)</f>
        <v>0</v>
      </c>
      <c r="K28" s="390">
        <f>SUM(K26:K27)</f>
        <v>588893.52549999999</v>
      </c>
      <c r="L28" s="405">
        <f t="shared" ref="L28" si="18">SUM(L26:L27)</f>
        <v>0</v>
      </c>
      <c r="N28" s="390"/>
      <c r="O28" s="405"/>
    </row>
    <row r="29" spans="1:15">
      <c r="A29" s="385">
        <v>25</v>
      </c>
      <c r="B29" s="386"/>
      <c r="C29" s="387"/>
      <c r="D29" s="388"/>
      <c r="E29" s="402"/>
      <c r="F29" s="403"/>
      <c r="H29" s="388"/>
      <c r="I29" s="403"/>
      <c r="K29" s="388"/>
      <c r="L29" s="403"/>
      <c r="N29" s="388"/>
      <c r="O29" s="403"/>
    </row>
    <row r="30" spans="1:15">
      <c r="A30" s="385">
        <v>26</v>
      </c>
      <c r="B30" s="386" t="s">
        <v>16</v>
      </c>
      <c r="C30" s="387"/>
      <c r="D30" s="390">
        <f>+'Revenue By Sch TY'!D19</f>
        <v>69892.887000000002</v>
      </c>
      <c r="E30" s="404">
        <v>0</v>
      </c>
      <c r="F30" s="405">
        <f>ROUND(D30*E30,0)</f>
        <v>0</v>
      </c>
      <c r="H30" s="390">
        <f>+'Sch 95 PCORC'!J30</f>
        <v>62703</v>
      </c>
      <c r="I30" s="405">
        <f>ROUND($E30*H30,0)</f>
        <v>0</v>
      </c>
      <c r="K30" s="390">
        <f>+'Sch 95 PCORC'!N30</f>
        <v>61382</v>
      </c>
      <c r="L30" s="405">
        <f>ROUND($E30*K30,0)</f>
        <v>0</v>
      </c>
      <c r="N30" s="390"/>
      <c r="O30" s="405"/>
    </row>
    <row r="31" spans="1:15">
      <c r="A31" s="386">
        <f t="shared" ref="A31:A34" si="19">+A30+1</f>
        <v>27</v>
      </c>
      <c r="B31" s="386"/>
      <c r="C31" s="387"/>
      <c r="D31" s="388"/>
      <c r="E31" s="402"/>
      <c r="F31" s="403"/>
      <c r="H31" s="403"/>
      <c r="I31" s="403"/>
      <c r="K31" s="388"/>
      <c r="L31" s="403"/>
      <c r="N31" s="388"/>
      <c r="O31" s="403"/>
    </row>
    <row r="32" spans="1:15">
      <c r="A32" s="386">
        <f t="shared" si="19"/>
        <v>28</v>
      </c>
      <c r="B32" s="389" t="s">
        <v>17</v>
      </c>
      <c r="C32" s="387"/>
      <c r="D32" s="388">
        <f>+'Revenue By Sch TY'!D20</f>
        <v>1945214.1669999999</v>
      </c>
      <c r="E32" s="402">
        <v>0</v>
      </c>
      <c r="F32" s="403">
        <f>ROUND(D32*E32,0)</f>
        <v>0</v>
      </c>
      <c r="H32" s="388">
        <f>+'Sch 95 PCORC'!J32</f>
        <v>1895530</v>
      </c>
      <c r="I32" s="403">
        <f t="shared" ref="I32:I33" si="20">ROUND($E32*H32,0)</f>
        <v>0</v>
      </c>
      <c r="K32" s="388">
        <f>+'Sch 95 PCORC'!N32</f>
        <v>1895104</v>
      </c>
      <c r="L32" s="403">
        <f t="shared" ref="L32:L33" si="21">ROUND($E32*K32,0)</f>
        <v>0</v>
      </c>
      <c r="N32" s="388"/>
      <c r="O32" s="403"/>
    </row>
    <row r="33" spans="1:15">
      <c r="A33" s="386">
        <f t="shared" si="19"/>
        <v>29</v>
      </c>
      <c r="B33" s="389" t="s">
        <v>262</v>
      </c>
      <c r="C33" s="387"/>
      <c r="D33" s="388">
        <f>+'Revenue By Sch TY'!D21</f>
        <v>278070.311162</v>
      </c>
      <c r="E33" s="402">
        <v>0</v>
      </c>
      <c r="F33" s="403">
        <f>ROUND(D33*E33,0)</f>
        <v>0</v>
      </c>
      <c r="H33" s="388">
        <f>+'Sch 95 PCORC'!J33</f>
        <v>289426</v>
      </c>
      <c r="I33" s="403">
        <f t="shared" si="20"/>
        <v>0</v>
      </c>
      <c r="K33" s="388">
        <f>+'Sch 95 PCORC'!N33</f>
        <v>289426</v>
      </c>
      <c r="L33" s="403">
        <f t="shared" si="21"/>
        <v>0</v>
      </c>
      <c r="N33" s="388"/>
      <c r="O33" s="403"/>
    </row>
    <row r="34" spans="1:15">
      <c r="A34" s="386">
        <f t="shared" si="19"/>
        <v>30</v>
      </c>
      <c r="B34" s="389"/>
      <c r="C34" s="387" t="s">
        <v>263</v>
      </c>
      <c r="D34" s="390">
        <f>SUM(D32:D33)</f>
        <v>2223284.478162</v>
      </c>
      <c r="E34" s="404"/>
      <c r="F34" s="405">
        <f t="shared" ref="F34" si="22">SUM(F32:F33)</f>
        <v>0</v>
      </c>
      <c r="H34" s="390">
        <f>SUM(H32:H33)</f>
        <v>2184956</v>
      </c>
      <c r="I34" s="405">
        <f t="shared" ref="I34" si="23">SUM(I32:I33)</f>
        <v>0</v>
      </c>
      <c r="K34" s="390">
        <f>SUM(K32:K33)</f>
        <v>2184530</v>
      </c>
      <c r="L34" s="405">
        <f t="shared" ref="L34" si="24">SUM(L32:L33)</f>
        <v>0</v>
      </c>
      <c r="N34" s="390"/>
      <c r="O34" s="405"/>
    </row>
    <row r="35" spans="1:15">
      <c r="A35" s="385">
        <v>29</v>
      </c>
      <c r="B35" s="386"/>
      <c r="C35" s="387"/>
      <c r="D35" s="388"/>
      <c r="E35" s="402"/>
      <c r="F35" s="403"/>
      <c r="H35" s="388"/>
      <c r="I35" s="403"/>
      <c r="K35" s="388"/>
      <c r="L35" s="403"/>
      <c r="N35" s="388"/>
      <c r="O35" s="403"/>
    </row>
    <row r="36" spans="1:15" ht="10.8" thickBot="1">
      <c r="A36" s="385">
        <v>30</v>
      </c>
      <c r="B36" s="386"/>
      <c r="C36" s="391" t="s">
        <v>66</v>
      </c>
      <c r="D36" s="393">
        <f>SUM(D9,D18,D24,D28,D30,D34)</f>
        <v>22980976.256595761</v>
      </c>
      <c r="E36" s="406"/>
      <c r="F36" s="407">
        <f>SUM(F9,F18,F24,F28,F30,F34)</f>
        <v>0</v>
      </c>
      <c r="H36" s="393">
        <f>SUM(H9,H18,H24,H28,H30,H34)</f>
        <v>22715537.8675</v>
      </c>
      <c r="I36" s="407">
        <f>SUM(I9,I18,I24,I28,I30,I34)</f>
        <v>0</v>
      </c>
      <c r="K36" s="393">
        <f>SUM(K9,K18,K24,K28,K30,K34)</f>
        <v>22906810.8475</v>
      </c>
      <c r="L36" s="407">
        <f>SUM(L9,L18,L24,L28,L30,L34)</f>
        <v>0</v>
      </c>
      <c r="N36" s="393"/>
      <c r="O36" s="407"/>
    </row>
    <row r="37" spans="1:15" ht="10.8" thickTop="1">
      <c r="A37" s="385">
        <v>31</v>
      </c>
      <c r="B37" s="386"/>
      <c r="C37" s="387"/>
      <c r="D37" s="387"/>
      <c r="E37" s="387"/>
      <c r="F37" s="403"/>
      <c r="I37" s="403"/>
      <c r="L37" s="403"/>
      <c r="O37" s="403"/>
    </row>
    <row r="38" spans="1:15">
      <c r="B38" s="386">
        <v>5</v>
      </c>
      <c r="C38" s="387" t="s">
        <v>67</v>
      </c>
      <c r="D38" s="388">
        <f>+'Revenue By Sch TY'!D22</f>
        <v>7372.3372879022108</v>
      </c>
      <c r="E38" s="404">
        <v>0</v>
      </c>
      <c r="F38" s="405">
        <f>ROUND(D38*E38,0)</f>
        <v>0</v>
      </c>
      <c r="H38" s="390">
        <f>+'Sch 95 PCORC'!J38</f>
        <v>7521</v>
      </c>
      <c r="I38" s="405">
        <f>ROUND($E38*H38,0)</f>
        <v>0</v>
      </c>
      <c r="K38" s="390">
        <f>+'Sch 95 PCORC'!N38</f>
        <v>7552</v>
      </c>
      <c r="L38" s="405">
        <f>ROUND($E38*K38,0)</f>
        <v>0</v>
      </c>
      <c r="N38" s="390"/>
      <c r="O38" s="405"/>
    </row>
    <row r="39" spans="1:15">
      <c r="B39" s="386"/>
      <c r="C39" s="387"/>
      <c r="D39" s="387"/>
      <c r="E39" s="387"/>
      <c r="F39" s="403"/>
      <c r="I39" s="403"/>
      <c r="L39" s="403"/>
      <c r="O39" s="403"/>
    </row>
    <row r="40" spans="1:15" ht="10.8" thickBot="1">
      <c r="B40" s="386"/>
      <c r="C40" s="391" t="s">
        <v>68</v>
      </c>
      <c r="D40" s="393">
        <f>SUM(D36,D38)</f>
        <v>22988348.593883663</v>
      </c>
      <c r="E40" s="387"/>
      <c r="F40" s="407">
        <f t="shared" ref="F40" si="25">SUM(F36,F38)</f>
        <v>0</v>
      </c>
      <c r="H40" s="393">
        <f>SUM(H36,H38)</f>
        <v>22723058.8675</v>
      </c>
      <c r="I40" s="407">
        <f t="shared" ref="I40" si="26">SUM(I36,I38)</f>
        <v>0</v>
      </c>
      <c r="K40" s="393">
        <f>SUM(K36,K38)</f>
        <v>22914362.8475</v>
      </c>
      <c r="L40" s="407">
        <f t="shared" ref="L40" si="27">SUM(L36,L38)</f>
        <v>0</v>
      </c>
      <c r="N40" s="393"/>
      <c r="O40" s="407"/>
    </row>
    <row r="41" spans="1:15" ht="10.8" thickTop="1"/>
  </sheetData>
  <mergeCells count="6">
    <mergeCell ref="N5:O5"/>
    <mergeCell ref="A1:F1"/>
    <mergeCell ref="A2:F2"/>
    <mergeCell ref="A3:F3"/>
    <mergeCell ref="H5:I5"/>
    <mergeCell ref="K5:L5"/>
  </mergeCells>
  <printOptions horizontalCentered="1"/>
  <pageMargins left="0.7" right="0.7" top="0.75" bottom="0.88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X47"/>
  <sheetViews>
    <sheetView zoomScaleNormal="100" workbookViewId="0">
      <pane xSplit="3" ySplit="6" topLeftCell="F13" activePane="bottomRight" state="frozen"/>
      <selection activeCell="F33" sqref="F33"/>
      <selection pane="topRight" activeCell="F33" sqref="F33"/>
      <selection pane="bottomLeft" activeCell="F33" sqref="F33"/>
      <selection pane="bottomRight" activeCell="N3" sqref="N3:X3"/>
    </sheetView>
  </sheetViews>
  <sheetFormatPr defaultColWidth="3.5546875" defaultRowHeight="10.199999999999999"/>
  <cols>
    <col min="1" max="1" width="3.44140625" style="387" bestFit="1" customWidth="1"/>
    <col min="2" max="2" width="22.109375" style="387" customWidth="1"/>
    <col min="3" max="3" width="18.33203125" style="387" bestFit="1" customWidth="1"/>
    <col min="4" max="4" width="10.88671875" style="387" bestFit="1" customWidth="1"/>
    <col min="5" max="5" width="6.6640625" style="387" customWidth="1"/>
    <col min="6" max="6" width="11" style="387" bestFit="1" customWidth="1"/>
    <col min="7" max="7" width="9.88671875" style="387" bestFit="1" customWidth="1"/>
    <col min="8" max="8" width="0.88671875" style="387" customWidth="1"/>
    <col min="9" max="9" width="11.33203125" style="387" customWidth="1"/>
    <col min="10" max="10" width="6.6640625" style="387" bestFit="1" customWidth="1"/>
    <col min="11" max="11" width="11" style="387" bestFit="1" customWidth="1"/>
    <col min="12" max="12" width="11.33203125" style="387" bestFit="1" customWidth="1"/>
    <col min="13" max="13" width="0.5546875" style="387" customWidth="1"/>
    <col min="14" max="14" width="11.6640625" style="387" customWidth="1"/>
    <col min="15" max="15" width="6.6640625" style="387" bestFit="1" customWidth="1"/>
    <col min="16" max="16" width="11" style="387" bestFit="1" customWidth="1"/>
    <col min="17" max="17" width="9.88671875" style="387" bestFit="1" customWidth="1"/>
    <col min="18" max="18" width="11.33203125" style="387" bestFit="1" customWidth="1"/>
    <col min="19" max="19" width="1.88671875" style="387" bestFit="1" customWidth="1"/>
    <col min="20" max="20" width="11.33203125" style="387" customWidth="1"/>
    <col min="21" max="21" width="6.6640625" style="387" bestFit="1" customWidth="1"/>
    <col min="22" max="22" width="11" style="387" bestFit="1" customWidth="1"/>
    <col min="23" max="24" width="9.88671875" style="387" bestFit="1" customWidth="1"/>
    <col min="25" max="16384" width="3.5546875" style="387"/>
  </cols>
  <sheetData>
    <row r="1" spans="1:24" s="409" customFormat="1">
      <c r="A1" s="772" t="s">
        <v>0</v>
      </c>
      <c r="B1" s="772"/>
      <c r="C1" s="772"/>
      <c r="D1" s="772"/>
      <c r="E1" s="772"/>
      <c r="F1" s="772"/>
      <c r="G1" s="772"/>
    </row>
    <row r="2" spans="1:24" s="409" customFormat="1">
      <c r="A2" s="773" t="s">
        <v>825</v>
      </c>
      <c r="B2" s="772"/>
      <c r="C2" s="772"/>
      <c r="D2" s="772"/>
      <c r="E2" s="772"/>
      <c r="F2" s="772"/>
      <c r="G2" s="772"/>
    </row>
    <row r="3" spans="1:24" s="409" customFormat="1" ht="13.2">
      <c r="A3" s="772" t="str">
        <f>+'Revenue By Sch TY'!A3</f>
        <v>Test Year ended June 2021</v>
      </c>
      <c r="B3" s="772"/>
      <c r="C3" s="772"/>
      <c r="D3" s="772"/>
      <c r="E3" s="772"/>
      <c r="F3" s="772"/>
      <c r="G3" s="772"/>
      <c r="N3" s="804" t="s">
        <v>898</v>
      </c>
      <c r="O3" s="805"/>
      <c r="P3" s="805"/>
      <c r="Q3" s="805"/>
      <c r="R3" s="805"/>
      <c r="S3" s="805"/>
      <c r="T3" s="805"/>
      <c r="U3" s="806"/>
      <c r="V3" s="806"/>
      <c r="W3" s="806"/>
      <c r="X3" s="806"/>
    </row>
    <row r="4" spans="1:24" s="409" customFormat="1"/>
    <row r="5" spans="1:24" s="409" customFormat="1">
      <c r="I5" s="803" t="s">
        <v>512</v>
      </c>
      <c r="J5" s="803"/>
      <c r="K5" s="803"/>
      <c r="L5" s="803"/>
      <c r="N5" s="802" t="s">
        <v>515</v>
      </c>
      <c r="O5" s="803"/>
      <c r="P5" s="803"/>
      <c r="Q5" s="803"/>
      <c r="R5" s="803"/>
      <c r="T5" s="802" t="s">
        <v>514</v>
      </c>
      <c r="U5" s="803"/>
      <c r="V5" s="803"/>
      <c r="W5" s="803"/>
      <c r="X5" s="803"/>
    </row>
    <row r="6" spans="1:24" s="409" customFormat="1" ht="63.75" customHeight="1">
      <c r="A6" s="568" t="s">
        <v>167</v>
      </c>
      <c r="B6" s="568" t="s">
        <v>3</v>
      </c>
      <c r="C6" s="568" t="s">
        <v>31</v>
      </c>
      <c r="D6" s="400" t="s">
        <v>821</v>
      </c>
      <c r="E6" s="400" t="s">
        <v>197</v>
      </c>
      <c r="F6" s="400" t="s">
        <v>498</v>
      </c>
      <c r="G6" s="400" t="s">
        <v>883</v>
      </c>
      <c r="I6" s="400" t="s">
        <v>822</v>
      </c>
      <c r="J6" s="400" t="s">
        <v>197</v>
      </c>
      <c r="K6" s="400" t="s">
        <v>498</v>
      </c>
      <c r="L6" s="400" t="s">
        <v>883</v>
      </c>
      <c r="N6" s="400" t="str">
        <f>I6</f>
        <v>MWh (Note 1)</v>
      </c>
      <c r="O6" s="400" t="str">
        <f t="shared" ref="O6" si="0">J6</f>
        <v>Basic Charge</v>
      </c>
      <c r="P6" s="400" t="s">
        <v>525</v>
      </c>
      <c r="Q6" s="400" t="str">
        <f>+L6</f>
        <v>Sch 141A
Effective
January 2023</v>
      </c>
      <c r="R6" s="400" t="s">
        <v>884</v>
      </c>
      <c r="T6" s="400" t="str">
        <f>N6</f>
        <v>MWh (Note 1)</v>
      </c>
      <c r="U6" s="400" t="str">
        <f t="shared" ref="U6" si="1">O6</f>
        <v>Basic Charge</v>
      </c>
      <c r="V6" s="400" t="s">
        <v>528</v>
      </c>
      <c r="W6" s="400" t="str">
        <f>+R6</f>
        <v>Sch 141A
Effective
January 2024</v>
      </c>
      <c r="X6" s="400" t="s">
        <v>885</v>
      </c>
    </row>
    <row r="7" spans="1:24">
      <c r="A7" s="386">
        <v>1</v>
      </c>
      <c r="B7" s="386">
        <v>7</v>
      </c>
      <c r="D7" s="388">
        <v>11355354.571603522</v>
      </c>
      <c r="E7" s="388"/>
      <c r="F7" s="708">
        <f>'[1]Exhibit No.__(BDJ-141A)'!$E$16</f>
        <v>1.828E-3</v>
      </c>
      <c r="G7" s="403">
        <f>ROUND(D7*F7,0)</f>
        <v>20758</v>
      </c>
      <c r="I7" s="388">
        <f>'[1]Exhibit No.__(BDJ-141A)'!$D$16/1000</f>
        <v>10963050.375499999</v>
      </c>
      <c r="J7" s="388"/>
      <c r="K7" s="402">
        <f>F7</f>
        <v>1.828E-3</v>
      </c>
      <c r="L7" s="403">
        <f>ROUND(I7*K7,0)</f>
        <v>20040</v>
      </c>
      <c r="N7" s="388">
        <f>'[1]Exhibit No.__(BDJ-141A)'!$G$16/1000</f>
        <v>11064440.8695</v>
      </c>
      <c r="O7" s="388"/>
      <c r="P7" s="708">
        <f>'[1]Exhibit No.__(BDJ-141A)'!$H$16</f>
        <v>1.848E-3</v>
      </c>
      <c r="Q7" s="403">
        <f>ROUND(K7*N7,0)</f>
        <v>20226</v>
      </c>
      <c r="R7" s="403">
        <f>ROUND(N7*P7,0)</f>
        <v>20447</v>
      </c>
      <c r="T7" s="388"/>
      <c r="U7" s="388"/>
      <c r="V7" s="402"/>
      <c r="W7" s="403"/>
      <c r="X7" s="403"/>
    </row>
    <row r="8" spans="1:24">
      <c r="A8" s="386">
        <v>2</v>
      </c>
      <c r="B8" s="389" t="s">
        <v>10</v>
      </c>
      <c r="D8" s="388">
        <v>0</v>
      </c>
      <c r="E8" s="388"/>
      <c r="F8" s="708">
        <v>0</v>
      </c>
      <c r="G8" s="403">
        <f>ROUND(D8*F8,0)</f>
        <v>0</v>
      </c>
      <c r="I8" s="388">
        <f>'Sch 95 PCORC'!J8</f>
        <v>0</v>
      </c>
      <c r="J8" s="388"/>
      <c r="K8" s="402">
        <f>F8</f>
        <v>0</v>
      </c>
      <c r="L8" s="403">
        <f>ROUND(I8*K8,0)</f>
        <v>0</v>
      </c>
      <c r="N8" s="388">
        <f>'Sch 95 PCORC'!N8</f>
        <v>0</v>
      </c>
      <c r="O8" s="388"/>
      <c r="P8" s="708">
        <v>0</v>
      </c>
      <c r="Q8" s="403">
        <f>ROUND(K8*N8,0)</f>
        <v>0</v>
      </c>
      <c r="R8" s="403">
        <f>ROUND(N8*P8,0)</f>
        <v>0</v>
      </c>
      <c r="T8" s="388"/>
      <c r="U8" s="388"/>
      <c r="V8" s="402"/>
      <c r="W8" s="403"/>
      <c r="X8" s="403"/>
    </row>
    <row r="9" spans="1:24">
      <c r="A9" s="386">
        <v>3</v>
      </c>
      <c r="B9" s="386"/>
      <c r="C9" s="387" t="s">
        <v>11</v>
      </c>
      <c r="D9" s="390">
        <f>SUM(D7:D8)</f>
        <v>11355354.571603522</v>
      </c>
      <c r="E9" s="390"/>
      <c r="F9" s="709"/>
      <c r="G9" s="405">
        <f t="shared" ref="G9" si="2">SUM(G7:G8)</f>
        <v>20758</v>
      </c>
      <c r="I9" s="390">
        <f>SUM(I7:I8)</f>
        <v>10963050.375499999</v>
      </c>
      <c r="J9" s="390"/>
      <c r="K9" s="404"/>
      <c r="L9" s="405">
        <f t="shared" ref="L9" si="3">SUM(L7:L8)</f>
        <v>20040</v>
      </c>
      <c r="N9" s="390">
        <f>SUM(N7:N8)</f>
        <v>11064440.8695</v>
      </c>
      <c r="O9" s="390"/>
      <c r="P9" s="709"/>
      <c r="Q9" s="405">
        <f t="shared" ref="Q9:R9" si="4">SUM(Q7:Q8)</f>
        <v>20226</v>
      </c>
      <c r="R9" s="405">
        <f t="shared" si="4"/>
        <v>20447</v>
      </c>
      <c r="T9" s="390"/>
      <c r="U9" s="390"/>
      <c r="V9" s="404"/>
      <c r="W9" s="405"/>
      <c r="X9" s="405"/>
    </row>
    <row r="10" spans="1:24">
      <c r="A10" s="386">
        <v>4</v>
      </c>
      <c r="B10" s="386"/>
      <c r="D10" s="388"/>
      <c r="E10" s="388"/>
      <c r="F10" s="708"/>
      <c r="G10" s="403"/>
      <c r="I10" s="388"/>
      <c r="J10" s="388"/>
      <c r="K10" s="402"/>
      <c r="L10" s="403"/>
      <c r="N10" s="388"/>
      <c r="O10" s="388"/>
      <c r="P10" s="708"/>
      <c r="Q10" s="403"/>
      <c r="R10" s="403"/>
      <c r="T10" s="388"/>
      <c r="U10" s="388"/>
      <c r="V10" s="402"/>
      <c r="W10" s="403"/>
      <c r="X10" s="403"/>
    </row>
    <row r="11" spans="1:24">
      <c r="A11" s="386">
        <v>5</v>
      </c>
      <c r="B11" s="386">
        <v>8</v>
      </c>
      <c r="D11" s="388">
        <v>0</v>
      </c>
      <c r="E11" s="388"/>
      <c r="F11" s="708">
        <v>0</v>
      </c>
      <c r="G11" s="403">
        <f t="shared" ref="G11:G17" si="5">ROUND(D11*F11,0)</f>
        <v>0</v>
      </c>
      <c r="I11" s="388">
        <f>'Sch 95 PCORC'!J11</f>
        <v>0</v>
      </c>
      <c r="J11" s="388"/>
      <c r="K11" s="402">
        <f t="shared" ref="K11:K17" si="6">F11</f>
        <v>0</v>
      </c>
      <c r="L11" s="403">
        <f t="shared" ref="L11:L17" si="7">ROUND(I11*K11,0)</f>
        <v>0</v>
      </c>
      <c r="N11" s="388">
        <f>'Sch 95 PCORC'!N11</f>
        <v>0</v>
      </c>
      <c r="O11" s="388"/>
      <c r="P11" s="708">
        <v>0</v>
      </c>
      <c r="Q11" s="403">
        <f t="shared" ref="Q11:Q17" si="8">ROUND(K11*N11,0)</f>
        <v>0</v>
      </c>
      <c r="R11" s="403">
        <f t="shared" ref="R11:R17" si="9">ROUND(N11*P11,0)</f>
        <v>0</v>
      </c>
      <c r="T11" s="388"/>
      <c r="U11" s="388"/>
      <c r="V11" s="402"/>
      <c r="W11" s="403"/>
      <c r="X11" s="403"/>
    </row>
    <row r="12" spans="1:24">
      <c r="A12" s="386">
        <v>6</v>
      </c>
      <c r="B12" s="386">
        <v>24</v>
      </c>
      <c r="D12" s="388">
        <v>2574365.4758133804</v>
      </c>
      <c r="E12" s="388"/>
      <c r="F12" s="708">
        <f>'[1]Exhibit No.__(BDJ-141A)'!$E$25</f>
        <v>1.748E-3</v>
      </c>
      <c r="G12" s="403">
        <f t="shared" si="5"/>
        <v>4500</v>
      </c>
      <c r="I12" s="388">
        <f>'[1]Exhibit No.__(BDJ-141A)'!$D$25/1000</f>
        <v>2605455.5564578385</v>
      </c>
      <c r="J12" s="388"/>
      <c r="K12" s="402">
        <f t="shared" si="6"/>
        <v>1.748E-3</v>
      </c>
      <c r="L12" s="403">
        <f t="shared" si="7"/>
        <v>4554</v>
      </c>
      <c r="N12" s="388">
        <f>'[1]Exhibit No.__(BDJ-141A)'!$G$25/1000</f>
        <v>2638194.5564578385</v>
      </c>
      <c r="O12" s="388"/>
      <c r="P12" s="708">
        <f>'[1]Exhibit No.__(BDJ-141A)'!$H$25</f>
        <v>1.761E-3</v>
      </c>
      <c r="Q12" s="403">
        <f t="shared" si="8"/>
        <v>4612</v>
      </c>
      <c r="R12" s="403">
        <f t="shared" si="9"/>
        <v>4646</v>
      </c>
      <c r="T12" s="388"/>
      <c r="U12" s="388"/>
      <c r="V12" s="402"/>
      <c r="W12" s="403"/>
      <c r="X12" s="403"/>
    </row>
    <row r="13" spans="1:24">
      <c r="A13" s="386">
        <v>7</v>
      </c>
      <c r="B13" s="389">
        <v>11</v>
      </c>
      <c r="D13" s="388">
        <v>0</v>
      </c>
      <c r="E13" s="388"/>
      <c r="F13" s="708">
        <v>0</v>
      </c>
      <c r="G13" s="403">
        <f t="shared" si="5"/>
        <v>0</v>
      </c>
      <c r="I13" s="388">
        <f>'Sch 95 PCORC'!J13</f>
        <v>0</v>
      </c>
      <c r="J13" s="388"/>
      <c r="K13" s="402">
        <f t="shared" si="6"/>
        <v>0</v>
      </c>
      <c r="L13" s="403">
        <f t="shared" si="7"/>
        <v>0</v>
      </c>
      <c r="N13" s="388">
        <f>'Sch 95 PCORC'!N13</f>
        <v>0</v>
      </c>
      <c r="O13" s="388"/>
      <c r="P13" s="708">
        <v>0</v>
      </c>
      <c r="Q13" s="403">
        <f t="shared" si="8"/>
        <v>0</v>
      </c>
      <c r="R13" s="403">
        <f t="shared" si="9"/>
        <v>0</v>
      </c>
      <c r="T13" s="388"/>
      <c r="U13" s="388"/>
      <c r="V13" s="402"/>
      <c r="W13" s="403"/>
      <c r="X13" s="403"/>
    </row>
    <row r="14" spans="1:24">
      <c r="A14" s="386">
        <v>8</v>
      </c>
      <c r="B14" s="389">
        <v>25</v>
      </c>
      <c r="D14" s="388">
        <v>2730193.4697074578</v>
      </c>
      <c r="E14" s="388"/>
      <c r="F14" s="708">
        <f>'[1]Exhibit No.__(BDJ-141A)'!$E$34</f>
        <v>1.7420000000000001E-3</v>
      </c>
      <c r="G14" s="403">
        <f t="shared" si="5"/>
        <v>4756</v>
      </c>
      <c r="I14" s="388">
        <f>'[1]Exhibit No.__(BDJ-141A)'!$D$34/1000</f>
        <v>2774359.4125535148</v>
      </c>
      <c r="J14" s="388"/>
      <c r="K14" s="402">
        <f t="shared" si="6"/>
        <v>1.7420000000000001E-3</v>
      </c>
      <c r="L14" s="403">
        <f t="shared" si="7"/>
        <v>4833</v>
      </c>
      <c r="N14" s="388">
        <f>'[1]Exhibit No.__(BDJ-141A)'!$G$34/1000</f>
        <v>2810832.4125535144</v>
      </c>
      <c r="O14" s="388"/>
      <c r="P14" s="708">
        <f>'[1]Exhibit No.__(BDJ-141A)'!$H$34</f>
        <v>1.7539999999999999E-3</v>
      </c>
      <c r="Q14" s="403">
        <f t="shared" si="8"/>
        <v>4896</v>
      </c>
      <c r="R14" s="403">
        <f t="shared" si="9"/>
        <v>4930</v>
      </c>
      <c r="T14" s="388"/>
      <c r="U14" s="388"/>
      <c r="V14" s="402"/>
      <c r="W14" s="403"/>
      <c r="X14" s="403"/>
    </row>
    <row r="15" spans="1:24">
      <c r="A15" s="386">
        <v>9</v>
      </c>
      <c r="B15" s="386">
        <v>12</v>
      </c>
      <c r="D15" s="388">
        <v>0</v>
      </c>
      <c r="E15" s="388"/>
      <c r="F15" s="708">
        <v>0</v>
      </c>
      <c r="G15" s="403">
        <f t="shared" si="5"/>
        <v>0</v>
      </c>
      <c r="I15" s="388">
        <f>'Sch 95 PCORC'!J15</f>
        <v>0</v>
      </c>
      <c r="J15" s="388"/>
      <c r="K15" s="402">
        <f t="shared" si="6"/>
        <v>0</v>
      </c>
      <c r="L15" s="403">
        <f t="shared" si="7"/>
        <v>0</v>
      </c>
      <c r="N15" s="388">
        <f>'Sch 95 PCORC'!N15</f>
        <v>0</v>
      </c>
      <c r="O15" s="388"/>
      <c r="P15" s="708">
        <v>0</v>
      </c>
      <c r="Q15" s="403">
        <f t="shared" si="8"/>
        <v>0</v>
      </c>
      <c r="R15" s="403">
        <f t="shared" si="9"/>
        <v>0</v>
      </c>
      <c r="T15" s="388"/>
      <c r="U15" s="388"/>
      <c r="V15" s="402"/>
      <c r="W15" s="403"/>
      <c r="X15" s="403"/>
    </row>
    <row r="16" spans="1:24">
      <c r="A16" s="386">
        <v>10</v>
      </c>
      <c r="B16" s="386" t="s">
        <v>12</v>
      </c>
      <c r="D16" s="388">
        <v>1539390.9500345429</v>
      </c>
      <c r="E16" s="388"/>
      <c r="F16" s="708">
        <f>'[1]Exhibit No.__(BDJ-141A)'!$E$39</f>
        <v>1.72E-3</v>
      </c>
      <c r="G16" s="403">
        <f t="shared" si="5"/>
        <v>2648</v>
      </c>
      <c r="I16" s="388">
        <f>'[1]Exhibit No.__(BDJ-141A)'!$D$41/1000</f>
        <v>1588458.2916862753</v>
      </c>
      <c r="J16" s="388"/>
      <c r="K16" s="402">
        <f t="shared" si="6"/>
        <v>1.72E-3</v>
      </c>
      <c r="L16" s="403">
        <f t="shared" si="7"/>
        <v>2732</v>
      </c>
      <c r="N16" s="388">
        <f>'[1]Exhibit No.__(BDJ-141A)'!$G$41/1000</f>
        <v>1611031.2916862753</v>
      </c>
      <c r="O16" s="388"/>
      <c r="P16" s="708">
        <f>'[1]Exhibit No.__(BDJ-141A)'!$H$39</f>
        <v>1.73E-3</v>
      </c>
      <c r="Q16" s="403">
        <f t="shared" si="8"/>
        <v>2771</v>
      </c>
      <c r="R16" s="403">
        <f t="shared" si="9"/>
        <v>2787</v>
      </c>
      <c r="T16" s="388"/>
      <c r="U16" s="388"/>
      <c r="V16" s="402"/>
      <c r="W16" s="403"/>
      <c r="X16" s="403"/>
    </row>
    <row r="17" spans="1:24">
      <c r="A17" s="386">
        <v>11</v>
      </c>
      <c r="B17" s="386">
        <v>29</v>
      </c>
      <c r="D17" s="388">
        <v>15293.727999999999</v>
      </c>
      <c r="E17" s="388"/>
      <c r="F17" s="708">
        <f>'[1]Exhibit No.__(BDJ-141A)'!$E$50</f>
        <v>1.7420000000000001E-3</v>
      </c>
      <c r="G17" s="403">
        <f t="shared" si="5"/>
        <v>27</v>
      </c>
      <c r="I17" s="388">
        <f>'[1]Exhibit No.__(BDJ-141A)'!$D$50/1000</f>
        <v>15100.966499999999</v>
      </c>
      <c r="J17" s="388"/>
      <c r="K17" s="402">
        <f t="shared" si="6"/>
        <v>1.7420000000000001E-3</v>
      </c>
      <c r="L17" s="403">
        <f t="shared" si="7"/>
        <v>26</v>
      </c>
      <c r="N17" s="388">
        <f>'[1]Exhibit No.__(BDJ-141A)'!$G$50/1000</f>
        <v>15233.452499999999</v>
      </c>
      <c r="O17" s="388"/>
      <c r="P17" s="708">
        <f>'[1]Exhibit No.__(BDJ-141A)'!$H$50</f>
        <v>1.7539999999999999E-3</v>
      </c>
      <c r="Q17" s="403">
        <f t="shared" si="8"/>
        <v>27</v>
      </c>
      <c r="R17" s="403">
        <f t="shared" si="9"/>
        <v>27</v>
      </c>
      <c r="T17" s="388"/>
      <c r="U17" s="388"/>
      <c r="V17" s="402"/>
      <c r="W17" s="403"/>
      <c r="X17" s="403"/>
    </row>
    <row r="18" spans="1:24">
      <c r="A18" s="386">
        <v>12</v>
      </c>
      <c r="B18" s="386"/>
      <c r="C18" s="391" t="s">
        <v>13</v>
      </c>
      <c r="D18" s="390">
        <f>SUM(D11:D17)</f>
        <v>6859243.6235553818</v>
      </c>
      <c r="E18" s="390"/>
      <c r="F18" s="709"/>
      <c r="G18" s="405">
        <f t="shared" ref="G18" si="10">SUM(G11:G17)</f>
        <v>11931</v>
      </c>
      <c r="I18" s="390">
        <f>SUM(I11:I17)</f>
        <v>6983374.2271976285</v>
      </c>
      <c r="J18" s="390"/>
      <c r="K18" s="404"/>
      <c r="L18" s="405">
        <f t="shared" ref="L18" si="11">SUM(L11:L17)</f>
        <v>12145</v>
      </c>
      <c r="N18" s="390">
        <f>SUM(N11:N17)</f>
        <v>7075291.713197628</v>
      </c>
      <c r="O18" s="390"/>
      <c r="P18" s="709"/>
      <c r="Q18" s="405">
        <f t="shared" ref="Q18:R18" si="12">SUM(Q11:Q17)</f>
        <v>12306</v>
      </c>
      <c r="R18" s="405">
        <f t="shared" si="12"/>
        <v>12390</v>
      </c>
      <c r="T18" s="390"/>
      <c r="U18" s="390"/>
      <c r="V18" s="404"/>
      <c r="W18" s="405"/>
      <c r="X18" s="405"/>
    </row>
    <row r="19" spans="1:24">
      <c r="A19" s="386">
        <v>13</v>
      </c>
      <c r="B19" s="386"/>
      <c r="D19" s="388"/>
      <c r="E19" s="388"/>
      <c r="F19" s="708"/>
      <c r="G19" s="403"/>
      <c r="I19" s="388"/>
      <c r="J19" s="388"/>
      <c r="K19" s="402"/>
      <c r="L19" s="403"/>
      <c r="N19" s="388"/>
      <c r="O19" s="388"/>
      <c r="P19" s="708"/>
      <c r="Q19" s="403"/>
      <c r="R19" s="403"/>
      <c r="T19" s="388"/>
      <c r="U19" s="388"/>
      <c r="V19" s="402"/>
      <c r="W19" s="403"/>
      <c r="X19" s="403"/>
    </row>
    <row r="20" spans="1:24">
      <c r="A20" s="386">
        <v>14</v>
      </c>
      <c r="B20" s="386">
        <v>10</v>
      </c>
      <c r="D20" s="388">
        <v>0</v>
      </c>
      <c r="E20" s="388"/>
      <c r="F20" s="708">
        <v>0</v>
      </c>
      <c r="G20" s="403">
        <f>ROUND(D20*F20,0)</f>
        <v>0</v>
      </c>
      <c r="I20" s="388">
        <f>'Sch 95 PCORC'!J20</f>
        <v>0</v>
      </c>
      <c r="J20" s="388"/>
      <c r="K20" s="402">
        <f t="shared" ref="K20:K23" si="13">F20</f>
        <v>0</v>
      </c>
      <c r="L20" s="403">
        <f>ROUND(I20*K20,0)</f>
        <v>0</v>
      </c>
      <c r="N20" s="388">
        <f>'Sch 95 PCORC'!N20</f>
        <v>0</v>
      </c>
      <c r="O20" s="388"/>
      <c r="P20" s="708">
        <v>0</v>
      </c>
      <c r="Q20" s="403">
        <f t="shared" ref="Q20:Q23" si="14">ROUND(K20*N20,0)</f>
        <v>0</v>
      </c>
      <c r="R20" s="403">
        <f>ROUND(N20*P20,0)</f>
        <v>0</v>
      </c>
      <c r="T20" s="388"/>
      <c r="U20" s="388"/>
      <c r="V20" s="402"/>
      <c r="W20" s="403"/>
      <c r="X20" s="403"/>
    </row>
    <row r="21" spans="1:24">
      <c r="A21" s="386">
        <v>15</v>
      </c>
      <c r="B21" s="386">
        <v>31</v>
      </c>
      <c r="D21" s="388">
        <v>1206716.2548194341</v>
      </c>
      <c r="E21" s="388"/>
      <c r="F21" s="708">
        <f>'[1]Exhibit No.__(BDJ-141A)'!$E$56</f>
        <v>1.6620000000000001E-3</v>
      </c>
      <c r="G21" s="403">
        <f>ROUND(D21*F21,0)</f>
        <v>2006</v>
      </c>
      <c r="I21" s="388">
        <f>'[1]Exhibit No.__(BDJ-141A)'!$D$58/1000</f>
        <v>1221730.469384901</v>
      </c>
      <c r="J21" s="388"/>
      <c r="K21" s="402">
        <f t="shared" si="13"/>
        <v>1.6620000000000001E-3</v>
      </c>
      <c r="L21" s="403">
        <f>ROUND(I21*K21,0)</f>
        <v>2031</v>
      </c>
      <c r="N21" s="388">
        <f>'[1]Exhibit No.__(BDJ-141A)'!$G$58/1000</f>
        <v>1225170.469384901</v>
      </c>
      <c r="O21" s="388"/>
      <c r="P21" s="708">
        <f>'[1]Exhibit No.__(BDJ-141A)'!$H$56</f>
        <v>1.691E-3</v>
      </c>
      <c r="Q21" s="403">
        <f t="shared" si="14"/>
        <v>2036</v>
      </c>
      <c r="R21" s="403">
        <f>ROUND(N21*P21,0)</f>
        <v>2072</v>
      </c>
      <c r="T21" s="388"/>
      <c r="U21" s="388"/>
      <c r="V21" s="402"/>
      <c r="W21" s="403"/>
      <c r="X21" s="403"/>
    </row>
    <row r="22" spans="1:24">
      <c r="A22" s="386">
        <v>16</v>
      </c>
      <c r="B22" s="386">
        <v>35</v>
      </c>
      <c r="D22" s="388">
        <f>+'Revenue By Sch TY'!D15</f>
        <v>4387.6440000000002</v>
      </c>
      <c r="E22" s="388"/>
      <c r="F22" s="708">
        <f>'[1]Exhibit No.__(BDJ-141A)'!$E$62</f>
        <v>1.5900000000000001E-3</v>
      </c>
      <c r="G22" s="403">
        <f>ROUND(D22*F22,0)</f>
        <v>7</v>
      </c>
      <c r="H22" s="622"/>
      <c r="I22" s="388">
        <f>'[1]Exhibit No.__(BDJ-141A)'!$D$64/1000</f>
        <v>4663</v>
      </c>
      <c r="J22" s="388"/>
      <c r="K22" s="402">
        <f t="shared" si="13"/>
        <v>1.5900000000000001E-3</v>
      </c>
      <c r="L22" s="403">
        <f>ROUND(I22*K22,0)</f>
        <v>7</v>
      </c>
      <c r="N22" s="388">
        <f>'[1]Exhibit No.__(BDJ-141A)'!$G$64/1000</f>
        <v>4695</v>
      </c>
      <c r="O22" s="388"/>
      <c r="P22" s="708">
        <f>'[1]Exhibit No.__(BDJ-141A)'!$H$62</f>
        <v>1.6100000000000001E-3</v>
      </c>
      <c r="Q22" s="403">
        <f t="shared" si="14"/>
        <v>7</v>
      </c>
      <c r="R22" s="403">
        <f>ROUND(N22*P22,0)</f>
        <v>8</v>
      </c>
      <c r="T22" s="388"/>
      <c r="U22" s="388"/>
      <c r="V22" s="402"/>
      <c r="W22" s="403"/>
      <c r="X22" s="403"/>
    </row>
    <row r="23" spans="1:24">
      <c r="A23" s="386">
        <v>19</v>
      </c>
      <c r="B23" s="386">
        <v>43</v>
      </c>
      <c r="D23" s="388">
        <v>107325.60718442684</v>
      </c>
      <c r="E23" s="388"/>
      <c r="F23" s="708">
        <f>'[1]Exhibit No.__(BDJ-141A)'!$E$68</f>
        <v>1.5989999999999999E-3</v>
      </c>
      <c r="G23" s="403">
        <f>ROUND(D23*F23,0)</f>
        <v>172</v>
      </c>
      <c r="I23" s="388">
        <f>'[1]Exhibit No.__(BDJ-141A)'!$D$70/1000</f>
        <v>110798.23506660904</v>
      </c>
      <c r="J23" s="388"/>
      <c r="K23" s="402">
        <f t="shared" si="13"/>
        <v>1.5989999999999999E-3</v>
      </c>
      <c r="L23" s="403">
        <f>ROUND(I23*K23,0)</f>
        <v>177</v>
      </c>
      <c r="N23" s="388">
        <f>'[1]Exhibit No.__(BDJ-141A)'!$G$70/1000</f>
        <v>112390.23506660904</v>
      </c>
      <c r="O23" s="388"/>
      <c r="P23" s="708">
        <f>'[1]Exhibit No.__(BDJ-141A)'!$H$68</f>
        <v>1.6080000000000001E-3</v>
      </c>
      <c r="Q23" s="403">
        <f t="shared" si="14"/>
        <v>180</v>
      </c>
      <c r="R23" s="403">
        <f>ROUND(N23*P23,0)</f>
        <v>181</v>
      </c>
      <c r="T23" s="388"/>
      <c r="U23" s="388"/>
      <c r="V23" s="402"/>
      <c r="W23" s="403"/>
      <c r="X23" s="403"/>
    </row>
    <row r="24" spans="1:24">
      <c r="A24" s="386">
        <v>20</v>
      </c>
      <c r="B24" s="386"/>
      <c r="C24" s="387" t="s">
        <v>14</v>
      </c>
      <c r="D24" s="390">
        <f>SUM(D20:D23)</f>
        <v>1318429.5060038611</v>
      </c>
      <c r="E24" s="390"/>
      <c r="F24" s="709"/>
      <c r="G24" s="405">
        <f t="shared" ref="G24" si="15">SUM(G20:G23)</f>
        <v>2185</v>
      </c>
      <c r="I24" s="390">
        <f>SUM(I20:I23)</f>
        <v>1337191.70445151</v>
      </c>
      <c r="J24" s="390"/>
      <c r="K24" s="404"/>
      <c r="L24" s="405">
        <f t="shared" ref="L24" si="16">SUM(L20:L23)</f>
        <v>2215</v>
      </c>
      <c r="N24" s="390">
        <f>SUM(N20:N23)</f>
        <v>1342255.70445151</v>
      </c>
      <c r="O24" s="390"/>
      <c r="P24" s="709"/>
      <c r="Q24" s="405">
        <f t="shared" ref="Q24:R24" si="17">SUM(Q20:Q23)</f>
        <v>2223</v>
      </c>
      <c r="R24" s="405">
        <f t="shared" si="17"/>
        <v>2261</v>
      </c>
      <c r="T24" s="390"/>
      <c r="U24" s="390"/>
      <c r="V24" s="404"/>
      <c r="W24" s="405"/>
      <c r="X24" s="405"/>
    </row>
    <row r="25" spans="1:24">
      <c r="A25" s="386">
        <v>21</v>
      </c>
      <c r="B25" s="386"/>
      <c r="D25" s="388"/>
      <c r="E25" s="388"/>
      <c r="F25" s="708"/>
      <c r="G25" s="403"/>
      <c r="I25" s="388"/>
      <c r="J25" s="388"/>
      <c r="K25" s="402"/>
      <c r="L25" s="403"/>
      <c r="N25" s="388"/>
      <c r="O25" s="388"/>
      <c r="P25" s="708"/>
      <c r="Q25" s="403"/>
      <c r="R25" s="403"/>
      <c r="T25" s="388"/>
      <c r="U25" s="388"/>
      <c r="V25" s="402"/>
      <c r="W25" s="403"/>
      <c r="X25" s="403"/>
    </row>
    <row r="26" spans="1:24">
      <c r="A26" s="386">
        <v>22</v>
      </c>
      <c r="B26" s="386">
        <v>46</v>
      </c>
      <c r="D26" s="388">
        <v>78485.839683451064</v>
      </c>
      <c r="E26" s="388"/>
      <c r="F26" s="708">
        <f>'[1]Exhibit No.__(BDJ-141A)'!$E$75</f>
        <v>1.7340000000000001E-3</v>
      </c>
      <c r="G26" s="403">
        <f>ROUND(D26*F26,0)</f>
        <v>136</v>
      </c>
      <c r="I26" s="388">
        <f>'[1]Exhibit No.__(BDJ-141A)'!$D$77/1000</f>
        <v>67171.460187001634</v>
      </c>
      <c r="J26" s="388"/>
      <c r="K26" s="402">
        <f t="shared" ref="K26:K27" si="18">F26</f>
        <v>1.7340000000000001E-3</v>
      </c>
      <c r="L26" s="403">
        <f>ROUND(I26*K26,0)</f>
        <v>116</v>
      </c>
      <c r="N26" s="388">
        <f>'[1]Exhibit No.__(BDJ-141A)'!$G$77/1000</f>
        <v>66728.897914566798</v>
      </c>
      <c r="O26" s="388"/>
      <c r="P26" s="708">
        <f>'[1]Exhibit No.__(BDJ-141A)'!$H$75</f>
        <v>1.7899999999999999E-3</v>
      </c>
      <c r="Q26" s="403">
        <f t="shared" ref="Q26:Q27" si="19">ROUND(K26*N26,0)</f>
        <v>116</v>
      </c>
      <c r="R26" s="403">
        <f>ROUND(N26*P26,0)</f>
        <v>119</v>
      </c>
      <c r="T26" s="388"/>
      <c r="U26" s="388"/>
      <c r="V26" s="402"/>
      <c r="W26" s="403"/>
      <c r="X26" s="403"/>
    </row>
    <row r="27" spans="1:24">
      <c r="A27" s="386">
        <v>23</v>
      </c>
      <c r="B27" s="386">
        <v>49</v>
      </c>
      <c r="D27" s="388">
        <v>399625.72732654895</v>
      </c>
      <c r="E27" s="388"/>
      <c r="F27" s="708">
        <f>'[1]Exhibit No.__(BDJ-141A)'!$E$81</f>
        <v>1.7340000000000001E-3</v>
      </c>
      <c r="G27" s="403">
        <f>ROUND(D27*F27,0)</f>
        <v>693</v>
      </c>
      <c r="I27" s="388">
        <f>'[1]Exhibit No.__(BDJ-141A)'!$D$83/1000</f>
        <v>378669.10016386001</v>
      </c>
      <c r="J27" s="388"/>
      <c r="K27" s="402">
        <f t="shared" si="18"/>
        <v>1.7340000000000001E-3</v>
      </c>
      <c r="L27" s="403">
        <f>ROUND(I27*K27,0)</f>
        <v>657</v>
      </c>
      <c r="N27" s="388">
        <f>'[1]Exhibit No.__(BDJ-141A)'!$G$83/1000</f>
        <v>373759.66243629484</v>
      </c>
      <c r="O27" s="388"/>
      <c r="P27" s="708">
        <f>'[1]Exhibit No.__(BDJ-141A)'!$H$81</f>
        <v>1.7899999999999999E-3</v>
      </c>
      <c r="Q27" s="403">
        <f t="shared" si="19"/>
        <v>648</v>
      </c>
      <c r="R27" s="403">
        <f>ROUND(N27*P27,0)</f>
        <v>669</v>
      </c>
      <c r="T27" s="388"/>
      <c r="U27" s="388"/>
      <c r="V27" s="402"/>
      <c r="W27" s="403"/>
      <c r="X27" s="403"/>
    </row>
    <row r="28" spans="1:24">
      <c r="A28" s="386">
        <v>24</v>
      </c>
      <c r="B28" s="386"/>
      <c r="C28" s="387" t="s">
        <v>15</v>
      </c>
      <c r="D28" s="390">
        <f>SUM(D26:D27)</f>
        <v>478111.56701</v>
      </c>
      <c r="E28" s="390"/>
      <c r="F28" s="709"/>
      <c r="G28" s="405">
        <f t="shared" ref="G28" si="20">SUM(G26:G27)</f>
        <v>829</v>
      </c>
      <c r="I28" s="390">
        <f>SUM(I26:I27)</f>
        <v>445840.56035086163</v>
      </c>
      <c r="J28" s="390"/>
      <c r="K28" s="404"/>
      <c r="L28" s="405">
        <f t="shared" ref="L28" si="21">SUM(L26:L27)</f>
        <v>773</v>
      </c>
      <c r="N28" s="390">
        <f>SUM(N26:N27)</f>
        <v>440488.56035086163</v>
      </c>
      <c r="O28" s="390"/>
      <c r="P28" s="709"/>
      <c r="Q28" s="405">
        <f t="shared" ref="Q28:R28" si="22">SUM(Q26:Q27)</f>
        <v>764</v>
      </c>
      <c r="R28" s="405">
        <f t="shared" si="22"/>
        <v>788</v>
      </c>
      <c r="T28" s="390"/>
      <c r="U28" s="390"/>
      <c r="V28" s="404"/>
      <c r="W28" s="405"/>
      <c r="X28" s="405"/>
    </row>
    <row r="29" spans="1:24">
      <c r="A29" s="386">
        <v>25</v>
      </c>
      <c r="B29" s="386"/>
      <c r="D29" s="388"/>
      <c r="E29" s="388"/>
      <c r="F29" s="708"/>
      <c r="G29" s="403"/>
      <c r="I29" s="388"/>
      <c r="J29" s="388"/>
      <c r="K29" s="402"/>
      <c r="L29" s="403"/>
      <c r="N29" s="388"/>
      <c r="O29" s="388"/>
      <c r="P29" s="708"/>
      <c r="Q29" s="403"/>
      <c r="R29" s="403"/>
      <c r="T29" s="388"/>
      <c r="U29" s="388"/>
      <c r="V29" s="402"/>
      <c r="W29" s="403"/>
      <c r="X29" s="403"/>
    </row>
    <row r="30" spans="1:24">
      <c r="A30" s="386">
        <v>26</v>
      </c>
      <c r="B30" s="386" t="s">
        <v>16</v>
      </c>
      <c r="D30" s="390">
        <f>+'Revenue By Sch TY'!D19</f>
        <v>69892.887000000002</v>
      </c>
      <c r="E30" s="390"/>
      <c r="F30" s="709">
        <f>'[1]Exhibit No.__(BDJ-141A)'!$E$86</f>
        <v>1.98E-3</v>
      </c>
      <c r="G30" s="405">
        <f>ROUND(D30*F30,0)</f>
        <v>138</v>
      </c>
      <c r="I30" s="390">
        <f>'[1]Exhibit No.__(BDJ-141A)'!$D$88/1000</f>
        <v>62703</v>
      </c>
      <c r="J30" s="390"/>
      <c r="K30" s="404">
        <f>F30</f>
        <v>1.98E-3</v>
      </c>
      <c r="L30" s="405">
        <f>ROUND(I30*K30,0)</f>
        <v>124</v>
      </c>
      <c r="N30" s="390">
        <f>'[1]Exhibit No.__(BDJ-141A)'!$G$88/1000</f>
        <v>61382</v>
      </c>
      <c r="O30" s="390"/>
      <c r="P30" s="709">
        <f>'[1]Exhibit No.__(BDJ-141A)'!$H$86</f>
        <v>2.0630000000000002E-3</v>
      </c>
      <c r="Q30" s="405">
        <f>ROUND(K30*N30,0)</f>
        <v>122</v>
      </c>
      <c r="R30" s="405">
        <f>ROUND(N30*P30,0)</f>
        <v>127</v>
      </c>
      <c r="T30" s="390"/>
      <c r="U30" s="390"/>
      <c r="V30" s="404"/>
      <c r="W30" s="405"/>
      <c r="X30" s="405"/>
    </row>
    <row r="31" spans="1:24">
      <c r="A31" s="386">
        <f t="shared" ref="A31:A40" si="23">+A30+1</f>
        <v>27</v>
      </c>
      <c r="B31" s="386"/>
      <c r="D31" s="388"/>
      <c r="E31" s="388"/>
      <c r="F31" s="708"/>
      <c r="G31" s="403"/>
      <c r="I31" s="388"/>
      <c r="J31" s="388"/>
      <c r="K31" s="402"/>
      <c r="L31" s="403"/>
      <c r="N31" s="388"/>
      <c r="O31" s="388"/>
      <c r="P31" s="708"/>
      <c r="Q31" s="403"/>
      <c r="R31" s="403"/>
      <c r="T31" s="388"/>
      <c r="U31" s="388"/>
      <c r="V31" s="402"/>
      <c r="W31" s="403"/>
      <c r="X31" s="403"/>
    </row>
    <row r="32" spans="1:24">
      <c r="A32" s="386">
        <f t="shared" si="23"/>
        <v>28</v>
      </c>
      <c r="B32" s="389" t="s">
        <v>17</v>
      </c>
      <c r="D32" s="388">
        <f>+'Revenue By Sch TY'!D20</f>
        <v>1945214.1669999999</v>
      </c>
      <c r="E32" s="388">
        <f>'[1]Exhibit No.__(BDJ-Prof-Prop)'!$G$39*12</f>
        <v>240</v>
      </c>
      <c r="F32" s="708">
        <f>'[1]Exhibit No.__(BDJ-141A)'!$E$91</f>
        <v>0</v>
      </c>
      <c r="G32" s="403">
        <f>ROUND(E32*F32,0)/1000</f>
        <v>0</v>
      </c>
      <c r="I32" s="388">
        <f>'Sch 95 PCORC'!J32</f>
        <v>1895530</v>
      </c>
      <c r="J32" s="388">
        <f>'[1]Exhibit No.__(BDJ-MYRP)'!$I$148</f>
        <v>240</v>
      </c>
      <c r="K32" s="402">
        <f t="shared" ref="K32:K33" si="24">F32</f>
        <v>0</v>
      </c>
      <c r="L32" s="403">
        <f>ROUND(J32*K32,0)/1000</f>
        <v>0</v>
      </c>
      <c r="N32" s="388">
        <f>'Sch 95 PCORC'!N32</f>
        <v>1895104</v>
      </c>
      <c r="O32" s="388">
        <f>'[1]Exhibit No.__(BDJ-MYRP)'!$O$148</f>
        <v>240</v>
      </c>
      <c r="P32" s="708">
        <f>'[1]Exhibit No.__(BDJ-141A)'!$H$91</f>
        <v>0</v>
      </c>
      <c r="Q32" s="403">
        <f>ROUND(K32*O32,0)/1000</f>
        <v>0</v>
      </c>
      <c r="R32" s="403">
        <f>ROUND(O32*P32,0)/1000</f>
        <v>0</v>
      </c>
      <c r="T32" s="388"/>
      <c r="U32" s="388"/>
      <c r="V32" s="402"/>
      <c r="W32" s="403"/>
      <c r="X32" s="403"/>
    </row>
    <row r="33" spans="1:24">
      <c r="A33" s="386">
        <f t="shared" si="23"/>
        <v>29</v>
      </c>
      <c r="B33" s="389" t="s">
        <v>262</v>
      </c>
      <c r="D33" s="388">
        <f>+'Revenue By Sch TY'!D21</f>
        <v>278070.311162</v>
      </c>
      <c r="E33" s="388"/>
      <c r="F33" s="708">
        <f>'[1]Exhibit No.__(BDJ-141A)'!$E$95</f>
        <v>0</v>
      </c>
      <c r="G33" s="403">
        <f>ROUND(D33*F33,0)</f>
        <v>0</v>
      </c>
      <c r="I33" s="388">
        <f>'Sch 95 PCORC'!J33</f>
        <v>289426</v>
      </c>
      <c r="J33" s="388"/>
      <c r="K33" s="402">
        <f t="shared" si="24"/>
        <v>0</v>
      </c>
      <c r="L33" s="403">
        <f>ROUND(I33*K33,0)</f>
        <v>0</v>
      </c>
      <c r="N33" s="388">
        <f>'Sch 95 PCORC'!N33</f>
        <v>289426</v>
      </c>
      <c r="O33" s="388"/>
      <c r="P33" s="708">
        <f>'[1]Exhibit No.__(BDJ-141A)'!$H$95</f>
        <v>0</v>
      </c>
      <c r="Q33" s="403">
        <f>ROUND(K33*N33,0)</f>
        <v>0</v>
      </c>
      <c r="R33" s="403">
        <f>ROUND(N33*P33,0)</f>
        <v>0</v>
      </c>
      <c r="T33" s="388"/>
      <c r="U33" s="388"/>
      <c r="V33" s="402"/>
      <c r="W33" s="403"/>
      <c r="X33" s="403"/>
    </row>
    <row r="34" spans="1:24">
      <c r="A34" s="386">
        <f t="shared" si="23"/>
        <v>30</v>
      </c>
      <c r="B34" s="389"/>
      <c r="C34" s="387" t="s">
        <v>263</v>
      </c>
      <c r="D34" s="390">
        <f>SUM(D32:D33)</f>
        <v>2223284.478162</v>
      </c>
      <c r="E34" s="390"/>
      <c r="F34" s="709"/>
      <c r="G34" s="405">
        <f t="shared" ref="G34" si="25">SUM(G32:G33)</f>
        <v>0</v>
      </c>
      <c r="I34" s="390">
        <f>SUM(I32:I33)</f>
        <v>2184956</v>
      </c>
      <c r="J34" s="390"/>
      <c r="K34" s="404"/>
      <c r="L34" s="405">
        <f t="shared" ref="L34" si="26">SUM(L32:L33)</f>
        <v>0</v>
      </c>
      <c r="N34" s="390">
        <f>SUM(N32:N33)</f>
        <v>2184530</v>
      </c>
      <c r="O34" s="390"/>
      <c r="P34" s="709"/>
      <c r="Q34" s="405">
        <f t="shared" ref="Q34:R34" si="27">SUM(Q32:Q33)</f>
        <v>0</v>
      </c>
      <c r="R34" s="405">
        <f t="shared" si="27"/>
        <v>0</v>
      </c>
      <c r="T34" s="390"/>
      <c r="U34" s="390"/>
      <c r="V34" s="404"/>
      <c r="W34" s="405"/>
      <c r="X34" s="405"/>
    </row>
    <row r="35" spans="1:24">
      <c r="A35" s="386">
        <f t="shared" si="23"/>
        <v>31</v>
      </c>
      <c r="B35" s="386"/>
      <c r="D35" s="388"/>
      <c r="E35" s="388"/>
      <c r="F35" s="708"/>
      <c r="G35" s="403"/>
      <c r="I35" s="388"/>
      <c r="J35" s="388"/>
      <c r="K35" s="402"/>
      <c r="L35" s="403"/>
      <c r="N35" s="388"/>
      <c r="O35" s="388"/>
      <c r="P35" s="708"/>
      <c r="Q35" s="403"/>
      <c r="R35" s="403"/>
      <c r="T35" s="388"/>
      <c r="U35" s="388"/>
      <c r="V35" s="402"/>
      <c r="W35" s="403"/>
      <c r="X35" s="403"/>
    </row>
    <row r="36" spans="1:24" ht="10.8" thickBot="1">
      <c r="A36" s="386">
        <f t="shared" si="23"/>
        <v>32</v>
      </c>
      <c r="B36" s="386"/>
      <c r="C36" s="391" t="s">
        <v>66</v>
      </c>
      <c r="D36" s="393">
        <f>SUM(D9,D18,D24,D28,D30,D34)</f>
        <v>22304316.633334763</v>
      </c>
      <c r="E36" s="393"/>
      <c r="F36" s="710"/>
      <c r="G36" s="407">
        <f>SUM(G9,G18,G24,G28,G30,G34)</f>
        <v>35841</v>
      </c>
      <c r="I36" s="393">
        <f>SUM(I9,I18,I24,I28,I30,I34)</f>
        <v>21977115.867499996</v>
      </c>
      <c r="J36" s="393"/>
      <c r="K36" s="406"/>
      <c r="L36" s="407">
        <f>SUM(L9,L18,L24,L28,L30,L34)</f>
        <v>35297</v>
      </c>
      <c r="N36" s="393">
        <f>SUM(N9,N18,N24,N28,N30,N34)</f>
        <v>22168388.8475</v>
      </c>
      <c r="O36" s="393"/>
      <c r="P36" s="710"/>
      <c r="Q36" s="407">
        <f>SUM(Q9,Q18,Q24,Q28,Q30,Q34)</f>
        <v>35641</v>
      </c>
      <c r="R36" s="407">
        <f>SUM(R9,R18,R24,R28,R30,R34)</f>
        <v>36013</v>
      </c>
      <c r="T36" s="393"/>
      <c r="U36" s="393"/>
      <c r="V36" s="406"/>
      <c r="W36" s="407"/>
      <c r="X36" s="407"/>
    </row>
    <row r="37" spans="1:24" ht="10.8" thickTop="1">
      <c r="A37" s="386">
        <f t="shared" si="23"/>
        <v>33</v>
      </c>
      <c r="B37" s="386"/>
      <c r="F37" s="705"/>
      <c r="G37" s="403"/>
      <c r="L37" s="403"/>
      <c r="P37" s="705"/>
      <c r="Q37" s="403"/>
      <c r="R37" s="403"/>
      <c r="W37" s="403"/>
      <c r="X37" s="403"/>
    </row>
    <row r="38" spans="1:24">
      <c r="A38" s="386">
        <f t="shared" si="23"/>
        <v>34</v>
      </c>
      <c r="B38" s="386">
        <v>5</v>
      </c>
      <c r="C38" s="387" t="s">
        <v>67</v>
      </c>
      <c r="D38" s="388">
        <f>+'Revenue By Sch TY'!D22</f>
        <v>7372.3372879022108</v>
      </c>
      <c r="E38" s="388"/>
      <c r="F38" s="708">
        <f>'[1]Exhibit No.__(BDJ-141A)'!$E$99</f>
        <v>1.6360000000000001E-3</v>
      </c>
      <c r="G38" s="405">
        <f>ROUND(D38*F38,0)</f>
        <v>12</v>
      </c>
      <c r="I38" s="388">
        <f>'Sch 95 PCORC'!J38</f>
        <v>7521</v>
      </c>
      <c r="J38" s="388"/>
      <c r="K38" s="402">
        <f>F38</f>
        <v>1.6360000000000001E-3</v>
      </c>
      <c r="L38" s="405">
        <f>ROUND(I38*K38,0)</f>
        <v>12</v>
      </c>
      <c r="N38" s="388">
        <f>'Sch 95 PCORC'!N38</f>
        <v>7552</v>
      </c>
      <c r="O38" s="388"/>
      <c r="P38" s="708">
        <f>'[1]Exhibit No.__(BDJ-141A)'!$H$99</f>
        <v>1.6620000000000001E-3</v>
      </c>
      <c r="Q38" s="405">
        <f>ROUND(K38*N38,0)</f>
        <v>12</v>
      </c>
      <c r="R38" s="405">
        <f>ROUND(N38*P38,0)</f>
        <v>13</v>
      </c>
      <c r="T38" s="388"/>
      <c r="U38" s="388"/>
      <c r="V38" s="402"/>
      <c r="W38" s="405"/>
      <c r="X38" s="405"/>
    </row>
    <row r="39" spans="1:24">
      <c r="A39" s="386">
        <f t="shared" si="23"/>
        <v>35</v>
      </c>
      <c r="B39" s="386"/>
      <c r="G39" s="403"/>
      <c r="L39" s="403"/>
      <c r="Q39" s="403"/>
      <c r="R39" s="403"/>
      <c r="W39" s="403"/>
      <c r="X39" s="403"/>
    </row>
    <row r="40" spans="1:24" ht="10.8" thickBot="1">
      <c r="A40" s="386">
        <f t="shared" si="23"/>
        <v>36</v>
      </c>
      <c r="B40" s="386"/>
      <c r="C40" s="391" t="s">
        <v>68</v>
      </c>
      <c r="D40" s="393">
        <f>SUM(D36,D38)</f>
        <v>22311688.970622666</v>
      </c>
      <c r="E40" s="394"/>
      <c r="G40" s="407">
        <f t="shared" ref="G40" si="28">SUM(G36,G38)</f>
        <v>35853</v>
      </c>
      <c r="I40" s="393">
        <f>SUM(I36,I38)</f>
        <v>21984636.867499996</v>
      </c>
      <c r="J40" s="394"/>
      <c r="L40" s="407">
        <f t="shared" ref="L40" si="29">SUM(L36,L38)</f>
        <v>35309</v>
      </c>
      <c r="N40" s="393">
        <f>SUM(N36,N38)</f>
        <v>22175940.8475</v>
      </c>
      <c r="O40" s="394"/>
      <c r="Q40" s="407">
        <f t="shared" ref="Q40:R40" si="30">SUM(Q36,Q38)</f>
        <v>35653</v>
      </c>
      <c r="R40" s="407">
        <f t="shared" si="30"/>
        <v>36026</v>
      </c>
      <c r="T40" s="393"/>
      <c r="U40" s="394"/>
      <c r="W40" s="407"/>
      <c r="X40" s="407"/>
    </row>
    <row r="41" spans="1:24" ht="10.8" thickTop="1">
      <c r="C41" s="387" t="s">
        <v>823</v>
      </c>
      <c r="D41" s="388">
        <v>-1.0477378964424133E-9</v>
      </c>
      <c r="I41" s="388">
        <f>'[1]Exhibit No.__(BDJ-141A)'!$D$104/1000-I40</f>
        <v>0</v>
      </c>
      <c r="L41" s="403"/>
      <c r="N41" s="388"/>
      <c r="Q41" s="403"/>
      <c r="R41" s="403"/>
      <c r="T41" s="388"/>
      <c r="W41" s="403"/>
      <c r="X41" s="403"/>
    </row>
    <row r="42" spans="1:24" ht="10.8" thickBot="1">
      <c r="D42" s="388"/>
      <c r="L42" s="407">
        <f>'[1]Exhibit No.__(BDJ-141A)'!$E$104/1000</f>
        <v>35310.82105675152</v>
      </c>
      <c r="Q42" s="403"/>
      <c r="R42" s="407">
        <f>'[1]Exhibit No.__(BDJ-141A)'!$H$104/1000</f>
        <v>36024.653727424389</v>
      </c>
      <c r="W42" s="407"/>
      <c r="X42" s="407"/>
    </row>
    <row r="43" spans="1:24" ht="10.8" thickTop="1">
      <c r="D43" s="388"/>
      <c r="K43" s="425" t="s">
        <v>823</v>
      </c>
      <c r="L43" s="427">
        <f>+L42-L40</f>
        <v>1.8210567515197909</v>
      </c>
      <c r="M43" s="425"/>
      <c r="N43" s="425"/>
      <c r="O43" s="425"/>
      <c r="P43" s="425" t="s">
        <v>823</v>
      </c>
      <c r="Q43" s="427"/>
      <c r="R43" s="427">
        <f>+R42-R40</f>
        <v>-1.346272575610783</v>
      </c>
      <c r="S43" s="425"/>
      <c r="T43" s="425"/>
      <c r="X43" s="403"/>
    </row>
    <row r="44" spans="1:24">
      <c r="B44" s="387" t="s">
        <v>820</v>
      </c>
    </row>
    <row r="45" spans="1:24">
      <c r="D45" s="388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88"/>
      <c r="P45" s="388"/>
      <c r="Q45" s="388"/>
      <c r="R45" s="403">
        <f>+R40-Q40</f>
        <v>373</v>
      </c>
      <c r="X45" s="403"/>
    </row>
    <row r="46" spans="1:24">
      <c r="B46" s="449"/>
    </row>
    <row r="47" spans="1:24">
      <c r="B47" s="711" t="s">
        <v>874</v>
      </c>
    </row>
  </sheetData>
  <mergeCells count="7">
    <mergeCell ref="T5:X5"/>
    <mergeCell ref="A1:G1"/>
    <mergeCell ref="A2:G2"/>
    <mergeCell ref="A3:G3"/>
    <mergeCell ref="I5:L5"/>
    <mergeCell ref="N5:R5"/>
    <mergeCell ref="N3:X3"/>
  </mergeCells>
  <printOptions horizontalCentered="1"/>
  <pageMargins left="0.7" right="0.7" top="0.75" bottom="0.88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AA47"/>
  <sheetViews>
    <sheetView zoomScaleNormal="10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activeCell="N3" sqref="N3:X3"/>
    </sheetView>
  </sheetViews>
  <sheetFormatPr defaultColWidth="3.5546875" defaultRowHeight="10.199999999999999"/>
  <cols>
    <col min="1" max="1" width="5" style="384" customWidth="1"/>
    <col min="2" max="2" width="13.6640625" style="384" bestFit="1" customWidth="1"/>
    <col min="3" max="3" width="21" style="384" bestFit="1" customWidth="1"/>
    <col min="4" max="4" width="13.33203125" style="384" bestFit="1" customWidth="1"/>
    <col min="5" max="5" width="13.33203125" style="423" customWidth="1"/>
    <col min="6" max="6" width="11" style="423" bestFit="1" customWidth="1"/>
    <col min="7" max="7" width="11" style="423" customWidth="1"/>
    <col min="8" max="8" width="11" style="423" bestFit="1" customWidth="1"/>
    <col min="9" max="9" width="1" style="387" customWidth="1"/>
    <col min="10" max="10" width="9.88671875" style="387" bestFit="1" customWidth="1"/>
    <col min="11" max="11" width="9.88671875" style="387" customWidth="1"/>
    <col min="12" max="12" width="15.33203125" style="387" bestFit="1" customWidth="1"/>
    <col min="13" max="13" width="1" style="387" customWidth="1"/>
    <col min="14" max="14" width="9.88671875" style="387" bestFit="1" customWidth="1"/>
    <col min="15" max="15" width="9.88671875" style="387" customWidth="1"/>
    <col min="16" max="16" width="11" style="387" bestFit="1" customWidth="1"/>
    <col min="17" max="17" width="11" style="387" customWidth="1"/>
    <col min="18" max="18" width="8.44140625" style="387" bestFit="1" customWidth="1"/>
    <col min="19" max="19" width="10.33203125" style="387" bestFit="1" customWidth="1"/>
    <col min="20" max="20" width="0.88671875" style="387" customWidth="1"/>
    <col min="21" max="21" width="8.44140625" style="387" bestFit="1" customWidth="1"/>
    <col min="22" max="22" width="11" style="387" bestFit="1" customWidth="1"/>
    <col min="23" max="23" width="8.44140625" style="387" bestFit="1" customWidth="1"/>
    <col min="24" max="24" width="8.44140625" style="384" bestFit="1" customWidth="1"/>
    <col min="25" max="25" width="3.5546875" style="384"/>
    <col min="26" max="26" width="11" style="384" bestFit="1" customWidth="1"/>
    <col min="27" max="16384" width="3.5546875" style="384"/>
  </cols>
  <sheetData>
    <row r="1" spans="1:27" s="395" customFormat="1">
      <c r="A1" s="772" t="s">
        <v>0</v>
      </c>
      <c r="B1" s="772"/>
      <c r="C1" s="772"/>
      <c r="D1" s="772"/>
      <c r="E1" s="772"/>
      <c r="F1" s="772"/>
      <c r="G1" s="772"/>
      <c r="H1" s="772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</row>
    <row r="2" spans="1:27" s="395" customFormat="1">
      <c r="A2" s="773" t="s">
        <v>890</v>
      </c>
      <c r="B2" s="772"/>
      <c r="C2" s="772"/>
      <c r="D2" s="772"/>
      <c r="E2" s="772"/>
      <c r="F2" s="772"/>
      <c r="G2" s="772"/>
      <c r="H2" s="772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</row>
    <row r="3" spans="1:27" s="395" customFormat="1" ht="13.2">
      <c r="A3" s="772" t="str">
        <f>+'Revenue By Sch TY'!A3</f>
        <v>Test Year ended June 2021</v>
      </c>
      <c r="B3" s="772"/>
      <c r="C3" s="772"/>
      <c r="D3" s="772"/>
      <c r="E3" s="772"/>
      <c r="F3" s="772"/>
      <c r="G3" s="772"/>
      <c r="H3" s="772"/>
      <c r="I3" s="409"/>
      <c r="J3" s="409"/>
      <c r="K3" s="409"/>
      <c r="L3" s="409"/>
      <c r="M3" s="409"/>
      <c r="N3" s="804" t="s">
        <v>898</v>
      </c>
      <c r="O3" s="805"/>
      <c r="P3" s="805"/>
      <c r="Q3" s="805"/>
      <c r="R3" s="805"/>
      <c r="S3" s="805"/>
      <c r="T3" s="805"/>
      <c r="U3" s="806"/>
      <c r="V3" s="806"/>
      <c r="W3" s="806"/>
      <c r="X3" s="806"/>
    </row>
    <row r="4" spans="1:27" s="395" customFormat="1">
      <c r="E4" s="699"/>
      <c r="F4" s="699"/>
      <c r="G4" s="699"/>
      <c r="H4" s="69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</row>
    <row r="5" spans="1:27" s="395" customFormat="1">
      <c r="E5" s="699"/>
      <c r="F5" s="699"/>
      <c r="G5" s="699"/>
      <c r="H5" s="699"/>
      <c r="I5" s="409"/>
      <c r="J5" s="803" t="s">
        <v>512</v>
      </c>
      <c r="K5" s="803"/>
      <c r="L5" s="803"/>
      <c r="M5" s="409"/>
      <c r="N5" s="802" t="s">
        <v>515</v>
      </c>
      <c r="O5" s="802"/>
      <c r="P5" s="802"/>
      <c r="Q5" s="802"/>
      <c r="R5" s="802"/>
      <c r="S5" s="802"/>
      <c r="T5" s="409"/>
      <c r="U5" s="802" t="s">
        <v>514</v>
      </c>
      <c r="V5" s="802"/>
      <c r="W5" s="802"/>
      <c r="X5" s="802"/>
    </row>
    <row r="6" spans="1:27" s="395" customFormat="1" ht="40.799999999999997">
      <c r="A6" s="399" t="s">
        <v>167</v>
      </c>
      <c r="B6" s="399" t="s">
        <v>3</v>
      </c>
      <c r="C6" s="399" t="s">
        <v>31</v>
      </c>
      <c r="D6" s="400" t="str">
        <f>+'Revenue By Sch TY'!D7</f>
        <v>Annual mWh
Delivered Sales 
YE 06-2021</v>
      </c>
      <c r="E6" s="400" t="str">
        <f>'Sch 141R'!E6</f>
        <v>Annual Demand
(MW or MVa)
YE 06-2021</v>
      </c>
      <c r="F6" s="400" t="str">
        <f>'Sch 141N'!G6</f>
        <v>kWh Rates
Effective
January 1, 2023</v>
      </c>
      <c r="G6" s="400" t="str">
        <f>'Sch 141N'!H6</f>
        <v>kW/kV Rates
Effective
January 1, 2023</v>
      </c>
      <c r="H6" s="400" t="s">
        <v>897</v>
      </c>
      <c r="I6" s="409"/>
      <c r="J6" s="400" t="s">
        <v>522</v>
      </c>
      <c r="K6" s="400" t="str">
        <f>'Sch 141R'!L6</f>
        <v>Demand
(MW or MVa)</v>
      </c>
      <c r="L6" s="400" t="s">
        <v>513</v>
      </c>
      <c r="M6" s="400"/>
      <c r="N6" s="400" t="str">
        <f>+J6</f>
        <v>Annual Delivered MWh</v>
      </c>
      <c r="O6" s="400" t="str">
        <f>'Sch 141R'!Q6</f>
        <v>Demand
(MW or MVa)</v>
      </c>
      <c r="P6" s="400" t="str">
        <f>'Sch 141R'!S6</f>
        <v>kWh Rates
Effective
January 1, 2024</v>
      </c>
      <c r="Q6" s="400" t="str">
        <f>'Sch 141R'!T6</f>
        <v>kW/kV Rates
Effective
January 1, 2024</v>
      </c>
      <c r="R6" s="400" t="s">
        <v>683</v>
      </c>
      <c r="S6" s="400" t="s">
        <v>684</v>
      </c>
      <c r="T6" s="400"/>
      <c r="U6" s="400" t="str">
        <f>+N6</f>
        <v>Annual Delivered MWh</v>
      </c>
      <c r="V6" s="400" t="s">
        <v>685</v>
      </c>
      <c r="W6" s="400" t="s">
        <v>684</v>
      </c>
      <c r="X6" s="400" t="s">
        <v>686</v>
      </c>
    </row>
    <row r="7" spans="1:27">
      <c r="A7" s="385">
        <v>1</v>
      </c>
      <c r="B7" s="386">
        <v>7</v>
      </c>
      <c r="C7" s="387"/>
      <c r="D7" s="388">
        <f>+'Revenue By Sch TY'!D9</f>
        <v>11355354.571603522</v>
      </c>
      <c r="E7" s="388"/>
      <c r="F7" s="402">
        <f>+'[1]Exhibit No.__(BDJ-Tariff)'!$J$11</f>
        <v>2.6689999999999999E-3</v>
      </c>
      <c r="G7" s="402"/>
      <c r="H7" s="403">
        <f>ROUND(((D7*F7)+(E7*G7)),0)</f>
        <v>30307</v>
      </c>
      <c r="J7" s="388">
        <f>+'Sch 95 PCORC'!J7</f>
        <v>10963050.375499999</v>
      </c>
      <c r="K7" s="388"/>
      <c r="L7" s="403">
        <f>ROUND(((F7*J7)+(G7*K7)),0)</f>
        <v>29260</v>
      </c>
      <c r="N7" s="388">
        <f>+'Sch 95 PCORC'!N7</f>
        <v>11064440.8695</v>
      </c>
      <c r="O7" s="388"/>
      <c r="P7" s="402">
        <f>+'[1]Exhibit No.__(BDJ-141C)'!$P$7</f>
        <v>2.8430764798698877E-3</v>
      </c>
      <c r="Q7" s="402"/>
      <c r="R7" s="403">
        <f>ROUND(((F7*N7)+(G7*O7)),0)</f>
        <v>29531</v>
      </c>
      <c r="S7" s="403">
        <f>ROUND(((N7*P7)+(O7*Q7)),0)</f>
        <v>31457</v>
      </c>
      <c r="U7" s="388"/>
      <c r="V7" s="402"/>
      <c r="W7" s="403"/>
      <c r="X7" s="403"/>
      <c r="Z7" s="416"/>
      <c r="AA7" s="416"/>
    </row>
    <row r="8" spans="1:27">
      <c r="A8" s="385">
        <v>2</v>
      </c>
      <c r="B8" s="389" t="s">
        <v>10</v>
      </c>
      <c r="C8" s="387"/>
      <c r="D8" s="388">
        <v>0</v>
      </c>
      <c r="E8" s="388"/>
      <c r="F8" s="402">
        <v>0</v>
      </c>
      <c r="G8" s="402"/>
      <c r="H8" s="403">
        <f>ROUND(((D8*F8)+(E8*G8)),0)</f>
        <v>0</v>
      </c>
      <c r="J8" s="388">
        <f>+'Sch 95 PCORC'!J8</f>
        <v>0</v>
      </c>
      <c r="K8" s="388"/>
      <c r="L8" s="403">
        <f>ROUND(((F8*J8)+(G8*K8)),0)</f>
        <v>0</v>
      </c>
      <c r="N8" s="388">
        <f>+'Sch 95 PCORC'!N8</f>
        <v>0</v>
      </c>
      <c r="O8" s="388"/>
      <c r="P8" s="402">
        <v>0</v>
      </c>
      <c r="Q8" s="402"/>
      <c r="R8" s="403">
        <f>ROUND(((F8*N8)+(G8*O8)),0)</f>
        <v>0</v>
      </c>
      <c r="S8" s="403">
        <f>ROUND(((N8*P8)+(O8*Q8)),0)</f>
        <v>0</v>
      </c>
      <c r="U8" s="388"/>
      <c r="V8" s="402"/>
      <c r="W8" s="403"/>
      <c r="X8" s="403"/>
      <c r="Z8" s="416"/>
      <c r="AA8" s="416"/>
    </row>
    <row r="9" spans="1:27">
      <c r="A9" s="385">
        <v>3</v>
      </c>
      <c r="B9" s="386"/>
      <c r="C9" s="387" t="s">
        <v>11</v>
      </c>
      <c r="D9" s="390">
        <f>SUM(D7:D8)</f>
        <v>11355354.571603522</v>
      </c>
      <c r="E9" s="390"/>
      <c r="F9" s="404"/>
      <c r="G9" s="404"/>
      <c r="H9" s="405">
        <f t="shared" ref="H9" si="0">SUM(H7:H8)</f>
        <v>30307</v>
      </c>
      <c r="J9" s="390">
        <f>SUM(J7:J8)</f>
        <v>10963050.375499999</v>
      </c>
      <c r="K9" s="390"/>
      <c r="L9" s="405">
        <f t="shared" ref="L9" si="1">SUM(L7:L8)</f>
        <v>29260</v>
      </c>
      <c r="N9" s="390">
        <f>SUM(N7:N8)</f>
        <v>11064440.8695</v>
      </c>
      <c r="O9" s="390"/>
      <c r="P9" s="404"/>
      <c r="Q9" s="404"/>
      <c r="R9" s="405">
        <f t="shared" ref="R9:S9" si="2">SUM(R7:R8)</f>
        <v>29531</v>
      </c>
      <c r="S9" s="405">
        <f t="shared" si="2"/>
        <v>31457</v>
      </c>
      <c r="U9" s="390"/>
      <c r="V9" s="404"/>
      <c r="W9" s="405"/>
      <c r="X9" s="405"/>
      <c r="Z9" s="416"/>
      <c r="AA9" s="416"/>
    </row>
    <row r="10" spans="1:27">
      <c r="A10" s="385">
        <v>4</v>
      </c>
      <c r="B10" s="386"/>
      <c r="C10" s="387"/>
      <c r="D10" s="388"/>
      <c r="E10" s="388"/>
      <c r="F10" s="402"/>
      <c r="G10" s="402"/>
      <c r="H10" s="403"/>
      <c r="J10" s="388"/>
      <c r="K10" s="388"/>
      <c r="L10" s="403"/>
      <c r="N10" s="388"/>
      <c r="O10" s="388"/>
      <c r="P10" s="402"/>
      <c r="Q10" s="402"/>
      <c r="R10" s="403"/>
      <c r="S10" s="403"/>
      <c r="U10" s="388"/>
      <c r="V10" s="402"/>
      <c r="W10" s="403"/>
      <c r="X10" s="403"/>
      <c r="Z10" s="416"/>
      <c r="AA10" s="416"/>
    </row>
    <row r="11" spans="1:27">
      <c r="A11" s="385">
        <v>5</v>
      </c>
      <c r="B11" s="386">
        <v>8</v>
      </c>
      <c r="C11" s="387"/>
      <c r="D11" s="388">
        <v>0</v>
      </c>
      <c r="E11" s="388"/>
      <c r="F11" s="402">
        <v>0</v>
      </c>
      <c r="G11" s="402"/>
      <c r="H11" s="403">
        <f t="shared" ref="H11:H17" si="3">ROUND(((D11*F11)+(E11*G11)),0)</f>
        <v>0</v>
      </c>
      <c r="J11" s="388">
        <f>+'Sch 95 PCORC'!J11</f>
        <v>0</v>
      </c>
      <c r="K11" s="388"/>
      <c r="L11" s="403">
        <f t="shared" ref="L11:L17" si="4">ROUND(((F11*J11)+(G11*K11)),0)</f>
        <v>0</v>
      </c>
      <c r="N11" s="388">
        <f>+'Sch 95 PCORC'!N11</f>
        <v>0</v>
      </c>
      <c r="O11" s="388"/>
      <c r="P11" s="402">
        <v>0</v>
      </c>
      <c r="Q11" s="402"/>
      <c r="R11" s="403">
        <f t="shared" ref="R11:R17" si="5">ROUND(((F11*N11)+(G11*O11)),0)</f>
        <v>0</v>
      </c>
      <c r="S11" s="403">
        <f t="shared" ref="S11:S17" si="6">ROUND(((N11*P11)+(O11*Q11)),0)</f>
        <v>0</v>
      </c>
      <c r="U11" s="388"/>
      <c r="V11" s="402"/>
      <c r="W11" s="403"/>
      <c r="X11" s="403"/>
      <c r="Z11" s="416"/>
      <c r="AA11" s="416"/>
    </row>
    <row r="12" spans="1:27">
      <c r="A12" s="385">
        <v>6</v>
      </c>
      <c r="B12" s="386">
        <v>24</v>
      </c>
      <c r="C12" s="387"/>
      <c r="D12" s="388">
        <f>+'Revenue By Sch TY'!D10</f>
        <v>2658833.1030243803</v>
      </c>
      <c r="E12" s="388"/>
      <c r="F12" s="402">
        <f>+'[1]Exhibit No.__(BDJ-Tariff)'!$J$18</f>
        <v>2.346E-3</v>
      </c>
      <c r="G12" s="402"/>
      <c r="H12" s="403">
        <f t="shared" si="3"/>
        <v>6238</v>
      </c>
      <c r="J12" s="388">
        <f>+'Sch 95 PCORC'!J12</f>
        <v>2697633</v>
      </c>
      <c r="K12" s="388"/>
      <c r="L12" s="403">
        <f t="shared" si="4"/>
        <v>6329</v>
      </c>
      <c r="N12" s="388">
        <f>+'Sch 95 PCORC'!N12</f>
        <v>2730372</v>
      </c>
      <c r="O12" s="388"/>
      <c r="P12" s="402">
        <f>+'[1]Exhibit No.__(BDJ-141C)'!$P$9</f>
        <v>2.4913572255819707E-3</v>
      </c>
      <c r="Q12" s="402"/>
      <c r="R12" s="403">
        <f t="shared" si="5"/>
        <v>6405</v>
      </c>
      <c r="S12" s="403">
        <f t="shared" si="6"/>
        <v>6802</v>
      </c>
      <c r="U12" s="388"/>
      <c r="V12" s="402"/>
      <c r="W12" s="403"/>
      <c r="X12" s="403"/>
      <c r="Z12" s="416"/>
      <c r="AA12" s="416"/>
    </row>
    <row r="13" spans="1:27">
      <c r="A13" s="385">
        <v>7</v>
      </c>
      <c r="B13" s="389">
        <v>11</v>
      </c>
      <c r="C13" s="387"/>
      <c r="D13" s="388">
        <v>0</v>
      </c>
      <c r="E13" s="388">
        <f>'[1]Exhibit No.__(BDJ-Prof-Prop)'!$J$22</f>
        <v>4173.7510000000002</v>
      </c>
      <c r="F13" s="402">
        <f>+F8</f>
        <v>0</v>
      </c>
      <c r="G13" s="418">
        <f>'[1]Exhibit No.__(BDJ-Tariff)'!$J$29</f>
        <v>1.2</v>
      </c>
      <c r="H13" s="403">
        <f t="shared" si="3"/>
        <v>5009</v>
      </c>
      <c r="J13" s="388">
        <f>+'Sch 95 PCORC'!J13</f>
        <v>0</v>
      </c>
      <c r="K13" s="388">
        <f>'[1]Exhibit No.__(BDJ-MYRP)'!$I$48/1000</f>
        <v>4517.4763347322869</v>
      </c>
      <c r="L13" s="403">
        <f t="shared" si="4"/>
        <v>5421</v>
      </c>
      <c r="N13" s="388">
        <f>+'Sch 95 PCORC'!N13</f>
        <v>0</v>
      </c>
      <c r="O13" s="388">
        <f>'[1]Exhibit No.__(BDJ-MYRP)'!$O$48/1000</f>
        <v>4573.600592953725</v>
      </c>
      <c r="P13" s="402">
        <f>+P8</f>
        <v>0</v>
      </c>
      <c r="Q13" s="418">
        <f>'[1]Exhibit No.__(BDJ-141C)'!$P$12</f>
        <v>1.2786385184895059</v>
      </c>
      <c r="R13" s="403">
        <f t="shared" si="5"/>
        <v>5488</v>
      </c>
      <c r="S13" s="403">
        <f t="shared" si="6"/>
        <v>5848</v>
      </c>
      <c r="U13" s="388"/>
      <c r="V13" s="402"/>
      <c r="W13" s="403"/>
      <c r="X13" s="403"/>
      <c r="Z13" s="416"/>
      <c r="AA13" s="416"/>
    </row>
    <row r="14" spans="1:27">
      <c r="A14" s="385">
        <v>8</v>
      </c>
      <c r="B14" s="389">
        <v>25</v>
      </c>
      <c r="C14" s="387"/>
      <c r="D14" s="388">
        <f>+'Revenue By Sch TY'!D11</f>
        <v>2856045.8325844579</v>
      </c>
      <c r="E14" s="388"/>
      <c r="F14" s="402">
        <f>+'[1]Exhibit No.__(BDJ-Tariff)'!$J$24</f>
        <v>4.6700000000000002E-4</v>
      </c>
      <c r="G14" s="402"/>
      <c r="H14" s="403">
        <f t="shared" si="3"/>
        <v>1334</v>
      </c>
      <c r="J14" s="388">
        <f>+'Sch 95 PCORC'!J14</f>
        <v>2911699.0000000005</v>
      </c>
      <c r="K14" s="388"/>
      <c r="L14" s="403">
        <f t="shared" si="4"/>
        <v>1360</v>
      </c>
      <c r="N14" s="388">
        <f>+'Sch 95 PCORC'!N14</f>
        <v>2948172</v>
      </c>
      <c r="O14" s="388"/>
      <c r="P14" s="402">
        <f>+'[1]Exhibit No.__(BDJ-141C)'!$P$11</f>
        <v>4.9589897454567413E-4</v>
      </c>
      <c r="Q14" s="402"/>
      <c r="R14" s="403">
        <f t="shared" si="5"/>
        <v>1377</v>
      </c>
      <c r="S14" s="403">
        <f t="shared" si="6"/>
        <v>1462</v>
      </c>
      <c r="U14" s="388"/>
      <c r="V14" s="402"/>
      <c r="W14" s="403"/>
      <c r="X14" s="403"/>
      <c r="Z14" s="416"/>
      <c r="AA14" s="416"/>
    </row>
    <row r="15" spans="1:27">
      <c r="A15" s="385">
        <v>9</v>
      </c>
      <c r="B15" s="386">
        <v>12</v>
      </c>
      <c r="C15" s="387"/>
      <c r="D15" s="388">
        <v>0</v>
      </c>
      <c r="E15" s="388">
        <f>'[1]Exhibit No.__(BDJ-Prof-Prop)'!$J$23</f>
        <v>4340.1580000000004</v>
      </c>
      <c r="F15" s="402">
        <v>0</v>
      </c>
      <c r="G15" s="418">
        <f>'[1]Exhibit No.__(BDJ-Tariff)'!$J$39</f>
        <v>0.71</v>
      </c>
      <c r="H15" s="403">
        <f t="shared" si="3"/>
        <v>3082</v>
      </c>
      <c r="J15" s="388">
        <f>+'Sch 95 PCORC'!J15</f>
        <v>0</v>
      </c>
      <c r="K15" s="388">
        <f>'[1]Exhibit No.__(BDJ-MYRP)'!$I$61/1000</f>
        <v>4426.8464048776104</v>
      </c>
      <c r="L15" s="403">
        <f t="shared" si="4"/>
        <v>3143</v>
      </c>
      <c r="N15" s="388">
        <f>+'Sch 95 PCORC'!N15</f>
        <v>0</v>
      </c>
      <c r="O15" s="388">
        <f>'[1]Exhibit No.__(BDJ-MYRP)'!$O$61/1000</f>
        <v>4435.5598796992599</v>
      </c>
      <c r="P15" s="402">
        <v>0</v>
      </c>
      <c r="Q15" s="418">
        <f>'[1]Exhibit No.__(BDJ-141C)'!$P$16</f>
        <v>0.76144524716137352</v>
      </c>
      <c r="R15" s="403">
        <f t="shared" si="5"/>
        <v>3149</v>
      </c>
      <c r="S15" s="403">
        <f t="shared" si="6"/>
        <v>3377</v>
      </c>
      <c r="U15" s="388"/>
      <c r="V15" s="402"/>
      <c r="W15" s="403"/>
      <c r="X15" s="403"/>
      <c r="Z15" s="416"/>
      <c r="AA15" s="416"/>
    </row>
    <row r="16" spans="1:27">
      <c r="A16" s="385">
        <v>10</v>
      </c>
      <c r="B16" s="386" t="s">
        <v>12</v>
      </c>
      <c r="C16" s="387"/>
      <c r="D16" s="388">
        <f>+'Revenue By Sch TY'!D12</f>
        <v>1761911.047761543</v>
      </c>
      <c r="E16" s="388"/>
      <c r="F16" s="402">
        <f>+'[1]Exhibit No.__(BDJ-Tariff)'!$J$37</f>
        <v>4.2900000000000002E-4</v>
      </c>
      <c r="G16" s="402"/>
      <c r="H16" s="403">
        <f t="shared" si="3"/>
        <v>756</v>
      </c>
      <c r="J16" s="388">
        <f>+'Sch 95 PCORC'!J16</f>
        <v>1831289</v>
      </c>
      <c r="K16" s="388"/>
      <c r="L16" s="403">
        <f t="shared" si="4"/>
        <v>786</v>
      </c>
      <c r="N16" s="388">
        <f>+'Sch 95 PCORC'!N16</f>
        <v>1853862</v>
      </c>
      <c r="O16" s="388"/>
      <c r="P16" s="402">
        <f>+'[1]Exhibit No.__(BDJ-141C)'!$P$15</f>
        <v>4.5545946635950724E-4</v>
      </c>
      <c r="Q16" s="402"/>
      <c r="R16" s="403">
        <f t="shared" si="5"/>
        <v>795</v>
      </c>
      <c r="S16" s="403">
        <f t="shared" si="6"/>
        <v>844</v>
      </c>
      <c r="U16" s="388"/>
      <c r="V16" s="402"/>
      <c r="W16" s="403"/>
      <c r="X16" s="403"/>
      <c r="Z16" s="416"/>
      <c r="AA16" s="416"/>
    </row>
    <row r="17" spans="1:27">
      <c r="A17" s="385">
        <v>11</v>
      </c>
      <c r="B17" s="386">
        <v>29</v>
      </c>
      <c r="C17" s="387"/>
      <c r="D17" s="388">
        <f>+'Revenue By Sch TY'!D13</f>
        <v>15293.727999999999</v>
      </c>
      <c r="E17" s="388">
        <f>'[1]Exhibit No.__(BDJ-Prof-Prop)'!$J$24</f>
        <v>7.0830000000000002</v>
      </c>
      <c r="F17" s="402">
        <f>+'[1]Exhibit No.__(BDJ-Tariff)'!$J$62</f>
        <v>4.8299999999999998E-4</v>
      </c>
      <c r="G17" s="418">
        <f>'[1]Exhibit No.__(BDJ-Tariff)'!$J$68</f>
        <v>4.67</v>
      </c>
      <c r="H17" s="403">
        <f t="shared" si="3"/>
        <v>40</v>
      </c>
      <c r="J17" s="388">
        <f>+'Sch 95 PCORC'!J17</f>
        <v>15100.966499999999</v>
      </c>
      <c r="K17" s="388">
        <f>'[1]Exhibit No.__(BDJ-MYRP)'!$I$81/1000</f>
        <v>6.2534999999999998</v>
      </c>
      <c r="L17" s="403">
        <f t="shared" si="4"/>
        <v>36</v>
      </c>
      <c r="N17" s="388">
        <f>+'Sch 95 PCORC'!N17</f>
        <v>15233.452499999999</v>
      </c>
      <c r="O17" s="388">
        <f>'[1]Exhibit No.__(BDJ-MYRP)'!$O$81/1000</f>
        <v>6.3209999999999997</v>
      </c>
      <c r="P17" s="402">
        <f>+'[1]Exhibit No.__(BDJ-141C)'!$P$19</f>
        <v>5.1490351553421117E-4</v>
      </c>
      <c r="Q17" s="418">
        <f>'[1]Exhibit No.__(BDJ-141C)'!$P$20</f>
        <v>4.9636185704625326</v>
      </c>
      <c r="R17" s="403">
        <f t="shared" si="5"/>
        <v>37</v>
      </c>
      <c r="S17" s="403">
        <f t="shared" si="6"/>
        <v>39</v>
      </c>
      <c r="U17" s="388"/>
      <c r="V17" s="402"/>
      <c r="W17" s="403"/>
      <c r="X17" s="403"/>
      <c r="Z17" s="416"/>
      <c r="AA17" s="416"/>
    </row>
    <row r="18" spans="1:27">
      <c r="A18" s="385">
        <v>12</v>
      </c>
      <c r="B18" s="386"/>
      <c r="C18" s="391" t="s">
        <v>13</v>
      </c>
      <c r="D18" s="390">
        <f>SUM(D11:D17)</f>
        <v>7292083.7113703806</v>
      </c>
      <c r="E18" s="390"/>
      <c r="F18" s="404"/>
      <c r="G18" s="404"/>
      <c r="H18" s="405">
        <f t="shared" ref="H18" si="7">SUM(H11:H17)</f>
        <v>16459</v>
      </c>
      <c r="J18" s="390">
        <f>SUM(J11:J17)</f>
        <v>7455721.9665000001</v>
      </c>
      <c r="K18" s="390"/>
      <c r="L18" s="405">
        <f t="shared" ref="L18" si="8">SUM(L11:L17)</f>
        <v>17075</v>
      </c>
      <c r="N18" s="390">
        <f>SUM(N11:N17)</f>
        <v>7547639.4524999997</v>
      </c>
      <c r="O18" s="390"/>
      <c r="P18" s="404"/>
      <c r="Q18" s="404"/>
      <c r="R18" s="405">
        <f t="shared" ref="R18:S18" si="9">SUM(R11:R17)</f>
        <v>17251</v>
      </c>
      <c r="S18" s="405">
        <f t="shared" si="9"/>
        <v>18372</v>
      </c>
      <c r="U18" s="390"/>
      <c r="V18" s="404"/>
      <c r="W18" s="405"/>
      <c r="X18" s="405"/>
      <c r="Z18" s="416"/>
      <c r="AA18" s="416"/>
    </row>
    <row r="19" spans="1:27">
      <c r="A19" s="385">
        <v>13</v>
      </c>
      <c r="B19" s="386"/>
      <c r="C19" s="387"/>
      <c r="D19" s="388"/>
      <c r="E19" s="388"/>
      <c r="F19" s="402"/>
      <c r="G19" s="402"/>
      <c r="H19" s="403"/>
      <c r="J19" s="388"/>
      <c r="K19" s="388"/>
      <c r="L19" s="403"/>
      <c r="N19" s="388"/>
      <c r="O19" s="388"/>
      <c r="P19" s="402"/>
      <c r="Q19" s="402"/>
      <c r="R19" s="403"/>
      <c r="S19" s="403"/>
      <c r="U19" s="388"/>
      <c r="V19" s="402"/>
      <c r="W19" s="403"/>
      <c r="X19" s="403"/>
      <c r="AA19" s="416"/>
    </row>
    <row r="20" spans="1:27">
      <c r="A20" s="385">
        <v>14</v>
      </c>
      <c r="B20" s="386">
        <v>10</v>
      </c>
      <c r="C20" s="387"/>
      <c r="D20" s="388">
        <v>0</v>
      </c>
      <c r="E20" s="388">
        <f>'[1]Exhibit No.__(BDJ-Prof-Prop)'!$J$28</f>
        <v>3207.4389999999999</v>
      </c>
      <c r="F20" s="402">
        <v>0</v>
      </c>
      <c r="G20" s="418">
        <f>'[1]Exhibit No.__(BDJ-Tariff)'!$J$78</f>
        <v>0.67</v>
      </c>
      <c r="H20" s="403">
        <f t="shared" ref="H20:H23" si="10">ROUND(((D20*F20)+(E20*G20)),0)</f>
        <v>2149</v>
      </c>
      <c r="J20" s="388">
        <v>0</v>
      </c>
      <c r="K20" s="388">
        <f>'[1]Exhibit No.__(BDJ-MYRP)'!$I$95/1000</f>
        <v>3292.0322143539356</v>
      </c>
      <c r="L20" s="403">
        <f t="shared" ref="L20:L23" si="11">ROUND(((F20*J20)+(G20*K20)),0)</f>
        <v>2206</v>
      </c>
      <c r="N20" s="388">
        <v>0</v>
      </c>
      <c r="O20" s="388">
        <f>'[1]Exhibit No.__(BDJ-MYRP)'!$O$95/1000</f>
        <v>3273.5744614315722</v>
      </c>
      <c r="P20" s="402">
        <v>0</v>
      </c>
      <c r="Q20" s="418">
        <f>'[1]Exhibit No.__(BDJ-141C)'!$P$24</f>
        <v>0.72049265975058319</v>
      </c>
      <c r="R20" s="403">
        <f t="shared" ref="R20:R23" si="12">ROUND(((F20*N20)+(G20*O20)),0)</f>
        <v>2193</v>
      </c>
      <c r="S20" s="403">
        <f t="shared" ref="S20:S23" si="13">ROUND(((N20*P20)+(O20*Q20)),0)</f>
        <v>2359</v>
      </c>
      <c r="U20" s="388"/>
      <c r="V20" s="402"/>
      <c r="W20" s="403"/>
      <c r="X20" s="403"/>
      <c r="AA20" s="416"/>
    </row>
    <row r="21" spans="1:27">
      <c r="A21" s="385">
        <v>15</v>
      </c>
      <c r="B21" s="386">
        <v>31</v>
      </c>
      <c r="C21" s="387"/>
      <c r="D21" s="388">
        <f>+'Revenue By Sch TY'!D14</f>
        <v>1307770.0591754341</v>
      </c>
      <c r="E21" s="388"/>
      <c r="F21" s="402">
        <f>+'[1]Exhibit No.__(BDJ-Tariff)'!$J$76</f>
        <v>4.1199999999999999E-4</v>
      </c>
      <c r="G21" s="418"/>
      <c r="H21" s="403">
        <f t="shared" si="10"/>
        <v>539</v>
      </c>
      <c r="J21" s="388">
        <f>+'Sch 95 PCORC'!J21</f>
        <v>1332008</v>
      </c>
      <c r="K21" s="388"/>
      <c r="L21" s="403">
        <f t="shared" si="11"/>
        <v>549</v>
      </c>
      <c r="N21" s="388">
        <f>+'Sch 95 PCORC'!N21</f>
        <v>1335448</v>
      </c>
      <c r="O21" s="388"/>
      <c r="P21" s="402">
        <f>+'[1]Exhibit No.__(BDJ-141C)'!$P$23</f>
        <v>4.4153467050166243E-4</v>
      </c>
      <c r="Q21" s="418"/>
      <c r="R21" s="403">
        <f t="shared" si="12"/>
        <v>550</v>
      </c>
      <c r="S21" s="403">
        <f t="shared" si="13"/>
        <v>590</v>
      </c>
      <c r="U21" s="388"/>
      <c r="V21" s="402"/>
      <c r="W21" s="403"/>
      <c r="X21" s="403"/>
      <c r="Z21" s="416"/>
      <c r="AA21" s="416"/>
    </row>
    <row r="22" spans="1:27">
      <c r="A22" s="385">
        <v>16</v>
      </c>
      <c r="B22" s="386">
        <v>35</v>
      </c>
      <c r="C22" s="387"/>
      <c r="D22" s="388">
        <f>+'Revenue By Sch TY'!D15</f>
        <v>4387.6440000000002</v>
      </c>
      <c r="E22" s="388">
        <f>'[1]Exhibit No.__(BDJ-Prof-Prop)'!$J$29</f>
        <v>8.6059999999999999</v>
      </c>
      <c r="F22" s="402">
        <f>+'[1]Exhibit No.__(BDJ-Tariff)'!$J$90</f>
        <v>2.8299999999999999E-4</v>
      </c>
      <c r="G22" s="418">
        <f>'[1]Exhibit No.__(BDJ-Tariff)'!$J$92</f>
        <v>0.62</v>
      </c>
      <c r="H22" s="403">
        <f t="shared" si="10"/>
        <v>7</v>
      </c>
      <c r="J22" s="388">
        <f>+'Sch 95 PCORC'!J22</f>
        <v>4663</v>
      </c>
      <c r="K22" s="388">
        <f>'[1]Exhibit No.__(BDJ-MYRP)'!$I$108/1000</f>
        <v>8.4963697717666999</v>
      </c>
      <c r="L22" s="403">
        <f t="shared" si="11"/>
        <v>7</v>
      </c>
      <c r="N22" s="388">
        <f>+'Sch 95 PCORC'!N22</f>
        <v>4695</v>
      </c>
      <c r="O22" s="388">
        <f>'[1]Exhibit No.__(BDJ-MYRP)'!$O$108/1000</f>
        <v>8.5910774227830888</v>
      </c>
      <c r="P22" s="402">
        <f>+'[1]Exhibit No.__(BDJ-141C)'!$P$27</f>
        <v>3.0244483554587204E-4</v>
      </c>
      <c r="Q22" s="418">
        <f>'[1]Exhibit No.__(BDJ-141C)'!$P$28</f>
        <v>0.66114105740551721</v>
      </c>
      <c r="R22" s="403">
        <f t="shared" si="12"/>
        <v>7</v>
      </c>
      <c r="S22" s="403">
        <f t="shared" si="13"/>
        <v>7</v>
      </c>
      <c r="U22" s="388"/>
      <c r="V22" s="402"/>
      <c r="W22" s="403"/>
      <c r="X22" s="403"/>
      <c r="Z22" s="416"/>
      <c r="AA22" s="416"/>
    </row>
    <row r="23" spans="1:27">
      <c r="A23" s="385">
        <v>19</v>
      </c>
      <c r="B23" s="386">
        <v>43</v>
      </c>
      <c r="C23" s="387"/>
      <c r="D23" s="388">
        <f>+'Revenue By Sch TY'!D16</f>
        <v>114099.11728442684</v>
      </c>
      <c r="E23" s="388">
        <f>'[1]Exhibit No.__(BDJ-Prof-Prop)'!$J$30</f>
        <v>541.88</v>
      </c>
      <c r="F23" s="402">
        <f>+'[1]Exhibit No.__(BDJ-Tariff)'!$J$100</f>
        <v>8.7999999999999998E-5</v>
      </c>
      <c r="G23" s="418">
        <f>'[1]Exhibit No.__(BDJ-Tariff)'!$J$102</f>
        <v>7.0000000000000007E-2</v>
      </c>
      <c r="H23" s="403">
        <f t="shared" si="10"/>
        <v>48</v>
      </c>
      <c r="J23" s="388">
        <f>+'Sch 95 PCORC'!J23</f>
        <v>118190</v>
      </c>
      <c r="K23" s="388">
        <f>'[1]Exhibit No.__(BDJ-MYRP)'!$I$119/1000</f>
        <v>593.19097908409663</v>
      </c>
      <c r="L23" s="403">
        <f t="shared" si="11"/>
        <v>52</v>
      </c>
      <c r="N23" s="388">
        <f>+'Sch 95 PCORC'!N23</f>
        <v>119782</v>
      </c>
      <c r="O23" s="388">
        <f>'[1]Exhibit No.__(BDJ-MYRP)'!$O$119/1000</f>
        <v>600.86862342584266</v>
      </c>
      <c r="P23" s="402">
        <f>+'[1]Exhibit No.__(BDJ-141C)'!$P$31</f>
        <v>9.3467465325133478E-5</v>
      </c>
      <c r="Q23" s="418">
        <f>'[1]Exhibit No.__(BDJ-141C)'!$P$32</f>
        <v>7.4530235030366043E-2</v>
      </c>
      <c r="R23" s="403">
        <f t="shared" si="12"/>
        <v>53</v>
      </c>
      <c r="S23" s="403">
        <f t="shared" si="13"/>
        <v>56</v>
      </c>
      <c r="U23" s="388"/>
      <c r="V23" s="402"/>
      <c r="W23" s="403"/>
      <c r="X23" s="403"/>
      <c r="Z23" s="416"/>
      <c r="AA23" s="416"/>
    </row>
    <row r="24" spans="1:27">
      <c r="A24" s="385">
        <v>20</v>
      </c>
      <c r="B24" s="386"/>
      <c r="C24" s="387" t="s">
        <v>14</v>
      </c>
      <c r="D24" s="390">
        <f>SUM(D20:D23)</f>
        <v>1426256.8204598611</v>
      </c>
      <c r="E24" s="390"/>
      <c r="F24" s="404"/>
      <c r="G24" s="404"/>
      <c r="H24" s="405">
        <f t="shared" ref="H24" si="14">SUM(H20:H23)</f>
        <v>2743</v>
      </c>
      <c r="J24" s="390">
        <f>SUM(J20:J23)</f>
        <v>1454861</v>
      </c>
      <c r="K24" s="390"/>
      <c r="L24" s="405">
        <f t="shared" ref="L24" si="15">SUM(L20:L23)</f>
        <v>2814</v>
      </c>
      <c r="N24" s="390">
        <f>SUM(N20:N23)</f>
        <v>1459925</v>
      </c>
      <c r="O24" s="390"/>
      <c r="P24" s="404"/>
      <c r="Q24" s="404"/>
      <c r="R24" s="405">
        <f t="shared" ref="R24:S24" si="16">SUM(R20:R23)</f>
        <v>2803</v>
      </c>
      <c r="S24" s="405">
        <f t="shared" si="16"/>
        <v>3012</v>
      </c>
      <c r="U24" s="390"/>
      <c r="V24" s="404"/>
      <c r="W24" s="405"/>
      <c r="X24" s="405"/>
      <c r="Z24" s="416"/>
      <c r="AA24" s="416"/>
    </row>
    <row r="25" spans="1:27">
      <c r="A25" s="385">
        <v>21</v>
      </c>
      <c r="B25" s="386"/>
      <c r="C25" s="387"/>
      <c r="D25" s="388"/>
      <c r="E25" s="388"/>
      <c r="F25" s="402"/>
      <c r="G25" s="402"/>
      <c r="H25" s="403"/>
      <c r="J25" s="388"/>
      <c r="K25" s="388"/>
      <c r="L25" s="403"/>
      <c r="N25" s="388"/>
      <c r="O25" s="388"/>
      <c r="P25" s="402"/>
      <c r="Q25" s="402"/>
      <c r="R25" s="403"/>
      <c r="S25" s="403"/>
      <c r="U25" s="388"/>
      <c r="V25" s="402"/>
      <c r="W25" s="403"/>
      <c r="X25" s="403"/>
      <c r="AA25" s="416"/>
    </row>
    <row r="26" spans="1:27">
      <c r="A26" s="385">
        <v>22</v>
      </c>
      <c r="B26" s="386">
        <v>46</v>
      </c>
      <c r="C26" s="387"/>
      <c r="D26" s="388">
        <f>+'Revenue By Sch TY'!D17</f>
        <v>100810.05100000001</v>
      </c>
      <c r="E26" s="388">
        <f>'[1]Exhibit No.__(BDJ-Prof-Prop)'!$J$34</f>
        <v>410.25</v>
      </c>
      <c r="F26" s="402">
        <f>+'[1]Exhibit No.__(BDJ-Tariff)'!$J$125</f>
        <v>1.02E-4</v>
      </c>
      <c r="G26" s="418">
        <f>'[1]Exhibit No.__(BDJ-Tariff)'!$J$127</f>
        <v>0.1</v>
      </c>
      <c r="H26" s="403">
        <f t="shared" ref="H26:H27" si="17">ROUND(((D26*F26)+(E26*G26)),0)</f>
        <v>51</v>
      </c>
      <c r="J26" s="388">
        <f>+'Sch 95 PCORC'!J26</f>
        <v>89530.525500000018</v>
      </c>
      <c r="K26" s="388">
        <f>'[1]Exhibit No.__(BDJ-MYRP)'!$I$130/1000</f>
        <v>373.99799999999993</v>
      </c>
      <c r="L26" s="403">
        <f t="shared" ref="L26:L27" si="18">ROUND(((F26*J26)+(G26*K26)),0)</f>
        <v>47</v>
      </c>
      <c r="N26" s="388">
        <f>+'Sch 95 PCORC'!N26</f>
        <v>89210.525500000018</v>
      </c>
      <c r="O26" s="388">
        <f>'[1]Exhibit No.__(BDJ-MYRP)'!$O$130/1000</f>
        <v>372.08350000000002</v>
      </c>
      <c r="P26" s="402">
        <f>+'[1]Exhibit No.__(BDJ-141C)'!$P$35</f>
        <v>1.1048985995438028E-4</v>
      </c>
      <c r="Q26" s="418">
        <f>'[1]Exhibit No.__(BDJ-141C)'!$P$36</f>
        <v>0.10596394055583408</v>
      </c>
      <c r="R26" s="403">
        <f t="shared" ref="R26:R27" si="19">ROUND(((F26*N26)+(G26*O26)),0)</f>
        <v>46</v>
      </c>
      <c r="S26" s="403">
        <f t="shared" ref="S26:S27" si="20">ROUND(((N26*P26)+(O26*Q26)),0)</f>
        <v>49</v>
      </c>
      <c r="U26" s="388"/>
      <c r="V26" s="402"/>
      <c r="W26" s="403"/>
      <c r="X26" s="403"/>
      <c r="Z26" s="416"/>
      <c r="AA26" s="416"/>
    </row>
    <row r="27" spans="1:27">
      <c r="A27" s="385">
        <v>23</v>
      </c>
      <c r="B27" s="386">
        <v>49</v>
      </c>
      <c r="C27" s="387"/>
      <c r="D27" s="388">
        <f>+'Revenue By Sch TY'!D18</f>
        <v>513293.73700000002</v>
      </c>
      <c r="E27" s="388">
        <f>'[1]Exhibit No.__(BDJ-Prof-Prop)'!$J$35</f>
        <v>1338.1780000000001</v>
      </c>
      <c r="F27" s="402">
        <f>+'[1]Exhibit No.__(BDJ-Tariff)'!$J$133</f>
        <v>3.8400000000000001E-4</v>
      </c>
      <c r="G27" s="418">
        <f>'[1]Exhibit No.__(BDJ-Tariff)'!$J$135</f>
        <v>0.62</v>
      </c>
      <c r="H27" s="403">
        <f t="shared" si="17"/>
        <v>1027</v>
      </c>
      <c r="J27" s="388">
        <f>+'Sch 95 PCORC'!J27</f>
        <v>504715</v>
      </c>
      <c r="K27" s="388">
        <f>'[1]Exhibit No.__(BDJ-MYRP)'!$I$138/1000</f>
        <v>1244.9959124206307</v>
      </c>
      <c r="L27" s="403">
        <f t="shared" si="18"/>
        <v>966</v>
      </c>
      <c r="N27" s="388">
        <f>+'Sch 95 PCORC'!N27</f>
        <v>499683</v>
      </c>
      <c r="O27" s="388">
        <f>'[1]Exhibit No.__(BDJ-MYRP)'!$O$138/1000</f>
        <v>1235.9146702547307</v>
      </c>
      <c r="P27" s="402">
        <f>+'[1]Exhibit No.__(BDJ-141C)'!$P$39</f>
        <v>4.1727413820574381E-4</v>
      </c>
      <c r="Q27" s="418">
        <f>'[1]Exhibit No.__(BDJ-141C)'!$P$40</f>
        <v>0.67481938104379446</v>
      </c>
      <c r="R27" s="403">
        <f t="shared" si="19"/>
        <v>958</v>
      </c>
      <c r="S27" s="403">
        <f t="shared" si="20"/>
        <v>1043</v>
      </c>
      <c r="U27" s="388"/>
      <c r="V27" s="402"/>
      <c r="W27" s="403"/>
      <c r="X27" s="403"/>
      <c r="Z27" s="416"/>
      <c r="AA27" s="416"/>
    </row>
    <row r="28" spans="1:27">
      <c r="A28" s="385">
        <v>24</v>
      </c>
      <c r="B28" s="386"/>
      <c r="C28" s="387" t="s">
        <v>15</v>
      </c>
      <c r="D28" s="390">
        <f>SUM(D26:D27)</f>
        <v>614103.78800000006</v>
      </c>
      <c r="E28" s="390"/>
      <c r="F28" s="404"/>
      <c r="G28" s="404"/>
      <c r="H28" s="405">
        <f t="shared" ref="H28" si="21">SUM(H26:H27)</f>
        <v>1078</v>
      </c>
      <c r="J28" s="390">
        <f>SUM(J26:J27)</f>
        <v>594245.52549999999</v>
      </c>
      <c r="K28" s="390"/>
      <c r="L28" s="405">
        <f t="shared" ref="L28" si="22">SUM(L26:L27)</f>
        <v>1013</v>
      </c>
      <c r="N28" s="390">
        <f>SUM(N26:N27)</f>
        <v>588893.52549999999</v>
      </c>
      <c r="O28" s="390"/>
      <c r="P28" s="404"/>
      <c r="Q28" s="404"/>
      <c r="R28" s="405">
        <f t="shared" ref="R28:S28" si="23">SUM(R26:R27)</f>
        <v>1004</v>
      </c>
      <c r="S28" s="405">
        <f t="shared" si="23"/>
        <v>1092</v>
      </c>
      <c r="U28" s="390"/>
      <c r="V28" s="404"/>
      <c r="W28" s="405"/>
      <c r="X28" s="405"/>
      <c r="Z28" s="416"/>
      <c r="AA28" s="416"/>
    </row>
    <row r="29" spans="1:27">
      <c r="A29" s="385">
        <v>25</v>
      </c>
      <c r="B29" s="386"/>
      <c r="C29" s="387"/>
      <c r="D29" s="388"/>
      <c r="E29" s="388"/>
      <c r="F29" s="402"/>
      <c r="G29" s="402"/>
      <c r="H29" s="403"/>
      <c r="J29" s="388"/>
      <c r="K29" s="388"/>
      <c r="L29" s="403"/>
      <c r="N29" s="388"/>
      <c r="O29" s="388"/>
      <c r="P29" s="402"/>
      <c r="Q29" s="402"/>
      <c r="R29" s="403"/>
      <c r="S29" s="403"/>
      <c r="U29" s="388"/>
      <c r="V29" s="402"/>
      <c r="W29" s="403"/>
      <c r="X29" s="403"/>
      <c r="Z29" s="416"/>
      <c r="AA29" s="416"/>
    </row>
    <row r="30" spans="1:27">
      <c r="A30" s="385">
        <v>26</v>
      </c>
      <c r="B30" s="386" t="s">
        <v>16</v>
      </c>
      <c r="C30" s="387"/>
      <c r="D30" s="390">
        <f>+'Revenue By Sch TY'!D19</f>
        <v>69892.887000000002</v>
      </c>
      <c r="E30" s="390"/>
      <c r="F30" s="404">
        <f>+'[1]Exhibit No.__(BDJ-141C)'!$L$43</f>
        <v>1.2231064355224773E-3</v>
      </c>
      <c r="G30" s="404"/>
      <c r="H30" s="405">
        <f>ROUND(((D30*F30)+(E30*G30)),0)</f>
        <v>85</v>
      </c>
      <c r="J30" s="390">
        <f>+'Sch 95 PCORC'!J30</f>
        <v>62703</v>
      </c>
      <c r="K30" s="390"/>
      <c r="L30" s="405">
        <f>ROUND(((F30*J30)+(G30*K30)),0)</f>
        <v>77</v>
      </c>
      <c r="N30" s="390">
        <f>+'Sch 95 PCORC'!N30</f>
        <v>61382</v>
      </c>
      <c r="O30" s="390"/>
      <c r="P30" s="404">
        <f>+'[1]Exhibit No.__(BDJ-141C)'!$P$43</f>
        <v>1.343181230356813E-3</v>
      </c>
      <c r="Q30" s="404"/>
      <c r="R30" s="405">
        <f>ROUND(((F30*N30)+(G30*O30)),0)</f>
        <v>75</v>
      </c>
      <c r="S30" s="405">
        <f>ROUND(((N30*P30)+(O30*Q30)),0)</f>
        <v>82</v>
      </c>
      <c r="U30" s="390"/>
      <c r="V30" s="404"/>
      <c r="W30" s="405"/>
      <c r="X30" s="405"/>
      <c r="Z30" s="416"/>
      <c r="AA30" s="416"/>
    </row>
    <row r="31" spans="1:27">
      <c r="A31" s="386">
        <f t="shared" ref="A31:A34" si="24">+A30+1</f>
        <v>27</v>
      </c>
      <c r="B31" s="386"/>
      <c r="C31" s="387"/>
      <c r="D31" s="388"/>
      <c r="E31" s="388"/>
      <c r="F31" s="402"/>
      <c r="G31" s="402"/>
      <c r="H31" s="403"/>
      <c r="J31" s="388"/>
      <c r="K31" s="388"/>
      <c r="L31" s="403"/>
      <c r="N31" s="388"/>
      <c r="O31" s="388"/>
      <c r="P31" s="402"/>
      <c r="Q31" s="402"/>
      <c r="R31" s="403"/>
      <c r="S31" s="403"/>
      <c r="U31" s="388"/>
      <c r="V31" s="402"/>
      <c r="W31" s="403"/>
      <c r="X31" s="403"/>
      <c r="Z31" s="416"/>
      <c r="AA31" s="416"/>
    </row>
    <row r="32" spans="1:27">
      <c r="A32" s="386">
        <f t="shared" si="24"/>
        <v>28</v>
      </c>
      <c r="B32" s="389" t="s">
        <v>17</v>
      </c>
      <c r="C32" s="387"/>
      <c r="D32" s="388">
        <f>+'Revenue By Sch TY'!D20</f>
        <v>1945214.1669999999</v>
      </c>
      <c r="E32" s="388"/>
      <c r="F32" s="418">
        <f>'[1]Exhibit No.__(BDJ-141C)'!$L$51</f>
        <v>0</v>
      </c>
      <c r="G32" s="402"/>
      <c r="H32" s="403">
        <f t="shared" ref="H32:H33" si="25">ROUND(((D32*F32)+(E32*G32)),0)</f>
        <v>0</v>
      </c>
      <c r="J32" s="388">
        <f>+'Sch 95 PCORC'!J32</f>
        <v>1895530</v>
      </c>
      <c r="K32" s="388"/>
      <c r="L32" s="403">
        <f t="shared" ref="L32:L33" si="26">ROUND(((F32*J32)+(G32*K32)),0)</f>
        <v>0</v>
      </c>
      <c r="N32" s="388">
        <f>+'Sch 95 PCORC'!N32</f>
        <v>1895104</v>
      </c>
      <c r="O32" s="388"/>
      <c r="P32" s="402">
        <f>+'[1]Exhibit No.__(BDJ-141C)'!$P$51</f>
        <v>0</v>
      </c>
      <c r="Q32" s="402"/>
      <c r="R32" s="403">
        <f t="shared" ref="R32:R33" si="27">ROUND(((F32*N32)+(G32*O32)),0)</f>
        <v>0</v>
      </c>
      <c r="S32" s="403">
        <f t="shared" ref="S32:S33" si="28">ROUND(((N32*P32)+(O32*Q32)),0)</f>
        <v>0</v>
      </c>
      <c r="U32" s="388"/>
      <c r="V32" s="418"/>
      <c r="W32" s="403"/>
      <c r="X32" s="403"/>
      <c r="Z32" s="416"/>
    </row>
    <row r="33" spans="1:26">
      <c r="A33" s="386">
        <f t="shared" si="24"/>
        <v>29</v>
      </c>
      <c r="B33" s="389" t="s">
        <v>262</v>
      </c>
      <c r="C33" s="387"/>
      <c r="D33" s="388">
        <f>+'Revenue By Sch TY'!D21</f>
        <v>278070.311162</v>
      </c>
      <c r="E33" s="388"/>
      <c r="F33" s="402">
        <f>'[1]Exhibit No.__(BDJ-141C)'!$L$49</f>
        <v>0</v>
      </c>
      <c r="G33" s="402"/>
      <c r="H33" s="403">
        <f t="shared" si="25"/>
        <v>0</v>
      </c>
      <c r="J33" s="388">
        <f>+'Sch 95 PCORC'!J33</f>
        <v>289426</v>
      </c>
      <c r="K33" s="388"/>
      <c r="L33" s="403">
        <f t="shared" si="26"/>
        <v>0</v>
      </c>
      <c r="N33" s="388">
        <f>+'Sch 95 PCORC'!N33</f>
        <v>289426</v>
      </c>
      <c r="O33" s="388"/>
      <c r="P33" s="402">
        <f>+'[1]Exhibit No.__(BDJ-141C)'!$P$49</f>
        <v>0</v>
      </c>
      <c r="Q33" s="402"/>
      <c r="R33" s="403">
        <f t="shared" si="27"/>
        <v>0</v>
      </c>
      <c r="S33" s="403">
        <f t="shared" si="28"/>
        <v>0</v>
      </c>
      <c r="U33" s="388"/>
      <c r="V33" s="402"/>
      <c r="W33" s="403"/>
      <c r="X33" s="403"/>
      <c r="Z33" s="416"/>
    </row>
    <row r="34" spans="1:26">
      <c r="A34" s="386">
        <f t="shared" si="24"/>
        <v>30</v>
      </c>
      <c r="B34" s="389"/>
      <c r="C34" s="387" t="s">
        <v>263</v>
      </c>
      <c r="D34" s="390">
        <f>SUM(D32:D33)</f>
        <v>2223284.478162</v>
      </c>
      <c r="E34" s="390"/>
      <c r="F34" s="404"/>
      <c r="G34" s="404"/>
      <c r="H34" s="405">
        <f t="shared" ref="H34" si="29">SUM(H32:H33)</f>
        <v>0</v>
      </c>
      <c r="J34" s="390">
        <f>SUM(J32:J33)</f>
        <v>2184956</v>
      </c>
      <c r="K34" s="390"/>
      <c r="L34" s="405">
        <f t="shared" ref="L34" si="30">SUM(L32:L33)</f>
        <v>0</v>
      </c>
      <c r="N34" s="390">
        <f>SUM(N32:N33)</f>
        <v>2184530</v>
      </c>
      <c r="O34" s="390"/>
      <c r="P34" s="404"/>
      <c r="Q34" s="404"/>
      <c r="R34" s="405">
        <f t="shared" ref="R34:S34" si="31">SUM(R32:R33)</f>
        <v>0</v>
      </c>
      <c r="S34" s="405">
        <f t="shared" si="31"/>
        <v>0</v>
      </c>
      <c r="U34" s="390"/>
      <c r="V34" s="390"/>
      <c r="W34" s="405"/>
      <c r="X34" s="405"/>
      <c r="Z34" s="416"/>
    </row>
    <row r="35" spans="1:26">
      <c r="A35" s="385">
        <v>29</v>
      </c>
      <c r="B35" s="386"/>
      <c r="C35" s="387"/>
      <c r="D35" s="388"/>
      <c r="E35" s="388"/>
      <c r="F35" s="402"/>
      <c r="G35" s="402"/>
      <c r="H35" s="403"/>
      <c r="J35" s="388"/>
      <c r="K35" s="388"/>
      <c r="L35" s="403"/>
      <c r="N35" s="388"/>
      <c r="O35" s="388"/>
      <c r="P35" s="402"/>
      <c r="Q35" s="402"/>
      <c r="R35" s="403"/>
      <c r="S35" s="403"/>
      <c r="U35" s="388"/>
      <c r="V35" s="388"/>
      <c r="W35" s="403"/>
      <c r="X35" s="403"/>
    </row>
    <row r="36" spans="1:26" ht="10.8" thickBot="1">
      <c r="A36" s="385">
        <v>30</v>
      </c>
      <c r="B36" s="386"/>
      <c r="C36" s="391" t="s">
        <v>66</v>
      </c>
      <c r="D36" s="393">
        <f>SUM(D9,D18,D24,D28,D30,D34)</f>
        <v>22980976.256595761</v>
      </c>
      <c r="E36" s="393"/>
      <c r="F36" s="406"/>
      <c r="G36" s="406"/>
      <c r="H36" s="407">
        <f>SUM(H9,H18,H24,H28,H30,H34)</f>
        <v>50672</v>
      </c>
      <c r="J36" s="393">
        <f>SUM(J9,J18,J24,J28,J30,J34)</f>
        <v>22715537.8675</v>
      </c>
      <c r="K36" s="393"/>
      <c r="L36" s="407">
        <f>SUM(L9,L18,L24,L28,L30,L34)</f>
        <v>50239</v>
      </c>
      <c r="N36" s="393">
        <f>SUM(N9,N18,N24,N28,N30,N34)</f>
        <v>22906810.8475</v>
      </c>
      <c r="O36" s="393"/>
      <c r="P36" s="406"/>
      <c r="Q36" s="406"/>
      <c r="R36" s="407">
        <f>SUM(R9,R18,R24,R28,R30,R34)</f>
        <v>50664</v>
      </c>
      <c r="S36" s="407">
        <f>SUM(S9,S18,S24,S28,S30,S34)</f>
        <v>54015</v>
      </c>
      <c r="U36" s="393"/>
      <c r="V36" s="393"/>
      <c r="W36" s="407"/>
      <c r="X36" s="407"/>
    </row>
    <row r="37" spans="1:26" ht="10.8" thickTop="1">
      <c r="A37" s="385">
        <v>31</v>
      </c>
      <c r="B37" s="386"/>
      <c r="C37" s="387"/>
      <c r="D37" s="387"/>
      <c r="E37" s="387"/>
      <c r="F37" s="387"/>
      <c r="G37" s="387"/>
      <c r="H37" s="403"/>
      <c r="L37" s="403"/>
      <c r="R37" s="403"/>
      <c r="S37" s="403"/>
      <c r="W37" s="403"/>
      <c r="X37" s="403"/>
    </row>
    <row r="38" spans="1:26">
      <c r="B38" s="386">
        <v>5</v>
      </c>
      <c r="C38" s="387" t="s">
        <v>67</v>
      </c>
      <c r="D38" s="390">
        <f>+'Revenue By Sch TY'!D22</f>
        <v>7372.3372879022108</v>
      </c>
      <c r="E38" s="390">
        <f>'[1]Exhibit No.__(BDJ-Prof-Prop)'!$J$47</f>
        <v>14.507</v>
      </c>
      <c r="F38" s="404">
        <f>'[1]Exhibit No.__(BDJ-141C)'!$L$45</f>
        <v>1.9017880605256552E-3</v>
      </c>
      <c r="G38" s="715">
        <v>0</v>
      </c>
      <c r="H38" s="405">
        <f>ROUND(((D38*F38)+(E38*G38)),0)</f>
        <v>14</v>
      </c>
      <c r="J38" s="390">
        <f>+'Sch 95 PCORC'!J38</f>
        <v>7521</v>
      </c>
      <c r="K38" s="390">
        <f>'[1]Exhibit No.__(BDJ-MYRP)'!$I$163/1000</f>
        <v>14.950857165103656</v>
      </c>
      <c r="L38" s="405">
        <f>ROUND(((F38*J38)+(G38*K38)),0)</f>
        <v>14</v>
      </c>
      <c r="N38" s="390">
        <f>+'Sch 95 PCORC'!N38</f>
        <v>7552</v>
      </c>
      <c r="O38" s="390">
        <f>'[1]Exhibit No.__(BDJ-MYRP)'!$O$163/1000</f>
        <v>14.941592782693014</v>
      </c>
      <c r="P38" s="404">
        <f>+'[1]Exhibit No.__(BDJ-141C)'!$P$45</f>
        <v>2.0360985841253862E-3</v>
      </c>
      <c r="Q38" s="404">
        <v>0</v>
      </c>
      <c r="R38" s="405">
        <f>ROUND(((F38*N38)+(G38*O38)),0)</f>
        <v>14</v>
      </c>
      <c r="S38" s="405">
        <f>ROUND(((N38*P38)+(O38*Q38)),0)</f>
        <v>15</v>
      </c>
      <c r="U38" s="390"/>
      <c r="V38" s="402"/>
      <c r="W38" s="405"/>
      <c r="X38" s="405"/>
    </row>
    <row r="39" spans="1:26">
      <c r="B39" s="386"/>
      <c r="C39" s="387"/>
      <c r="D39" s="387"/>
      <c r="E39" s="387"/>
      <c r="F39" s="387"/>
      <c r="G39" s="387"/>
      <c r="H39" s="403"/>
      <c r="L39" s="403"/>
      <c r="R39" s="403"/>
      <c r="S39" s="403"/>
      <c r="W39" s="403"/>
      <c r="X39" s="403"/>
    </row>
    <row r="40" spans="1:26" ht="10.8" thickBot="1">
      <c r="B40" s="386"/>
      <c r="C40" s="391" t="s">
        <v>68</v>
      </c>
      <c r="D40" s="393">
        <f>SUM(D36,D38)</f>
        <v>22988348.593883663</v>
      </c>
      <c r="E40" s="394"/>
      <c r="F40" s="387"/>
      <c r="G40" s="387"/>
      <c r="H40" s="407">
        <f t="shared" ref="H40" si="32">SUM(H36,H38)</f>
        <v>50686</v>
      </c>
      <c r="J40" s="393">
        <f>SUM(J36,J38)</f>
        <v>22723058.8675</v>
      </c>
      <c r="K40" s="393"/>
      <c r="L40" s="407">
        <f t="shared" ref="L40" si="33">SUM(L36,L38)</f>
        <v>50253</v>
      </c>
      <c r="N40" s="393">
        <f>SUM(N36,N38)</f>
        <v>22914362.8475</v>
      </c>
      <c r="O40" s="393"/>
      <c r="P40" s="393"/>
      <c r="Q40" s="393"/>
      <c r="R40" s="407">
        <f t="shared" ref="R40:S40" si="34">SUM(R36,R38)</f>
        <v>50678</v>
      </c>
      <c r="S40" s="407">
        <f t="shared" si="34"/>
        <v>54030</v>
      </c>
      <c r="U40" s="393"/>
      <c r="V40" s="393"/>
      <c r="W40" s="407"/>
      <c r="X40" s="407"/>
    </row>
    <row r="41" spans="1:26" ht="10.8" thickTop="1"/>
    <row r="42" spans="1:26" ht="10.8" thickBot="1">
      <c r="L42" s="407">
        <f>'[1]Exhibit No.__(BDJ-141C)'!$I$47/1000</f>
        <v>50260.000129733882</v>
      </c>
      <c r="S42" s="407">
        <f>'[1]Exhibit No.__(BDJ-141C)'!$N$53/1000</f>
        <v>54031.318225557312</v>
      </c>
      <c r="X42" s="403"/>
    </row>
    <row r="43" spans="1:26" ht="10.8" thickTop="1">
      <c r="L43" s="427">
        <f>L40-L42</f>
        <v>-7.0001297338822042</v>
      </c>
      <c r="R43" s="384"/>
      <c r="S43" s="396">
        <f>+S42-S40</f>
        <v>1.3182255573119619</v>
      </c>
    </row>
    <row r="44" spans="1:26">
      <c r="R44" s="384"/>
      <c r="S44" s="384"/>
    </row>
    <row r="45" spans="1:26">
      <c r="R45" s="384"/>
      <c r="S45" s="396">
        <f>+S40-R40</f>
        <v>3352</v>
      </c>
    </row>
    <row r="47" spans="1:26" ht="13.8">
      <c r="A47" s="417"/>
    </row>
  </sheetData>
  <mergeCells count="7">
    <mergeCell ref="U5:X5"/>
    <mergeCell ref="A1:H1"/>
    <mergeCell ref="A2:H2"/>
    <mergeCell ref="A3:H3"/>
    <mergeCell ref="J5:L5"/>
    <mergeCell ref="N5:S5"/>
    <mergeCell ref="N3:X3"/>
  </mergeCells>
  <printOptions horizontalCentered="1"/>
  <pageMargins left="0.7" right="0.7" top="0.75" bottom="0.88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B45"/>
  <sheetViews>
    <sheetView zoomScaleNormal="100" workbookViewId="0">
      <pane xSplit="3" ySplit="6" topLeftCell="D7" activePane="bottomRight" state="frozen"/>
      <selection activeCell="E17" sqref="E17"/>
      <selection pane="topRight" activeCell="E17" sqref="E17"/>
      <selection pane="bottomLeft" activeCell="E17" sqref="E17"/>
      <selection pane="bottomRight" activeCell="B44" sqref="B44"/>
    </sheetView>
  </sheetViews>
  <sheetFormatPr defaultColWidth="2.109375" defaultRowHeight="10.199999999999999"/>
  <cols>
    <col min="1" max="1" width="3" style="384" bestFit="1" customWidth="1"/>
    <col min="2" max="2" width="14.88671875" style="384" bestFit="1" customWidth="1"/>
    <col min="3" max="3" width="21.6640625" style="384" bestFit="1" customWidth="1"/>
    <col min="4" max="4" width="11.33203125" style="384" bestFit="1" customWidth="1"/>
    <col min="5" max="5" width="11.33203125" style="409" customWidth="1"/>
    <col min="6" max="6" width="6.6640625" style="409" bestFit="1" customWidth="1"/>
    <col min="7" max="7" width="10.6640625" style="409" bestFit="1" customWidth="1"/>
    <col min="8" max="8" width="10.6640625" style="409" customWidth="1"/>
    <col min="9" max="9" width="14.109375" style="409" bestFit="1" customWidth="1"/>
    <col min="10" max="10" width="0.88671875" style="409" customWidth="1"/>
    <col min="11" max="11" width="11.33203125" style="409" bestFit="1" customWidth="1"/>
    <col min="12" max="12" width="11.33203125" style="409" customWidth="1"/>
    <col min="13" max="13" width="6.6640625" style="409" bestFit="1" customWidth="1"/>
    <col min="14" max="14" width="14.109375" style="409" customWidth="1"/>
    <col min="15" max="15" width="0.6640625" style="409" customWidth="1"/>
    <col min="16" max="16" width="11.33203125" style="409" bestFit="1" customWidth="1"/>
    <col min="17" max="17" width="11.33203125" style="409" customWidth="1"/>
    <col min="18" max="18" width="6.6640625" style="409" bestFit="1" customWidth="1"/>
    <col min="19" max="19" width="11.33203125" style="409" bestFit="1" customWidth="1"/>
    <col min="20" max="20" width="11.33203125" style="409" customWidth="1"/>
    <col min="21" max="21" width="13.44140625" style="384" bestFit="1" customWidth="1"/>
    <col min="22" max="22" width="14.109375" style="384" bestFit="1" customWidth="1"/>
    <col min="23" max="23" width="0.6640625" style="384" customWidth="1"/>
    <col min="24" max="24" width="11.33203125" style="384" bestFit="1" customWidth="1"/>
    <col min="25" max="25" width="6.6640625" style="384" bestFit="1" customWidth="1"/>
    <col min="26" max="26" width="11.33203125" style="384" bestFit="1" customWidth="1"/>
    <col min="27" max="28" width="14.109375" style="384" bestFit="1" customWidth="1"/>
    <col min="29" max="16384" width="2.109375" style="384"/>
  </cols>
  <sheetData>
    <row r="1" spans="1:28" s="395" customFormat="1">
      <c r="A1" s="772" t="s">
        <v>0</v>
      </c>
      <c r="B1" s="772"/>
      <c r="C1" s="772"/>
      <c r="D1" s="772"/>
      <c r="E1" s="772"/>
      <c r="F1" s="772"/>
      <c r="G1" s="772"/>
      <c r="H1" s="772"/>
      <c r="I1" s="772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</row>
    <row r="2" spans="1:28" s="395" customFormat="1">
      <c r="A2" s="773" t="s">
        <v>505</v>
      </c>
      <c r="B2" s="772"/>
      <c r="C2" s="772"/>
      <c r="D2" s="772"/>
      <c r="E2" s="772"/>
      <c r="F2" s="772"/>
      <c r="G2" s="772"/>
      <c r="H2" s="772"/>
      <c r="I2" s="772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</row>
    <row r="3" spans="1:28" s="395" customFormat="1">
      <c r="A3" s="772" t="str">
        <f>+'Revenue By Sch TY'!A3</f>
        <v>Test Year ended June 2021</v>
      </c>
      <c r="B3" s="772"/>
      <c r="C3" s="772"/>
      <c r="D3" s="772"/>
      <c r="E3" s="772"/>
      <c r="F3" s="772"/>
      <c r="G3" s="772"/>
      <c r="H3" s="772"/>
      <c r="I3" s="772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</row>
    <row r="4" spans="1:28" s="395" customFormat="1"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</row>
    <row r="5" spans="1:28" s="395" customFormat="1">
      <c r="D5" s="421"/>
      <c r="E5" s="436"/>
      <c r="F5" s="436"/>
      <c r="G5" s="436"/>
      <c r="H5" s="436"/>
      <c r="I5" s="436"/>
      <c r="J5" s="409"/>
      <c r="K5" s="803" t="s">
        <v>512</v>
      </c>
      <c r="L5" s="803"/>
      <c r="M5" s="803"/>
      <c r="N5" s="803"/>
      <c r="O5" s="409"/>
      <c r="P5" s="807" t="s">
        <v>515</v>
      </c>
      <c r="Q5" s="807"/>
      <c r="R5" s="808"/>
      <c r="S5" s="808"/>
      <c r="T5" s="808"/>
      <c r="U5" s="808"/>
      <c r="V5" s="808"/>
      <c r="X5" s="807" t="s">
        <v>514</v>
      </c>
      <c r="Y5" s="808"/>
      <c r="Z5" s="808"/>
      <c r="AA5" s="808"/>
      <c r="AB5" s="808"/>
    </row>
    <row r="6" spans="1:28" s="395" customFormat="1" ht="51">
      <c r="A6" s="399" t="s">
        <v>167</v>
      </c>
      <c r="B6" s="399" t="s">
        <v>3</v>
      </c>
      <c r="C6" s="399" t="s">
        <v>31</v>
      </c>
      <c r="D6" s="400" t="str">
        <f>+'Revenue By Sch TY'!D7</f>
        <v>Annual mWh
Delivered Sales 
YE 06-2021</v>
      </c>
      <c r="E6" s="400" t="str">
        <f>'Sch 141R'!E6</f>
        <v>Annual Demand
(MW or MVa)
YE 06-2021</v>
      </c>
      <c r="F6" s="400" t="s">
        <v>197</v>
      </c>
      <c r="G6" s="400" t="str">
        <f>'Sch 141R'!G6</f>
        <v>kWh Rates
Effective
January 1, 2023</v>
      </c>
      <c r="H6" s="400" t="str">
        <f>'Sch 141R'!H6</f>
        <v>kW/kV Rates
Effective
January 1, 2023</v>
      </c>
      <c r="I6" s="400" t="s">
        <v>506</v>
      </c>
      <c r="J6" s="409"/>
      <c r="K6" s="400" t="s">
        <v>524</v>
      </c>
      <c r="L6" s="400" t="str">
        <f>'Sch 141R'!L6</f>
        <v>Demand
(MW or MVa)</v>
      </c>
      <c r="M6" s="400" t="s">
        <v>197</v>
      </c>
      <c r="N6" s="400" t="s">
        <v>506</v>
      </c>
      <c r="O6" s="409"/>
      <c r="P6" s="400" t="str">
        <f>K6</f>
        <v>MWh</v>
      </c>
      <c r="Q6" s="400" t="str">
        <f>'Sch 141R'!Q6</f>
        <v>Demand
(MW or MVa)</v>
      </c>
      <c r="R6" s="400" t="str">
        <f>M6</f>
        <v>Basic Charge</v>
      </c>
      <c r="S6" s="400" t="s">
        <v>525</v>
      </c>
      <c r="T6" s="400" t="str">
        <f>'Sch 141R'!T6</f>
        <v>kW/kV Rates
Effective
January 1, 2024</v>
      </c>
      <c r="U6" s="400" t="str">
        <f>+N6</f>
        <v>Sch 141N 
MYRP
Non-Refundable
Effective
January 2023</v>
      </c>
      <c r="V6" s="400" t="s">
        <v>526</v>
      </c>
      <c r="X6" s="400" t="str">
        <f>P6</f>
        <v>MWh</v>
      </c>
      <c r="Y6" s="400" t="str">
        <f t="shared" ref="Y6" si="0">R6</f>
        <v>Basic Charge</v>
      </c>
      <c r="Z6" s="400" t="s">
        <v>528</v>
      </c>
      <c r="AA6" s="400" t="str">
        <f>+V6</f>
        <v>Sch 141N 
MYRP
Non-Refundable
Effective
January 2024</v>
      </c>
      <c r="AB6" s="400" t="s">
        <v>527</v>
      </c>
    </row>
    <row r="7" spans="1:28">
      <c r="A7" s="385">
        <v>1</v>
      </c>
      <c r="B7" s="386">
        <v>7</v>
      </c>
      <c r="C7" s="387"/>
      <c r="D7" s="388">
        <f>+'Revenue By Sch TY'!D9</f>
        <v>11355354.571603522</v>
      </c>
      <c r="E7" s="388"/>
      <c r="F7" s="388"/>
      <c r="G7" s="708">
        <f>+'[1]Exhibit No.__(BDJ-Tariff)'!$N$11</f>
        <v>1.2668E-2</v>
      </c>
      <c r="H7" s="708"/>
      <c r="I7" s="403">
        <f>ROUND(((D7*G7)+(E7*H7)),0)</f>
        <v>143850</v>
      </c>
      <c r="J7" s="387"/>
      <c r="K7" s="388">
        <f>'Sch 95 PCORC'!J7</f>
        <v>10963050.375499999</v>
      </c>
      <c r="L7" s="388"/>
      <c r="M7" s="388"/>
      <c r="N7" s="403">
        <f>ROUND(((K7*G7)+(L7*H7)),0)</f>
        <v>138880</v>
      </c>
      <c r="O7" s="387"/>
      <c r="P7" s="388">
        <f>'Sch 95 PCORC'!N7</f>
        <v>11064440.8695</v>
      </c>
      <c r="Q7" s="388"/>
      <c r="R7" s="388"/>
      <c r="S7" s="708">
        <f>+'[1]Exhibit No.__(BDJ-Tariff)'!$O$11</f>
        <v>8.5280000000000009E-3</v>
      </c>
      <c r="T7" s="708"/>
      <c r="U7" s="403">
        <f>ROUND(((P7*G7)+(Q7*H7)),0)</f>
        <v>140164</v>
      </c>
      <c r="V7" s="403">
        <f>ROUND(((P7*S7)+(Q7*T7)),0)</f>
        <v>94358</v>
      </c>
      <c r="X7" s="388"/>
      <c r="Y7" s="388"/>
      <c r="Z7" s="402"/>
      <c r="AA7" s="403"/>
      <c r="AB7" s="403"/>
    </row>
    <row r="8" spans="1:28">
      <c r="A8" s="385">
        <v>2</v>
      </c>
      <c r="B8" s="389" t="s">
        <v>10</v>
      </c>
      <c r="C8" s="387"/>
      <c r="D8" s="388">
        <v>0</v>
      </c>
      <c r="E8" s="388"/>
      <c r="F8" s="388"/>
      <c r="G8" s="708">
        <v>0</v>
      </c>
      <c r="H8" s="708"/>
      <c r="I8" s="403">
        <f>ROUND(((D8*G8)+(E8*H8)),0)</f>
        <v>0</v>
      </c>
      <c r="J8" s="387"/>
      <c r="K8" s="388">
        <f>'Sch 95 PCORC'!J8</f>
        <v>0</v>
      </c>
      <c r="L8" s="388"/>
      <c r="M8" s="388"/>
      <c r="N8" s="403">
        <f>ROUND(((K8*G8)+(L8*H8)),0)</f>
        <v>0</v>
      </c>
      <c r="O8" s="387"/>
      <c r="P8" s="388">
        <f>'Sch 95 PCORC'!N8</f>
        <v>0</v>
      </c>
      <c r="Q8" s="388"/>
      <c r="R8" s="388"/>
      <c r="S8" s="708">
        <v>0</v>
      </c>
      <c r="T8" s="708"/>
      <c r="U8" s="403">
        <f>ROUND(((P8*G8)+(Q8*H8)),0)</f>
        <v>0</v>
      </c>
      <c r="V8" s="403">
        <f>ROUND(((P8*S8)+(Q8*T8)),0)</f>
        <v>0</v>
      </c>
      <c r="X8" s="388"/>
      <c r="Y8" s="388"/>
      <c r="Z8" s="402"/>
      <c r="AA8" s="403"/>
      <c r="AB8" s="403"/>
    </row>
    <row r="9" spans="1:28">
      <c r="A9" s="385">
        <v>3</v>
      </c>
      <c r="B9" s="386"/>
      <c r="C9" s="387" t="s">
        <v>11</v>
      </c>
      <c r="D9" s="390">
        <f>SUM(D7:D8)</f>
        <v>11355354.571603522</v>
      </c>
      <c r="E9" s="390"/>
      <c r="F9" s="390"/>
      <c r="G9" s="709"/>
      <c r="H9" s="709"/>
      <c r="I9" s="405">
        <f t="shared" ref="I9" si="1">SUM(I7:I8)</f>
        <v>143850</v>
      </c>
      <c r="J9" s="387"/>
      <c r="K9" s="390">
        <f>SUM(K7:K8)</f>
        <v>10963050.375499999</v>
      </c>
      <c r="L9" s="390"/>
      <c r="M9" s="390"/>
      <c r="N9" s="405">
        <f t="shared" ref="N9" si="2">SUM(N7:N8)</f>
        <v>138880</v>
      </c>
      <c r="O9" s="387"/>
      <c r="P9" s="390">
        <f>SUM(P7:P8)</f>
        <v>11064440.8695</v>
      </c>
      <c r="Q9" s="390"/>
      <c r="R9" s="390"/>
      <c r="S9" s="709"/>
      <c r="T9" s="709"/>
      <c r="U9" s="405">
        <f t="shared" ref="U9:V9" si="3">SUM(U7:U8)</f>
        <v>140164</v>
      </c>
      <c r="V9" s="405">
        <f t="shared" si="3"/>
        <v>94358</v>
      </c>
      <c r="X9" s="390"/>
      <c r="Y9" s="390"/>
      <c r="Z9" s="404"/>
      <c r="AA9" s="405"/>
      <c r="AB9" s="405"/>
    </row>
    <row r="10" spans="1:28">
      <c r="A10" s="385">
        <v>4</v>
      </c>
      <c r="B10" s="386"/>
      <c r="C10" s="387"/>
      <c r="D10" s="388"/>
      <c r="E10" s="388"/>
      <c r="F10" s="388"/>
      <c r="G10" s="708"/>
      <c r="H10" s="708"/>
      <c r="I10" s="403"/>
      <c r="J10" s="387"/>
      <c r="K10" s="388"/>
      <c r="L10" s="388"/>
      <c r="M10" s="388"/>
      <c r="N10" s="403"/>
      <c r="O10" s="387"/>
      <c r="P10" s="388"/>
      <c r="Q10" s="388"/>
      <c r="R10" s="388"/>
      <c r="S10" s="708"/>
      <c r="T10" s="708"/>
      <c r="U10" s="403"/>
      <c r="V10" s="403"/>
      <c r="X10" s="388"/>
      <c r="Y10" s="388"/>
      <c r="Z10" s="402"/>
      <c r="AA10" s="403"/>
      <c r="AB10" s="403"/>
    </row>
    <row r="11" spans="1:28">
      <c r="A11" s="385">
        <v>5</v>
      </c>
      <c r="B11" s="386">
        <v>8</v>
      </c>
      <c r="C11" s="387"/>
      <c r="D11" s="388">
        <v>0</v>
      </c>
      <c r="E11" s="388"/>
      <c r="F11" s="388"/>
      <c r="G11" s="708">
        <v>0</v>
      </c>
      <c r="H11" s="708"/>
      <c r="I11" s="403">
        <f t="shared" ref="I11:I17" si="4">ROUND(((D11*G11)+(E11*H11)),0)</f>
        <v>0</v>
      </c>
      <c r="J11" s="387"/>
      <c r="K11" s="388">
        <f>'Sch 95 PCORC'!J11</f>
        <v>0</v>
      </c>
      <c r="L11" s="388"/>
      <c r="M11" s="388"/>
      <c r="N11" s="403">
        <f t="shared" ref="N11:N17" si="5">ROUND(((K11*G11)+(L11*H11)),0)</f>
        <v>0</v>
      </c>
      <c r="O11" s="387"/>
      <c r="P11" s="388">
        <f>'Sch 95 PCORC'!N11</f>
        <v>0</v>
      </c>
      <c r="Q11" s="388"/>
      <c r="R11" s="388"/>
      <c r="S11" s="708">
        <v>0</v>
      </c>
      <c r="T11" s="708"/>
      <c r="U11" s="403">
        <f t="shared" ref="U11:U17" si="6">ROUND(((P11*G11)+(Q11*H11)),0)</f>
        <v>0</v>
      </c>
      <c r="V11" s="403">
        <f t="shared" ref="V11:V17" si="7">ROUND(((P11*S11)+(Q11*T11)),0)</f>
        <v>0</v>
      </c>
      <c r="X11" s="388"/>
      <c r="Y11" s="388"/>
      <c r="Z11" s="402"/>
      <c r="AA11" s="403"/>
      <c r="AB11" s="403"/>
    </row>
    <row r="12" spans="1:28">
      <c r="A12" s="385">
        <v>6</v>
      </c>
      <c r="B12" s="386">
        <v>24</v>
      </c>
      <c r="C12" s="387"/>
      <c r="D12" s="388">
        <f>+'Revenue By Sch TY'!D10</f>
        <v>2658833.1030243803</v>
      </c>
      <c r="E12" s="388"/>
      <c r="F12" s="388"/>
      <c r="G12" s="708">
        <f>+'[1]Exhibit No.__(BDJ-Tariff)'!$N$18</f>
        <v>9.8779999999999996E-3</v>
      </c>
      <c r="H12" s="708"/>
      <c r="I12" s="403">
        <f t="shared" si="4"/>
        <v>26264</v>
      </c>
      <c r="J12" s="387"/>
      <c r="K12" s="388">
        <f>'Sch 95 PCORC'!J12</f>
        <v>2697633</v>
      </c>
      <c r="L12" s="388"/>
      <c r="M12" s="388"/>
      <c r="N12" s="403">
        <f t="shared" si="5"/>
        <v>26647</v>
      </c>
      <c r="O12" s="387"/>
      <c r="P12" s="388">
        <f>'Sch 95 PCORC'!N12</f>
        <v>2730372</v>
      </c>
      <c r="Q12" s="388"/>
      <c r="R12" s="388"/>
      <c r="S12" s="708">
        <f>+'[1]Exhibit No.__(BDJ-Tariff)'!$O$18</f>
        <v>6.6309999999999997E-3</v>
      </c>
      <c r="T12" s="708"/>
      <c r="U12" s="403">
        <f t="shared" si="6"/>
        <v>26971</v>
      </c>
      <c r="V12" s="403">
        <f t="shared" si="7"/>
        <v>18105</v>
      </c>
      <c r="X12" s="388"/>
      <c r="Y12" s="388"/>
      <c r="Z12" s="402"/>
      <c r="AA12" s="403"/>
      <c r="AB12" s="403"/>
    </row>
    <row r="13" spans="1:28">
      <c r="A13" s="385">
        <v>7</v>
      </c>
      <c r="B13" s="389">
        <v>11</v>
      </c>
      <c r="C13" s="387"/>
      <c r="D13" s="388">
        <v>0</v>
      </c>
      <c r="E13" s="388">
        <f>'[1]Exhibit No.__(BDJ-Prof-Prop)'!$J$22</f>
        <v>4173.7510000000002</v>
      </c>
      <c r="F13" s="388"/>
      <c r="G13" s="708">
        <f>+G8</f>
        <v>0</v>
      </c>
      <c r="H13" s="716">
        <f>'[1]Exhibit No.__(BDJ-Tariff)'!$N$29</f>
        <v>0.97</v>
      </c>
      <c r="I13" s="403">
        <f t="shared" si="4"/>
        <v>4049</v>
      </c>
      <c r="J13" s="387"/>
      <c r="K13" s="388">
        <f>'Sch 95 PCORC'!J13</f>
        <v>0</v>
      </c>
      <c r="L13" s="388">
        <f>'[1]Exhibit No.__(BDJ-MYRP)'!$I$48/1000</f>
        <v>4517.4763347322869</v>
      </c>
      <c r="M13" s="388"/>
      <c r="N13" s="403">
        <f t="shared" si="5"/>
        <v>4382</v>
      </c>
      <c r="O13" s="387"/>
      <c r="P13" s="388">
        <f>'Sch 95 PCORC'!N13</f>
        <v>0</v>
      </c>
      <c r="Q13" s="388">
        <f>'[1]Exhibit No.__(BDJ-MYRP)'!$O$48/1000</f>
        <v>4573.600592953725</v>
      </c>
      <c r="R13" s="388"/>
      <c r="S13" s="708">
        <f>+S8</f>
        <v>0</v>
      </c>
      <c r="T13" s="716">
        <f>'[1]Exhibit No.__(BDJ-Tariff)'!$O$29</f>
        <v>0.65</v>
      </c>
      <c r="U13" s="403">
        <f t="shared" si="6"/>
        <v>4436</v>
      </c>
      <c r="V13" s="403">
        <f t="shared" si="7"/>
        <v>2973</v>
      </c>
      <c r="X13" s="388"/>
      <c r="Y13" s="388"/>
      <c r="Z13" s="402"/>
      <c r="AA13" s="403"/>
      <c r="AB13" s="403"/>
    </row>
    <row r="14" spans="1:28">
      <c r="A14" s="385">
        <v>8</v>
      </c>
      <c r="B14" s="389">
        <v>25</v>
      </c>
      <c r="C14" s="387"/>
      <c r="D14" s="388">
        <f>+'Revenue By Sch TY'!D11</f>
        <v>2856045.8325844579</v>
      </c>
      <c r="E14" s="388"/>
      <c r="F14" s="388"/>
      <c r="G14" s="708">
        <f>+'[1]Exhibit No.__(BDJ-Tariff)'!$N$24</f>
        <v>8.7340000000000004E-3</v>
      </c>
      <c r="H14" s="708"/>
      <c r="I14" s="403">
        <f t="shared" si="4"/>
        <v>24945</v>
      </c>
      <c r="J14" s="387"/>
      <c r="K14" s="388">
        <f>'Sch 95 PCORC'!J14</f>
        <v>2911699.0000000005</v>
      </c>
      <c r="L14" s="388"/>
      <c r="M14" s="388"/>
      <c r="N14" s="403">
        <f t="shared" si="5"/>
        <v>25431</v>
      </c>
      <c r="O14" s="387"/>
      <c r="P14" s="388">
        <f>'Sch 95 PCORC'!N14</f>
        <v>2948172</v>
      </c>
      <c r="Q14" s="388"/>
      <c r="R14" s="388"/>
      <c r="S14" s="708">
        <f>+'[1]Exhibit No.__(BDJ-Tariff)'!$O$24</f>
        <v>5.8609999999999999E-3</v>
      </c>
      <c r="T14" s="708"/>
      <c r="U14" s="403">
        <f t="shared" si="6"/>
        <v>25749</v>
      </c>
      <c r="V14" s="403">
        <f t="shared" si="7"/>
        <v>17279</v>
      </c>
      <c r="X14" s="388"/>
      <c r="Y14" s="388"/>
      <c r="Z14" s="402"/>
      <c r="AA14" s="403"/>
      <c r="AB14" s="403"/>
    </row>
    <row r="15" spans="1:28">
      <c r="A15" s="385">
        <v>9</v>
      </c>
      <c r="B15" s="386">
        <v>12</v>
      </c>
      <c r="C15" s="387"/>
      <c r="D15" s="388">
        <v>0</v>
      </c>
      <c r="E15" s="388">
        <f>'[1]Exhibit No.__(BDJ-Prof-Prop)'!$J$23</f>
        <v>4340.1580000000004</v>
      </c>
      <c r="F15" s="388"/>
      <c r="G15" s="708">
        <v>0</v>
      </c>
      <c r="H15" s="716">
        <f>'[1]Exhibit No.__(BDJ-Tariff)'!$N$39</f>
        <v>1.1100000000000001</v>
      </c>
      <c r="I15" s="403">
        <f t="shared" si="4"/>
        <v>4818</v>
      </c>
      <c r="J15" s="387"/>
      <c r="K15" s="388">
        <f>'Sch 95 PCORC'!J15</f>
        <v>0</v>
      </c>
      <c r="L15" s="388">
        <f>'[1]Exhibit No.__(BDJ-MYRP)'!$I$61/1000</f>
        <v>4426.8464048776104</v>
      </c>
      <c r="M15" s="388"/>
      <c r="N15" s="403">
        <f t="shared" si="5"/>
        <v>4914</v>
      </c>
      <c r="O15" s="387"/>
      <c r="P15" s="388">
        <f>'Sch 95 PCORC'!N15</f>
        <v>0</v>
      </c>
      <c r="Q15" s="388">
        <f>'[1]Exhibit No.__(BDJ-MYRP)'!$O$61/1000</f>
        <v>4435.5598796992599</v>
      </c>
      <c r="R15" s="388"/>
      <c r="S15" s="708">
        <v>0</v>
      </c>
      <c r="T15" s="716">
        <f>'[1]Exhibit No.__(BDJ-Tariff)'!$O$39</f>
        <v>0.75</v>
      </c>
      <c r="U15" s="403">
        <f t="shared" si="6"/>
        <v>4923</v>
      </c>
      <c r="V15" s="403">
        <f t="shared" si="7"/>
        <v>3327</v>
      </c>
      <c r="X15" s="388"/>
      <c r="Y15" s="388"/>
      <c r="Z15" s="402"/>
      <c r="AA15" s="403"/>
      <c r="AB15" s="403"/>
    </row>
    <row r="16" spans="1:28">
      <c r="A16" s="385">
        <v>10</v>
      </c>
      <c r="B16" s="386" t="s">
        <v>12</v>
      </c>
      <c r="C16" s="387"/>
      <c r="D16" s="388">
        <f>+'Revenue By Sch TY'!D12</f>
        <v>1761911.047761543</v>
      </c>
      <c r="E16" s="388"/>
      <c r="F16" s="388"/>
      <c r="G16" s="708">
        <f>+'[1]Exhibit No.__(BDJ-Tariff)'!$N$37</f>
        <v>6.2940000000000001E-3</v>
      </c>
      <c r="H16" s="708"/>
      <c r="I16" s="403">
        <f t="shared" si="4"/>
        <v>11089</v>
      </c>
      <c r="J16" s="387"/>
      <c r="K16" s="388">
        <f>'Sch 95 PCORC'!J16</f>
        <v>1831289</v>
      </c>
      <c r="L16" s="388"/>
      <c r="M16" s="388"/>
      <c r="N16" s="403">
        <f t="shared" si="5"/>
        <v>11526</v>
      </c>
      <c r="O16" s="387"/>
      <c r="P16" s="388">
        <f>'Sch 95 PCORC'!N16</f>
        <v>1853862</v>
      </c>
      <c r="Q16" s="388"/>
      <c r="R16" s="388"/>
      <c r="S16" s="708">
        <f>+'[1]Exhibit No.__(BDJ-Tariff)'!$O$37</f>
        <v>4.2240000000000003E-3</v>
      </c>
      <c r="T16" s="708"/>
      <c r="U16" s="403">
        <f t="shared" si="6"/>
        <v>11668</v>
      </c>
      <c r="V16" s="403">
        <f t="shared" si="7"/>
        <v>7831</v>
      </c>
      <c r="X16" s="388"/>
      <c r="Y16" s="388"/>
      <c r="Z16" s="402"/>
      <c r="AA16" s="403"/>
      <c r="AB16" s="403"/>
    </row>
    <row r="17" spans="1:28">
      <c r="A17" s="385">
        <v>11</v>
      </c>
      <c r="B17" s="386">
        <v>29</v>
      </c>
      <c r="C17" s="387"/>
      <c r="D17" s="388">
        <f>+'Revenue By Sch TY'!D13</f>
        <v>15293.727999999999</v>
      </c>
      <c r="E17" s="388">
        <f>'[1]Exhibit No.__(BDJ-Prof-Prop)'!$J$24</f>
        <v>7.0830000000000002</v>
      </c>
      <c r="F17" s="388"/>
      <c r="G17" s="708">
        <f>+'[1]Exhibit No.__(BDJ-Tariff)'!$N$62</f>
        <v>9.8949999999999993E-3</v>
      </c>
      <c r="H17" s="716">
        <f>'[1]Exhibit No.__(BDJ-Tariff)'!$N$68</f>
        <v>0.84</v>
      </c>
      <c r="I17" s="403">
        <f t="shared" si="4"/>
        <v>157</v>
      </c>
      <c r="J17" s="387"/>
      <c r="K17" s="388">
        <f>'Sch 95 PCORC'!J17</f>
        <v>15100.966499999999</v>
      </c>
      <c r="L17" s="388">
        <f>'[1]Exhibit No.__(BDJ-MYRP)'!$I$81/1000</f>
        <v>6.2534999999999998</v>
      </c>
      <c r="M17" s="388"/>
      <c r="N17" s="403">
        <f t="shared" si="5"/>
        <v>155</v>
      </c>
      <c r="O17" s="387"/>
      <c r="P17" s="388">
        <f>'Sch 95 PCORC'!N17</f>
        <v>15233.452499999999</v>
      </c>
      <c r="Q17" s="388">
        <f>'[1]Exhibit No.__(BDJ-MYRP)'!$O$81/1000</f>
        <v>6.3209999999999997</v>
      </c>
      <c r="R17" s="388"/>
      <c r="S17" s="708">
        <f>+'[1]Exhibit No.__(BDJ-Tariff)'!$O$62</f>
        <v>6.6400000000000001E-3</v>
      </c>
      <c r="T17" s="716">
        <f>'[1]Exhibit No.__(BDJ-Tariff)'!$O$68</f>
        <v>0.56000000000000005</v>
      </c>
      <c r="U17" s="403">
        <f t="shared" si="6"/>
        <v>156</v>
      </c>
      <c r="V17" s="403">
        <f t="shared" si="7"/>
        <v>105</v>
      </c>
      <c r="X17" s="388"/>
      <c r="Y17" s="388"/>
      <c r="Z17" s="402"/>
      <c r="AA17" s="403"/>
      <c r="AB17" s="403"/>
    </row>
    <row r="18" spans="1:28">
      <c r="A18" s="385">
        <v>12</v>
      </c>
      <c r="B18" s="386"/>
      <c r="C18" s="391" t="s">
        <v>13</v>
      </c>
      <c r="D18" s="390">
        <f>SUM(D11:D17)</f>
        <v>7292083.7113703806</v>
      </c>
      <c r="E18" s="390"/>
      <c r="F18" s="390"/>
      <c r="G18" s="709"/>
      <c r="H18" s="709"/>
      <c r="I18" s="405">
        <f t="shared" ref="I18" si="8">SUM(I11:I17)</f>
        <v>71322</v>
      </c>
      <c r="J18" s="387"/>
      <c r="K18" s="390">
        <f>SUM(K11:K17)</f>
        <v>7455721.9665000001</v>
      </c>
      <c r="L18" s="390"/>
      <c r="M18" s="390"/>
      <c r="N18" s="405">
        <f t="shared" ref="N18" si="9">SUM(N11:N17)</f>
        <v>73055</v>
      </c>
      <c r="O18" s="387"/>
      <c r="P18" s="390">
        <f>SUM(P11:P17)</f>
        <v>7547639.4524999997</v>
      </c>
      <c r="Q18" s="390"/>
      <c r="R18" s="390"/>
      <c r="S18" s="709"/>
      <c r="T18" s="709"/>
      <c r="U18" s="405">
        <f t="shared" ref="U18:V18" si="10">SUM(U11:U17)</f>
        <v>73903</v>
      </c>
      <c r="V18" s="405">
        <f t="shared" si="10"/>
        <v>49620</v>
      </c>
      <c r="X18" s="390"/>
      <c r="Y18" s="390"/>
      <c r="Z18" s="404"/>
      <c r="AA18" s="405"/>
      <c r="AB18" s="405"/>
    </row>
    <row r="19" spans="1:28">
      <c r="A19" s="385">
        <v>13</v>
      </c>
      <c r="B19" s="386"/>
      <c r="C19" s="387"/>
      <c r="D19" s="388"/>
      <c r="E19" s="388"/>
      <c r="F19" s="388"/>
      <c r="G19" s="708"/>
      <c r="H19" s="708"/>
      <c r="I19" s="403"/>
      <c r="J19" s="387"/>
      <c r="K19" s="388"/>
      <c r="L19" s="388"/>
      <c r="M19" s="388"/>
      <c r="N19" s="403"/>
      <c r="O19" s="387"/>
      <c r="P19" s="388"/>
      <c r="Q19" s="388"/>
      <c r="R19" s="388"/>
      <c r="S19" s="708"/>
      <c r="T19" s="708"/>
      <c r="U19" s="403"/>
      <c r="V19" s="403"/>
      <c r="X19" s="388"/>
      <c r="Y19" s="388"/>
      <c r="Z19" s="402"/>
      <c r="AA19" s="403"/>
      <c r="AB19" s="403"/>
    </row>
    <row r="20" spans="1:28">
      <c r="A20" s="385">
        <v>14</v>
      </c>
      <c r="B20" s="386">
        <v>10</v>
      </c>
      <c r="C20" s="387"/>
      <c r="D20" s="388">
        <v>0</v>
      </c>
      <c r="E20" s="388">
        <f>'[1]Exhibit No.__(BDJ-Prof-Prop)'!$J$28</f>
        <v>3207.4389999999999</v>
      </c>
      <c r="F20" s="388"/>
      <c r="G20" s="708">
        <v>0</v>
      </c>
      <c r="H20" s="716">
        <f>'[1]Exhibit No.__(BDJ-Tariff)'!$N$78</f>
        <v>1.08</v>
      </c>
      <c r="I20" s="403">
        <f>ROUND(((D20*G20)+(E20*H20)),0)</f>
        <v>3464</v>
      </c>
      <c r="J20" s="387"/>
      <c r="K20" s="388">
        <f>'Sch 95 PCORC'!J20</f>
        <v>0</v>
      </c>
      <c r="L20" s="388">
        <f>'[1]Exhibit No.__(BDJ-MYRP)'!$I$95/1000</f>
        <v>3292.0322143539356</v>
      </c>
      <c r="M20" s="388"/>
      <c r="N20" s="403">
        <f t="shared" ref="N20:N23" si="11">ROUND(((K20*G20)+(L20*H20)),0)</f>
        <v>3555</v>
      </c>
      <c r="O20" s="387"/>
      <c r="P20" s="388">
        <f>'Sch 95 PCORC'!N20</f>
        <v>0</v>
      </c>
      <c r="Q20" s="388">
        <f>'[1]Exhibit No.__(BDJ-MYRP)'!$O$95/1000</f>
        <v>3273.5744614315722</v>
      </c>
      <c r="R20" s="388"/>
      <c r="S20" s="708">
        <v>0</v>
      </c>
      <c r="T20" s="716">
        <f>'[1]Exhibit No.__(BDJ-Tariff)'!$O$78</f>
        <v>0.73</v>
      </c>
      <c r="U20" s="403">
        <f t="shared" ref="U20:U23" si="12">ROUND(((P20*G20)+(Q20*H20)),0)</f>
        <v>3535</v>
      </c>
      <c r="V20" s="403">
        <f t="shared" ref="V20:V23" si="13">ROUND(((P20*S20)+(Q20*T20)),0)</f>
        <v>2390</v>
      </c>
      <c r="X20" s="388"/>
      <c r="Y20" s="388"/>
      <c r="Z20" s="402"/>
      <c r="AA20" s="403"/>
      <c r="AB20" s="403"/>
    </row>
    <row r="21" spans="1:28">
      <c r="A21" s="385">
        <v>15</v>
      </c>
      <c r="B21" s="386">
        <v>31</v>
      </c>
      <c r="C21" s="387"/>
      <c r="D21" s="388">
        <f>+'Revenue By Sch TY'!D14</f>
        <v>1307770.0591754341</v>
      </c>
      <c r="E21" s="388"/>
      <c r="F21" s="388"/>
      <c r="G21" s="708">
        <f>+'[1]Exhibit No.__(BDJ-Tariff)'!$N$76</f>
        <v>6.0460000000000002E-3</v>
      </c>
      <c r="H21" s="716"/>
      <c r="I21" s="403">
        <f>ROUND(((D21*G21)+(E21*H21)),0)</f>
        <v>7907</v>
      </c>
      <c r="J21" s="387"/>
      <c r="K21" s="388">
        <f>'Sch 95 PCORC'!J21</f>
        <v>1332008</v>
      </c>
      <c r="L21" s="388"/>
      <c r="M21" s="388"/>
      <c r="N21" s="403">
        <f t="shared" si="11"/>
        <v>8053</v>
      </c>
      <c r="O21" s="387"/>
      <c r="P21" s="388">
        <f>'Sch 95 PCORC'!N21</f>
        <v>1335448</v>
      </c>
      <c r="Q21" s="388"/>
      <c r="R21" s="388"/>
      <c r="S21" s="708">
        <f>+'[1]Exhibit No.__(BDJ-Tariff)'!$O$76</f>
        <v>4.0969999999999999E-3</v>
      </c>
      <c r="T21" s="716"/>
      <c r="U21" s="403">
        <f t="shared" si="12"/>
        <v>8074</v>
      </c>
      <c r="V21" s="403">
        <f t="shared" si="13"/>
        <v>5471</v>
      </c>
      <c r="X21" s="388"/>
      <c r="Y21" s="388"/>
      <c r="Z21" s="402"/>
      <c r="AA21" s="403"/>
      <c r="AB21" s="403"/>
    </row>
    <row r="22" spans="1:28">
      <c r="A22" s="385">
        <v>16</v>
      </c>
      <c r="B22" s="386">
        <v>35</v>
      </c>
      <c r="C22" s="387"/>
      <c r="D22" s="388">
        <f>+'Revenue By Sch TY'!D15</f>
        <v>4387.6440000000002</v>
      </c>
      <c r="E22" s="388">
        <f>'[1]Exhibit No.__(BDJ-Prof-Prop)'!$J$29</f>
        <v>8.6059999999999999</v>
      </c>
      <c r="F22" s="388"/>
      <c r="G22" s="708">
        <f>+'[1]Exhibit No.__(BDJ-Tariff)'!$N$90</f>
        <v>1.0874E-2</v>
      </c>
      <c r="H22" s="716">
        <f>'[1]Exhibit No.__(BDJ-Tariff)'!$N$92</f>
        <v>0.76</v>
      </c>
      <c r="I22" s="403">
        <f>ROUND(((D22*G22)+(E22*H22)),0)</f>
        <v>54</v>
      </c>
      <c r="J22" s="387"/>
      <c r="K22" s="388">
        <f>'Sch 95 PCORC'!J22</f>
        <v>4663</v>
      </c>
      <c r="L22" s="388">
        <f>'[1]Exhibit No.__(BDJ-MYRP)'!$I$108/1000</f>
        <v>8.4963697717666999</v>
      </c>
      <c r="M22" s="388"/>
      <c r="N22" s="403">
        <f t="shared" si="11"/>
        <v>57</v>
      </c>
      <c r="O22" s="387"/>
      <c r="P22" s="388">
        <f>'Sch 95 PCORC'!N22</f>
        <v>4695</v>
      </c>
      <c r="Q22" s="388">
        <f>'[1]Exhibit No.__(BDJ-MYRP)'!$O$108/1000</f>
        <v>8.5910774227830888</v>
      </c>
      <c r="R22" s="388"/>
      <c r="S22" s="708">
        <f>+'[1]Exhibit No.__(BDJ-Tariff)'!$O$90</f>
        <v>7.3379999999999999E-3</v>
      </c>
      <c r="T22" s="716">
        <f>'[1]Exhibit No.__(BDJ-Tariff)'!$O$92</f>
        <v>0.51</v>
      </c>
      <c r="U22" s="403">
        <f t="shared" si="12"/>
        <v>58</v>
      </c>
      <c r="V22" s="403">
        <f t="shared" si="13"/>
        <v>39</v>
      </c>
      <c r="X22" s="388"/>
      <c r="Y22" s="388"/>
      <c r="Z22" s="402"/>
      <c r="AA22" s="403"/>
      <c r="AB22" s="403"/>
    </row>
    <row r="23" spans="1:28">
      <c r="A23" s="385">
        <v>19</v>
      </c>
      <c r="B23" s="386">
        <v>43</v>
      </c>
      <c r="C23" s="387"/>
      <c r="D23" s="388">
        <f>+'Revenue By Sch TY'!D16</f>
        <v>114099.11728442684</v>
      </c>
      <c r="E23" s="388">
        <f>'[1]Exhibit No.__(BDJ-Prof-Prop)'!$J$30</f>
        <v>541.88</v>
      </c>
      <c r="F23" s="388"/>
      <c r="G23" s="708">
        <f>+'[1]Exhibit No.__(BDJ-Tariff)'!$N$100</f>
        <v>5.4590000000000003E-3</v>
      </c>
      <c r="H23" s="716">
        <f>'[1]Exhibit No.__(BDJ-Tariff)'!$N$102</f>
        <v>0.48</v>
      </c>
      <c r="I23" s="403">
        <f>ROUND(((D23*G23)+(E23*H23)),0)</f>
        <v>883</v>
      </c>
      <c r="J23" s="387"/>
      <c r="K23" s="388">
        <f>'Sch 95 PCORC'!J23</f>
        <v>118190</v>
      </c>
      <c r="L23" s="388">
        <f>'[1]Exhibit No.__(BDJ-MYRP)'!$I$119/1000</f>
        <v>593.19097908409663</v>
      </c>
      <c r="M23" s="388"/>
      <c r="N23" s="403">
        <f t="shared" si="11"/>
        <v>930</v>
      </c>
      <c r="O23" s="387"/>
      <c r="P23" s="388">
        <f>'Sch 95 PCORC'!N23</f>
        <v>119782</v>
      </c>
      <c r="Q23" s="388">
        <f>'[1]Exhibit No.__(BDJ-MYRP)'!$O$119/1000</f>
        <v>600.86862342584266</v>
      </c>
      <c r="R23" s="388"/>
      <c r="S23" s="708">
        <f>+'[1]Exhibit No.__(BDJ-Tariff)'!$O$100</f>
        <v>3.6600000000000001E-3</v>
      </c>
      <c r="T23" s="716">
        <f>'[1]Exhibit No.__(BDJ-Tariff)'!$O$102</f>
        <v>0.32</v>
      </c>
      <c r="U23" s="403">
        <f t="shared" si="12"/>
        <v>942</v>
      </c>
      <c r="V23" s="403">
        <f t="shared" si="13"/>
        <v>631</v>
      </c>
      <c r="X23" s="388"/>
      <c r="Y23" s="388"/>
      <c r="Z23" s="402"/>
      <c r="AA23" s="403"/>
      <c r="AB23" s="403"/>
    </row>
    <row r="24" spans="1:28">
      <c r="A24" s="385">
        <v>20</v>
      </c>
      <c r="B24" s="386"/>
      <c r="C24" s="387" t="s">
        <v>14</v>
      </c>
      <c r="D24" s="390">
        <f>SUM(D20:D23)</f>
        <v>1426256.8204598611</v>
      </c>
      <c r="E24" s="390"/>
      <c r="F24" s="390"/>
      <c r="G24" s="709"/>
      <c r="H24" s="709"/>
      <c r="I24" s="405">
        <f t="shared" ref="I24" si="14">SUM(I20:I23)</f>
        <v>12308</v>
      </c>
      <c r="J24" s="387"/>
      <c r="K24" s="390">
        <f>SUM(K20:K23)</f>
        <v>1454861</v>
      </c>
      <c r="L24" s="390"/>
      <c r="M24" s="390"/>
      <c r="N24" s="405">
        <f t="shared" ref="N24" si="15">SUM(N20:N23)</f>
        <v>12595</v>
      </c>
      <c r="O24" s="387"/>
      <c r="P24" s="390">
        <f>SUM(P20:P23)</f>
        <v>1459925</v>
      </c>
      <c r="Q24" s="390"/>
      <c r="R24" s="390"/>
      <c r="S24" s="709"/>
      <c r="T24" s="709"/>
      <c r="U24" s="405">
        <f t="shared" ref="U24:V24" si="16">SUM(U20:U23)</f>
        <v>12609</v>
      </c>
      <c r="V24" s="405">
        <f t="shared" si="16"/>
        <v>8531</v>
      </c>
      <c r="X24" s="390"/>
      <c r="Y24" s="390"/>
      <c r="Z24" s="404"/>
      <c r="AA24" s="405"/>
      <c r="AB24" s="405"/>
    </row>
    <row r="25" spans="1:28">
      <c r="A25" s="385">
        <v>21</v>
      </c>
      <c r="B25" s="386"/>
      <c r="C25" s="387"/>
      <c r="D25" s="388"/>
      <c r="E25" s="388"/>
      <c r="F25" s="388"/>
      <c r="G25" s="708"/>
      <c r="H25" s="708"/>
      <c r="I25" s="403"/>
      <c r="J25" s="387"/>
      <c r="K25" s="388"/>
      <c r="L25" s="388"/>
      <c r="M25" s="388"/>
      <c r="N25" s="403"/>
      <c r="O25" s="387"/>
      <c r="P25" s="388"/>
      <c r="Q25" s="388"/>
      <c r="R25" s="388"/>
      <c r="S25" s="708"/>
      <c r="T25" s="708"/>
      <c r="U25" s="403"/>
      <c r="V25" s="403"/>
      <c r="X25" s="388"/>
      <c r="Y25" s="388"/>
      <c r="Z25" s="402"/>
      <c r="AA25" s="403"/>
      <c r="AB25" s="403"/>
    </row>
    <row r="26" spans="1:28">
      <c r="A26" s="385">
        <v>22</v>
      </c>
      <c r="B26" s="386">
        <v>46</v>
      </c>
      <c r="C26" s="387"/>
      <c r="D26" s="388">
        <f>+'Revenue By Sch TY'!D17</f>
        <v>100810.05100000001</v>
      </c>
      <c r="E26" s="388">
        <f>'[1]Exhibit No.__(BDJ-Prof-Prop)'!$J$34</f>
        <v>410.25</v>
      </c>
      <c r="F26" s="388"/>
      <c r="G26" s="708">
        <f>+'[1]Exhibit No.__(BDJ-Tariff)'!$N$125</f>
        <v>3.777E-3</v>
      </c>
      <c r="H26" s="716">
        <f>'[1]Exhibit No.__(BDJ-Tariff)'!$N$127</f>
        <v>0.23</v>
      </c>
      <c r="I26" s="403">
        <f>ROUND(((D26*G26)+(E26*H26)),0)</f>
        <v>475</v>
      </c>
      <c r="J26" s="387"/>
      <c r="K26" s="388">
        <f>'Sch 95 PCORC'!J26</f>
        <v>89530.525500000018</v>
      </c>
      <c r="L26" s="388">
        <f>'[1]Exhibit No.__(BDJ-MYRP)'!$I$130/1000</f>
        <v>373.99799999999993</v>
      </c>
      <c r="M26" s="388"/>
      <c r="N26" s="403">
        <f t="shared" ref="N26:N27" si="17">ROUND(((K26*G26)+(L26*H26)),0)</f>
        <v>424</v>
      </c>
      <c r="O26" s="387"/>
      <c r="P26" s="388">
        <f>'Sch 95 PCORC'!N26</f>
        <v>89210.525500000018</v>
      </c>
      <c r="Q26" s="388">
        <f>'[1]Exhibit No.__(BDJ-MYRP)'!$O$130/1000</f>
        <v>372.08350000000002</v>
      </c>
      <c r="R26" s="388"/>
      <c r="S26" s="708">
        <f>+'[1]Exhibit No.__(BDJ-Tariff)'!$O$125</f>
        <v>2.5899999999999999E-3</v>
      </c>
      <c r="T26" s="716">
        <f>'[1]Exhibit No.__(BDJ-Tariff)'!$O$127</f>
        <v>0.16</v>
      </c>
      <c r="U26" s="403">
        <f t="shared" ref="U26:U27" si="18">ROUND(((P26*G26)+(Q26*H26)),0)</f>
        <v>423</v>
      </c>
      <c r="V26" s="403">
        <f t="shared" ref="V26:V27" si="19">ROUND(((P26*S26)+(Q26*T26)),0)</f>
        <v>291</v>
      </c>
      <c r="X26" s="388"/>
      <c r="Y26" s="388"/>
      <c r="Z26" s="402"/>
      <c r="AA26" s="403"/>
      <c r="AB26" s="403"/>
    </row>
    <row r="27" spans="1:28">
      <c r="A27" s="385">
        <v>23</v>
      </c>
      <c r="B27" s="386">
        <v>49</v>
      </c>
      <c r="C27" s="387"/>
      <c r="D27" s="388">
        <f>+'Revenue By Sch TY'!D18</f>
        <v>513293.73700000002</v>
      </c>
      <c r="E27" s="388">
        <f>'[1]Exhibit No.__(BDJ-Prof-Prop)'!$J$35</f>
        <v>1338.1780000000001</v>
      </c>
      <c r="F27" s="388"/>
      <c r="G27" s="708">
        <f>+'[1]Exhibit No.__(BDJ-Tariff)'!$N$133</f>
        <v>3.705E-3</v>
      </c>
      <c r="H27" s="716">
        <f>'[1]Exhibit No.__(BDJ-Tariff)'!$N$135</f>
        <v>0.42</v>
      </c>
      <c r="I27" s="403">
        <f>ROUND(((D27*G27)+(E27*H27)),0)</f>
        <v>2464</v>
      </c>
      <c r="J27" s="387"/>
      <c r="K27" s="388">
        <f>'Sch 95 PCORC'!J27</f>
        <v>504715</v>
      </c>
      <c r="L27" s="388">
        <f>'[1]Exhibit No.__(BDJ-MYRP)'!$I$138/1000</f>
        <v>1244.9959124206307</v>
      </c>
      <c r="M27" s="388"/>
      <c r="N27" s="403">
        <f t="shared" si="17"/>
        <v>2393</v>
      </c>
      <c r="O27" s="387"/>
      <c r="P27" s="388">
        <f>'Sch 95 PCORC'!N27</f>
        <v>499683</v>
      </c>
      <c r="Q27" s="388">
        <f>'[1]Exhibit No.__(BDJ-MYRP)'!$O$138/1000</f>
        <v>1235.9146702547307</v>
      </c>
      <c r="R27" s="388"/>
      <c r="S27" s="708">
        <f>+'[1]Exhibit No.__(BDJ-Tariff)'!$O$133</f>
        <v>2.5400000000000002E-3</v>
      </c>
      <c r="T27" s="716">
        <f>'[1]Exhibit No.__(BDJ-Tariff)'!$O$135</f>
        <v>0.28000000000000003</v>
      </c>
      <c r="U27" s="403">
        <f t="shared" si="18"/>
        <v>2370</v>
      </c>
      <c r="V27" s="403">
        <f t="shared" si="19"/>
        <v>1615</v>
      </c>
      <c r="X27" s="388"/>
      <c r="Y27" s="388"/>
      <c r="Z27" s="402"/>
      <c r="AA27" s="403"/>
      <c r="AB27" s="403"/>
    </row>
    <row r="28" spans="1:28">
      <c r="A28" s="385">
        <v>24</v>
      </c>
      <c r="B28" s="386"/>
      <c r="C28" s="387" t="s">
        <v>15</v>
      </c>
      <c r="D28" s="390">
        <f>SUM(D26:D27)</f>
        <v>614103.78800000006</v>
      </c>
      <c r="E28" s="390"/>
      <c r="F28" s="390"/>
      <c r="G28" s="709"/>
      <c r="H28" s="709"/>
      <c r="I28" s="405">
        <f t="shared" ref="I28" si="20">SUM(I26:I27)</f>
        <v>2939</v>
      </c>
      <c r="J28" s="387"/>
      <c r="K28" s="390">
        <f>SUM(K26:K27)</f>
        <v>594245.52549999999</v>
      </c>
      <c r="L28" s="390"/>
      <c r="M28" s="390"/>
      <c r="N28" s="405">
        <f t="shared" ref="N28" si="21">SUM(N26:N27)</f>
        <v>2817</v>
      </c>
      <c r="O28" s="387"/>
      <c r="P28" s="390">
        <f>SUM(P26:P27)</f>
        <v>588893.52549999999</v>
      </c>
      <c r="Q28" s="390"/>
      <c r="R28" s="390"/>
      <c r="S28" s="709"/>
      <c r="T28" s="709"/>
      <c r="U28" s="405">
        <f t="shared" ref="U28:V28" si="22">SUM(U26:U27)</f>
        <v>2793</v>
      </c>
      <c r="V28" s="405">
        <f t="shared" si="22"/>
        <v>1906</v>
      </c>
      <c r="X28" s="390"/>
      <c r="Y28" s="390"/>
      <c r="Z28" s="404"/>
      <c r="AA28" s="405"/>
      <c r="AB28" s="405"/>
    </row>
    <row r="29" spans="1:28">
      <c r="A29" s="385">
        <v>25</v>
      </c>
      <c r="B29" s="386"/>
      <c r="C29" s="387"/>
      <c r="D29" s="388"/>
      <c r="E29" s="388"/>
      <c r="F29" s="388"/>
      <c r="G29" s="708"/>
      <c r="H29" s="708"/>
      <c r="I29" s="403"/>
      <c r="J29" s="387"/>
      <c r="K29" s="388"/>
      <c r="L29" s="388"/>
      <c r="M29" s="388"/>
      <c r="N29" s="403"/>
      <c r="O29" s="387"/>
      <c r="P29" s="388"/>
      <c r="Q29" s="388"/>
      <c r="R29" s="388"/>
      <c r="S29" s="708"/>
      <c r="T29" s="708"/>
      <c r="U29" s="403"/>
      <c r="V29" s="403"/>
      <c r="X29" s="388"/>
      <c r="Y29" s="388"/>
      <c r="Z29" s="402"/>
      <c r="AA29" s="403"/>
      <c r="AB29" s="403"/>
    </row>
    <row r="30" spans="1:28">
      <c r="A30" s="385">
        <v>26</v>
      </c>
      <c r="B30" s="386" t="s">
        <v>16</v>
      </c>
      <c r="C30" s="387"/>
      <c r="D30" s="390">
        <f>+'Revenue By Sch TY'!D19</f>
        <v>69892.887000000002</v>
      </c>
      <c r="E30" s="390"/>
      <c r="F30" s="390"/>
      <c r="G30" s="709">
        <f>+'[1]Exhibit No.__(BDJ-MYRP)'!$L$143</f>
        <v>4.4534999999999998E-2</v>
      </c>
      <c r="H30" s="709"/>
      <c r="I30" s="405">
        <f>ROUND(((D30*G30)+(E30*H30)),0)</f>
        <v>3113</v>
      </c>
      <c r="J30" s="387"/>
      <c r="K30" s="390">
        <f>'Sch 95 PCORC'!J30</f>
        <v>62703</v>
      </c>
      <c r="L30" s="390"/>
      <c r="M30" s="390"/>
      <c r="N30" s="405">
        <f>ROUND(((K30*G30)+(L30*H30)),0)</f>
        <v>2792</v>
      </c>
      <c r="O30" s="387"/>
      <c r="P30" s="390">
        <f>'Sch 95 PCORC'!N30</f>
        <v>61382</v>
      </c>
      <c r="Q30" s="390"/>
      <c r="R30" s="390"/>
      <c r="S30" s="709">
        <f>+'[1]Exhibit No.__(BDJ-MYRP)'!$R$143</f>
        <v>3.0908999999999999E-2</v>
      </c>
      <c r="T30" s="709"/>
      <c r="U30" s="405">
        <f>ROUND(((P30*G30)+(Q30*H30)),0)</f>
        <v>2734</v>
      </c>
      <c r="V30" s="405">
        <f>ROUND(((P30*S30)+(Q30*T30)),0)</f>
        <v>1897</v>
      </c>
      <c r="X30" s="390"/>
      <c r="Y30" s="390"/>
      <c r="Z30" s="404"/>
      <c r="AA30" s="405"/>
      <c r="AB30" s="405"/>
    </row>
    <row r="31" spans="1:28">
      <c r="A31" s="386">
        <f t="shared" ref="A31:A34" si="23">+A30+1</f>
        <v>27</v>
      </c>
      <c r="B31" s="386"/>
      <c r="C31" s="387"/>
      <c r="D31" s="388"/>
      <c r="E31" s="388"/>
      <c r="F31" s="388"/>
      <c r="G31" s="708"/>
      <c r="H31" s="708"/>
      <c r="I31" s="403"/>
      <c r="J31" s="387"/>
      <c r="K31" s="388"/>
      <c r="L31" s="388"/>
      <c r="M31" s="388"/>
      <c r="N31" s="403"/>
      <c r="O31" s="387"/>
      <c r="P31" s="388"/>
      <c r="Q31" s="388"/>
      <c r="R31" s="388"/>
      <c r="S31" s="708"/>
      <c r="T31" s="708"/>
      <c r="U31" s="403"/>
      <c r="V31" s="403"/>
      <c r="X31" s="388"/>
      <c r="Y31" s="388"/>
      <c r="Z31" s="402"/>
      <c r="AA31" s="403"/>
      <c r="AB31" s="403"/>
    </row>
    <row r="32" spans="1:28">
      <c r="A32" s="386">
        <f t="shared" si="23"/>
        <v>28</v>
      </c>
      <c r="B32" s="389" t="s">
        <v>17</v>
      </c>
      <c r="C32" s="387"/>
      <c r="D32" s="388">
        <f>+'Revenue By Sch TY'!D20</f>
        <v>1945214.1669999999</v>
      </c>
      <c r="E32" s="388"/>
      <c r="F32" s="388">
        <f>'[1]Exhibit No.__(BDJ-Prof-Prop)'!$G$39*12</f>
        <v>240</v>
      </c>
      <c r="G32" s="716">
        <f>+'[1]Exhibit No.__(BDJ-Tariff)'!$N$138</f>
        <v>613</v>
      </c>
      <c r="H32" s="708"/>
      <c r="I32" s="403">
        <f>ROUND(F32*G32,0)/1000</f>
        <v>147.12</v>
      </c>
      <c r="J32" s="387"/>
      <c r="K32" s="388">
        <f>'Sch 95 PCORC'!J32</f>
        <v>1895530</v>
      </c>
      <c r="L32" s="388"/>
      <c r="M32" s="388">
        <f>'[1]Exhibit No.__(BDJ-MYRP)'!$I$148</f>
        <v>240</v>
      </c>
      <c r="N32" s="403">
        <f>ROUND(G32*M32,0)/1000</f>
        <v>147.12</v>
      </c>
      <c r="O32" s="387"/>
      <c r="P32" s="388">
        <f>'Sch 95 PCORC'!N32</f>
        <v>1895104</v>
      </c>
      <c r="Q32" s="388"/>
      <c r="R32" s="388">
        <f>'[1]Exhibit No.__(BDJ-MYRP)'!$O$148</f>
        <v>240</v>
      </c>
      <c r="S32" s="716">
        <f>+'[1]Exhibit No.__(BDJ-Tariff)'!$O$138</f>
        <v>416</v>
      </c>
      <c r="T32" s="708"/>
      <c r="U32" s="403">
        <f>ROUND(G32*R32,0)/1000</f>
        <v>147.12</v>
      </c>
      <c r="V32" s="403">
        <f>ROUND(R32*S32,0)/1000</f>
        <v>99.84</v>
      </c>
      <c r="X32" s="388"/>
      <c r="Y32" s="388"/>
      <c r="Z32" s="418"/>
      <c r="AA32" s="403"/>
      <c r="AB32" s="403"/>
    </row>
    <row r="33" spans="1:28">
      <c r="A33" s="386">
        <f t="shared" si="23"/>
        <v>29</v>
      </c>
      <c r="B33" s="389" t="s">
        <v>262</v>
      </c>
      <c r="C33" s="387"/>
      <c r="D33" s="388">
        <f>+'Revenue By Sch TY'!D21</f>
        <v>278070.311162</v>
      </c>
      <c r="E33" s="388"/>
      <c r="F33" s="388"/>
      <c r="G33" s="708">
        <f>+'[1]Exhibit No.__(BDJ-Tariff)'!$N$110</f>
        <v>2.2829999999999999E-3</v>
      </c>
      <c r="H33" s="708"/>
      <c r="I33" s="403">
        <f>ROUND(((D33*G33)+(E33*H33)),0)</f>
        <v>635</v>
      </c>
      <c r="J33" s="387"/>
      <c r="K33" s="388">
        <f>'Sch 95 PCORC'!J33</f>
        <v>289426</v>
      </c>
      <c r="L33" s="388"/>
      <c r="M33" s="388"/>
      <c r="N33" s="403">
        <f>ROUND(((K33*G33)+(L33*H33)),0)</f>
        <v>661</v>
      </c>
      <c r="O33" s="387"/>
      <c r="P33" s="388">
        <f>'Sch 95 PCORC'!N33</f>
        <v>289426</v>
      </c>
      <c r="Q33" s="388"/>
      <c r="R33" s="388"/>
      <c r="S33" s="708">
        <f>+'[1]Exhibit No.__(BDJ-Tariff)'!$O$110</f>
        <v>1.5510000000000001E-3</v>
      </c>
      <c r="T33" s="708"/>
      <c r="U33" s="403">
        <f>ROUND(((P33*G33)+(Q33*H33)),0)</f>
        <v>661</v>
      </c>
      <c r="V33" s="403">
        <f>ROUND(((P33*S33)+(Q33*T33)),0)</f>
        <v>449</v>
      </c>
      <c r="X33" s="388"/>
      <c r="Y33" s="388"/>
      <c r="Z33" s="402"/>
      <c r="AA33" s="403"/>
      <c r="AB33" s="403"/>
    </row>
    <row r="34" spans="1:28">
      <c r="A34" s="386">
        <f t="shared" si="23"/>
        <v>30</v>
      </c>
      <c r="B34" s="389"/>
      <c r="C34" s="387" t="s">
        <v>263</v>
      </c>
      <c r="D34" s="390">
        <f>SUM(D32:D33)</f>
        <v>2223284.478162</v>
      </c>
      <c r="E34" s="390"/>
      <c r="F34" s="390"/>
      <c r="G34" s="709"/>
      <c r="H34" s="709"/>
      <c r="I34" s="405">
        <f t="shared" ref="I34" si="24">SUM(I32:I33)</f>
        <v>782.12</v>
      </c>
      <c r="J34" s="387"/>
      <c r="K34" s="390">
        <f>SUM(K32:K33)</f>
        <v>2184956</v>
      </c>
      <c r="L34" s="390"/>
      <c r="M34" s="390"/>
      <c r="N34" s="405">
        <f t="shared" ref="N34" si="25">SUM(N32:N33)</f>
        <v>808.12</v>
      </c>
      <c r="O34" s="387"/>
      <c r="P34" s="390">
        <f>SUM(P32:P33)</f>
        <v>2184530</v>
      </c>
      <c r="Q34" s="390"/>
      <c r="R34" s="390"/>
      <c r="S34" s="709"/>
      <c r="T34" s="709"/>
      <c r="U34" s="405">
        <f t="shared" ref="U34:V34" si="26">SUM(U32:U33)</f>
        <v>808.12</v>
      </c>
      <c r="V34" s="405">
        <f t="shared" si="26"/>
        <v>548.84</v>
      </c>
      <c r="X34" s="390"/>
      <c r="Y34" s="390"/>
      <c r="Z34" s="404"/>
      <c r="AA34" s="405"/>
      <c r="AB34" s="405"/>
    </row>
    <row r="35" spans="1:28">
      <c r="A35" s="385">
        <v>29</v>
      </c>
      <c r="B35" s="386"/>
      <c r="C35" s="387"/>
      <c r="D35" s="388"/>
      <c r="E35" s="388"/>
      <c r="F35" s="388"/>
      <c r="G35" s="708"/>
      <c r="H35" s="708"/>
      <c r="I35" s="403"/>
      <c r="J35" s="387"/>
      <c r="K35" s="388"/>
      <c r="L35" s="388"/>
      <c r="M35" s="388"/>
      <c r="N35" s="403"/>
      <c r="O35" s="387"/>
      <c r="P35" s="388"/>
      <c r="Q35" s="388"/>
      <c r="R35" s="388"/>
      <c r="S35" s="708"/>
      <c r="T35" s="708"/>
      <c r="U35" s="403"/>
      <c r="V35" s="403"/>
      <c r="X35" s="388"/>
      <c r="Y35" s="388"/>
      <c r="Z35" s="402"/>
      <c r="AA35" s="403"/>
      <c r="AB35" s="403"/>
    </row>
    <row r="36" spans="1:28" ht="10.8" thickBot="1">
      <c r="A36" s="385">
        <v>30</v>
      </c>
      <c r="B36" s="386"/>
      <c r="C36" s="391" t="s">
        <v>66</v>
      </c>
      <c r="D36" s="393">
        <f>SUM(D9,D18,D24,D28,D30,D34)</f>
        <v>22980976.256595761</v>
      </c>
      <c r="E36" s="393"/>
      <c r="F36" s="393"/>
      <c r="G36" s="710"/>
      <c r="H36" s="710"/>
      <c r="I36" s="407">
        <f>SUM(I9,I18,I24,I28,I30,I34)</f>
        <v>234314.12</v>
      </c>
      <c r="J36" s="387"/>
      <c r="K36" s="393">
        <f>SUM(K9,K18,K24,K28,K30,K34)</f>
        <v>22715537.8675</v>
      </c>
      <c r="L36" s="393"/>
      <c r="M36" s="393"/>
      <c r="N36" s="407">
        <f>SUM(N9,N18,N24,N28,N30,N34)</f>
        <v>230947.12</v>
      </c>
      <c r="O36" s="387"/>
      <c r="P36" s="393">
        <f>SUM(P9,P18,P24,P28,P30,P34)</f>
        <v>22906810.8475</v>
      </c>
      <c r="Q36" s="393"/>
      <c r="R36" s="393"/>
      <c r="S36" s="710"/>
      <c r="T36" s="710"/>
      <c r="U36" s="407">
        <f>SUM(U9,U18,U24,U28,U30,U34)</f>
        <v>233011.12</v>
      </c>
      <c r="V36" s="407">
        <f>SUM(V9,V18,V24,V28,V30,V34)</f>
        <v>156860.84</v>
      </c>
      <c r="X36" s="393"/>
      <c r="Y36" s="393"/>
      <c r="Z36" s="406"/>
      <c r="AA36" s="407"/>
      <c r="AB36" s="407"/>
    </row>
    <row r="37" spans="1:28" ht="10.8" thickTop="1">
      <c r="A37" s="385">
        <v>31</v>
      </c>
      <c r="B37" s="386"/>
      <c r="C37" s="387"/>
      <c r="D37" s="387"/>
      <c r="E37" s="387"/>
      <c r="F37" s="387"/>
      <c r="G37" s="705"/>
      <c r="H37" s="705"/>
      <c r="I37" s="403"/>
      <c r="J37" s="387"/>
      <c r="K37" s="387"/>
      <c r="L37" s="387"/>
      <c r="M37" s="387"/>
      <c r="N37" s="403"/>
      <c r="O37" s="387"/>
      <c r="P37" s="387"/>
      <c r="Q37" s="387"/>
      <c r="R37" s="387"/>
      <c r="S37" s="705"/>
      <c r="T37" s="705"/>
      <c r="U37" s="403"/>
      <c r="V37" s="403"/>
      <c r="X37" s="387"/>
      <c r="Y37" s="387"/>
      <c r="Z37" s="387"/>
      <c r="AA37" s="403"/>
      <c r="AB37" s="403"/>
    </row>
    <row r="38" spans="1:28" ht="10.8" thickBot="1">
      <c r="B38" s="386">
        <v>5</v>
      </c>
      <c r="C38" s="387" t="s">
        <v>67</v>
      </c>
      <c r="D38" s="390">
        <f>+'Revenue By Sch TY'!D22</f>
        <v>7372.3372879022108</v>
      </c>
      <c r="E38" s="390">
        <f>'[1]Exhibit No.__(BDJ-Prof-Prop)'!$J$47</f>
        <v>14.507</v>
      </c>
      <c r="F38" s="656"/>
      <c r="G38" s="709">
        <f>+'[1]Exhibit No.__(BDJ-MYRP)'!$L$162</f>
        <v>6.2709999999999997E-3</v>
      </c>
      <c r="H38" s="714">
        <f>'[1]Exhibit No.__(BDJ-MYRP)'!$L$163</f>
        <v>0.94</v>
      </c>
      <c r="I38" s="405">
        <f>ROUND(((D38*G38)+(E38*H38)),0)</f>
        <v>60</v>
      </c>
      <c r="J38" s="387"/>
      <c r="K38" s="390">
        <f>'Sch 95 PCORC'!J38</f>
        <v>7521</v>
      </c>
      <c r="L38" s="390">
        <f>'[1]Exhibit No.__(BDJ-MYRP)'!$I$163/1000</f>
        <v>14.950857165103656</v>
      </c>
      <c r="M38" s="390"/>
      <c r="N38" s="405">
        <f>ROUND(((K38*G38)+(L38*H38)),0)</f>
        <v>61</v>
      </c>
      <c r="O38" s="387"/>
      <c r="P38" s="390">
        <f>'Sch 95 PCORC'!N38</f>
        <v>7552</v>
      </c>
      <c r="Q38" s="390">
        <f>'[1]Exhibit No.__(BDJ-MYRP)'!$O$163/1000</f>
        <v>14.941592782693014</v>
      </c>
      <c r="R38" s="390"/>
      <c r="S38" s="709">
        <f>+'[1]Exhibit No.__(BDJ-MYRP)'!$R$162</f>
        <v>4.2430000000000002E-3</v>
      </c>
      <c r="T38" s="714">
        <f>'[1]Exhibit No.__(BDJ-MYRP)'!$R$163</f>
        <v>0.64</v>
      </c>
      <c r="U38" s="403">
        <f>ROUND(((P38*G38)+(Q38*H38)),0)</f>
        <v>61</v>
      </c>
      <c r="V38" s="403">
        <f>ROUND(((P38*S38)+(Q38*T38)),0)</f>
        <v>42</v>
      </c>
      <c r="X38" s="388"/>
      <c r="Y38" s="388"/>
      <c r="Z38" s="406"/>
      <c r="AA38" s="405"/>
      <c r="AB38" s="405"/>
    </row>
    <row r="39" spans="1:28" ht="10.8" thickTop="1">
      <c r="B39" s="386"/>
      <c r="C39" s="387"/>
      <c r="D39" s="387"/>
      <c r="E39" s="387"/>
      <c r="F39" s="387"/>
      <c r="G39" s="705"/>
      <c r="H39" s="705"/>
      <c r="I39" s="403"/>
      <c r="J39" s="387"/>
      <c r="K39" s="387"/>
      <c r="L39" s="387"/>
      <c r="M39" s="387"/>
      <c r="N39" s="403"/>
      <c r="O39" s="387"/>
      <c r="P39" s="387"/>
      <c r="Q39" s="387"/>
      <c r="R39" s="387"/>
      <c r="S39" s="705"/>
      <c r="T39" s="705"/>
      <c r="U39" s="403"/>
      <c r="V39" s="403"/>
      <c r="X39" s="387"/>
      <c r="Y39" s="387"/>
      <c r="Z39" s="387"/>
      <c r="AA39" s="403"/>
      <c r="AB39" s="403"/>
    </row>
    <row r="40" spans="1:28" ht="10.8" thickBot="1">
      <c r="B40" s="386"/>
      <c r="C40" s="391" t="s">
        <v>68</v>
      </c>
      <c r="D40" s="393">
        <f>SUM(D36,D38)</f>
        <v>22988348.593883663</v>
      </c>
      <c r="E40" s="394"/>
      <c r="F40" s="394"/>
      <c r="G40" s="705"/>
      <c r="H40" s="705"/>
      <c r="I40" s="407">
        <f t="shared" ref="I40" si="27">SUM(I36,I38)</f>
        <v>234374.12</v>
      </c>
      <c r="J40" s="387"/>
      <c r="K40" s="393">
        <f>SUM(K36,K38)</f>
        <v>22723058.8675</v>
      </c>
      <c r="L40" s="394"/>
      <c r="M40" s="394"/>
      <c r="N40" s="407">
        <f t="shared" ref="N40" si="28">SUM(N36,N38)</f>
        <v>231008.12</v>
      </c>
      <c r="O40" s="387"/>
      <c r="P40" s="393">
        <f>SUM(P36,P38)</f>
        <v>22914362.8475</v>
      </c>
      <c r="Q40" s="394"/>
      <c r="R40" s="394"/>
      <c r="S40" s="705"/>
      <c r="T40" s="705"/>
      <c r="U40" s="407">
        <f t="shared" ref="U40:V40" si="29">SUM(U36,U38)</f>
        <v>233072.12</v>
      </c>
      <c r="V40" s="407">
        <f t="shared" si="29"/>
        <v>156902.84</v>
      </c>
      <c r="X40" s="393"/>
      <c r="Y40" s="394"/>
      <c r="Z40" s="387"/>
      <c r="AA40" s="407"/>
      <c r="AB40" s="407"/>
    </row>
    <row r="41" spans="1:28" ht="10.8" thickTop="1">
      <c r="E41" s="387"/>
      <c r="F41" s="387"/>
      <c r="G41" s="387"/>
      <c r="H41" s="387"/>
      <c r="I41" s="387"/>
      <c r="J41" s="387"/>
      <c r="K41" s="387"/>
      <c r="L41" s="387"/>
      <c r="M41" s="387"/>
      <c r="N41" s="387"/>
      <c r="O41" s="387"/>
      <c r="P41" s="387"/>
      <c r="Q41" s="387"/>
      <c r="R41" s="387"/>
      <c r="S41" s="387"/>
      <c r="T41" s="387"/>
      <c r="U41" s="387"/>
      <c r="V41" s="387"/>
      <c r="AB41" s="416"/>
    </row>
    <row r="42" spans="1:28" ht="10.8" thickBot="1">
      <c r="E42" s="387"/>
      <c r="F42" s="387"/>
      <c r="G42" s="387"/>
      <c r="H42" s="387"/>
      <c r="I42" s="387"/>
      <c r="J42" s="387"/>
      <c r="K42" s="387"/>
      <c r="L42" s="387"/>
      <c r="M42" s="387"/>
      <c r="N42" s="407">
        <f>'[1]Exhibit No.__(BDJ-MYRP-SUM)'!$N$29</f>
        <v>231008.90961571052</v>
      </c>
      <c r="O42" s="387"/>
      <c r="P42" s="387"/>
      <c r="Q42" s="387"/>
      <c r="R42" s="387"/>
      <c r="S42" s="387"/>
      <c r="T42" s="387"/>
      <c r="U42" s="387"/>
      <c r="V42" s="407">
        <f>'[1]Exhibit No.__(BDJ-MYRP-SUM)'!$T$29</f>
        <v>156900.79234681456</v>
      </c>
    </row>
    <row r="43" spans="1:28" ht="10.8" thickTop="1">
      <c r="D43" s="717"/>
      <c r="E43" s="717"/>
      <c r="F43" s="717"/>
      <c r="G43" s="717"/>
      <c r="H43" s="717"/>
      <c r="I43" s="717"/>
      <c r="J43" s="717"/>
      <c r="K43" s="717"/>
      <c r="L43" s="717"/>
      <c r="M43" s="717"/>
      <c r="N43" s="403">
        <f>N40-N42</f>
        <v>-0.78961571052786894</v>
      </c>
      <c r="O43" s="387"/>
      <c r="P43" s="717"/>
      <c r="Q43" s="717"/>
      <c r="R43" s="717"/>
      <c r="S43" s="717"/>
      <c r="T43" s="717"/>
      <c r="U43" s="717"/>
      <c r="V43" s="396">
        <f>+V42-V40</f>
        <v>-2.0476531854365021</v>
      </c>
    </row>
    <row r="44" spans="1:28">
      <c r="B44" s="711" t="s">
        <v>874</v>
      </c>
    </row>
    <row r="45" spans="1:28">
      <c r="V45" s="396">
        <f>+V40-U40</f>
        <v>-76169.279999999999</v>
      </c>
    </row>
  </sheetData>
  <mergeCells count="6">
    <mergeCell ref="P5:V5"/>
    <mergeCell ref="X5:AB5"/>
    <mergeCell ref="A1:I1"/>
    <mergeCell ref="A2:I2"/>
    <mergeCell ref="A3:I3"/>
    <mergeCell ref="K5:N5"/>
  </mergeCells>
  <printOptions horizontalCentered="1"/>
  <pageMargins left="0.7" right="0.7" top="0.75" bottom="0.88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B49"/>
  <sheetViews>
    <sheetView zoomScaleNormal="100" workbookViewId="0">
      <pane xSplit="3" ySplit="6" topLeftCell="D10" activePane="bottomRight" state="frozen"/>
      <selection activeCell="E17" sqref="E17"/>
      <selection pane="topRight" activeCell="E17" sqref="E17"/>
      <selection pane="bottomLeft" activeCell="E17" sqref="E17"/>
      <selection pane="bottomRight" activeCell="K49" sqref="K49"/>
    </sheetView>
  </sheetViews>
  <sheetFormatPr defaultColWidth="3.5546875" defaultRowHeight="10.199999999999999"/>
  <cols>
    <col min="1" max="1" width="4.44140625" style="384" bestFit="1" customWidth="1"/>
    <col min="2" max="2" width="12.33203125" style="384" bestFit="1" customWidth="1"/>
    <col min="3" max="3" width="18.33203125" style="384" bestFit="1" customWidth="1"/>
    <col min="4" max="4" width="10.88671875" style="384" bestFit="1" customWidth="1"/>
    <col min="5" max="5" width="10.88671875" style="384" customWidth="1"/>
    <col min="6" max="6" width="6.88671875" style="384" customWidth="1"/>
    <col min="7" max="7" width="11.6640625" style="384" bestFit="1" customWidth="1"/>
    <col min="8" max="8" width="11.109375" style="384" customWidth="1"/>
    <col min="9" max="9" width="11" style="384" bestFit="1" customWidth="1"/>
    <col min="10" max="10" width="1" style="384" customWidth="1"/>
    <col min="11" max="11" width="10.44140625" style="384" bestFit="1" customWidth="1"/>
    <col min="12" max="12" width="9.88671875" style="384" customWidth="1"/>
    <col min="13" max="13" width="6.88671875" style="384" customWidth="1"/>
    <col min="14" max="14" width="11" style="384" bestFit="1" customWidth="1"/>
    <col min="15" max="15" width="0.88671875" style="384" customWidth="1"/>
    <col min="16" max="16" width="9.88671875" style="384" bestFit="1" customWidth="1"/>
    <col min="17" max="17" width="9.88671875" style="384" customWidth="1"/>
    <col min="18" max="18" width="6.6640625" style="384" customWidth="1"/>
    <col min="19" max="19" width="11.109375" style="384" bestFit="1" customWidth="1"/>
    <col min="20" max="20" width="11.109375" style="384" customWidth="1"/>
    <col min="21" max="22" width="11" style="384" bestFit="1" customWidth="1"/>
    <col min="23" max="23" width="1.6640625" style="384" customWidth="1"/>
    <col min="24" max="24" width="4.88671875" style="384" bestFit="1" customWidth="1"/>
    <col min="25" max="25" width="6.44140625" style="384" customWidth="1"/>
    <col min="26" max="28" width="11" style="384" bestFit="1" customWidth="1"/>
    <col min="29" max="16384" width="3.5546875" style="384"/>
  </cols>
  <sheetData>
    <row r="1" spans="1:28" s="395" customFormat="1">
      <c r="A1" s="772" t="s">
        <v>0</v>
      </c>
      <c r="B1" s="772"/>
      <c r="C1" s="772"/>
      <c r="D1" s="772"/>
      <c r="E1" s="772"/>
      <c r="F1" s="772"/>
      <c r="G1" s="772"/>
      <c r="H1" s="772"/>
      <c r="I1" s="772"/>
    </row>
    <row r="2" spans="1:28" s="395" customFormat="1">
      <c r="A2" s="773" t="s">
        <v>508</v>
      </c>
      <c r="B2" s="772"/>
      <c r="C2" s="772"/>
      <c r="D2" s="772"/>
      <c r="E2" s="772"/>
      <c r="F2" s="772"/>
      <c r="G2" s="772"/>
      <c r="H2" s="772"/>
      <c r="I2" s="772"/>
    </row>
    <row r="3" spans="1:28" s="395" customFormat="1">
      <c r="A3" s="772" t="str">
        <f>+'Revenue By Sch TY'!A3</f>
        <v>Test Year ended June 2021</v>
      </c>
      <c r="B3" s="772"/>
      <c r="C3" s="772"/>
      <c r="D3" s="772"/>
      <c r="E3" s="772"/>
      <c r="F3" s="772"/>
      <c r="G3" s="772"/>
      <c r="H3" s="772"/>
      <c r="I3" s="772"/>
    </row>
    <row r="4" spans="1:28" s="395" customFormat="1"/>
    <row r="5" spans="1:28" s="395" customFormat="1">
      <c r="K5" s="808" t="s">
        <v>512</v>
      </c>
      <c r="L5" s="808"/>
      <c r="M5" s="808"/>
      <c r="N5" s="808"/>
      <c r="P5" s="807" t="s">
        <v>515</v>
      </c>
      <c r="Q5" s="807"/>
      <c r="R5" s="808"/>
      <c r="S5" s="808"/>
      <c r="T5" s="808"/>
      <c r="U5" s="808"/>
      <c r="V5" s="808"/>
      <c r="X5" s="807" t="s">
        <v>514</v>
      </c>
      <c r="Y5" s="808"/>
      <c r="Z5" s="808"/>
      <c r="AA5" s="808"/>
      <c r="AB5" s="808"/>
    </row>
    <row r="6" spans="1:28" s="395" customFormat="1" ht="63.75" customHeight="1">
      <c r="A6" s="399" t="s">
        <v>167</v>
      </c>
      <c r="B6" s="399" t="s">
        <v>3</v>
      </c>
      <c r="C6" s="399" t="s">
        <v>31</v>
      </c>
      <c r="D6" s="400" t="str">
        <f>+'Revenue By Sch TY'!D7</f>
        <v>Annual mWh
Delivered Sales 
YE 06-2021</v>
      </c>
      <c r="E6" s="700" t="s">
        <v>828</v>
      </c>
      <c r="F6" s="400" t="s">
        <v>197</v>
      </c>
      <c r="G6" s="400" t="str">
        <f>'Sch 142'!M6</f>
        <v>kWh Rates
Effective
January 1, 2023</v>
      </c>
      <c r="H6" s="400" t="s">
        <v>831</v>
      </c>
      <c r="I6" s="400" t="s">
        <v>507</v>
      </c>
      <c r="J6" s="699"/>
      <c r="K6" s="400" t="s">
        <v>524</v>
      </c>
      <c r="L6" s="700" t="s">
        <v>829</v>
      </c>
      <c r="M6" s="400" t="s">
        <v>197</v>
      </c>
      <c r="N6" s="400" t="s">
        <v>507</v>
      </c>
      <c r="O6" s="409"/>
      <c r="P6" s="400" t="str">
        <f>K6</f>
        <v>MWh</v>
      </c>
      <c r="Q6" s="700" t="s">
        <v>829</v>
      </c>
      <c r="R6" s="400" t="str">
        <f>M6</f>
        <v>Basic Charge</v>
      </c>
      <c r="S6" s="400" t="s">
        <v>830</v>
      </c>
      <c r="T6" s="400" t="s">
        <v>832</v>
      </c>
      <c r="U6" s="400" t="str">
        <f>+N6</f>
        <v>Sch 141R
MYRP
Refundable
Effective
January 2023</v>
      </c>
      <c r="V6" s="400" t="s">
        <v>529</v>
      </c>
      <c r="W6" s="699"/>
      <c r="X6" s="400" t="str">
        <f>P6</f>
        <v>MWh</v>
      </c>
      <c r="Y6" s="400" t="str">
        <f t="shared" ref="Y6" si="0">R6</f>
        <v>Basic Charge</v>
      </c>
      <c r="Z6" s="400" t="s">
        <v>528</v>
      </c>
      <c r="AA6" s="400" t="str">
        <f>+V6</f>
        <v>Sch 141R
MYRP
Refundable
Effective
January 2024</v>
      </c>
      <c r="AB6" s="400" t="s">
        <v>530</v>
      </c>
    </row>
    <row r="7" spans="1:28">
      <c r="A7" s="385">
        <v>1</v>
      </c>
      <c r="B7" s="386">
        <v>7</v>
      </c>
      <c r="C7" s="387"/>
      <c r="D7" s="388">
        <f>+'Revenue By Sch TY'!D9</f>
        <v>11355354.571603522</v>
      </c>
      <c r="E7" s="388"/>
      <c r="F7" s="388"/>
      <c r="G7" s="402">
        <f>+'[1]Exhibit No.__(BDJ-Tariff)'!$T$11</f>
        <v>2.3679999999999999E-3</v>
      </c>
      <c r="H7" s="402"/>
      <c r="I7" s="403">
        <f>ROUND(((D7*G7)+(E7*H7)),0)</f>
        <v>26889</v>
      </c>
      <c r="J7" s="387"/>
      <c r="K7" s="388">
        <f>'Sch 95 PCORC'!J7</f>
        <v>10963050.375499999</v>
      </c>
      <c r="L7" s="388"/>
      <c r="M7" s="388"/>
      <c r="N7" s="403">
        <f>ROUND(((K7*G7)+(L7*H7)),0)</f>
        <v>25961</v>
      </c>
      <c r="O7" s="387"/>
      <c r="P7" s="388">
        <f>'Sch 95 PCORC'!N7</f>
        <v>11064440.8695</v>
      </c>
      <c r="Q7" s="388"/>
      <c r="R7" s="388"/>
      <c r="S7" s="402">
        <f>+'[1]Exhibit No.__(BDJ-Tariff)'!$U$11</f>
        <v>8.1049999999999994E-3</v>
      </c>
      <c r="T7" s="402"/>
      <c r="U7" s="403">
        <f>ROUND(((P7*G7)+(Q7*H7)),0)</f>
        <v>26201</v>
      </c>
      <c r="V7" s="403">
        <f>ROUND(((P7*S7)+(Q7*T7)),0)</f>
        <v>89677</v>
      </c>
      <c r="X7" s="388"/>
      <c r="Y7" s="388"/>
      <c r="Z7" s="402"/>
      <c r="AA7" s="403"/>
      <c r="AB7" s="403"/>
    </row>
    <row r="8" spans="1:28">
      <c r="A8" s="385">
        <v>2</v>
      </c>
      <c r="B8" s="389" t="s">
        <v>10</v>
      </c>
      <c r="C8" s="387"/>
      <c r="D8" s="388">
        <v>0</v>
      </c>
      <c r="E8" s="388"/>
      <c r="F8" s="388"/>
      <c r="G8" s="402">
        <v>0</v>
      </c>
      <c r="H8" s="402"/>
      <c r="I8" s="403">
        <f>ROUND(((D8*G8)+(E8*H8)),0)</f>
        <v>0</v>
      </c>
      <c r="J8" s="387"/>
      <c r="K8" s="388">
        <f>'Sch 95 PCORC'!J8</f>
        <v>0</v>
      </c>
      <c r="L8" s="388"/>
      <c r="M8" s="388"/>
      <c r="N8" s="403">
        <f>ROUND(((K8*G8)+(L8*H8)),0)</f>
        <v>0</v>
      </c>
      <c r="O8" s="387"/>
      <c r="P8" s="388">
        <f>'Sch 95 PCORC'!N8</f>
        <v>0</v>
      </c>
      <c r="Q8" s="388"/>
      <c r="R8" s="388"/>
      <c r="S8" s="402">
        <v>0</v>
      </c>
      <c r="T8" s="402"/>
      <c r="U8" s="403">
        <f>ROUND(((P8*G8)+(Q8*H8)),0)</f>
        <v>0</v>
      </c>
      <c r="V8" s="403">
        <f>ROUND(((P8*S8)+(Q8*T8)),0)</f>
        <v>0</v>
      </c>
      <c r="X8" s="388"/>
      <c r="Y8" s="388"/>
      <c r="Z8" s="402"/>
      <c r="AA8" s="403"/>
      <c r="AB8" s="403"/>
    </row>
    <row r="9" spans="1:28">
      <c r="A9" s="385">
        <v>3</v>
      </c>
      <c r="B9" s="386"/>
      <c r="C9" s="387" t="s">
        <v>11</v>
      </c>
      <c r="D9" s="390">
        <f>SUM(D7:D8)</f>
        <v>11355354.571603522</v>
      </c>
      <c r="E9" s="390"/>
      <c r="F9" s="390"/>
      <c r="G9" s="404"/>
      <c r="H9" s="404"/>
      <c r="I9" s="405">
        <f t="shared" ref="I9" si="1">SUM(I7:I8)</f>
        <v>26889</v>
      </c>
      <c r="J9" s="387"/>
      <c r="K9" s="390">
        <f>SUM(K7:K8)</f>
        <v>10963050.375499999</v>
      </c>
      <c r="L9" s="390"/>
      <c r="M9" s="390"/>
      <c r="N9" s="405">
        <f t="shared" ref="N9" si="2">SUM(N7:N8)</f>
        <v>25961</v>
      </c>
      <c r="O9" s="387"/>
      <c r="P9" s="390">
        <f>SUM(P7:P8)</f>
        <v>11064440.8695</v>
      </c>
      <c r="Q9" s="390"/>
      <c r="R9" s="390"/>
      <c r="S9" s="404"/>
      <c r="T9" s="404"/>
      <c r="U9" s="405">
        <f t="shared" ref="U9:V9" si="3">SUM(U7:U8)</f>
        <v>26201</v>
      </c>
      <c r="V9" s="405">
        <f t="shared" si="3"/>
        <v>89677</v>
      </c>
      <c r="X9" s="390"/>
      <c r="Y9" s="390"/>
      <c r="Z9" s="404"/>
      <c r="AA9" s="405"/>
      <c r="AB9" s="405"/>
    </row>
    <row r="10" spans="1:28">
      <c r="A10" s="385">
        <v>4</v>
      </c>
      <c r="B10" s="386"/>
      <c r="C10" s="387"/>
      <c r="D10" s="388"/>
      <c r="E10" s="388"/>
      <c r="F10" s="388"/>
      <c r="G10" s="402"/>
      <c r="H10" s="402"/>
      <c r="I10" s="403"/>
      <c r="J10" s="387"/>
      <c r="K10" s="388"/>
      <c r="L10" s="388"/>
      <c r="M10" s="388"/>
      <c r="N10" s="403"/>
      <c r="O10" s="387"/>
      <c r="P10" s="388"/>
      <c r="Q10" s="388"/>
      <c r="R10" s="388"/>
      <c r="S10" s="402"/>
      <c r="T10" s="402"/>
      <c r="U10" s="403"/>
      <c r="V10" s="403"/>
      <c r="X10" s="388"/>
      <c r="Y10" s="388"/>
      <c r="Z10" s="402"/>
      <c r="AA10" s="403"/>
      <c r="AB10" s="403"/>
    </row>
    <row r="11" spans="1:28">
      <c r="A11" s="385">
        <v>5</v>
      </c>
      <c r="B11" s="386">
        <v>8</v>
      </c>
      <c r="C11" s="387"/>
      <c r="D11" s="388">
        <v>0</v>
      </c>
      <c r="E11" s="388"/>
      <c r="F11" s="388"/>
      <c r="G11" s="402">
        <v>0</v>
      </c>
      <c r="H11" s="402"/>
      <c r="I11" s="403">
        <f t="shared" ref="I11:I17" si="4">ROUND(((D11*G11)+(E11*H11)),0)</f>
        <v>0</v>
      </c>
      <c r="J11" s="387"/>
      <c r="K11" s="388">
        <f>'Sch 95 PCORC'!J11</f>
        <v>0</v>
      </c>
      <c r="L11" s="388"/>
      <c r="M11" s="388"/>
      <c r="N11" s="403">
        <f t="shared" ref="N11:N17" si="5">ROUND(((K11*G11)+(L11*H11)),0)</f>
        <v>0</v>
      </c>
      <c r="O11" s="387"/>
      <c r="P11" s="388">
        <f>'Sch 95 PCORC'!N11</f>
        <v>0</v>
      </c>
      <c r="Q11" s="388"/>
      <c r="R11" s="388"/>
      <c r="S11" s="402">
        <v>0</v>
      </c>
      <c r="T11" s="402"/>
      <c r="U11" s="403">
        <f t="shared" ref="U11:U17" si="6">ROUND(((P11*G11)+(Q11*H11)),0)</f>
        <v>0</v>
      </c>
      <c r="V11" s="403">
        <f t="shared" ref="V11:V17" si="7">ROUND(((P11*S11)+(Q11*T11)),0)</f>
        <v>0</v>
      </c>
      <c r="X11" s="388"/>
      <c r="Y11" s="388"/>
      <c r="Z11" s="402"/>
      <c r="AA11" s="403"/>
      <c r="AB11" s="403"/>
    </row>
    <row r="12" spans="1:28">
      <c r="A12" s="385">
        <v>6</v>
      </c>
      <c r="B12" s="386">
        <v>24</v>
      </c>
      <c r="C12" s="387"/>
      <c r="D12" s="388">
        <f>+'Revenue By Sch TY'!D10</f>
        <v>2658833.1030243803</v>
      </c>
      <c r="E12" s="388"/>
      <c r="F12" s="388"/>
      <c r="G12" s="402">
        <f>+'[1]Exhibit No.__(BDJ-Tariff)'!$T$18</f>
        <v>1.8469999999999999E-3</v>
      </c>
      <c r="H12" s="402"/>
      <c r="I12" s="403">
        <f t="shared" si="4"/>
        <v>4911</v>
      </c>
      <c r="J12" s="387"/>
      <c r="K12" s="388">
        <f>'Sch 95 PCORC'!J12</f>
        <v>2697633</v>
      </c>
      <c r="L12" s="388"/>
      <c r="M12" s="388"/>
      <c r="N12" s="403">
        <f t="shared" si="5"/>
        <v>4983</v>
      </c>
      <c r="O12" s="387"/>
      <c r="P12" s="388">
        <f>'Sch 95 PCORC'!N12</f>
        <v>2730372</v>
      </c>
      <c r="Q12" s="388"/>
      <c r="R12" s="388"/>
      <c r="S12" s="402">
        <f>+'[1]Exhibit No.__(BDJ-Tariff)'!$U$18</f>
        <v>6.3020000000000003E-3</v>
      </c>
      <c r="T12" s="402"/>
      <c r="U12" s="403">
        <f t="shared" si="6"/>
        <v>5043</v>
      </c>
      <c r="V12" s="403">
        <f t="shared" si="7"/>
        <v>17207</v>
      </c>
      <c r="X12" s="388"/>
      <c r="Y12" s="388"/>
      <c r="Z12" s="402"/>
      <c r="AA12" s="403"/>
      <c r="AB12" s="403"/>
    </row>
    <row r="13" spans="1:28">
      <c r="A13" s="385">
        <v>7</v>
      </c>
      <c r="B13" s="389">
        <v>11</v>
      </c>
      <c r="C13" s="387"/>
      <c r="D13" s="388">
        <v>0</v>
      </c>
      <c r="E13" s="388">
        <f>'[1]Exhibit No.__(BDJ-Prof-Prop)'!$J$22</f>
        <v>4173.7510000000002</v>
      </c>
      <c r="F13" s="388"/>
      <c r="G13" s="402">
        <f>+G8</f>
        <v>0</v>
      </c>
      <c r="H13" s="418">
        <f>'[1]Exhibit No.__(BDJ-Tariff)'!$T$29</f>
        <v>0.18</v>
      </c>
      <c r="I13" s="403">
        <f t="shared" si="4"/>
        <v>751</v>
      </c>
      <c r="J13" s="387"/>
      <c r="K13" s="388">
        <f>'Sch 95 PCORC'!J13</f>
        <v>0</v>
      </c>
      <c r="L13" s="388">
        <f>'[1]Exhibit No.__(BDJ-MYRP)'!$I$48/1000</f>
        <v>4517.4763347322869</v>
      </c>
      <c r="M13" s="388"/>
      <c r="N13" s="403">
        <f t="shared" si="5"/>
        <v>813</v>
      </c>
      <c r="O13" s="387"/>
      <c r="P13" s="388">
        <f>'Sch 95 PCORC'!N13</f>
        <v>0</v>
      </c>
      <c r="Q13" s="388">
        <f>'[1]Exhibit No.__(BDJ-MYRP)'!$O$48/1000</f>
        <v>4573.600592953725</v>
      </c>
      <c r="R13" s="388"/>
      <c r="S13" s="402">
        <f>+S8</f>
        <v>0</v>
      </c>
      <c r="T13" s="418">
        <f>'[1]Exhibit No.__(BDJ-Tariff)'!$U$29</f>
        <v>0.62</v>
      </c>
      <c r="U13" s="403">
        <f t="shared" si="6"/>
        <v>823</v>
      </c>
      <c r="V13" s="403">
        <f t="shared" si="7"/>
        <v>2836</v>
      </c>
      <c r="X13" s="388"/>
      <c r="Y13" s="388"/>
      <c r="Z13" s="402"/>
      <c r="AA13" s="403"/>
      <c r="AB13" s="403"/>
    </row>
    <row r="14" spans="1:28">
      <c r="A14" s="385">
        <v>8</v>
      </c>
      <c r="B14" s="389">
        <v>25</v>
      </c>
      <c r="C14" s="387"/>
      <c r="D14" s="388">
        <f>+'Revenue By Sch TY'!D11</f>
        <v>2856045.8325844579</v>
      </c>
      <c r="E14" s="388"/>
      <c r="F14" s="388"/>
      <c r="G14" s="402">
        <f>+'[1]Exhibit No.__(BDJ-Tariff)'!$T$24</f>
        <v>1.6329999999999999E-3</v>
      </c>
      <c r="H14" s="402"/>
      <c r="I14" s="403">
        <f t="shared" si="4"/>
        <v>4664</v>
      </c>
      <c r="J14" s="387"/>
      <c r="K14" s="388">
        <f>'Sch 95 PCORC'!J14</f>
        <v>2911699.0000000005</v>
      </c>
      <c r="L14" s="388"/>
      <c r="M14" s="388"/>
      <c r="N14" s="403">
        <f t="shared" si="5"/>
        <v>4755</v>
      </c>
      <c r="O14" s="387"/>
      <c r="P14" s="388">
        <f>'Sch 95 PCORC'!N14</f>
        <v>2948172</v>
      </c>
      <c r="Q14" s="388"/>
      <c r="R14" s="388"/>
      <c r="S14" s="402">
        <f>+'[1]Exhibit No.__(BDJ-Tariff)'!$U$24</f>
        <v>5.5700000000000003E-3</v>
      </c>
      <c r="T14" s="402"/>
      <c r="U14" s="403">
        <f t="shared" si="6"/>
        <v>4814</v>
      </c>
      <c r="V14" s="403">
        <f t="shared" si="7"/>
        <v>16421</v>
      </c>
      <c r="X14" s="388"/>
      <c r="Y14" s="388"/>
      <c r="Z14" s="402"/>
      <c r="AA14" s="403"/>
      <c r="AB14" s="403"/>
    </row>
    <row r="15" spans="1:28">
      <c r="A15" s="385">
        <v>9</v>
      </c>
      <c r="B15" s="386">
        <v>12</v>
      </c>
      <c r="C15" s="387"/>
      <c r="D15" s="388">
        <v>0</v>
      </c>
      <c r="E15" s="388">
        <f>'[1]Exhibit No.__(BDJ-Prof-Prop)'!$J$23</f>
        <v>4340.1580000000004</v>
      </c>
      <c r="F15" s="388"/>
      <c r="G15" s="402">
        <v>0</v>
      </c>
      <c r="H15" s="418">
        <f>'[1]Exhibit No.__(BDJ-Tariff)'!$T$39</f>
        <v>0.21</v>
      </c>
      <c r="I15" s="403">
        <f t="shared" si="4"/>
        <v>911</v>
      </c>
      <c r="J15" s="387"/>
      <c r="K15" s="388">
        <f>'Sch 95 PCORC'!J15</f>
        <v>0</v>
      </c>
      <c r="L15" s="388">
        <f>'[1]Exhibit No.__(BDJ-MYRP)'!$I$61/1000</f>
        <v>4426.8464048776104</v>
      </c>
      <c r="M15" s="388"/>
      <c r="N15" s="403">
        <f t="shared" si="5"/>
        <v>930</v>
      </c>
      <c r="O15" s="387"/>
      <c r="P15" s="388">
        <f>'Sch 95 PCORC'!N15</f>
        <v>0</v>
      </c>
      <c r="Q15" s="388">
        <f>'[1]Exhibit No.__(BDJ-MYRP)'!$O$61/1000</f>
        <v>4435.5598796992599</v>
      </c>
      <c r="R15" s="388"/>
      <c r="S15" s="402">
        <v>0</v>
      </c>
      <c r="T15" s="418">
        <f>'[1]Exhibit No.__(BDJ-Tariff)'!$U$39</f>
        <v>0.72</v>
      </c>
      <c r="U15" s="403">
        <f t="shared" si="6"/>
        <v>931</v>
      </c>
      <c r="V15" s="403">
        <f t="shared" si="7"/>
        <v>3194</v>
      </c>
      <c r="X15" s="388"/>
      <c r="Y15" s="388"/>
      <c r="Z15" s="402"/>
      <c r="AA15" s="403"/>
      <c r="AB15" s="403"/>
    </row>
    <row r="16" spans="1:28">
      <c r="A16" s="385">
        <v>10</v>
      </c>
      <c r="B16" s="386" t="s">
        <v>12</v>
      </c>
      <c r="C16" s="387"/>
      <c r="D16" s="388">
        <f>+'Revenue By Sch TY'!D12</f>
        <v>1761911.047761543</v>
      </c>
      <c r="E16" s="388"/>
      <c r="F16" s="388"/>
      <c r="G16" s="402">
        <f>+'[1]Exhibit No.__(BDJ-Tariff)'!$T$37</f>
        <v>1.1770000000000001E-3</v>
      </c>
      <c r="H16" s="402"/>
      <c r="I16" s="403">
        <f t="shared" si="4"/>
        <v>2074</v>
      </c>
      <c r="J16" s="387"/>
      <c r="K16" s="388">
        <f>'Sch 95 PCORC'!J16</f>
        <v>1831289</v>
      </c>
      <c r="L16" s="388"/>
      <c r="M16" s="388"/>
      <c r="N16" s="403">
        <f t="shared" si="5"/>
        <v>2155</v>
      </c>
      <c r="O16" s="387"/>
      <c r="P16" s="388">
        <f>'Sch 95 PCORC'!N16</f>
        <v>1853862</v>
      </c>
      <c r="Q16" s="388"/>
      <c r="R16" s="388"/>
      <c r="S16" s="402">
        <f>+'[1]Exhibit No.__(BDJ-Tariff)'!$U$37</f>
        <v>4.0140000000000002E-3</v>
      </c>
      <c r="T16" s="402"/>
      <c r="U16" s="403">
        <f t="shared" si="6"/>
        <v>2182</v>
      </c>
      <c r="V16" s="403">
        <f t="shared" si="7"/>
        <v>7441</v>
      </c>
      <c r="X16" s="388"/>
      <c r="Y16" s="388"/>
      <c r="Z16" s="402"/>
      <c r="AA16" s="403"/>
      <c r="AB16" s="403"/>
    </row>
    <row r="17" spans="1:28">
      <c r="A17" s="385">
        <v>11</v>
      </c>
      <c r="B17" s="386">
        <v>29</v>
      </c>
      <c r="C17" s="387"/>
      <c r="D17" s="388">
        <f>+'Revenue By Sch TY'!D13</f>
        <v>15293.727999999999</v>
      </c>
      <c r="E17" s="388">
        <f>'[1]Exhibit No.__(BDJ-Prof-Prop)'!$J$24</f>
        <v>7.0830000000000002</v>
      </c>
      <c r="F17" s="388"/>
      <c r="G17" s="402">
        <f>+'[1]Exhibit No.__(BDJ-Tariff)'!$T$62</f>
        <v>1.8500000000000001E-3</v>
      </c>
      <c r="H17" s="418">
        <f>'[1]Exhibit No.__(BDJ-Tariff)'!$T$68</f>
        <v>0.16</v>
      </c>
      <c r="I17" s="403">
        <f t="shared" si="4"/>
        <v>29</v>
      </c>
      <c r="J17" s="387"/>
      <c r="K17" s="388">
        <f>'Sch 95 PCORC'!J17</f>
        <v>15100.966499999999</v>
      </c>
      <c r="L17" s="388">
        <f>'[1]Exhibit No.__(BDJ-MYRP)'!$I$81/1000</f>
        <v>6.2534999999999998</v>
      </c>
      <c r="M17" s="388"/>
      <c r="N17" s="403">
        <f t="shared" si="5"/>
        <v>29</v>
      </c>
      <c r="O17" s="387"/>
      <c r="P17" s="388">
        <f>'Sch 95 PCORC'!N17</f>
        <v>15233.452499999999</v>
      </c>
      <c r="Q17" s="388">
        <f>'[1]Exhibit No.__(BDJ-MYRP)'!$O$81/1000</f>
        <v>6.3209999999999997</v>
      </c>
      <c r="R17" s="388"/>
      <c r="S17" s="402">
        <f>+'[1]Exhibit No.__(BDJ-Tariff)'!$U$62</f>
        <v>6.3109999999999998E-3</v>
      </c>
      <c r="T17" s="418">
        <f>'[1]Exhibit No.__(BDJ-Tariff)'!$U$68</f>
        <v>0.53</v>
      </c>
      <c r="U17" s="403">
        <f t="shared" si="6"/>
        <v>29</v>
      </c>
      <c r="V17" s="403">
        <f t="shared" si="7"/>
        <v>99</v>
      </c>
      <c r="X17" s="388"/>
      <c r="Y17" s="388"/>
      <c r="Z17" s="402"/>
      <c r="AA17" s="403"/>
      <c r="AB17" s="403"/>
    </row>
    <row r="18" spans="1:28">
      <c r="A18" s="385">
        <v>12</v>
      </c>
      <c r="B18" s="386"/>
      <c r="C18" s="391" t="s">
        <v>13</v>
      </c>
      <c r="D18" s="390">
        <f>SUM(D11:D17)</f>
        <v>7292083.7113703806</v>
      </c>
      <c r="E18" s="390"/>
      <c r="F18" s="390"/>
      <c r="G18" s="404"/>
      <c r="H18" s="404"/>
      <c r="I18" s="405">
        <f t="shared" ref="I18" si="8">SUM(I11:I17)</f>
        <v>13340</v>
      </c>
      <c r="J18" s="387"/>
      <c r="K18" s="390">
        <f>SUM(K11:K17)</f>
        <v>7455721.9665000001</v>
      </c>
      <c r="L18" s="390"/>
      <c r="M18" s="390"/>
      <c r="N18" s="405">
        <f t="shared" ref="N18" si="9">SUM(N11:N17)</f>
        <v>13665</v>
      </c>
      <c r="O18" s="387"/>
      <c r="P18" s="390">
        <f>SUM(P11:P17)</f>
        <v>7547639.4524999997</v>
      </c>
      <c r="Q18" s="390"/>
      <c r="R18" s="390"/>
      <c r="S18" s="404"/>
      <c r="T18" s="404"/>
      <c r="U18" s="405">
        <f t="shared" ref="U18:V18" si="10">SUM(U11:U17)</f>
        <v>13822</v>
      </c>
      <c r="V18" s="405">
        <f t="shared" si="10"/>
        <v>47198</v>
      </c>
      <c r="X18" s="390"/>
      <c r="Y18" s="390"/>
      <c r="Z18" s="404"/>
      <c r="AA18" s="405"/>
      <c r="AB18" s="405"/>
    </row>
    <row r="19" spans="1:28">
      <c r="A19" s="385">
        <v>13</v>
      </c>
      <c r="B19" s="386"/>
      <c r="C19" s="387"/>
      <c r="D19" s="388"/>
      <c r="E19" s="388"/>
      <c r="F19" s="388"/>
      <c r="G19" s="402"/>
      <c r="H19" s="402"/>
      <c r="I19" s="403"/>
      <c r="J19" s="387"/>
      <c r="K19" s="388"/>
      <c r="L19" s="388"/>
      <c r="M19" s="388"/>
      <c r="N19" s="403"/>
      <c r="O19" s="387"/>
      <c r="P19" s="388"/>
      <c r="Q19" s="388"/>
      <c r="R19" s="388"/>
      <c r="S19" s="402"/>
      <c r="T19" s="402"/>
      <c r="U19" s="403"/>
      <c r="V19" s="403"/>
      <c r="X19" s="388"/>
      <c r="Y19" s="388"/>
      <c r="Z19" s="402"/>
      <c r="AA19" s="403"/>
      <c r="AB19" s="403"/>
    </row>
    <row r="20" spans="1:28">
      <c r="A20" s="385">
        <v>14</v>
      </c>
      <c r="B20" s="386">
        <v>10</v>
      </c>
      <c r="C20" s="387"/>
      <c r="D20" s="388">
        <v>0</v>
      </c>
      <c r="E20" s="388">
        <f>'[1]Exhibit No.__(BDJ-Prof-Prop)'!$J$28</f>
        <v>3207.4389999999999</v>
      </c>
      <c r="F20" s="388"/>
      <c r="G20" s="402">
        <v>0</v>
      </c>
      <c r="H20" s="418">
        <f>'[1]Exhibit No.__(BDJ-Tariff)'!$T$78</f>
        <v>0.2</v>
      </c>
      <c r="I20" s="403">
        <f>ROUND(((D20*G20)+(E20*H20)),0)</f>
        <v>641</v>
      </c>
      <c r="J20" s="387"/>
      <c r="K20" s="388">
        <f>'Sch 95 PCORC'!J20</f>
        <v>0</v>
      </c>
      <c r="L20" s="388">
        <f>'[1]Exhibit No.__(BDJ-MYRP)'!$I$95/1000</f>
        <v>3292.0322143539356</v>
      </c>
      <c r="M20" s="388"/>
      <c r="N20" s="403">
        <f t="shared" ref="N20:N23" si="11">ROUND(((K20*G20)+(L20*H20)),0)</f>
        <v>658</v>
      </c>
      <c r="O20" s="387"/>
      <c r="P20" s="388">
        <f>'Sch 95 PCORC'!N20</f>
        <v>0</v>
      </c>
      <c r="Q20" s="388">
        <f>'[1]Exhibit No.__(BDJ-MYRP)'!$O$95/1000</f>
        <v>3273.5744614315722</v>
      </c>
      <c r="R20" s="388"/>
      <c r="S20" s="402">
        <v>0</v>
      </c>
      <c r="T20" s="418">
        <f>'[1]Exhibit No.__(BDJ-Tariff)'!$U$78</f>
        <v>0.7</v>
      </c>
      <c r="U20" s="403">
        <f t="shared" ref="U20:U23" si="12">ROUND(((P20*G20)+(Q20*H20)),0)</f>
        <v>655</v>
      </c>
      <c r="V20" s="403">
        <f t="shared" ref="V20:V23" si="13">ROUND(((P20*S20)+(Q20*T20)),0)</f>
        <v>2292</v>
      </c>
      <c r="X20" s="388"/>
      <c r="Y20" s="388"/>
      <c r="Z20" s="402"/>
      <c r="AA20" s="403"/>
      <c r="AB20" s="403"/>
    </row>
    <row r="21" spans="1:28">
      <c r="A21" s="385">
        <v>15</v>
      </c>
      <c r="B21" s="386">
        <v>31</v>
      </c>
      <c r="C21" s="387"/>
      <c r="D21" s="388">
        <f>+'Revenue By Sch TY'!D14</f>
        <v>1307770.0591754341</v>
      </c>
      <c r="E21" s="388"/>
      <c r="F21" s="388"/>
      <c r="G21" s="402">
        <f>+'[1]Exhibit No.__(BDJ-Tariff)'!$T$76</f>
        <v>1.1299999999999999E-3</v>
      </c>
      <c r="H21" s="418"/>
      <c r="I21" s="403">
        <f>ROUND(((D21*G21)+(E21*H21)),0)</f>
        <v>1478</v>
      </c>
      <c r="J21" s="387"/>
      <c r="K21" s="388">
        <f>'Sch 95 PCORC'!J21</f>
        <v>1332008</v>
      </c>
      <c r="L21" s="388"/>
      <c r="M21" s="388"/>
      <c r="N21" s="403">
        <f t="shared" si="11"/>
        <v>1505</v>
      </c>
      <c r="O21" s="387"/>
      <c r="P21" s="388">
        <f>'Sch 95 PCORC'!N21</f>
        <v>1335448</v>
      </c>
      <c r="Q21" s="388"/>
      <c r="R21" s="388"/>
      <c r="S21" s="402">
        <f>+'[1]Exhibit No.__(BDJ-Tariff)'!$U$76</f>
        <v>3.8939999999999999E-3</v>
      </c>
      <c r="T21" s="418"/>
      <c r="U21" s="403">
        <f t="shared" si="12"/>
        <v>1509</v>
      </c>
      <c r="V21" s="403">
        <f t="shared" si="13"/>
        <v>5200</v>
      </c>
      <c r="X21" s="388"/>
      <c r="Y21" s="388"/>
      <c r="Z21" s="402"/>
      <c r="AA21" s="403"/>
      <c r="AB21" s="403"/>
    </row>
    <row r="22" spans="1:28">
      <c r="A22" s="385">
        <v>16</v>
      </c>
      <c r="B22" s="386">
        <v>35</v>
      </c>
      <c r="C22" s="387"/>
      <c r="D22" s="388">
        <f>+'Revenue By Sch TY'!D15</f>
        <v>4387.6440000000002</v>
      </c>
      <c r="E22" s="388">
        <f>'[1]Exhibit No.__(BDJ-Prof-Prop)'!$J$29</f>
        <v>8.6059999999999999</v>
      </c>
      <c r="F22" s="388"/>
      <c r="G22" s="402">
        <f>+'[1]Exhibit No.__(BDJ-Tariff)'!$T$90</f>
        <v>2.0330000000000001E-3</v>
      </c>
      <c r="H22" s="418">
        <f>'[1]Exhibit No.__(BDJ-Tariff)'!$T$92</f>
        <v>0.14000000000000001</v>
      </c>
      <c r="I22" s="403">
        <f>ROUND(((D22*G22)+(E22*H22)),0)</f>
        <v>10</v>
      </c>
      <c r="J22" s="622"/>
      <c r="K22" s="388">
        <f>'Sch 95 PCORC'!J22</f>
        <v>4663</v>
      </c>
      <c r="L22" s="388">
        <f>'[1]Exhibit No.__(BDJ-MYRP)'!$I$108/1000</f>
        <v>8.4963697717666999</v>
      </c>
      <c r="M22" s="388"/>
      <c r="N22" s="403">
        <f t="shared" si="11"/>
        <v>11</v>
      </c>
      <c r="O22" s="387"/>
      <c r="P22" s="388">
        <f>'Sch 95 PCORC'!N22</f>
        <v>4695</v>
      </c>
      <c r="Q22" s="388">
        <f>'[1]Exhibit No.__(BDJ-MYRP)'!$O$108/1000</f>
        <v>8.5910774227830888</v>
      </c>
      <c r="R22" s="388"/>
      <c r="S22" s="402">
        <f>+'[1]Exhibit No.__(BDJ-Tariff)'!$U$90</f>
        <v>6.9740000000000002E-3</v>
      </c>
      <c r="T22" s="418">
        <f>'[1]Exhibit No.__(BDJ-Tariff)'!$U$92</f>
        <v>0.48</v>
      </c>
      <c r="U22" s="403">
        <f t="shared" si="12"/>
        <v>11</v>
      </c>
      <c r="V22" s="403">
        <f t="shared" si="13"/>
        <v>37</v>
      </c>
      <c r="X22" s="388"/>
      <c r="Y22" s="388"/>
      <c r="Z22" s="402"/>
      <c r="AA22" s="403"/>
      <c r="AB22" s="403"/>
    </row>
    <row r="23" spans="1:28">
      <c r="A23" s="385">
        <v>19</v>
      </c>
      <c r="B23" s="386">
        <v>43</v>
      </c>
      <c r="C23" s="387"/>
      <c r="D23" s="388">
        <f>+'Revenue By Sch TY'!D16</f>
        <v>114099.11728442684</v>
      </c>
      <c r="E23" s="388">
        <f>'[1]Exhibit No.__(BDJ-Prof-Prop)'!$J$30</f>
        <v>541.88</v>
      </c>
      <c r="F23" s="388"/>
      <c r="G23" s="402">
        <f>+'[1]Exhibit No.__(BDJ-Tariff)'!$T$100</f>
        <v>1.0200000000000001E-3</v>
      </c>
      <c r="H23" s="418">
        <f>'[1]Exhibit No.__(BDJ-Tariff)'!$T$102</f>
        <v>0.09</v>
      </c>
      <c r="I23" s="403">
        <f>ROUND(((D23*G23)+(E23*H23)),0)</f>
        <v>165</v>
      </c>
      <c r="J23" s="387"/>
      <c r="K23" s="388">
        <f>'Sch 95 PCORC'!J23</f>
        <v>118190</v>
      </c>
      <c r="L23" s="388">
        <f>'[1]Exhibit No.__(BDJ-MYRP)'!$I$119/1000</f>
        <v>593.19097908409663</v>
      </c>
      <c r="M23" s="388"/>
      <c r="N23" s="403">
        <f t="shared" si="11"/>
        <v>174</v>
      </c>
      <c r="O23" s="387"/>
      <c r="P23" s="388">
        <f>'Sch 95 PCORC'!N23</f>
        <v>119782</v>
      </c>
      <c r="Q23" s="388">
        <f>'[1]Exhibit No.__(BDJ-MYRP)'!$O$119/1000</f>
        <v>600.86862342584266</v>
      </c>
      <c r="R23" s="388"/>
      <c r="S23" s="402">
        <f>+'[1]Exhibit No.__(BDJ-Tariff)'!$U$100</f>
        <v>3.4780000000000002E-3</v>
      </c>
      <c r="T23" s="418">
        <f>'[1]Exhibit No.__(BDJ-Tariff)'!$U$102</f>
        <v>0.3</v>
      </c>
      <c r="U23" s="403">
        <f t="shared" si="12"/>
        <v>176</v>
      </c>
      <c r="V23" s="403">
        <f t="shared" si="13"/>
        <v>597</v>
      </c>
      <c r="X23" s="388"/>
      <c r="Y23" s="388"/>
      <c r="Z23" s="402"/>
      <c r="AA23" s="403"/>
      <c r="AB23" s="403"/>
    </row>
    <row r="24" spans="1:28">
      <c r="A24" s="385">
        <v>20</v>
      </c>
      <c r="B24" s="386"/>
      <c r="C24" s="387" t="s">
        <v>14</v>
      </c>
      <c r="D24" s="390">
        <f>SUM(D20:D23)</f>
        <v>1426256.8204598611</v>
      </c>
      <c r="E24" s="390"/>
      <c r="F24" s="390"/>
      <c r="G24" s="404"/>
      <c r="H24" s="404"/>
      <c r="I24" s="405">
        <f t="shared" ref="I24" si="14">SUM(I20:I23)</f>
        <v>2294</v>
      </c>
      <c r="J24" s="387"/>
      <c r="K24" s="390">
        <f>SUM(K20:K23)</f>
        <v>1454861</v>
      </c>
      <c r="L24" s="390"/>
      <c r="M24" s="390"/>
      <c r="N24" s="405">
        <f t="shared" ref="N24" si="15">SUM(N20:N23)</f>
        <v>2348</v>
      </c>
      <c r="O24" s="387"/>
      <c r="P24" s="390">
        <f>SUM(P20:P23)</f>
        <v>1459925</v>
      </c>
      <c r="Q24" s="390"/>
      <c r="R24" s="390"/>
      <c r="S24" s="404"/>
      <c r="T24" s="404"/>
      <c r="U24" s="405">
        <f t="shared" ref="U24:V24" si="16">SUM(U20:U23)</f>
        <v>2351</v>
      </c>
      <c r="V24" s="405">
        <f t="shared" si="16"/>
        <v>8126</v>
      </c>
      <c r="X24" s="390"/>
      <c r="Y24" s="390"/>
      <c r="Z24" s="404"/>
      <c r="AA24" s="405"/>
      <c r="AB24" s="405"/>
    </row>
    <row r="25" spans="1:28">
      <c r="A25" s="385">
        <v>21</v>
      </c>
      <c r="B25" s="386"/>
      <c r="C25" s="387"/>
      <c r="D25" s="388"/>
      <c r="E25" s="388"/>
      <c r="F25" s="388"/>
      <c r="G25" s="402"/>
      <c r="H25" s="402"/>
      <c r="I25" s="403"/>
      <c r="J25" s="387"/>
      <c r="K25" s="388"/>
      <c r="L25" s="388"/>
      <c r="M25" s="388"/>
      <c r="N25" s="403"/>
      <c r="O25" s="387"/>
      <c r="P25" s="388"/>
      <c r="Q25" s="388"/>
      <c r="R25" s="388"/>
      <c r="S25" s="402"/>
      <c r="T25" s="402"/>
      <c r="U25" s="403"/>
      <c r="V25" s="403"/>
      <c r="X25" s="388"/>
      <c r="Y25" s="388"/>
      <c r="Z25" s="402"/>
      <c r="AA25" s="403"/>
      <c r="AB25" s="403"/>
    </row>
    <row r="26" spans="1:28">
      <c r="A26" s="385">
        <v>22</v>
      </c>
      <c r="B26" s="386">
        <v>46</v>
      </c>
      <c r="C26" s="387"/>
      <c r="D26" s="388">
        <f>+'Revenue By Sch TY'!D17</f>
        <v>100810.05100000001</v>
      </c>
      <c r="E26" s="388">
        <f>'[1]Exhibit No.__(BDJ-Prof-Prop)'!$J$34</f>
        <v>410.25</v>
      </c>
      <c r="F26" s="388"/>
      <c r="G26" s="402">
        <f>+'[1]Exhibit No.__(BDJ-Tariff)'!$T$125</f>
        <v>7.0600000000000003E-4</v>
      </c>
      <c r="H26" s="418">
        <f>'[1]Exhibit No.__(BDJ-Tariff)'!$T$127</f>
        <v>0.04</v>
      </c>
      <c r="I26" s="403">
        <f>ROUND(((D26*G26)+(E26*H26)),0)</f>
        <v>88</v>
      </c>
      <c r="J26" s="387"/>
      <c r="K26" s="388">
        <f>'Sch 95 PCORC'!J26</f>
        <v>89530.525500000018</v>
      </c>
      <c r="L26" s="388">
        <f>'[1]Exhibit No.__(BDJ-MYRP)'!$I$130/1000</f>
        <v>373.99799999999993</v>
      </c>
      <c r="M26" s="388"/>
      <c r="N26" s="403">
        <f t="shared" ref="N26:N27" si="17">ROUND(((K26*G26)+(L26*H26)),0)</f>
        <v>78</v>
      </c>
      <c r="O26" s="387"/>
      <c r="P26" s="388">
        <f>'Sch 95 PCORC'!N26</f>
        <v>89210.525500000018</v>
      </c>
      <c r="Q26" s="388">
        <f>'[1]Exhibit No.__(BDJ-MYRP)'!$O$130/1000</f>
        <v>372.08350000000002</v>
      </c>
      <c r="R26" s="388"/>
      <c r="S26" s="402">
        <f>+'[1]Exhibit No.__(BDJ-Tariff)'!$U$125</f>
        <v>2.4610000000000001E-3</v>
      </c>
      <c r="T26" s="418">
        <f>'[1]Exhibit No.__(BDJ-Tariff)'!$U$127</f>
        <v>0.15</v>
      </c>
      <c r="U26" s="403">
        <f t="shared" ref="U26:U27" si="18">ROUND(((P26*G26)+(Q26*H26)),0)</f>
        <v>78</v>
      </c>
      <c r="V26" s="403">
        <f t="shared" ref="V26:V27" si="19">ROUND(((P26*S26)+(Q26*T26)),0)</f>
        <v>275</v>
      </c>
      <c r="X26" s="388"/>
      <c r="Y26" s="388"/>
      <c r="Z26" s="402"/>
      <c r="AA26" s="403"/>
      <c r="AB26" s="403"/>
    </row>
    <row r="27" spans="1:28">
      <c r="A27" s="385">
        <v>23</v>
      </c>
      <c r="B27" s="386">
        <v>49</v>
      </c>
      <c r="C27" s="387"/>
      <c r="D27" s="388">
        <f>+'Revenue By Sch TY'!D18</f>
        <v>513293.73700000002</v>
      </c>
      <c r="E27" s="388">
        <f>'[1]Exhibit No.__(BDJ-Prof-Prop)'!$J$35</f>
        <v>1338.1780000000001</v>
      </c>
      <c r="F27" s="388"/>
      <c r="G27" s="402">
        <f>+'[1]Exhibit No.__(BDJ-Tariff)'!$T$133</f>
        <v>6.9300000000000004E-4</v>
      </c>
      <c r="H27" s="418">
        <f>'[1]Exhibit No.__(BDJ-Tariff)'!$T$135</f>
        <v>0.08</v>
      </c>
      <c r="I27" s="403">
        <f>ROUND(((D27*G27)+(E27*H27)),0)</f>
        <v>463</v>
      </c>
      <c r="J27" s="387"/>
      <c r="K27" s="388">
        <f>'Sch 95 PCORC'!J27</f>
        <v>504715</v>
      </c>
      <c r="L27" s="388">
        <f>'[1]Exhibit No.__(BDJ-MYRP)'!$I$138/1000</f>
        <v>1244.9959124206307</v>
      </c>
      <c r="M27" s="388"/>
      <c r="N27" s="403">
        <f t="shared" si="17"/>
        <v>449</v>
      </c>
      <c r="O27" s="387"/>
      <c r="P27" s="388">
        <f>'Sch 95 PCORC'!N27</f>
        <v>499683</v>
      </c>
      <c r="Q27" s="388">
        <f>'[1]Exhibit No.__(BDJ-MYRP)'!$O$138/1000</f>
        <v>1235.9146702547307</v>
      </c>
      <c r="R27" s="388"/>
      <c r="S27" s="402">
        <f>+'[1]Exhibit No.__(BDJ-Tariff)'!$U$133</f>
        <v>2.4139999999999999E-3</v>
      </c>
      <c r="T27" s="418">
        <f>'[1]Exhibit No.__(BDJ-Tariff)'!$U$135</f>
        <v>0.27</v>
      </c>
      <c r="U27" s="403">
        <f t="shared" si="18"/>
        <v>445</v>
      </c>
      <c r="V27" s="403">
        <f t="shared" si="19"/>
        <v>1540</v>
      </c>
      <c r="X27" s="388"/>
      <c r="Y27" s="388"/>
      <c r="Z27" s="402"/>
      <c r="AA27" s="403"/>
      <c r="AB27" s="403"/>
    </row>
    <row r="28" spans="1:28">
      <c r="A28" s="385">
        <v>24</v>
      </c>
      <c r="B28" s="386"/>
      <c r="C28" s="387" t="s">
        <v>15</v>
      </c>
      <c r="D28" s="390">
        <f>SUM(D26:D27)</f>
        <v>614103.78800000006</v>
      </c>
      <c r="E28" s="390"/>
      <c r="F28" s="390"/>
      <c r="G28" s="404"/>
      <c r="H28" s="404"/>
      <c r="I28" s="405">
        <f t="shared" ref="I28" si="20">SUM(I26:I27)</f>
        <v>551</v>
      </c>
      <c r="J28" s="387"/>
      <c r="K28" s="390">
        <f>SUM(K26:K27)</f>
        <v>594245.52549999999</v>
      </c>
      <c r="L28" s="390"/>
      <c r="M28" s="390"/>
      <c r="N28" s="405">
        <f t="shared" ref="N28" si="21">SUM(N26:N27)</f>
        <v>527</v>
      </c>
      <c r="O28" s="387"/>
      <c r="P28" s="390">
        <f>SUM(P26:P27)</f>
        <v>588893.52549999999</v>
      </c>
      <c r="Q28" s="390"/>
      <c r="R28" s="390"/>
      <c r="S28" s="404"/>
      <c r="T28" s="404"/>
      <c r="U28" s="405">
        <f t="shared" ref="U28:V28" si="22">SUM(U26:U27)</f>
        <v>523</v>
      </c>
      <c r="V28" s="405">
        <f t="shared" si="22"/>
        <v>1815</v>
      </c>
      <c r="X28" s="390"/>
      <c r="Y28" s="390"/>
      <c r="Z28" s="404"/>
      <c r="AA28" s="405"/>
      <c r="AB28" s="405"/>
    </row>
    <row r="29" spans="1:28">
      <c r="A29" s="385">
        <v>25</v>
      </c>
      <c r="B29" s="386"/>
      <c r="C29" s="387"/>
      <c r="D29" s="388"/>
      <c r="E29" s="388"/>
      <c r="F29" s="388"/>
      <c r="G29" s="402"/>
      <c r="H29" s="402"/>
      <c r="I29" s="403"/>
      <c r="J29" s="387"/>
      <c r="K29" s="388"/>
      <c r="L29" s="388"/>
      <c r="M29" s="388"/>
      <c r="N29" s="403"/>
      <c r="O29" s="387"/>
      <c r="P29" s="388"/>
      <c r="Q29" s="388"/>
      <c r="R29" s="388"/>
      <c r="S29" s="402"/>
      <c r="T29" s="402"/>
      <c r="U29" s="403"/>
      <c r="V29" s="403"/>
      <c r="X29" s="388"/>
      <c r="Y29" s="388"/>
      <c r="Z29" s="402"/>
      <c r="AA29" s="403"/>
      <c r="AB29" s="403"/>
    </row>
    <row r="30" spans="1:28">
      <c r="A30" s="385">
        <v>26</v>
      </c>
      <c r="B30" s="386" t="s">
        <v>16</v>
      </c>
      <c r="C30" s="387"/>
      <c r="D30" s="390">
        <f>+'Revenue By Sch TY'!D19</f>
        <v>69892.887000000002</v>
      </c>
      <c r="E30" s="390"/>
      <c r="F30" s="390"/>
      <c r="G30" s="404">
        <f>+'[1]Exhibit No.__(BDJ-MYRP)'!$M$143</f>
        <v>8.3250000000000008E-3</v>
      </c>
      <c r="H30" s="404"/>
      <c r="I30" s="405">
        <f>ROUND(((D30*G30)+(E30*H30)),0)</f>
        <v>582</v>
      </c>
      <c r="J30" s="387"/>
      <c r="K30" s="390">
        <f>'Sch 95 PCORC'!J30</f>
        <v>62703</v>
      </c>
      <c r="L30" s="390"/>
      <c r="M30" s="390"/>
      <c r="N30" s="405">
        <f>ROUND(((K30*G30)+(L30*H30)),0)</f>
        <v>522</v>
      </c>
      <c r="O30" s="387"/>
      <c r="P30" s="390">
        <f>'Sch 95 PCORC'!N30</f>
        <v>61382</v>
      </c>
      <c r="Q30" s="390"/>
      <c r="R30" s="390"/>
      <c r="S30" s="404">
        <f>+'[1]Exhibit No.__(BDJ-MYRP)'!$S$143</f>
        <v>2.9375999999999999E-2</v>
      </c>
      <c r="T30" s="404"/>
      <c r="U30" s="403">
        <f>ROUND(((P30*G30)+(Q30*H30)),0)</f>
        <v>511</v>
      </c>
      <c r="V30" s="403">
        <f>ROUND(((P30*S30)+(Q30*T30)),0)</f>
        <v>1803</v>
      </c>
      <c r="X30" s="388"/>
      <c r="Y30" s="390"/>
      <c r="Z30" s="404"/>
      <c r="AA30" s="403"/>
      <c r="AB30" s="405"/>
    </row>
    <row r="31" spans="1:28">
      <c r="A31" s="386">
        <f t="shared" ref="A31:A34" si="23">+A30+1</f>
        <v>27</v>
      </c>
      <c r="B31" s="386"/>
      <c r="C31" s="387"/>
      <c r="D31" s="388"/>
      <c r="E31" s="388"/>
      <c r="F31" s="388"/>
      <c r="G31" s="402"/>
      <c r="H31" s="402"/>
      <c r="I31" s="403"/>
      <c r="J31" s="387"/>
      <c r="K31" s="388"/>
      <c r="L31" s="388"/>
      <c r="M31" s="388"/>
      <c r="N31" s="403"/>
      <c r="O31" s="387"/>
      <c r="P31" s="388"/>
      <c r="Q31" s="388"/>
      <c r="R31" s="388"/>
      <c r="S31" s="402"/>
      <c r="T31" s="402"/>
      <c r="U31" s="403"/>
      <c r="V31" s="403"/>
      <c r="X31" s="388"/>
      <c r="Y31" s="388"/>
      <c r="Z31" s="402"/>
      <c r="AA31" s="403"/>
      <c r="AB31" s="403"/>
    </row>
    <row r="32" spans="1:28">
      <c r="A32" s="386">
        <f t="shared" si="23"/>
        <v>28</v>
      </c>
      <c r="B32" s="389" t="s">
        <v>17</v>
      </c>
      <c r="C32" s="387"/>
      <c r="D32" s="388">
        <f>+'Revenue By Sch TY'!D20</f>
        <v>1945214.1669999999</v>
      </c>
      <c r="E32" s="388"/>
      <c r="F32" s="388">
        <f>'[1]Exhibit No.__(BDJ-Prof-Prop)'!$G$39*12</f>
        <v>240</v>
      </c>
      <c r="G32" s="418">
        <f>+'[1]Exhibit No.__(BDJ-Tariff)'!$T$138</f>
        <v>115</v>
      </c>
      <c r="H32" s="402"/>
      <c r="I32" s="403">
        <f>ROUND(F32*G32,0)/1000</f>
        <v>27.6</v>
      </c>
      <c r="J32" s="387"/>
      <c r="K32" s="388">
        <f>'Sch 95 PCORC'!J32</f>
        <v>1895530</v>
      </c>
      <c r="L32" s="388"/>
      <c r="M32" s="388">
        <f>'[1]Exhibit No.__(BDJ-MYRP)'!$I$148</f>
        <v>240</v>
      </c>
      <c r="N32" s="403">
        <f>ROUND(M32*G32,0)/1000</f>
        <v>27.6</v>
      </c>
      <c r="O32" s="387"/>
      <c r="P32" s="388">
        <f>'Sch 95 PCORC'!N32</f>
        <v>1895104</v>
      </c>
      <c r="Q32" s="388"/>
      <c r="R32" s="388">
        <f>'[1]Exhibit No.__(BDJ-MYRP)'!$O$148</f>
        <v>240</v>
      </c>
      <c r="S32" s="418">
        <f>+'[1]Exhibit No.__(BDJ-Tariff)'!$U$138</f>
        <v>396</v>
      </c>
      <c r="T32" s="402"/>
      <c r="U32" s="403">
        <f>ROUND(R32*G32,0)/1000</f>
        <v>27.6</v>
      </c>
      <c r="V32" s="403">
        <f>ROUND(R32*S32,0)/1000</f>
        <v>95.04</v>
      </c>
      <c r="X32" s="388"/>
      <c r="Y32" s="388"/>
      <c r="Z32" s="402"/>
      <c r="AA32" s="403"/>
      <c r="AB32" s="403"/>
    </row>
    <row r="33" spans="1:28">
      <c r="A33" s="386">
        <f t="shared" si="23"/>
        <v>29</v>
      </c>
      <c r="B33" s="389" t="s">
        <v>262</v>
      </c>
      <c r="C33" s="387"/>
      <c r="D33" s="388">
        <f>+'Revenue By Sch TY'!D21</f>
        <v>278070.311162</v>
      </c>
      <c r="E33" s="388"/>
      <c r="F33" s="388"/>
      <c r="G33" s="402">
        <f>+'[1]Exhibit No.__(BDJ-Tariff)'!$T$110</f>
        <v>4.2700000000000002E-4</v>
      </c>
      <c r="H33" s="402"/>
      <c r="I33" s="403">
        <f>ROUND(((D33*G33)+(E33*H33)),0)</f>
        <v>119</v>
      </c>
      <c r="J33" s="387"/>
      <c r="K33" s="388">
        <f>'Sch 95 PCORC'!J33</f>
        <v>289426</v>
      </c>
      <c r="L33" s="388"/>
      <c r="M33" s="388"/>
      <c r="N33" s="403">
        <f>ROUND(((K33*G33)+(L33*H33)),0)</f>
        <v>124</v>
      </c>
      <c r="O33" s="387"/>
      <c r="P33" s="388">
        <f>'Sch 95 PCORC'!N33</f>
        <v>289426</v>
      </c>
      <c r="Q33" s="388"/>
      <c r="R33" s="388"/>
      <c r="S33" s="402">
        <f>+'[1]Exhibit No.__(BDJ-Tariff)'!$U$110</f>
        <v>1.474E-3</v>
      </c>
      <c r="T33" s="402"/>
      <c r="U33" s="403">
        <f>ROUND(((P33*G33)+(Q33*H33)),0)</f>
        <v>124</v>
      </c>
      <c r="V33" s="403">
        <f>ROUND(((P33*S33)+(Q33*T33)),0)</f>
        <v>427</v>
      </c>
      <c r="X33" s="388"/>
      <c r="Y33" s="388"/>
      <c r="Z33" s="402"/>
      <c r="AA33" s="403"/>
      <c r="AB33" s="403"/>
    </row>
    <row r="34" spans="1:28">
      <c r="A34" s="386">
        <f t="shared" si="23"/>
        <v>30</v>
      </c>
      <c r="B34" s="389"/>
      <c r="C34" s="387" t="s">
        <v>263</v>
      </c>
      <c r="D34" s="390">
        <f>SUM(D32:D33)</f>
        <v>2223284.478162</v>
      </c>
      <c r="E34" s="390"/>
      <c r="F34" s="390"/>
      <c r="G34" s="404"/>
      <c r="H34" s="404"/>
      <c r="I34" s="405">
        <f t="shared" ref="I34" si="24">SUM(I32:I33)</f>
        <v>146.6</v>
      </c>
      <c r="J34" s="387"/>
      <c r="K34" s="390">
        <f>SUM(K32:K33)</f>
        <v>2184956</v>
      </c>
      <c r="L34" s="390"/>
      <c r="M34" s="390"/>
      <c r="N34" s="405">
        <f t="shared" ref="N34" si="25">SUM(N32:N33)</f>
        <v>151.6</v>
      </c>
      <c r="O34" s="387"/>
      <c r="P34" s="390">
        <f>SUM(P32:P33)</f>
        <v>2184530</v>
      </c>
      <c r="Q34" s="390"/>
      <c r="R34" s="390"/>
      <c r="S34" s="404"/>
      <c r="T34" s="404"/>
      <c r="U34" s="405">
        <f t="shared" ref="U34:V34" si="26">SUM(U32:U33)</f>
        <v>151.6</v>
      </c>
      <c r="V34" s="405">
        <f t="shared" si="26"/>
        <v>522.04</v>
      </c>
      <c r="X34" s="390"/>
      <c r="Y34" s="390"/>
      <c r="Z34" s="404"/>
      <c r="AA34" s="405"/>
      <c r="AB34" s="405"/>
    </row>
    <row r="35" spans="1:28">
      <c r="A35" s="385">
        <v>29</v>
      </c>
      <c r="B35" s="386"/>
      <c r="C35" s="387"/>
      <c r="D35" s="388"/>
      <c r="E35" s="388"/>
      <c r="F35" s="388"/>
      <c r="G35" s="402"/>
      <c r="H35" s="402"/>
      <c r="I35" s="403"/>
      <c r="J35" s="387"/>
      <c r="K35" s="388"/>
      <c r="L35" s="388"/>
      <c r="M35" s="388"/>
      <c r="N35" s="403"/>
      <c r="O35" s="387"/>
      <c r="P35" s="388"/>
      <c r="Q35" s="388"/>
      <c r="R35" s="388"/>
      <c r="S35" s="402"/>
      <c r="T35" s="402"/>
      <c r="U35" s="403"/>
      <c r="V35" s="403"/>
      <c r="X35" s="388"/>
      <c r="Y35" s="388"/>
      <c r="Z35" s="402"/>
      <c r="AA35" s="403"/>
      <c r="AB35" s="403"/>
    </row>
    <row r="36" spans="1:28" ht="10.8" thickBot="1">
      <c r="A36" s="385">
        <v>30</v>
      </c>
      <c r="B36" s="386"/>
      <c r="C36" s="391" t="s">
        <v>66</v>
      </c>
      <c r="D36" s="393">
        <f>SUM(D9,D18,D24,D28,D30,D34)</f>
        <v>22980976.256595761</v>
      </c>
      <c r="E36" s="393"/>
      <c r="F36" s="393"/>
      <c r="G36" s="406"/>
      <c r="H36" s="406"/>
      <c r="I36" s="407">
        <f>SUM(I9,I18,I24,I28,I30,I34)</f>
        <v>43802.6</v>
      </c>
      <c r="J36" s="387"/>
      <c r="K36" s="393">
        <f>SUM(K9,K18,K24,K28,K30,K34)</f>
        <v>22715537.8675</v>
      </c>
      <c r="L36" s="393"/>
      <c r="M36" s="393"/>
      <c r="N36" s="407">
        <f>SUM(N9,N18,N24,N28,N30,N34)</f>
        <v>43174.6</v>
      </c>
      <c r="O36" s="387"/>
      <c r="P36" s="393">
        <f>SUM(P9,P18,P24,P28,P30,P34)</f>
        <v>22906810.8475</v>
      </c>
      <c r="Q36" s="393"/>
      <c r="R36" s="393"/>
      <c r="S36" s="406"/>
      <c r="T36" s="406"/>
      <c r="U36" s="407">
        <f>SUM(U9,U18,U24,U28,U30,U34)</f>
        <v>43559.6</v>
      </c>
      <c r="V36" s="407">
        <f>SUM(V9,V18,V24,V28,V30,V34)</f>
        <v>149141.04</v>
      </c>
      <c r="X36" s="393"/>
      <c r="Y36" s="393"/>
      <c r="Z36" s="406"/>
      <c r="AA36" s="407"/>
      <c r="AB36" s="407"/>
    </row>
    <row r="37" spans="1:28" ht="10.8" thickTop="1">
      <c r="A37" s="385">
        <v>31</v>
      </c>
      <c r="B37" s="386"/>
      <c r="C37" s="387"/>
      <c r="D37" s="387"/>
      <c r="E37" s="387"/>
      <c r="F37" s="387"/>
      <c r="G37" s="387"/>
      <c r="H37" s="387"/>
      <c r="I37" s="403"/>
      <c r="J37" s="423"/>
      <c r="K37" s="387"/>
      <c r="L37" s="387"/>
      <c r="M37" s="387"/>
      <c r="N37" s="403"/>
      <c r="O37" s="423"/>
      <c r="P37" s="387"/>
      <c r="Q37" s="387"/>
      <c r="R37" s="387"/>
      <c r="S37" s="387"/>
      <c r="T37" s="387"/>
      <c r="U37" s="403"/>
      <c r="V37" s="403"/>
      <c r="X37" s="387"/>
      <c r="Y37" s="387"/>
      <c r="Z37" s="387"/>
      <c r="AA37" s="403"/>
      <c r="AB37" s="403"/>
    </row>
    <row r="38" spans="1:28">
      <c r="B38" s="386">
        <v>5</v>
      </c>
      <c r="C38" s="387" t="s">
        <v>67</v>
      </c>
      <c r="D38" s="390">
        <f>+'Revenue By Sch TY'!D22</f>
        <v>7372.3372879022108</v>
      </c>
      <c r="E38" s="390">
        <f>'[1]Exhibit No.__(BDJ-Prof-Prop)'!$J$47</f>
        <v>14.507</v>
      </c>
      <c r="F38" s="656"/>
      <c r="G38" s="712">
        <f>+'[1]Exhibit No.__(BDJ-MYRP)'!$S$162</f>
        <v>4.0330000000000001E-3</v>
      </c>
      <c r="H38" s="713">
        <f>'[1]Exhibit No.__(BDJ-MYRP)'!$M$163</f>
        <v>0.18</v>
      </c>
      <c r="I38" s="405">
        <f>ROUND(((D38*G38)+(E38*H38)),0)</f>
        <v>32</v>
      </c>
      <c r="J38" s="423"/>
      <c r="K38" s="390">
        <f>'Sch 95 PCORC'!J38</f>
        <v>7521</v>
      </c>
      <c r="L38" s="390">
        <f>'[1]Exhibit No.__(BDJ-MYRP)'!$I$163/1000</f>
        <v>14.950857165103656</v>
      </c>
      <c r="M38" s="390"/>
      <c r="N38" s="405">
        <f>ROUND(((K38*G38)+(L38*H38)),0)</f>
        <v>33</v>
      </c>
      <c r="O38" s="423"/>
      <c r="P38" s="390">
        <f>'Sch 95 PCORC'!N38</f>
        <v>7552</v>
      </c>
      <c r="Q38" s="390">
        <f>'[1]Exhibit No.__(BDJ-MYRP)'!$O$163/1000</f>
        <v>14.941592782693014</v>
      </c>
      <c r="R38" s="390"/>
      <c r="S38" s="404">
        <f>+'[1]Exhibit No.__(BDJ-MYRP)'!$S$162</f>
        <v>4.0330000000000001E-3</v>
      </c>
      <c r="T38" s="715">
        <f>'[1]Exhibit No.__(BDJ-MYRP)'!$S$163</f>
        <v>0.61</v>
      </c>
      <c r="U38" s="403">
        <f>ROUND(((P38*G38)+(Q38*H38)),0)</f>
        <v>33</v>
      </c>
      <c r="V38" s="403">
        <f>ROUND(((P38*S38)+(Q38*T38)),0)</f>
        <v>40</v>
      </c>
      <c r="X38" s="388"/>
      <c r="Y38" s="388"/>
      <c r="Z38" s="404"/>
      <c r="AA38" s="403"/>
      <c r="AB38" s="405"/>
    </row>
    <row r="39" spans="1:28">
      <c r="B39" s="386"/>
      <c r="C39" s="387"/>
      <c r="D39" s="387"/>
      <c r="E39" s="387"/>
      <c r="F39" s="387"/>
      <c r="G39" s="387"/>
      <c r="H39" s="387"/>
      <c r="I39" s="403"/>
      <c r="J39" s="423"/>
      <c r="K39" s="387"/>
      <c r="L39" s="387"/>
      <c r="M39" s="387"/>
      <c r="N39" s="403"/>
      <c r="O39" s="423"/>
      <c r="P39" s="387"/>
      <c r="Q39" s="387"/>
      <c r="R39" s="387"/>
      <c r="S39" s="387"/>
      <c r="T39" s="423"/>
      <c r="U39" s="403"/>
      <c r="V39" s="403"/>
      <c r="X39" s="387"/>
      <c r="Y39" s="387"/>
      <c r="Z39" s="387"/>
      <c r="AA39" s="403"/>
      <c r="AB39" s="403"/>
    </row>
    <row r="40" spans="1:28" ht="10.8" thickBot="1">
      <c r="B40" s="386"/>
      <c r="C40" s="391" t="s">
        <v>68</v>
      </c>
      <c r="D40" s="393">
        <f>SUM(D36,D38)</f>
        <v>22988348.593883663</v>
      </c>
      <c r="E40" s="394"/>
      <c r="F40" s="387"/>
      <c r="G40" s="387"/>
      <c r="H40" s="387"/>
      <c r="I40" s="407">
        <f t="shared" ref="I40" si="27">SUM(I36,I38)</f>
        <v>43834.6</v>
      </c>
      <c r="J40" s="423"/>
      <c r="K40" s="393">
        <f>SUM(K36,K38)</f>
        <v>22723058.8675</v>
      </c>
      <c r="L40" s="394"/>
      <c r="M40" s="394"/>
      <c r="N40" s="407">
        <f t="shared" ref="N40" si="28">SUM(N36,N38)</f>
        <v>43207.6</v>
      </c>
      <c r="O40" s="423"/>
      <c r="P40" s="393">
        <f>SUM(P36,P38)</f>
        <v>22914362.8475</v>
      </c>
      <c r="Q40" s="394"/>
      <c r="R40" s="394"/>
      <c r="S40" s="387"/>
      <c r="T40" s="423"/>
      <c r="U40" s="407">
        <f t="shared" ref="U40:V40" si="29">SUM(U36,U38)</f>
        <v>43592.6</v>
      </c>
      <c r="V40" s="407">
        <f t="shared" si="29"/>
        <v>149181.04</v>
      </c>
      <c r="X40" s="393"/>
      <c r="Y40" s="394"/>
      <c r="Z40" s="387"/>
      <c r="AA40" s="407"/>
      <c r="AB40" s="407"/>
    </row>
    <row r="41" spans="1:28" ht="10.8" thickTop="1">
      <c r="F41" s="387"/>
      <c r="K41" s="387"/>
      <c r="N41" s="387"/>
      <c r="P41" s="387"/>
      <c r="U41" s="387"/>
      <c r="V41" s="387"/>
    </row>
    <row r="42" spans="1:28" ht="10.8" thickBot="1">
      <c r="F42" s="387"/>
      <c r="N42" s="407">
        <f>'[1]Exhibit No.__(BDJ-MYRP-SUM)'!$O$29</f>
        <v>43185.398517527879</v>
      </c>
      <c r="U42" s="387"/>
      <c r="V42" s="407">
        <f>'[1]Exhibit No.__(BDJ-MYRP-SUM)'!$U$29</f>
        <v>149180.68178905433</v>
      </c>
      <c r="AB42" s="407"/>
    </row>
    <row r="43" spans="1:28" ht="10.8" thickTop="1">
      <c r="N43" s="396">
        <f>N40-N42</f>
        <v>22.201482472119096</v>
      </c>
      <c r="V43" s="396">
        <f>+V42-V40</f>
        <v>-0.35821094567654654</v>
      </c>
      <c r="AB43" s="416"/>
    </row>
    <row r="45" spans="1:28">
      <c r="V45" s="396">
        <f>+V40-U40</f>
        <v>105588.44</v>
      </c>
      <c r="AB45" s="416"/>
    </row>
    <row r="46" spans="1:28">
      <c r="B46" s="711" t="s">
        <v>874</v>
      </c>
    </row>
    <row r="49" spans="4:22">
      <c r="D49" s="717"/>
      <c r="E49" s="717"/>
      <c r="F49" s="717"/>
      <c r="G49" s="717"/>
      <c r="H49" s="717"/>
      <c r="I49" s="717"/>
      <c r="J49" s="717"/>
      <c r="K49" s="717"/>
      <c r="L49" s="717"/>
      <c r="M49" s="717"/>
      <c r="N49" s="717"/>
      <c r="O49" s="717"/>
      <c r="P49" s="717"/>
      <c r="Q49" s="717"/>
      <c r="R49" s="717"/>
      <c r="S49" s="717"/>
      <c r="T49" s="717"/>
      <c r="U49" s="717"/>
      <c r="V49" s="717"/>
    </row>
  </sheetData>
  <mergeCells count="6">
    <mergeCell ref="K5:N5"/>
    <mergeCell ref="P5:V5"/>
    <mergeCell ref="X5:AB5"/>
    <mergeCell ref="A1:I1"/>
    <mergeCell ref="A2:I2"/>
    <mergeCell ref="A3:I3"/>
  </mergeCells>
  <printOptions horizontalCentered="1"/>
  <pageMargins left="0.7" right="0.7" top="0.75" bottom="0.88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R42"/>
  <sheetViews>
    <sheetView zoomScaleNormal="10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activeCell="G18" sqref="G18:G19"/>
    </sheetView>
  </sheetViews>
  <sheetFormatPr defaultColWidth="3.5546875" defaultRowHeight="10.199999999999999"/>
  <cols>
    <col min="1" max="1" width="5" style="384" customWidth="1"/>
    <col min="2" max="2" width="13.6640625" style="384" bestFit="1" customWidth="1"/>
    <col min="3" max="3" width="21" style="384" bestFit="1" customWidth="1"/>
    <col min="4" max="4" width="13.6640625" style="384" customWidth="1"/>
    <col min="5" max="5" width="14.44140625" style="384" bestFit="1" customWidth="1"/>
    <col min="6" max="6" width="14.44140625" style="384" customWidth="1"/>
    <col min="7" max="8" width="15.44140625" style="384" customWidth="1"/>
    <col min="9" max="9" width="2" style="387" customWidth="1"/>
    <col min="10" max="10" width="11.33203125" style="387" bestFit="1" customWidth="1"/>
    <col min="11" max="11" width="14.44140625" style="387" bestFit="1" customWidth="1"/>
    <col min="12" max="12" width="10" style="387" customWidth="1"/>
    <col min="13" max="13" width="1.5546875" style="387" customWidth="1"/>
    <col min="14" max="14" width="11.33203125" style="387" bestFit="1" customWidth="1"/>
    <col min="15" max="15" width="8.44140625" style="387" bestFit="1" customWidth="1"/>
    <col min="16" max="16" width="2" style="387" customWidth="1"/>
    <col min="17" max="17" width="11.33203125" style="387" bestFit="1" customWidth="1"/>
    <col min="18" max="18" width="8.44140625" style="387" bestFit="1" customWidth="1"/>
    <col min="19" max="16384" width="3.5546875" style="384"/>
  </cols>
  <sheetData>
    <row r="1" spans="1:18" s="395" customFormat="1">
      <c r="A1" s="772" t="s">
        <v>0</v>
      </c>
      <c r="B1" s="772"/>
      <c r="C1" s="772"/>
      <c r="D1" s="772"/>
      <c r="E1" s="772"/>
      <c r="F1" s="772"/>
      <c r="G1" s="772"/>
      <c r="H1" s="398"/>
      <c r="I1" s="409"/>
      <c r="J1" s="409"/>
      <c r="K1" s="409"/>
      <c r="L1" s="409"/>
      <c r="M1" s="409"/>
      <c r="N1" s="409"/>
      <c r="O1" s="409"/>
      <c r="P1" s="409"/>
      <c r="Q1" s="409"/>
      <c r="R1" s="409"/>
    </row>
    <row r="2" spans="1:18" s="395" customFormat="1">
      <c r="A2" s="773" t="s">
        <v>509</v>
      </c>
      <c r="B2" s="772"/>
      <c r="C2" s="772"/>
      <c r="D2" s="772"/>
      <c r="E2" s="772"/>
      <c r="F2" s="772"/>
      <c r="G2" s="772"/>
      <c r="H2" s="398"/>
      <c r="I2" s="409"/>
      <c r="J2" s="409"/>
      <c r="K2" s="409"/>
      <c r="L2" s="409"/>
      <c r="M2" s="409"/>
      <c r="N2" s="409"/>
      <c r="O2" s="409"/>
      <c r="P2" s="409"/>
      <c r="Q2" s="409"/>
      <c r="R2" s="409"/>
    </row>
    <row r="3" spans="1:18" s="395" customFormat="1">
      <c r="A3" s="772" t="str">
        <f>+'Revenue By Sch TY'!A3</f>
        <v>Test Year ended June 2021</v>
      </c>
      <c r="B3" s="772"/>
      <c r="C3" s="772"/>
      <c r="D3" s="772"/>
      <c r="E3" s="772"/>
      <c r="F3" s="772"/>
      <c r="G3" s="772"/>
      <c r="H3" s="398"/>
      <c r="I3" s="409"/>
      <c r="J3" s="409"/>
      <c r="K3" s="409"/>
      <c r="L3" s="409"/>
      <c r="M3" s="409"/>
      <c r="N3" s="409"/>
      <c r="O3" s="409"/>
      <c r="P3" s="409"/>
      <c r="Q3" s="409"/>
      <c r="R3" s="409"/>
    </row>
    <row r="4" spans="1:18" s="395" customFormat="1">
      <c r="A4" s="772" t="str">
        <f>+'Revenue By Sch TY'!A4</f>
        <v>$ x 1000</v>
      </c>
      <c r="B4" s="772"/>
      <c r="C4" s="772"/>
      <c r="D4" s="772"/>
      <c r="E4" s="772"/>
      <c r="F4" s="772"/>
      <c r="G4" s="772"/>
      <c r="H4" s="398"/>
      <c r="I4" s="409"/>
      <c r="J4" s="409"/>
      <c r="K4" s="409"/>
      <c r="L4" s="409"/>
      <c r="M4" s="409"/>
      <c r="N4" s="409"/>
      <c r="O4" s="409"/>
      <c r="P4" s="409"/>
      <c r="Q4" s="409"/>
      <c r="R4" s="409"/>
    </row>
    <row r="5" spans="1:18" s="395" customFormat="1">
      <c r="A5" s="772" t="s">
        <v>511</v>
      </c>
      <c r="B5" s="772"/>
      <c r="C5" s="772"/>
      <c r="D5" s="772"/>
      <c r="E5" s="772"/>
      <c r="F5" s="772"/>
      <c r="G5" s="772"/>
      <c r="H5" s="398"/>
      <c r="I5" s="409"/>
      <c r="J5" s="803" t="s">
        <v>512</v>
      </c>
      <c r="K5" s="803"/>
      <c r="L5" s="803"/>
      <c r="M5" s="409"/>
      <c r="N5" s="802" t="s">
        <v>515</v>
      </c>
      <c r="O5" s="802"/>
      <c r="P5" s="409"/>
      <c r="Q5" s="802" t="s">
        <v>514</v>
      </c>
      <c r="R5" s="803"/>
    </row>
    <row r="6" spans="1:18" s="395" customFormat="1" ht="40.799999999999997">
      <c r="A6" s="399" t="s">
        <v>167</v>
      </c>
      <c r="B6" s="399" t="s">
        <v>3</v>
      </c>
      <c r="C6" s="399" t="s">
        <v>31</v>
      </c>
      <c r="D6" s="400" t="str">
        <f>+'Revenue By Sch TY'!D7</f>
        <v>Annual mWh
Delivered Sales 
YE 06-2021</v>
      </c>
      <c r="E6" s="400" t="s">
        <v>435</v>
      </c>
      <c r="F6" s="400" t="s">
        <v>546</v>
      </c>
      <c r="G6" s="400" t="s">
        <v>443</v>
      </c>
      <c r="H6" s="400" t="s">
        <v>547</v>
      </c>
      <c r="I6" s="409"/>
      <c r="J6" s="400" t="s">
        <v>522</v>
      </c>
      <c r="K6" s="400" t="str">
        <f>+G6</f>
        <v>Sch 141X 
Deferred Tax Rider
Effective
October 1, 2021</v>
      </c>
      <c r="L6" s="400" t="s">
        <v>513</v>
      </c>
      <c r="M6" s="400"/>
      <c r="N6" s="400" t="str">
        <f>+J6</f>
        <v>Annual Delivered MWh</v>
      </c>
      <c r="O6" s="400" t="str">
        <f>+L6</f>
        <v>Annual Delivered $</v>
      </c>
      <c r="P6" s="400"/>
      <c r="Q6" s="400" t="str">
        <f>+N6</f>
        <v>Annual Delivered MWh</v>
      </c>
      <c r="R6" s="400" t="str">
        <f>+N6</f>
        <v>Annual Delivered MWh</v>
      </c>
    </row>
    <row r="7" spans="1:18">
      <c r="A7" s="385">
        <v>1</v>
      </c>
      <c r="B7" s="386">
        <v>7</v>
      </c>
      <c r="C7" s="387"/>
      <c r="D7" s="388">
        <f>+'Revenue By Sch TY'!D9</f>
        <v>11355354.571603522</v>
      </c>
      <c r="E7" s="402">
        <f>+'UE-190529 (PLR) 141x'!M12</f>
        <v>8.4999999999999995E-4</v>
      </c>
      <c r="F7" s="402">
        <v>0</v>
      </c>
      <c r="G7" s="403">
        <f>ROUND(D7*E7,0)</f>
        <v>9652</v>
      </c>
      <c r="H7" s="403">
        <f>ROUND(D7*F7,0)</f>
        <v>0</v>
      </c>
      <c r="J7" s="388">
        <f>+'[1]Exhibit No.__(BDJ-MYRP-SUM)'!$K$14</f>
        <v>10963050.375499999</v>
      </c>
      <c r="K7" s="403">
        <f>ROUND($E7*J7,0)</f>
        <v>9319</v>
      </c>
      <c r="L7" s="403">
        <f>ROUND($F7*J7,0)</f>
        <v>0</v>
      </c>
      <c r="M7" s="403"/>
      <c r="N7" s="388">
        <f>+'[1]Exhibit No.__(BDJ-MYRP-SUM)'!$Q$14</f>
        <v>11064440.8695</v>
      </c>
      <c r="O7" s="403">
        <f>ROUND($F7*N7,0)</f>
        <v>0</v>
      </c>
      <c r="Q7" s="388"/>
      <c r="R7" s="403"/>
    </row>
    <row r="8" spans="1:18">
      <c r="A8" s="385">
        <v>2</v>
      </c>
      <c r="B8" s="389" t="s">
        <v>10</v>
      </c>
      <c r="C8" s="387"/>
      <c r="D8" s="388">
        <v>0</v>
      </c>
      <c r="E8" s="402">
        <f>+'UE-190529 (PLR) 141x'!M17</f>
        <v>7.1400000000000001E-4</v>
      </c>
      <c r="F8" s="402">
        <v>0</v>
      </c>
      <c r="G8" s="403">
        <f>ROUND(D8*E8,0)</f>
        <v>0</v>
      </c>
      <c r="H8" s="403">
        <f>ROUND(D8*F8,0)</f>
        <v>0</v>
      </c>
      <c r="J8" s="388">
        <v>0</v>
      </c>
      <c r="K8" s="403">
        <f>ROUND($E8*J8,0)</f>
        <v>0</v>
      </c>
      <c r="L8" s="403">
        <f>ROUND($F8*J8,0)</f>
        <v>0</v>
      </c>
      <c r="M8" s="403"/>
      <c r="N8" s="388">
        <v>0</v>
      </c>
      <c r="O8" s="403">
        <f>ROUND($F8*N8,0)</f>
        <v>0</v>
      </c>
      <c r="Q8" s="388"/>
      <c r="R8" s="403"/>
    </row>
    <row r="9" spans="1:18">
      <c r="A9" s="385">
        <v>3</v>
      </c>
      <c r="B9" s="386"/>
      <c r="C9" s="387" t="s">
        <v>11</v>
      </c>
      <c r="D9" s="390">
        <f>SUM(D7:D8)</f>
        <v>11355354.571603522</v>
      </c>
      <c r="E9" s="404"/>
      <c r="F9" s="404"/>
      <c r="G9" s="405">
        <f t="shared" ref="G9:H9" si="0">SUM(G7:G8)</f>
        <v>9652</v>
      </c>
      <c r="H9" s="405">
        <f t="shared" si="0"/>
        <v>0</v>
      </c>
      <c r="J9" s="390">
        <f>SUM(J7:J8)</f>
        <v>10963050.375499999</v>
      </c>
      <c r="K9" s="405">
        <f t="shared" ref="K9:L9" si="1">SUM(K7:K8)</f>
        <v>9319</v>
      </c>
      <c r="L9" s="405">
        <f t="shared" si="1"/>
        <v>0</v>
      </c>
      <c r="M9" s="412"/>
      <c r="N9" s="390">
        <f>SUM(N7:N8)</f>
        <v>11064440.8695</v>
      </c>
      <c r="O9" s="405">
        <f t="shared" ref="O9" si="2">SUM(O7:O8)</f>
        <v>0</v>
      </c>
      <c r="Q9" s="390"/>
      <c r="R9" s="405"/>
    </row>
    <row r="10" spans="1:18">
      <c r="A10" s="385">
        <v>4</v>
      </c>
      <c r="B10" s="386"/>
      <c r="C10" s="387"/>
      <c r="D10" s="388"/>
      <c r="E10" s="402"/>
      <c r="F10" s="402"/>
      <c r="G10" s="403"/>
      <c r="H10" s="403"/>
      <c r="J10" s="388"/>
      <c r="K10" s="403"/>
      <c r="L10" s="403"/>
      <c r="M10" s="403"/>
      <c r="N10" s="388"/>
      <c r="O10" s="403"/>
      <c r="Q10" s="388"/>
      <c r="R10" s="403"/>
    </row>
    <row r="11" spans="1:18">
      <c r="A11" s="385">
        <v>5</v>
      </c>
      <c r="B11" s="386">
        <v>8</v>
      </c>
      <c r="C11" s="387"/>
      <c r="D11" s="388">
        <v>0</v>
      </c>
      <c r="E11" s="402">
        <f>+'UE-190529 (PLR) 141x'!M16</f>
        <v>7.4299999999999995E-4</v>
      </c>
      <c r="F11" s="402">
        <v>0</v>
      </c>
      <c r="G11" s="403">
        <f t="shared" ref="G11:G17" si="3">ROUND(D11*E11,0)</f>
        <v>0</v>
      </c>
      <c r="H11" s="403">
        <f t="shared" ref="H11:H17" si="4">ROUND(D11*F11,0)</f>
        <v>0</v>
      </c>
      <c r="J11" s="388">
        <v>0</v>
      </c>
      <c r="K11" s="403">
        <f t="shared" ref="K11:K17" si="5">ROUND($E11*J11,0)</f>
        <v>0</v>
      </c>
      <c r="L11" s="403">
        <f t="shared" ref="L11:L17" si="6">ROUND($F11*J11,0)</f>
        <v>0</v>
      </c>
      <c r="M11" s="403"/>
      <c r="N11" s="388">
        <v>0</v>
      </c>
      <c r="O11" s="403">
        <f t="shared" ref="O11:O17" si="7">ROUND($F11*N11,0)</f>
        <v>0</v>
      </c>
      <c r="Q11" s="388"/>
      <c r="R11" s="403"/>
    </row>
    <row r="12" spans="1:18">
      <c r="A12" s="385">
        <v>6</v>
      </c>
      <c r="B12" s="386">
        <v>24</v>
      </c>
      <c r="C12" s="387"/>
      <c r="D12" s="388">
        <f>+'Revenue By Sch TY'!D10</f>
        <v>2658833.1030243803</v>
      </c>
      <c r="E12" s="402">
        <f>+E11</f>
        <v>7.4299999999999995E-4</v>
      </c>
      <c r="F12" s="402">
        <v>0</v>
      </c>
      <c r="G12" s="403">
        <f t="shared" si="3"/>
        <v>1976</v>
      </c>
      <c r="H12" s="403">
        <f t="shared" si="4"/>
        <v>0</v>
      </c>
      <c r="J12" s="388">
        <f>+'[1]Exhibit No.__(BDJ-MYRP-SUM)'!$K$15</f>
        <v>2697633</v>
      </c>
      <c r="K12" s="403">
        <f t="shared" si="5"/>
        <v>2004</v>
      </c>
      <c r="L12" s="403">
        <f t="shared" si="6"/>
        <v>0</v>
      </c>
      <c r="M12" s="403"/>
      <c r="N12" s="388">
        <f>+'[1]Exhibit No.__(BDJ-MYRP-SUM)'!$Q$15</f>
        <v>2730372</v>
      </c>
      <c r="O12" s="403">
        <f t="shared" si="7"/>
        <v>0</v>
      </c>
      <c r="Q12" s="388"/>
      <c r="R12" s="403"/>
    </row>
    <row r="13" spans="1:18">
      <c r="A13" s="385">
        <v>7</v>
      </c>
      <c r="B13" s="389">
        <v>11</v>
      </c>
      <c r="C13" s="387"/>
      <c r="D13" s="388">
        <v>0</v>
      </c>
      <c r="E13" s="402">
        <f>+E8</f>
        <v>7.1400000000000001E-4</v>
      </c>
      <c r="F13" s="402">
        <v>0</v>
      </c>
      <c r="G13" s="403">
        <f t="shared" si="3"/>
        <v>0</v>
      </c>
      <c r="H13" s="403">
        <f t="shared" si="4"/>
        <v>0</v>
      </c>
      <c r="J13" s="388">
        <v>0</v>
      </c>
      <c r="K13" s="403">
        <f t="shared" si="5"/>
        <v>0</v>
      </c>
      <c r="L13" s="403">
        <f t="shared" si="6"/>
        <v>0</v>
      </c>
      <c r="M13" s="403"/>
      <c r="N13" s="388">
        <v>0</v>
      </c>
      <c r="O13" s="403">
        <f t="shared" si="7"/>
        <v>0</v>
      </c>
      <c r="Q13" s="388"/>
      <c r="R13" s="403"/>
    </row>
    <row r="14" spans="1:18">
      <c r="A14" s="385">
        <v>8</v>
      </c>
      <c r="B14" s="389">
        <v>25</v>
      </c>
      <c r="C14" s="387"/>
      <c r="D14" s="388">
        <f>+'Revenue By Sch TY'!D11</f>
        <v>2856045.8325844579</v>
      </c>
      <c r="E14" s="402">
        <f>+E13</f>
        <v>7.1400000000000001E-4</v>
      </c>
      <c r="F14" s="402">
        <v>0</v>
      </c>
      <c r="G14" s="403">
        <f t="shared" si="3"/>
        <v>2039</v>
      </c>
      <c r="H14" s="403">
        <f t="shared" si="4"/>
        <v>0</v>
      </c>
      <c r="J14" s="388">
        <f>+'[1]Exhibit No.__(BDJ-MYRP-SUM)'!$K$16</f>
        <v>2911699.0000000005</v>
      </c>
      <c r="K14" s="403">
        <f t="shared" si="5"/>
        <v>2079</v>
      </c>
      <c r="L14" s="403">
        <f t="shared" si="6"/>
        <v>0</v>
      </c>
      <c r="M14" s="403"/>
      <c r="N14" s="388">
        <f>+'[1]Exhibit No.__(BDJ-MYRP-SUM)'!$Q$16</f>
        <v>2948172</v>
      </c>
      <c r="O14" s="403">
        <f t="shared" si="7"/>
        <v>0</v>
      </c>
      <c r="Q14" s="388"/>
      <c r="R14" s="403"/>
    </row>
    <row r="15" spans="1:18">
      <c r="A15" s="385">
        <v>9</v>
      </c>
      <c r="B15" s="386">
        <v>12</v>
      </c>
      <c r="C15" s="387"/>
      <c r="D15" s="388">
        <v>0</v>
      </c>
      <c r="E15" s="402">
        <f>+'UE-190529 (PLR) 141x'!M18</f>
        <v>6.3400000000000001E-4</v>
      </c>
      <c r="F15" s="402">
        <v>0</v>
      </c>
      <c r="G15" s="403">
        <f t="shared" si="3"/>
        <v>0</v>
      </c>
      <c r="H15" s="403">
        <f t="shared" si="4"/>
        <v>0</v>
      </c>
      <c r="J15" s="388">
        <v>0</v>
      </c>
      <c r="K15" s="403">
        <f t="shared" si="5"/>
        <v>0</v>
      </c>
      <c r="L15" s="403">
        <f t="shared" si="6"/>
        <v>0</v>
      </c>
      <c r="M15" s="403"/>
      <c r="N15" s="388">
        <v>0</v>
      </c>
      <c r="O15" s="403">
        <f t="shared" si="7"/>
        <v>0</v>
      </c>
      <c r="Q15" s="388"/>
      <c r="R15" s="403"/>
    </row>
    <row r="16" spans="1:18">
      <c r="A16" s="385">
        <v>10</v>
      </c>
      <c r="B16" s="386" t="s">
        <v>12</v>
      </c>
      <c r="C16" s="387"/>
      <c r="D16" s="388">
        <f>+'Revenue By Sch TY'!D12</f>
        <v>1761911.047761543</v>
      </c>
      <c r="E16" s="402">
        <f>+E15</f>
        <v>6.3400000000000001E-4</v>
      </c>
      <c r="F16" s="402">
        <v>0</v>
      </c>
      <c r="G16" s="403">
        <f t="shared" si="3"/>
        <v>1117</v>
      </c>
      <c r="H16" s="403">
        <f t="shared" si="4"/>
        <v>0</v>
      </c>
      <c r="J16" s="388">
        <f>+'[1]Exhibit No.__(BDJ-MYRP-SUM)'!$K$17</f>
        <v>1831289</v>
      </c>
      <c r="K16" s="403">
        <f t="shared" si="5"/>
        <v>1161</v>
      </c>
      <c r="L16" s="403">
        <f t="shared" si="6"/>
        <v>0</v>
      </c>
      <c r="M16" s="403"/>
      <c r="N16" s="388">
        <f>+'[1]Exhibit No.__(BDJ-MYRP-SUM)'!$Q$17</f>
        <v>1853862</v>
      </c>
      <c r="O16" s="403">
        <f t="shared" si="7"/>
        <v>0</v>
      </c>
      <c r="Q16" s="388"/>
      <c r="R16" s="403"/>
    </row>
    <row r="17" spans="1:18">
      <c r="A17" s="385">
        <v>11</v>
      </c>
      <c r="B17" s="386">
        <v>29</v>
      </c>
      <c r="C17" s="387"/>
      <c r="D17" s="388">
        <f>+'Revenue By Sch TY'!D13</f>
        <v>15293.727999999999</v>
      </c>
      <c r="E17" s="402">
        <f>+'UE-190529 (PLR) 141x'!M19</f>
        <v>7.1400000000000001E-4</v>
      </c>
      <c r="F17" s="402">
        <v>0</v>
      </c>
      <c r="G17" s="403">
        <f t="shared" si="3"/>
        <v>11</v>
      </c>
      <c r="H17" s="403">
        <f t="shared" si="4"/>
        <v>0</v>
      </c>
      <c r="J17" s="388">
        <f>+'[1]Exhibit No.__(BDJ-MYRP-SUM)'!$K$18</f>
        <v>15100.966499999999</v>
      </c>
      <c r="K17" s="403">
        <f t="shared" si="5"/>
        <v>11</v>
      </c>
      <c r="L17" s="403">
        <f t="shared" si="6"/>
        <v>0</v>
      </c>
      <c r="M17" s="403"/>
      <c r="N17" s="388">
        <f>+'[1]Exhibit No.__(BDJ-MYRP-SUM)'!$Q$18</f>
        <v>15233.452499999999</v>
      </c>
      <c r="O17" s="403">
        <f t="shared" si="7"/>
        <v>0</v>
      </c>
      <c r="Q17" s="388"/>
      <c r="R17" s="403"/>
    </row>
    <row r="18" spans="1:18">
      <c r="A18" s="385">
        <v>12</v>
      </c>
      <c r="B18" s="386"/>
      <c r="C18" s="391" t="s">
        <v>13</v>
      </c>
      <c r="D18" s="390">
        <f>SUM(D11:D17)</f>
        <v>7292083.7113703806</v>
      </c>
      <c r="E18" s="404"/>
      <c r="F18" s="404"/>
      <c r="G18" s="405">
        <f t="shared" ref="G18:H18" si="8">SUM(G11:G17)</f>
        <v>5143</v>
      </c>
      <c r="H18" s="405">
        <f t="shared" si="8"/>
        <v>0</v>
      </c>
      <c r="J18" s="390">
        <f>SUM(J11:J17)</f>
        <v>7455721.9665000001</v>
      </c>
      <c r="K18" s="405">
        <f t="shared" ref="K18:L18" si="9">SUM(K11:K17)</f>
        <v>5255</v>
      </c>
      <c r="L18" s="405">
        <f t="shared" si="9"/>
        <v>0</v>
      </c>
      <c r="M18" s="412"/>
      <c r="N18" s="390">
        <f>SUM(N11:N17)</f>
        <v>7547639.4524999997</v>
      </c>
      <c r="O18" s="405">
        <f t="shared" ref="O18" si="10">SUM(O11:O17)</f>
        <v>0</v>
      </c>
      <c r="Q18" s="390"/>
      <c r="R18" s="405"/>
    </row>
    <row r="19" spans="1:18">
      <c r="A19" s="385">
        <v>13</v>
      </c>
      <c r="B19" s="386"/>
      <c r="C19" s="387"/>
      <c r="D19" s="388"/>
      <c r="E19" s="402"/>
      <c r="F19" s="402"/>
      <c r="G19" s="403"/>
      <c r="H19" s="403"/>
      <c r="J19" s="388"/>
      <c r="K19" s="403"/>
      <c r="L19" s="403"/>
      <c r="M19" s="403"/>
      <c r="N19" s="388"/>
      <c r="O19" s="403"/>
      <c r="Q19" s="388"/>
      <c r="R19" s="403"/>
    </row>
    <row r="20" spans="1:18">
      <c r="A20" s="385">
        <v>14</v>
      </c>
      <c r="B20" s="386">
        <v>10</v>
      </c>
      <c r="C20" s="387"/>
      <c r="D20" s="388">
        <v>0</v>
      </c>
      <c r="E20" s="402">
        <f>+'UE-190529 (PLR) 141x'!M23</f>
        <v>6.38E-4</v>
      </c>
      <c r="F20" s="402">
        <v>0</v>
      </c>
      <c r="G20" s="403">
        <f>ROUND(D20*E20,0)</f>
        <v>0</v>
      </c>
      <c r="H20" s="403">
        <f t="shared" ref="H20:H23" si="11">ROUND(D20*F20,0)</f>
        <v>0</v>
      </c>
      <c r="J20" s="388">
        <v>0</v>
      </c>
      <c r="K20" s="403">
        <f t="shared" ref="K20:K23" si="12">ROUND($E20*J20,0)</f>
        <v>0</v>
      </c>
      <c r="L20" s="403">
        <f t="shared" ref="L20:L23" si="13">ROUND($F20*J20,0)</f>
        <v>0</v>
      </c>
      <c r="M20" s="403"/>
      <c r="N20" s="388">
        <v>0</v>
      </c>
      <c r="O20" s="403">
        <f t="shared" ref="O20:O23" si="14">ROUND($F20*N20,0)</f>
        <v>0</v>
      </c>
      <c r="Q20" s="388"/>
      <c r="R20" s="403"/>
    </row>
    <row r="21" spans="1:18">
      <c r="A21" s="385">
        <v>15</v>
      </c>
      <c r="B21" s="386">
        <v>31</v>
      </c>
      <c r="C21" s="387"/>
      <c r="D21" s="388">
        <f>+'Revenue By Sch TY'!D14</f>
        <v>1307770.0591754341</v>
      </c>
      <c r="E21" s="402">
        <f>+E20</f>
        <v>6.38E-4</v>
      </c>
      <c r="F21" s="402">
        <v>0</v>
      </c>
      <c r="G21" s="403">
        <f>ROUND(D21*E21,0)</f>
        <v>834</v>
      </c>
      <c r="H21" s="403">
        <f t="shared" si="11"/>
        <v>0</v>
      </c>
      <c r="J21" s="388">
        <f>+'[1]Exhibit No.__(BDJ-MYRP-SUM)'!$K$19</f>
        <v>1332008</v>
      </c>
      <c r="K21" s="403">
        <f t="shared" si="12"/>
        <v>850</v>
      </c>
      <c r="L21" s="403">
        <f t="shared" si="13"/>
        <v>0</v>
      </c>
      <c r="M21" s="403"/>
      <c r="N21" s="388">
        <f>+'[1]Exhibit No.__(BDJ-MYRP-SUM)'!$Q$19</f>
        <v>1335448</v>
      </c>
      <c r="O21" s="403">
        <f t="shared" si="14"/>
        <v>0</v>
      </c>
      <c r="Q21" s="388"/>
      <c r="R21" s="403"/>
    </row>
    <row r="22" spans="1:18">
      <c r="A22" s="385">
        <v>16</v>
      </c>
      <c r="B22" s="386">
        <v>35</v>
      </c>
      <c r="C22" s="387"/>
      <c r="D22" s="388">
        <f>+'Revenue By Sch TY'!D15</f>
        <v>4387.6440000000002</v>
      </c>
      <c r="E22" s="402">
        <f>+'UE-190529 (PLR) 141x'!M24</f>
        <v>9.9099999999999991E-4</v>
      </c>
      <c r="F22" s="402">
        <v>0</v>
      </c>
      <c r="G22" s="403">
        <f>ROUND(D22*E22,0)</f>
        <v>4</v>
      </c>
      <c r="H22" s="403">
        <f t="shared" si="11"/>
        <v>0</v>
      </c>
      <c r="J22" s="388">
        <f>+'[1]Exhibit No.__(BDJ-MYRP-SUM)'!$K$20</f>
        <v>4663</v>
      </c>
      <c r="K22" s="403">
        <f t="shared" si="12"/>
        <v>5</v>
      </c>
      <c r="L22" s="403">
        <f t="shared" si="13"/>
        <v>0</v>
      </c>
      <c r="M22" s="403"/>
      <c r="N22" s="388">
        <f>+'[1]Exhibit No.__(BDJ-MYRP-SUM)'!$Q$20</f>
        <v>4695</v>
      </c>
      <c r="O22" s="403">
        <f t="shared" si="14"/>
        <v>0</v>
      </c>
      <c r="Q22" s="388"/>
      <c r="R22" s="403"/>
    </row>
    <row r="23" spans="1:18">
      <c r="A23" s="385">
        <v>19</v>
      </c>
      <c r="B23" s="386">
        <v>43</v>
      </c>
      <c r="C23" s="387"/>
      <c r="D23" s="388">
        <f>+'Revenue By Sch TY'!D16</f>
        <v>114099.11728442684</v>
      </c>
      <c r="E23" s="402">
        <f>+'UE-190529 (PLR) 141x'!M25</f>
        <v>8.7000000000000001E-4</v>
      </c>
      <c r="F23" s="402">
        <v>0</v>
      </c>
      <c r="G23" s="403">
        <f>ROUND(D23*E23,0)</f>
        <v>99</v>
      </c>
      <c r="H23" s="403">
        <f t="shared" si="11"/>
        <v>0</v>
      </c>
      <c r="J23" s="388">
        <f>+'[1]Exhibit No.__(BDJ-MYRP-SUM)'!$K$21</f>
        <v>118190</v>
      </c>
      <c r="K23" s="403">
        <f t="shared" si="12"/>
        <v>103</v>
      </c>
      <c r="L23" s="403">
        <f t="shared" si="13"/>
        <v>0</v>
      </c>
      <c r="M23" s="403"/>
      <c r="N23" s="388">
        <f>+'[1]Exhibit No.__(BDJ-MYRP-SUM)'!$Q$21</f>
        <v>119782</v>
      </c>
      <c r="O23" s="403">
        <f t="shared" si="14"/>
        <v>0</v>
      </c>
      <c r="Q23" s="388"/>
      <c r="R23" s="403"/>
    </row>
    <row r="24" spans="1:18">
      <c r="A24" s="385">
        <v>20</v>
      </c>
      <c r="B24" s="386"/>
      <c r="C24" s="387" t="s">
        <v>14</v>
      </c>
      <c r="D24" s="390">
        <f>SUM(D20:D23)</f>
        <v>1426256.8204598611</v>
      </c>
      <c r="E24" s="404"/>
      <c r="F24" s="404"/>
      <c r="G24" s="405">
        <f t="shared" ref="G24:H24" si="15">SUM(G20:G23)</f>
        <v>937</v>
      </c>
      <c r="H24" s="405">
        <f t="shared" si="15"/>
        <v>0</v>
      </c>
      <c r="J24" s="390">
        <f>SUM(J20:J23)</f>
        <v>1454861</v>
      </c>
      <c r="K24" s="405">
        <f t="shared" ref="K24:L24" si="16">SUM(K20:K23)</f>
        <v>958</v>
      </c>
      <c r="L24" s="405">
        <f t="shared" si="16"/>
        <v>0</v>
      </c>
      <c r="M24" s="412"/>
      <c r="N24" s="390">
        <f>SUM(N20:N23)</f>
        <v>1459925</v>
      </c>
      <c r="O24" s="405">
        <f t="shared" ref="O24" si="17">SUM(O20:O23)</f>
        <v>0</v>
      </c>
      <c r="Q24" s="390"/>
      <c r="R24" s="405"/>
    </row>
    <row r="25" spans="1:18">
      <c r="A25" s="385">
        <v>21</v>
      </c>
      <c r="B25" s="386"/>
      <c r="C25" s="387"/>
      <c r="D25" s="388"/>
      <c r="E25" s="402"/>
      <c r="F25" s="402"/>
      <c r="G25" s="403"/>
      <c r="H25" s="403"/>
      <c r="J25" s="388"/>
      <c r="K25" s="403"/>
      <c r="L25" s="403"/>
      <c r="M25" s="403"/>
      <c r="N25" s="388"/>
      <c r="O25" s="403"/>
      <c r="Q25" s="388"/>
      <c r="R25" s="403"/>
    </row>
    <row r="26" spans="1:18">
      <c r="A26" s="385">
        <v>22</v>
      </c>
      <c r="B26" s="386">
        <v>46</v>
      </c>
      <c r="C26" s="387"/>
      <c r="D26" s="388">
        <f>+'Revenue By Sch TY'!D17</f>
        <v>100810.05100000001</v>
      </c>
      <c r="E26" s="402">
        <f>+'UE-190529 (PLR) 141x'!M29</f>
        <v>4.84E-4</v>
      </c>
      <c r="F26" s="402">
        <v>0</v>
      </c>
      <c r="G26" s="403">
        <f>ROUND(D26*E26,0)</f>
        <v>49</v>
      </c>
      <c r="H26" s="403">
        <f t="shared" ref="H26:H27" si="18">ROUND(D26*F26,0)</f>
        <v>0</v>
      </c>
      <c r="J26" s="388">
        <f>+'[1]Exhibit No.__(BDJ-MYRP-SUM)'!$K$22</f>
        <v>89530.525500000018</v>
      </c>
      <c r="K26" s="403">
        <f t="shared" ref="K26:K27" si="19">ROUND($E26*J26,0)</f>
        <v>43</v>
      </c>
      <c r="L26" s="403">
        <f t="shared" ref="L26:L27" si="20">ROUND($F26*J26,0)</f>
        <v>0</v>
      </c>
      <c r="M26" s="403"/>
      <c r="N26" s="388">
        <f>+'[1]Exhibit No.__(BDJ-MYRP-SUM)'!$Q$22</f>
        <v>89210.525500000018</v>
      </c>
      <c r="O26" s="403">
        <f t="shared" ref="O26:O27" si="21">ROUND($F26*N26,0)</f>
        <v>0</v>
      </c>
      <c r="Q26" s="388"/>
      <c r="R26" s="403"/>
    </row>
    <row r="27" spans="1:18">
      <c r="A27" s="385">
        <v>23</v>
      </c>
      <c r="B27" s="386">
        <v>49</v>
      </c>
      <c r="C27" s="387"/>
      <c r="D27" s="388">
        <f>+'Revenue By Sch TY'!D18</f>
        <v>513293.73700000002</v>
      </c>
      <c r="E27" s="402">
        <f>+'UE-190529 (PLR) 141x'!M30</f>
        <v>4.84E-4</v>
      </c>
      <c r="F27" s="402">
        <v>0</v>
      </c>
      <c r="G27" s="403">
        <f>ROUND(D27*E27,0)</f>
        <v>248</v>
      </c>
      <c r="H27" s="403">
        <f t="shared" si="18"/>
        <v>0</v>
      </c>
      <c r="J27" s="388">
        <f>+'[1]Exhibit No.__(BDJ-MYRP-SUM)'!$K$23</f>
        <v>504715</v>
      </c>
      <c r="K27" s="403">
        <f t="shared" si="19"/>
        <v>244</v>
      </c>
      <c r="L27" s="403">
        <f t="shared" si="20"/>
        <v>0</v>
      </c>
      <c r="M27" s="403"/>
      <c r="N27" s="388">
        <f>+'[1]Exhibit No.__(BDJ-MYRP-SUM)'!$Q$23</f>
        <v>499683</v>
      </c>
      <c r="O27" s="403">
        <f t="shared" si="21"/>
        <v>0</v>
      </c>
      <c r="Q27" s="388"/>
      <c r="R27" s="403"/>
    </row>
    <row r="28" spans="1:18">
      <c r="A28" s="385">
        <v>24</v>
      </c>
      <c r="B28" s="386"/>
      <c r="C28" s="387" t="s">
        <v>15</v>
      </c>
      <c r="D28" s="390">
        <f>SUM(D26:D27)</f>
        <v>614103.78800000006</v>
      </c>
      <c r="E28" s="404"/>
      <c r="F28" s="404"/>
      <c r="G28" s="405">
        <f t="shared" ref="G28:H28" si="22">SUM(G26:G27)</f>
        <v>297</v>
      </c>
      <c r="H28" s="405">
        <f t="shared" si="22"/>
        <v>0</v>
      </c>
      <c r="J28" s="390">
        <f>SUM(J26:J27)</f>
        <v>594245.52549999999</v>
      </c>
      <c r="K28" s="405">
        <f t="shared" ref="K28:L28" si="23">SUM(K26:K27)</f>
        <v>287</v>
      </c>
      <c r="L28" s="405">
        <f t="shared" si="23"/>
        <v>0</v>
      </c>
      <c r="M28" s="412"/>
      <c r="N28" s="390">
        <f>SUM(N26:N27)</f>
        <v>588893.52549999999</v>
      </c>
      <c r="O28" s="405">
        <f t="shared" ref="O28" si="24">SUM(O26:O27)</f>
        <v>0</v>
      </c>
      <c r="Q28" s="390"/>
      <c r="R28" s="405"/>
    </row>
    <row r="29" spans="1:18">
      <c r="A29" s="385">
        <v>25</v>
      </c>
      <c r="B29" s="386"/>
      <c r="C29" s="387"/>
      <c r="D29" s="388"/>
      <c r="E29" s="402"/>
      <c r="F29" s="402"/>
      <c r="G29" s="403"/>
      <c r="H29" s="403"/>
      <c r="J29" s="388"/>
      <c r="K29" s="403"/>
      <c r="L29" s="403"/>
      <c r="M29" s="403"/>
      <c r="N29" s="388"/>
      <c r="O29" s="403"/>
      <c r="Q29" s="388"/>
      <c r="R29" s="403"/>
    </row>
    <row r="30" spans="1:18">
      <c r="A30" s="385">
        <v>26</v>
      </c>
      <c r="B30" s="386" t="s">
        <v>16</v>
      </c>
      <c r="C30" s="387"/>
      <c r="D30" s="390">
        <f>+'Revenue By Sch TY'!D19</f>
        <v>69892.887000000002</v>
      </c>
      <c r="E30" s="404">
        <f>+'UE-190529 (PLR) 141x'!M38</f>
        <v>2.725E-3</v>
      </c>
      <c r="F30" s="404">
        <v>0</v>
      </c>
      <c r="G30" s="405">
        <f>ROUND(D30*E30,0)</f>
        <v>190</v>
      </c>
      <c r="H30" s="405">
        <f>ROUND(D30*F30,0)</f>
        <v>0</v>
      </c>
      <c r="J30" s="390">
        <f>+'[1]Exhibit No.__(BDJ-MYRP-SUM)'!$K$24</f>
        <v>62703</v>
      </c>
      <c r="K30" s="405">
        <f>ROUND($E30*J30,0)</f>
        <v>171</v>
      </c>
      <c r="L30" s="405">
        <f>ROUND($F30*J30,0)</f>
        <v>0</v>
      </c>
      <c r="M30" s="412"/>
      <c r="N30" s="390">
        <f>+'[1]Exhibit No.__(BDJ-MYRP-SUM)'!$Q$24</f>
        <v>61382</v>
      </c>
      <c r="O30" s="405">
        <f>ROUND($F30*N30,0)</f>
        <v>0</v>
      </c>
      <c r="Q30" s="390"/>
      <c r="R30" s="405"/>
    </row>
    <row r="31" spans="1:18">
      <c r="A31" s="386">
        <f t="shared" ref="A31:A34" si="25">+A30+1</f>
        <v>27</v>
      </c>
      <c r="B31" s="386"/>
      <c r="C31" s="387"/>
      <c r="D31" s="388"/>
      <c r="E31" s="402"/>
      <c r="F31" s="402"/>
      <c r="G31" s="403"/>
      <c r="H31" s="403"/>
      <c r="J31" s="388"/>
      <c r="K31" s="403"/>
      <c r="L31" s="403"/>
      <c r="M31" s="403"/>
      <c r="N31" s="388"/>
      <c r="O31" s="403"/>
      <c r="Q31" s="388"/>
      <c r="R31" s="403"/>
    </row>
    <row r="32" spans="1:18">
      <c r="A32" s="386">
        <f t="shared" si="25"/>
        <v>28</v>
      </c>
      <c r="B32" s="389" t="s">
        <v>17</v>
      </c>
      <c r="C32" s="387"/>
      <c r="D32" s="388">
        <f>+'Revenue By Sch TY'!D20</f>
        <v>1945214.1669999999</v>
      </c>
      <c r="E32" s="402">
        <f>+'UE-190529 (PLR) 141x'!L34/'UE-190529 (PLR) 141x'!G34/1000</f>
        <v>5.1571007047696372E-6</v>
      </c>
      <c r="F32" s="402">
        <v>0</v>
      </c>
      <c r="G32" s="403">
        <f>ROUND(D32*E32,0)</f>
        <v>10</v>
      </c>
      <c r="H32" s="403">
        <f>ROUND(D32*F32,0)</f>
        <v>0</v>
      </c>
      <c r="J32" s="388">
        <f>+'[1]Exhibit No.__(BDJ-MYRP-SUM)'!$K$25</f>
        <v>1895530</v>
      </c>
      <c r="K32" s="403">
        <f t="shared" ref="K32:K33" si="26">ROUND($E32*J32,0)</f>
        <v>10</v>
      </c>
      <c r="L32" s="403">
        <f>ROUND($F32*J32,0)</f>
        <v>0</v>
      </c>
      <c r="M32" s="403"/>
      <c r="N32" s="388">
        <f>+'[1]Exhibit No.__(BDJ-MYRP-SUM)'!$Q$25</f>
        <v>1895104</v>
      </c>
      <c r="O32" s="403">
        <f>ROUND($F32*N32,0)</f>
        <v>0</v>
      </c>
      <c r="Q32" s="388"/>
      <c r="R32" s="403"/>
    </row>
    <row r="33" spans="1:18">
      <c r="A33" s="386">
        <f t="shared" si="25"/>
        <v>29</v>
      </c>
      <c r="B33" s="389" t="s">
        <v>262</v>
      </c>
      <c r="C33" s="387"/>
      <c r="D33" s="388">
        <f>+'Revenue By Sch TY'!D21</f>
        <v>278070.311162</v>
      </c>
      <c r="E33" s="402">
        <f>+'UE-190529 (PLR) 141x'!M35</f>
        <v>3.3E-4</v>
      </c>
      <c r="F33" s="402">
        <v>0</v>
      </c>
      <c r="G33" s="403">
        <f>ROUND(D33*E33,0)</f>
        <v>92</v>
      </c>
      <c r="H33" s="403">
        <f>ROUND(D33*F33,0)</f>
        <v>0</v>
      </c>
      <c r="J33" s="388">
        <f>+'[1]Exhibit No.__(BDJ-MYRP-SUM)'!$K$26</f>
        <v>289426</v>
      </c>
      <c r="K33" s="403">
        <f t="shared" si="26"/>
        <v>96</v>
      </c>
      <c r="L33" s="403">
        <f>ROUND($F33*J33,0)</f>
        <v>0</v>
      </c>
      <c r="M33" s="403"/>
      <c r="N33" s="388">
        <f>+'[1]Exhibit No.__(BDJ-MYRP-SUM)'!$Q$26</f>
        <v>289426</v>
      </c>
      <c r="O33" s="403">
        <f>ROUND($F33*N33,0)</f>
        <v>0</v>
      </c>
      <c r="Q33" s="388"/>
      <c r="R33" s="403"/>
    </row>
    <row r="34" spans="1:18">
      <c r="A34" s="386">
        <f t="shared" si="25"/>
        <v>30</v>
      </c>
      <c r="B34" s="389"/>
      <c r="C34" s="387" t="s">
        <v>263</v>
      </c>
      <c r="D34" s="390">
        <f>SUM(D32:D33)</f>
        <v>2223284.478162</v>
      </c>
      <c r="E34" s="404"/>
      <c r="F34" s="404"/>
      <c r="G34" s="405">
        <f t="shared" ref="G34:H34" si="27">SUM(G32:G33)</f>
        <v>102</v>
      </c>
      <c r="H34" s="405">
        <f t="shared" si="27"/>
        <v>0</v>
      </c>
      <c r="J34" s="390">
        <f>SUM(J32:J33)</f>
        <v>2184956</v>
      </c>
      <c r="K34" s="405">
        <f t="shared" ref="K34:L34" si="28">SUM(K32:K33)</f>
        <v>106</v>
      </c>
      <c r="L34" s="405">
        <f t="shared" si="28"/>
        <v>0</v>
      </c>
      <c r="M34" s="412"/>
      <c r="N34" s="390">
        <f>SUM(N32:N33)</f>
        <v>2184530</v>
      </c>
      <c r="O34" s="405">
        <f t="shared" ref="O34" si="29">SUM(O32:O33)</f>
        <v>0</v>
      </c>
      <c r="Q34" s="390"/>
      <c r="R34" s="405"/>
    </row>
    <row r="35" spans="1:18">
      <c r="A35" s="385">
        <v>29</v>
      </c>
      <c r="B35" s="386"/>
      <c r="C35" s="387"/>
      <c r="D35" s="388"/>
      <c r="E35" s="402"/>
      <c r="F35" s="402"/>
      <c r="G35" s="403"/>
      <c r="H35" s="403"/>
      <c r="J35" s="388"/>
      <c r="K35" s="403"/>
      <c r="L35" s="403"/>
      <c r="M35" s="403"/>
      <c r="N35" s="388"/>
      <c r="O35" s="403"/>
      <c r="Q35" s="388"/>
      <c r="R35" s="403"/>
    </row>
    <row r="36" spans="1:18" ht="10.8" thickBot="1">
      <c r="A36" s="385">
        <v>30</v>
      </c>
      <c r="B36" s="386"/>
      <c r="C36" s="391" t="s">
        <v>66</v>
      </c>
      <c r="D36" s="393">
        <f>SUM(D9,D18,D24,D28,D30,D34)</f>
        <v>22980976.256595761</v>
      </c>
      <c r="E36" s="406"/>
      <c r="F36" s="406"/>
      <c r="G36" s="407">
        <f>SUM(G9,G18,G24,G28,G30,G34)</f>
        <v>16321</v>
      </c>
      <c r="H36" s="407">
        <f>SUM(H9,H18,H24,H28,H30,H34)</f>
        <v>0</v>
      </c>
      <c r="J36" s="393">
        <f>SUM(J9,J18,J24,J28,J30,J34)</f>
        <v>22715537.8675</v>
      </c>
      <c r="K36" s="407">
        <f>SUM(K9,K18,K24,K28,K30,K34)</f>
        <v>16096</v>
      </c>
      <c r="L36" s="407">
        <f>SUM(L9,L18,L24,L28,L30,L34)</f>
        <v>0</v>
      </c>
      <c r="M36" s="412"/>
      <c r="N36" s="393">
        <f>SUM(N9,N18,N24,N28,N30,N34)</f>
        <v>22906810.8475</v>
      </c>
      <c r="O36" s="407">
        <f>SUM(O9,O18,O24,O28,O30,O34)</f>
        <v>0</v>
      </c>
      <c r="Q36" s="393"/>
      <c r="R36" s="407"/>
    </row>
    <row r="37" spans="1:18" ht="10.8" thickTop="1">
      <c r="A37" s="385">
        <v>31</v>
      </c>
      <c r="B37" s="386"/>
      <c r="C37" s="387"/>
      <c r="D37" s="387"/>
      <c r="E37" s="387"/>
      <c r="F37" s="387"/>
      <c r="G37" s="403"/>
      <c r="H37" s="403"/>
      <c r="K37" s="403"/>
      <c r="L37" s="403"/>
      <c r="M37" s="403"/>
      <c r="O37" s="403"/>
      <c r="R37" s="403"/>
    </row>
    <row r="38" spans="1:18">
      <c r="B38" s="386">
        <v>5</v>
      </c>
      <c r="C38" s="387" t="s">
        <v>67</v>
      </c>
      <c r="D38" s="388">
        <f>+'Revenue By Sch TY'!D22</f>
        <v>7372.3372879022108</v>
      </c>
      <c r="E38" s="404">
        <f>+'UE-190529 (PLR) 141x'!M42</f>
        <v>7.0299999999999996E-4</v>
      </c>
      <c r="F38" s="404">
        <v>0</v>
      </c>
      <c r="G38" s="405">
        <f>ROUND(D38*E38,0)</f>
        <v>5</v>
      </c>
      <c r="H38" s="405">
        <f>ROUND(D38*F38,0)</f>
        <v>0</v>
      </c>
      <c r="J38" s="390">
        <f>+'[1]Exhibit No.__(BDJ-MYRP-SUM)'!$K$27</f>
        <v>7521</v>
      </c>
      <c r="K38" s="405">
        <f>ROUND($E38*J38,0)</f>
        <v>5</v>
      </c>
      <c r="L38" s="405">
        <f>ROUND($F38*J38,0)</f>
        <v>0</v>
      </c>
      <c r="M38" s="412"/>
      <c r="N38" s="390">
        <f>+'[1]Exhibit No.__(BDJ-MYRP-SUM)'!$Q$27</f>
        <v>7552</v>
      </c>
      <c r="O38" s="405">
        <f>ROUND($F38*N38,0)</f>
        <v>0</v>
      </c>
      <c r="Q38" s="390"/>
      <c r="R38" s="405"/>
    </row>
    <row r="39" spans="1:18">
      <c r="B39" s="386"/>
      <c r="C39" s="387"/>
      <c r="D39" s="387"/>
      <c r="E39" s="387"/>
      <c r="F39" s="387"/>
      <c r="G39" s="403"/>
      <c r="H39" s="403"/>
      <c r="K39" s="403"/>
      <c r="L39" s="403"/>
      <c r="M39" s="403"/>
      <c r="O39" s="403"/>
      <c r="R39" s="403"/>
    </row>
    <row r="40" spans="1:18" ht="10.8" thickBot="1">
      <c r="B40" s="386"/>
      <c r="C40" s="391" t="s">
        <v>68</v>
      </c>
      <c r="D40" s="393">
        <f>SUM(D36,D38)</f>
        <v>22988348.593883663</v>
      </c>
      <c r="E40" s="387"/>
      <c r="F40" s="387"/>
      <c r="G40" s="407">
        <f t="shared" ref="G40:H40" si="30">SUM(G36,G38)</f>
        <v>16326</v>
      </c>
      <c r="H40" s="407">
        <f t="shared" si="30"/>
        <v>0</v>
      </c>
      <c r="J40" s="393">
        <f>SUM(J36,J38)</f>
        <v>22723058.8675</v>
      </c>
      <c r="K40" s="407">
        <f t="shared" ref="K40:L40" si="31">SUM(K36,K38)</f>
        <v>16101</v>
      </c>
      <c r="L40" s="407">
        <f t="shared" si="31"/>
        <v>0</v>
      </c>
      <c r="M40" s="412"/>
      <c r="N40" s="393">
        <f>SUM(N36,N38)</f>
        <v>22914362.8475</v>
      </c>
      <c r="O40" s="407">
        <f t="shared" ref="O40" si="32">SUM(O36,O38)</f>
        <v>0</v>
      </c>
      <c r="Q40" s="393"/>
      <c r="R40" s="407"/>
    </row>
    <row r="41" spans="1:18" ht="10.8" thickTop="1"/>
    <row r="42" spans="1:18">
      <c r="N42" s="388"/>
      <c r="Q42" s="388"/>
    </row>
  </sheetData>
  <mergeCells count="8">
    <mergeCell ref="J5:L5"/>
    <mergeCell ref="N5:O5"/>
    <mergeCell ref="Q5:R5"/>
    <mergeCell ref="A1:G1"/>
    <mergeCell ref="A2:G2"/>
    <mergeCell ref="A3:G3"/>
    <mergeCell ref="A4:G4"/>
    <mergeCell ref="A5:G5"/>
  </mergeCells>
  <printOptions horizontalCentered="1"/>
  <pageMargins left="0.7" right="0.7" top="0.75" bottom="0.88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O41"/>
  <sheetViews>
    <sheetView zoomScaleNormal="10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sqref="A1:XFD6"/>
    </sheetView>
  </sheetViews>
  <sheetFormatPr defaultColWidth="3.5546875" defaultRowHeight="10.199999999999999"/>
  <cols>
    <col min="1" max="1" width="5" style="384" customWidth="1"/>
    <col min="2" max="2" width="13.6640625" style="384" bestFit="1" customWidth="1"/>
    <col min="3" max="3" width="21" style="384" bestFit="1" customWidth="1"/>
    <col min="4" max="4" width="13.6640625" style="384" customWidth="1"/>
    <col min="5" max="5" width="12.44140625" style="384" bestFit="1" customWidth="1"/>
    <col min="6" max="6" width="18" style="384" bestFit="1" customWidth="1"/>
    <col min="7" max="7" width="2" style="387" customWidth="1"/>
    <col min="8" max="8" width="11.33203125" style="387" bestFit="1" customWidth="1"/>
    <col min="9" max="9" width="9.33203125" style="387" bestFit="1" customWidth="1"/>
    <col min="10" max="10" width="2" style="387" customWidth="1"/>
    <col min="11" max="11" width="11.33203125" style="387" bestFit="1" customWidth="1"/>
    <col min="12" max="12" width="9.33203125" style="387" bestFit="1" customWidth="1"/>
    <col min="13" max="13" width="2" style="387" customWidth="1"/>
    <col min="14" max="14" width="11.33203125" style="387" bestFit="1" customWidth="1"/>
    <col min="15" max="15" width="9.33203125" style="387" bestFit="1" customWidth="1"/>
    <col min="16" max="16384" width="3.5546875" style="384"/>
  </cols>
  <sheetData>
    <row r="1" spans="1:15" s="395" customFormat="1">
      <c r="A1" s="772" t="s">
        <v>0</v>
      </c>
      <c r="B1" s="772"/>
      <c r="C1" s="772"/>
      <c r="D1" s="772"/>
      <c r="E1" s="772"/>
      <c r="F1" s="772"/>
      <c r="G1" s="409"/>
      <c r="H1" s="409"/>
      <c r="I1" s="409"/>
      <c r="J1" s="409"/>
      <c r="K1" s="409"/>
      <c r="L1" s="409"/>
      <c r="M1" s="409"/>
      <c r="N1" s="409"/>
      <c r="O1" s="409"/>
    </row>
    <row r="2" spans="1:15" s="395" customFormat="1">
      <c r="A2" s="772" t="s">
        <v>504</v>
      </c>
      <c r="B2" s="772"/>
      <c r="C2" s="772"/>
      <c r="D2" s="772"/>
      <c r="E2" s="772"/>
      <c r="F2" s="772"/>
      <c r="G2" s="409"/>
      <c r="H2" s="409"/>
      <c r="I2" s="409"/>
      <c r="J2" s="409"/>
      <c r="K2" s="409"/>
      <c r="L2" s="409"/>
      <c r="M2" s="409"/>
      <c r="N2" s="409"/>
      <c r="O2" s="409"/>
    </row>
    <row r="3" spans="1:15" s="395" customFormat="1">
      <c r="A3" s="772" t="str">
        <f>+'Revenue By Sch TY'!A3</f>
        <v>Test Year ended June 2021</v>
      </c>
      <c r="B3" s="772"/>
      <c r="C3" s="772"/>
      <c r="D3" s="772"/>
      <c r="E3" s="772"/>
      <c r="F3" s="772"/>
      <c r="G3" s="409"/>
      <c r="H3" s="409"/>
      <c r="I3" s="409"/>
      <c r="J3" s="409"/>
      <c r="K3" s="409"/>
      <c r="L3" s="409"/>
      <c r="M3" s="409"/>
      <c r="N3" s="409"/>
      <c r="O3" s="409"/>
    </row>
    <row r="4" spans="1:15" s="395" customFormat="1">
      <c r="A4" s="772" t="str">
        <f>+'Revenue By Sch TY'!A4</f>
        <v>$ x 1000</v>
      </c>
      <c r="B4" s="772"/>
      <c r="C4" s="772"/>
      <c r="D4" s="772"/>
      <c r="E4" s="772"/>
      <c r="F4" s="772"/>
      <c r="G4" s="409"/>
      <c r="H4" s="409"/>
      <c r="I4" s="409"/>
      <c r="J4" s="409"/>
      <c r="K4" s="409"/>
      <c r="L4" s="409"/>
      <c r="M4" s="409"/>
      <c r="N4" s="409"/>
      <c r="O4" s="409"/>
    </row>
    <row r="5" spans="1:15" s="395" customFormat="1">
      <c r="A5" s="772" t="s">
        <v>511</v>
      </c>
      <c r="B5" s="772"/>
      <c r="C5" s="772"/>
      <c r="D5" s="772"/>
      <c r="E5" s="772"/>
      <c r="F5" s="772"/>
      <c r="G5" s="409"/>
      <c r="H5" s="803" t="s">
        <v>512</v>
      </c>
      <c r="I5" s="803"/>
      <c r="J5" s="409"/>
      <c r="K5" s="802" t="s">
        <v>515</v>
      </c>
      <c r="L5" s="803"/>
      <c r="M5" s="409"/>
      <c r="N5" s="802" t="s">
        <v>514</v>
      </c>
      <c r="O5" s="803"/>
    </row>
    <row r="6" spans="1:15" s="395" customFormat="1" ht="40.799999999999997">
      <c r="A6" s="399" t="s">
        <v>167</v>
      </c>
      <c r="B6" s="399" t="s">
        <v>3</v>
      </c>
      <c r="C6" s="399" t="s">
        <v>31</v>
      </c>
      <c r="D6" s="400" t="str">
        <f>+'Revenue By Sch TY'!D7</f>
        <v>Annual mWh
Delivered Sales 
YE 06-2021</v>
      </c>
      <c r="E6" s="400" t="s">
        <v>434</v>
      </c>
      <c r="F6" s="400" t="s">
        <v>499</v>
      </c>
      <c r="G6" s="409"/>
      <c r="H6" s="400" t="s">
        <v>522</v>
      </c>
      <c r="I6" s="400" t="s">
        <v>513</v>
      </c>
      <c r="J6" s="400"/>
      <c r="K6" s="400" t="str">
        <f>+H6</f>
        <v>Annual Delivered MWh</v>
      </c>
      <c r="L6" s="400" t="str">
        <f>+I6</f>
        <v>Annual Delivered $</v>
      </c>
      <c r="M6" s="400"/>
      <c r="N6" s="400" t="str">
        <f>+K6</f>
        <v>Annual Delivered MWh</v>
      </c>
      <c r="O6" s="400" t="str">
        <f>+L6</f>
        <v>Annual Delivered $</v>
      </c>
    </row>
    <row r="7" spans="1:15">
      <c r="A7" s="385">
        <v>1</v>
      </c>
      <c r="B7" s="386">
        <v>7</v>
      </c>
      <c r="C7" s="387"/>
      <c r="D7" s="388">
        <f>+'Revenue By Sch TY'!D9</f>
        <v>11355354.571603522</v>
      </c>
      <c r="E7" s="402">
        <f>ROUND(+'UE-190529 Sch 141Z'!M14,6)</f>
        <v>-8.8400000000000002E-4</v>
      </c>
      <c r="F7" s="403">
        <f>ROUND(D7*E7,0)</f>
        <v>-10038</v>
      </c>
      <c r="H7" s="388">
        <f>+'Sch 95 PCORC'!J7</f>
        <v>10963050.375499999</v>
      </c>
      <c r="I7" s="403">
        <f>ROUND($E7*H7,0)</f>
        <v>-9691</v>
      </c>
      <c r="K7" s="388">
        <f>+'Sch 95 PCORC'!N7</f>
        <v>11064440.8695</v>
      </c>
      <c r="L7" s="403">
        <f>ROUND($E7*K7,0)</f>
        <v>-9781</v>
      </c>
      <c r="N7" s="388"/>
      <c r="O7" s="403"/>
    </row>
    <row r="8" spans="1:15">
      <c r="A8" s="385">
        <v>2</v>
      </c>
      <c r="B8" s="389" t="s">
        <v>10</v>
      </c>
      <c r="C8" s="387"/>
      <c r="D8" s="388">
        <v>0</v>
      </c>
      <c r="E8" s="402">
        <f>ROUND(+'UE-190529 Sch 141Z'!M19,6)</f>
        <v>-6.69E-4</v>
      </c>
      <c r="F8" s="403">
        <f>ROUND(D8*E8,0)</f>
        <v>0</v>
      </c>
      <c r="H8" s="388">
        <f>+'Sch 95 PCORC'!J8</f>
        <v>0</v>
      </c>
      <c r="I8" s="403">
        <f>ROUND($E8*H8,0)</f>
        <v>0</v>
      </c>
      <c r="K8" s="388">
        <f>+'Sch 95 PCORC'!N8</f>
        <v>0</v>
      </c>
      <c r="L8" s="403">
        <f>ROUND($E8*K8,0)</f>
        <v>0</v>
      </c>
      <c r="N8" s="388"/>
      <c r="O8" s="403"/>
    </row>
    <row r="9" spans="1:15">
      <c r="A9" s="385">
        <v>3</v>
      </c>
      <c r="B9" s="386"/>
      <c r="C9" s="387" t="s">
        <v>11</v>
      </c>
      <c r="D9" s="390">
        <f>SUM(D7:D8)</f>
        <v>11355354.571603522</v>
      </c>
      <c r="E9" s="404"/>
      <c r="F9" s="405">
        <f t="shared" ref="F9" si="0">SUM(F7:F8)</f>
        <v>-10038</v>
      </c>
      <c r="H9" s="390">
        <f>SUM(H7:H8)</f>
        <v>10963050.375499999</v>
      </c>
      <c r="I9" s="405">
        <f t="shared" ref="I9" si="1">SUM(I7:I8)</f>
        <v>-9691</v>
      </c>
      <c r="K9" s="390">
        <f>SUM(K7:K8)</f>
        <v>11064440.8695</v>
      </c>
      <c r="L9" s="405">
        <f t="shared" ref="L9" si="2">SUM(L7:L8)</f>
        <v>-9781</v>
      </c>
      <c r="N9" s="390"/>
      <c r="O9" s="405"/>
    </row>
    <row r="10" spans="1:15">
      <c r="A10" s="385">
        <v>4</v>
      </c>
      <c r="B10" s="386"/>
      <c r="C10" s="387"/>
      <c r="D10" s="388"/>
      <c r="E10" s="402"/>
      <c r="F10" s="403"/>
      <c r="H10" s="388"/>
      <c r="I10" s="403"/>
      <c r="K10" s="388"/>
      <c r="L10" s="403"/>
      <c r="N10" s="388"/>
      <c r="O10" s="403"/>
    </row>
    <row r="11" spans="1:15">
      <c r="A11" s="385">
        <v>5</v>
      </c>
      <c r="B11" s="386">
        <v>8</v>
      </c>
      <c r="C11" s="387"/>
      <c r="D11" s="388">
        <v>0</v>
      </c>
      <c r="E11" s="402">
        <f>ROUND(+'UE-190529 Sch 141Z'!M18,6)</f>
        <v>-7.1299999999999998E-4</v>
      </c>
      <c r="F11" s="403">
        <f t="shared" ref="F11:F17" si="3">ROUND(D11*E11,0)</f>
        <v>0</v>
      </c>
      <c r="H11" s="388">
        <f>+'Sch 95 PCORC'!J11</f>
        <v>0</v>
      </c>
      <c r="I11" s="403">
        <f t="shared" ref="I11:I17" si="4">ROUND($E11*H11,0)</f>
        <v>0</v>
      </c>
      <c r="K11" s="388">
        <f>+'Sch 95 PCORC'!N11</f>
        <v>0</v>
      </c>
      <c r="L11" s="403">
        <f t="shared" ref="L11:L17" si="5">ROUND($E11*K11,0)</f>
        <v>0</v>
      </c>
      <c r="N11" s="388"/>
      <c r="O11" s="403"/>
    </row>
    <row r="12" spans="1:15">
      <c r="A12" s="385">
        <v>6</v>
      </c>
      <c r="B12" s="386">
        <v>24</v>
      </c>
      <c r="C12" s="387"/>
      <c r="D12" s="388">
        <f>+'Revenue By Sch TY'!D10</f>
        <v>2658833.1030243803</v>
      </c>
      <c r="E12" s="402">
        <f>+E11</f>
        <v>-7.1299999999999998E-4</v>
      </c>
      <c r="F12" s="403">
        <f t="shared" si="3"/>
        <v>-1896</v>
      </c>
      <c r="H12" s="388">
        <f>+'Sch 95 PCORC'!J12</f>
        <v>2697633</v>
      </c>
      <c r="I12" s="403">
        <f t="shared" si="4"/>
        <v>-1923</v>
      </c>
      <c r="K12" s="388">
        <f>+'Sch 95 PCORC'!N12</f>
        <v>2730372</v>
      </c>
      <c r="L12" s="403">
        <f t="shared" si="5"/>
        <v>-1947</v>
      </c>
      <c r="N12" s="388"/>
      <c r="O12" s="403"/>
    </row>
    <row r="13" spans="1:15">
      <c r="A13" s="385">
        <v>7</v>
      </c>
      <c r="B13" s="389">
        <v>11</v>
      </c>
      <c r="C13" s="387"/>
      <c r="D13" s="388">
        <v>0</v>
      </c>
      <c r="E13" s="402">
        <f>+E8</f>
        <v>-6.69E-4</v>
      </c>
      <c r="F13" s="403">
        <f t="shared" si="3"/>
        <v>0</v>
      </c>
      <c r="H13" s="388">
        <f>+'Sch 95 PCORC'!J13</f>
        <v>0</v>
      </c>
      <c r="I13" s="403">
        <f t="shared" si="4"/>
        <v>0</v>
      </c>
      <c r="K13" s="388">
        <f>+'Sch 95 PCORC'!N13</f>
        <v>0</v>
      </c>
      <c r="L13" s="403">
        <f t="shared" si="5"/>
        <v>0</v>
      </c>
      <c r="N13" s="388"/>
      <c r="O13" s="403"/>
    </row>
    <row r="14" spans="1:15">
      <c r="A14" s="385">
        <v>8</v>
      </c>
      <c r="B14" s="389">
        <v>25</v>
      </c>
      <c r="C14" s="387"/>
      <c r="D14" s="388">
        <f>+'Revenue By Sch TY'!D11</f>
        <v>2856045.8325844579</v>
      </c>
      <c r="E14" s="402">
        <f>+E13</f>
        <v>-6.69E-4</v>
      </c>
      <c r="F14" s="403">
        <f t="shared" si="3"/>
        <v>-1911</v>
      </c>
      <c r="H14" s="388">
        <f>+'Sch 95 PCORC'!J14</f>
        <v>2911699.0000000005</v>
      </c>
      <c r="I14" s="403">
        <f t="shared" si="4"/>
        <v>-1948</v>
      </c>
      <c r="K14" s="388">
        <f>+'Sch 95 PCORC'!N14</f>
        <v>2948172</v>
      </c>
      <c r="L14" s="403">
        <f t="shared" si="5"/>
        <v>-1972</v>
      </c>
      <c r="N14" s="388"/>
      <c r="O14" s="403"/>
    </row>
    <row r="15" spans="1:15">
      <c r="A15" s="385">
        <v>9</v>
      </c>
      <c r="B15" s="386">
        <v>12</v>
      </c>
      <c r="C15" s="387"/>
      <c r="D15" s="388">
        <v>0</v>
      </c>
      <c r="E15" s="402">
        <f>ROUND(+'UE-190529 Sch 141Z'!M20,6)</f>
        <v>-5.7700000000000004E-4</v>
      </c>
      <c r="F15" s="403">
        <f t="shared" si="3"/>
        <v>0</v>
      </c>
      <c r="H15" s="388">
        <f>+'Sch 95 PCORC'!J15</f>
        <v>0</v>
      </c>
      <c r="I15" s="403">
        <f t="shared" si="4"/>
        <v>0</v>
      </c>
      <c r="K15" s="388">
        <f>+'Sch 95 PCORC'!N15</f>
        <v>0</v>
      </c>
      <c r="L15" s="403">
        <f t="shared" si="5"/>
        <v>0</v>
      </c>
      <c r="N15" s="388"/>
      <c r="O15" s="403"/>
    </row>
    <row r="16" spans="1:15">
      <c r="A16" s="385">
        <v>10</v>
      </c>
      <c r="B16" s="386" t="s">
        <v>12</v>
      </c>
      <c r="C16" s="387"/>
      <c r="D16" s="388">
        <f>+'Revenue By Sch TY'!D12</f>
        <v>1761911.047761543</v>
      </c>
      <c r="E16" s="402">
        <f>+E15</f>
        <v>-5.7700000000000004E-4</v>
      </c>
      <c r="F16" s="403">
        <f t="shared" si="3"/>
        <v>-1017</v>
      </c>
      <c r="H16" s="388">
        <f>+'Sch 95 PCORC'!J16</f>
        <v>1831289</v>
      </c>
      <c r="I16" s="403">
        <f t="shared" si="4"/>
        <v>-1057</v>
      </c>
      <c r="K16" s="388">
        <f>+'Sch 95 PCORC'!N16</f>
        <v>1853862</v>
      </c>
      <c r="L16" s="403">
        <f t="shared" si="5"/>
        <v>-1070</v>
      </c>
      <c r="N16" s="388"/>
      <c r="O16" s="403"/>
    </row>
    <row r="17" spans="1:15">
      <c r="A17" s="385">
        <v>11</v>
      </c>
      <c r="B17" s="386">
        <v>29</v>
      </c>
      <c r="C17" s="387"/>
      <c r="D17" s="388">
        <f>+'Revenue By Sch TY'!D13</f>
        <v>15293.727999999999</v>
      </c>
      <c r="E17" s="402">
        <f>ROUND(+'UE-190529 Sch 141Z'!M21,6)</f>
        <v>-6.69E-4</v>
      </c>
      <c r="F17" s="403">
        <f t="shared" si="3"/>
        <v>-10</v>
      </c>
      <c r="H17" s="388">
        <f>+'Sch 95 PCORC'!J17</f>
        <v>15100.966499999999</v>
      </c>
      <c r="I17" s="403">
        <f t="shared" si="4"/>
        <v>-10</v>
      </c>
      <c r="K17" s="388">
        <f>+'Sch 95 PCORC'!N17</f>
        <v>15233.452499999999</v>
      </c>
      <c r="L17" s="403">
        <f t="shared" si="5"/>
        <v>-10</v>
      </c>
      <c r="N17" s="388"/>
      <c r="O17" s="403"/>
    </row>
    <row r="18" spans="1:15">
      <c r="A18" s="385">
        <v>12</v>
      </c>
      <c r="B18" s="386"/>
      <c r="C18" s="391" t="s">
        <v>13</v>
      </c>
      <c r="D18" s="390">
        <f>SUM(D11:D17)</f>
        <v>7292083.7113703806</v>
      </c>
      <c r="E18" s="404"/>
      <c r="F18" s="405">
        <f t="shared" ref="F18" si="6">SUM(F11:F17)</f>
        <v>-4834</v>
      </c>
      <c r="H18" s="390">
        <f>SUM(H11:H17)</f>
        <v>7455721.9665000001</v>
      </c>
      <c r="I18" s="405">
        <f t="shared" ref="I18" si="7">SUM(I11:I17)</f>
        <v>-4938</v>
      </c>
      <c r="K18" s="390">
        <f>SUM(K11:K17)</f>
        <v>7547639.4524999997</v>
      </c>
      <c r="L18" s="405">
        <f t="shared" ref="L18" si="8">SUM(L11:L17)</f>
        <v>-4999</v>
      </c>
      <c r="N18" s="390"/>
      <c r="O18" s="405"/>
    </row>
    <row r="19" spans="1:15">
      <c r="A19" s="385">
        <v>13</v>
      </c>
      <c r="B19" s="386"/>
      <c r="C19" s="387"/>
      <c r="D19" s="388"/>
      <c r="E19" s="402"/>
      <c r="F19" s="403"/>
      <c r="H19" s="388"/>
      <c r="I19" s="403"/>
      <c r="K19" s="388"/>
      <c r="L19" s="403"/>
      <c r="N19" s="388"/>
      <c r="O19" s="403"/>
    </row>
    <row r="20" spans="1:15">
      <c r="A20" s="385">
        <v>14</v>
      </c>
      <c r="B20" s="386">
        <v>10</v>
      </c>
      <c r="C20" s="387"/>
      <c r="D20" s="388">
        <v>0</v>
      </c>
      <c r="E20" s="402">
        <f>ROUND(+'UE-190529 Sch 141Z'!M25,6)</f>
        <v>-5.9000000000000003E-4</v>
      </c>
      <c r="F20" s="403">
        <f>ROUND(D20*E20,0)</f>
        <v>0</v>
      </c>
      <c r="H20" s="388">
        <v>0</v>
      </c>
      <c r="I20" s="403">
        <f t="shared" ref="I20:I23" si="9">ROUND($E20*H20,0)</f>
        <v>0</v>
      </c>
      <c r="K20" s="388">
        <v>0</v>
      </c>
      <c r="L20" s="403">
        <f t="shared" ref="L20:L23" si="10">ROUND($E20*K20,0)</f>
        <v>0</v>
      </c>
      <c r="N20" s="388"/>
      <c r="O20" s="403"/>
    </row>
    <row r="21" spans="1:15">
      <c r="A21" s="385">
        <v>15</v>
      </c>
      <c r="B21" s="386">
        <v>31</v>
      </c>
      <c r="C21" s="387"/>
      <c r="D21" s="388">
        <f>+'Revenue By Sch TY'!D14</f>
        <v>1307770.0591754341</v>
      </c>
      <c r="E21" s="402">
        <f>+E20</f>
        <v>-5.9000000000000003E-4</v>
      </c>
      <c r="F21" s="403">
        <f>ROUND(D21*E21,0)</f>
        <v>-772</v>
      </c>
      <c r="H21" s="388">
        <f>+'Sch 95 PCORC'!J21</f>
        <v>1332008</v>
      </c>
      <c r="I21" s="403">
        <f t="shared" si="9"/>
        <v>-786</v>
      </c>
      <c r="K21" s="388">
        <f>+'Sch 95 PCORC'!N21</f>
        <v>1335448</v>
      </c>
      <c r="L21" s="403">
        <f t="shared" si="10"/>
        <v>-788</v>
      </c>
      <c r="N21" s="388"/>
      <c r="O21" s="403"/>
    </row>
    <row r="22" spans="1:15">
      <c r="A22" s="385">
        <v>16</v>
      </c>
      <c r="B22" s="386">
        <v>35</v>
      </c>
      <c r="C22" s="387"/>
      <c r="D22" s="388">
        <f>+'Revenue By Sch TY'!D15</f>
        <v>4387.6440000000002</v>
      </c>
      <c r="E22" s="402">
        <f>ROUND(+'UE-190529 Sch 141Z'!M26,6)</f>
        <v>-9.7799999999999992E-4</v>
      </c>
      <c r="F22" s="403">
        <f>ROUND(D22*E22,0)</f>
        <v>-4</v>
      </c>
      <c r="H22" s="388">
        <f>+'Sch 95 PCORC'!J22</f>
        <v>4663</v>
      </c>
      <c r="I22" s="403">
        <f t="shared" si="9"/>
        <v>-5</v>
      </c>
      <c r="K22" s="388">
        <f>+'Sch 95 PCORC'!N22</f>
        <v>4695</v>
      </c>
      <c r="L22" s="403">
        <f t="shared" si="10"/>
        <v>-5</v>
      </c>
      <c r="N22" s="388"/>
      <c r="O22" s="403"/>
    </row>
    <row r="23" spans="1:15">
      <c r="A23" s="385">
        <v>19</v>
      </c>
      <c r="B23" s="386">
        <v>43</v>
      </c>
      <c r="C23" s="387"/>
      <c r="D23" s="388">
        <f>+'Revenue By Sch TY'!D16</f>
        <v>114099.11728442684</v>
      </c>
      <c r="E23" s="402">
        <f>ROUND(+'UE-190529 Sch 141Z'!M27,6)</f>
        <v>-8.1300000000000003E-4</v>
      </c>
      <c r="F23" s="403">
        <f>ROUND(D23*E23,0)</f>
        <v>-93</v>
      </c>
      <c r="H23" s="388">
        <f>+'Sch 95 PCORC'!J23</f>
        <v>118190</v>
      </c>
      <c r="I23" s="403">
        <f t="shared" si="9"/>
        <v>-96</v>
      </c>
      <c r="K23" s="388">
        <f>+'Sch 95 PCORC'!N23</f>
        <v>119782</v>
      </c>
      <c r="L23" s="403">
        <f t="shared" si="10"/>
        <v>-97</v>
      </c>
      <c r="N23" s="388"/>
      <c r="O23" s="403"/>
    </row>
    <row r="24" spans="1:15">
      <c r="A24" s="385">
        <v>20</v>
      </c>
      <c r="B24" s="386"/>
      <c r="C24" s="387" t="s">
        <v>14</v>
      </c>
      <c r="D24" s="390">
        <f>SUM(D20:D23)</f>
        <v>1426256.8204598611</v>
      </c>
      <c r="E24" s="404"/>
      <c r="F24" s="405">
        <f t="shared" ref="F24" si="11">SUM(F20:F23)</f>
        <v>-869</v>
      </c>
      <c r="H24" s="390">
        <f>SUM(H20:H23)</f>
        <v>1454861</v>
      </c>
      <c r="I24" s="405">
        <f t="shared" ref="I24" si="12">SUM(I20:I23)</f>
        <v>-887</v>
      </c>
      <c r="K24" s="390">
        <f>SUM(K20:K23)</f>
        <v>1459925</v>
      </c>
      <c r="L24" s="405">
        <f t="shared" ref="L24" si="13">SUM(L20:L23)</f>
        <v>-890</v>
      </c>
      <c r="N24" s="390"/>
      <c r="O24" s="405"/>
    </row>
    <row r="25" spans="1:15">
      <c r="A25" s="385">
        <v>21</v>
      </c>
      <c r="B25" s="386"/>
      <c r="C25" s="387"/>
      <c r="D25" s="388"/>
      <c r="E25" s="402"/>
      <c r="F25" s="403"/>
      <c r="H25" s="388"/>
      <c r="I25" s="403"/>
      <c r="K25" s="388"/>
      <c r="L25" s="403"/>
      <c r="N25" s="388"/>
      <c r="O25" s="403"/>
    </row>
    <row r="26" spans="1:15">
      <c r="A26" s="385">
        <v>22</v>
      </c>
      <c r="B26" s="386">
        <v>46</v>
      </c>
      <c r="C26" s="387"/>
      <c r="D26" s="388">
        <f>+'Revenue By Sch TY'!D17</f>
        <v>100810.05100000001</v>
      </c>
      <c r="E26" s="402">
        <f>ROUND(+'UE-190529 Sch 141Z'!M31,6)</f>
        <v>-4.4999999999999999E-4</v>
      </c>
      <c r="F26" s="403">
        <f>ROUND(D26*E26,0)</f>
        <v>-45</v>
      </c>
      <c r="H26" s="388">
        <f>+'Sch 95 PCORC'!J26</f>
        <v>89530.525500000018</v>
      </c>
      <c r="I26" s="403">
        <f t="shared" ref="I26:I27" si="14">ROUND($E26*H26,0)</f>
        <v>-40</v>
      </c>
      <c r="K26" s="388">
        <f>+'Sch 95 PCORC'!N26</f>
        <v>89210.525500000018</v>
      </c>
      <c r="L26" s="403">
        <f t="shared" ref="L26:L27" si="15">ROUND($E26*K26,0)</f>
        <v>-40</v>
      </c>
      <c r="N26" s="388"/>
      <c r="O26" s="403"/>
    </row>
    <row r="27" spans="1:15">
      <c r="A27" s="385">
        <v>23</v>
      </c>
      <c r="B27" s="386">
        <v>49</v>
      </c>
      <c r="C27" s="387"/>
      <c r="D27" s="388">
        <f>+'Revenue By Sch TY'!D18</f>
        <v>513293.73700000002</v>
      </c>
      <c r="E27" s="402">
        <f>ROUND(+'UE-190529 Sch 141Z'!M32,6)</f>
        <v>-4.4999999999999999E-4</v>
      </c>
      <c r="F27" s="403">
        <f>ROUND(D27*E27,0)</f>
        <v>-231</v>
      </c>
      <c r="H27" s="388">
        <f>+'Sch 95 PCORC'!J27</f>
        <v>504715</v>
      </c>
      <c r="I27" s="403">
        <f t="shared" si="14"/>
        <v>-227</v>
      </c>
      <c r="K27" s="388">
        <f>+'Sch 95 PCORC'!N27</f>
        <v>499683</v>
      </c>
      <c r="L27" s="403">
        <f t="shared" si="15"/>
        <v>-225</v>
      </c>
      <c r="N27" s="388"/>
      <c r="O27" s="403"/>
    </row>
    <row r="28" spans="1:15">
      <c r="A28" s="385">
        <v>24</v>
      </c>
      <c r="B28" s="386"/>
      <c r="C28" s="387" t="s">
        <v>15</v>
      </c>
      <c r="D28" s="390">
        <f>SUM(D26:D27)</f>
        <v>614103.78800000006</v>
      </c>
      <c r="E28" s="404"/>
      <c r="F28" s="405">
        <f t="shared" ref="F28" si="16">SUM(F26:F27)</f>
        <v>-276</v>
      </c>
      <c r="H28" s="390">
        <f>SUM(H26:H27)</f>
        <v>594245.52549999999</v>
      </c>
      <c r="I28" s="405">
        <f t="shared" ref="I28" si="17">SUM(I26:I27)</f>
        <v>-267</v>
      </c>
      <c r="K28" s="390">
        <f>SUM(K26:K27)</f>
        <v>588893.52549999999</v>
      </c>
      <c r="L28" s="405">
        <f t="shared" ref="L28" si="18">SUM(L26:L27)</f>
        <v>-265</v>
      </c>
      <c r="N28" s="390"/>
      <c r="O28" s="405"/>
    </row>
    <row r="29" spans="1:15">
      <c r="A29" s="385">
        <v>25</v>
      </c>
      <c r="B29" s="386"/>
      <c r="C29" s="387"/>
      <c r="D29" s="388"/>
      <c r="E29" s="402"/>
      <c r="F29" s="403"/>
      <c r="H29" s="388"/>
      <c r="I29" s="403"/>
      <c r="K29" s="388"/>
      <c r="L29" s="403"/>
      <c r="N29" s="388"/>
      <c r="O29" s="403"/>
    </row>
    <row r="30" spans="1:15">
      <c r="A30" s="385">
        <v>26</v>
      </c>
      <c r="B30" s="386" t="s">
        <v>16</v>
      </c>
      <c r="C30" s="387"/>
      <c r="D30" s="390">
        <f>+'Revenue By Sch TY'!D19</f>
        <v>69892.887000000002</v>
      </c>
      <c r="E30" s="402">
        <f>ROUND(+'UE-190529 Sch 141Z'!M40,6)</f>
        <v>-2.503E-3</v>
      </c>
      <c r="F30" s="405">
        <f>ROUND(D30*E30,0)</f>
        <v>-175</v>
      </c>
      <c r="H30" s="388">
        <f>+'Sch 95 PCORC'!J30</f>
        <v>62703</v>
      </c>
      <c r="I30" s="405">
        <f>ROUND($E30*H30,0)</f>
        <v>-157</v>
      </c>
      <c r="K30" s="388">
        <f>+'Sch 95 PCORC'!N30</f>
        <v>61382</v>
      </c>
      <c r="L30" s="405">
        <f>ROUND($E30*K30,0)</f>
        <v>-154</v>
      </c>
      <c r="N30" s="388"/>
      <c r="O30" s="405"/>
    </row>
    <row r="31" spans="1:15">
      <c r="A31" s="386">
        <f t="shared" ref="A31:A34" si="19">+A30+1</f>
        <v>27</v>
      </c>
      <c r="B31" s="386"/>
      <c r="C31" s="387"/>
      <c r="D31" s="388"/>
      <c r="E31" s="402"/>
      <c r="F31" s="403"/>
      <c r="H31" s="388"/>
      <c r="I31" s="403"/>
      <c r="K31" s="388"/>
      <c r="L31" s="403"/>
      <c r="N31" s="388"/>
      <c r="O31" s="403"/>
    </row>
    <row r="32" spans="1:15">
      <c r="A32" s="386">
        <f t="shared" si="19"/>
        <v>28</v>
      </c>
      <c r="B32" s="389" t="s">
        <v>17</v>
      </c>
      <c r="C32" s="387"/>
      <c r="D32" s="388">
        <f>+'Revenue By Sch TY'!D20</f>
        <v>1945214.1669999999</v>
      </c>
      <c r="E32" s="402">
        <f>ROUND(+'UE-190529 Sch 141Z'!M36,6)</f>
        <v>-5.0000000000000004E-6</v>
      </c>
      <c r="F32" s="403">
        <f>ROUND(D32*E32,0)</f>
        <v>-10</v>
      </c>
      <c r="H32" s="388">
        <f>+'Sch 95 PCORC'!J32</f>
        <v>1895530</v>
      </c>
      <c r="I32" s="403">
        <f t="shared" ref="I32:I33" si="20">ROUND($E32*H32,0)</f>
        <v>-9</v>
      </c>
      <c r="K32" s="388">
        <f>+'Sch 95 PCORC'!N32</f>
        <v>1895104</v>
      </c>
      <c r="L32" s="403">
        <f t="shared" ref="L32:L33" si="21">ROUND($E32*K32,0)</f>
        <v>-9</v>
      </c>
      <c r="N32" s="388"/>
      <c r="O32" s="403"/>
    </row>
    <row r="33" spans="1:15">
      <c r="A33" s="386">
        <f t="shared" si="19"/>
        <v>29</v>
      </c>
      <c r="B33" s="389" t="s">
        <v>262</v>
      </c>
      <c r="C33" s="387"/>
      <c r="D33" s="388">
        <f>+'Revenue By Sch TY'!D21</f>
        <v>278070.311162</v>
      </c>
      <c r="E33" s="402">
        <f>ROUND(+'UE-190529 Sch 141Z'!M37,6)</f>
        <v>-2.81E-4</v>
      </c>
      <c r="F33" s="403">
        <f>ROUND(D33*E33,0)</f>
        <v>-78</v>
      </c>
      <c r="H33" s="388">
        <f>+'Sch 95 PCORC'!J33</f>
        <v>289426</v>
      </c>
      <c r="I33" s="403">
        <f t="shared" si="20"/>
        <v>-81</v>
      </c>
      <c r="K33" s="388">
        <f>+'Sch 95 PCORC'!N33</f>
        <v>289426</v>
      </c>
      <c r="L33" s="403">
        <f t="shared" si="21"/>
        <v>-81</v>
      </c>
      <c r="N33" s="388"/>
      <c r="O33" s="403"/>
    </row>
    <row r="34" spans="1:15">
      <c r="A34" s="386">
        <f t="shared" si="19"/>
        <v>30</v>
      </c>
      <c r="B34" s="389"/>
      <c r="C34" s="387" t="s">
        <v>263</v>
      </c>
      <c r="D34" s="390">
        <f>SUM(D32:D33)</f>
        <v>2223284.478162</v>
      </c>
      <c r="E34" s="404"/>
      <c r="F34" s="405">
        <f t="shared" ref="F34" si="22">SUM(F32:F33)</f>
        <v>-88</v>
      </c>
      <c r="H34" s="390">
        <f>SUM(H32:H33)</f>
        <v>2184956</v>
      </c>
      <c r="I34" s="405">
        <f t="shared" ref="I34" si="23">SUM(I32:I33)</f>
        <v>-90</v>
      </c>
      <c r="K34" s="390">
        <f>SUM(K32:K33)</f>
        <v>2184530</v>
      </c>
      <c r="L34" s="405">
        <f t="shared" ref="L34" si="24">SUM(L32:L33)</f>
        <v>-90</v>
      </c>
      <c r="N34" s="390"/>
      <c r="O34" s="405"/>
    </row>
    <row r="35" spans="1:15">
      <c r="A35" s="385">
        <v>29</v>
      </c>
      <c r="B35" s="386"/>
      <c r="C35" s="387"/>
      <c r="D35" s="388"/>
      <c r="E35" s="402"/>
      <c r="F35" s="403"/>
      <c r="H35" s="388"/>
      <c r="I35" s="403"/>
      <c r="K35" s="388"/>
      <c r="L35" s="403"/>
      <c r="N35" s="388"/>
      <c r="O35" s="403"/>
    </row>
    <row r="36" spans="1:15" ht="10.8" thickBot="1">
      <c r="A36" s="385">
        <v>30</v>
      </c>
      <c r="B36" s="386"/>
      <c r="C36" s="391" t="s">
        <v>66</v>
      </c>
      <c r="D36" s="393">
        <f>SUM(D9,D18,D24,D28,D30,D34)</f>
        <v>22980976.256595761</v>
      </c>
      <c r="E36" s="406"/>
      <c r="F36" s="407">
        <f>SUM(F9,F18,F24,F28,F30,F34)</f>
        <v>-16280</v>
      </c>
      <c r="H36" s="393">
        <f>SUM(H9,H18,H24,H28,H30,H34)</f>
        <v>22715537.8675</v>
      </c>
      <c r="I36" s="407">
        <f>SUM(I9,I18,I24,I28,I30,I34)</f>
        <v>-16030</v>
      </c>
      <c r="K36" s="393">
        <f>SUM(K9,K18,K24,K28,K30,K34)</f>
        <v>22906810.8475</v>
      </c>
      <c r="L36" s="407">
        <f>SUM(L9,L18,L24,L28,L30,L34)</f>
        <v>-16179</v>
      </c>
      <c r="N36" s="393"/>
      <c r="O36" s="407"/>
    </row>
    <row r="37" spans="1:15" ht="10.8" thickTop="1">
      <c r="A37" s="385">
        <v>31</v>
      </c>
      <c r="B37" s="386"/>
      <c r="C37" s="387"/>
      <c r="D37" s="387"/>
      <c r="E37" s="387"/>
      <c r="F37" s="403"/>
      <c r="I37" s="403"/>
      <c r="L37" s="403"/>
      <c r="O37" s="403"/>
    </row>
    <row r="38" spans="1:15">
      <c r="B38" s="386">
        <v>5</v>
      </c>
      <c r="C38" s="387" t="s">
        <v>67</v>
      </c>
      <c r="D38" s="388">
        <f>+'Revenue By Sch TY'!D22</f>
        <v>7372.3372879022108</v>
      </c>
      <c r="E38" s="402">
        <f>ROUND(+'UE-190529 Sch 141Z'!M44,6)</f>
        <v>-7.5699999999999997E-4</v>
      </c>
      <c r="F38" s="405">
        <f>ROUND(D38*E38,0)</f>
        <v>-6</v>
      </c>
      <c r="H38" s="390">
        <f>+'Sch 95 PCORC'!J38</f>
        <v>7521</v>
      </c>
      <c r="I38" s="405">
        <f>ROUND($E38*H38,0)</f>
        <v>-6</v>
      </c>
      <c r="K38" s="390">
        <f>+'Sch 95 PCORC'!N38</f>
        <v>7552</v>
      </c>
      <c r="L38" s="405">
        <f>ROUND($E38*K38,0)</f>
        <v>-6</v>
      </c>
      <c r="N38" s="390"/>
      <c r="O38" s="405"/>
    </row>
    <row r="39" spans="1:15">
      <c r="B39" s="386"/>
      <c r="C39" s="387"/>
      <c r="D39" s="387"/>
      <c r="E39" s="387"/>
      <c r="F39" s="403"/>
      <c r="I39" s="403"/>
      <c r="L39" s="403"/>
      <c r="O39" s="403"/>
    </row>
    <row r="40" spans="1:15" ht="10.8" thickBot="1">
      <c r="B40" s="386"/>
      <c r="C40" s="391" t="s">
        <v>68</v>
      </c>
      <c r="D40" s="393">
        <f>SUM(D36,D38)</f>
        <v>22988348.593883663</v>
      </c>
      <c r="E40" s="387"/>
      <c r="F40" s="407">
        <f t="shared" ref="F40" si="25">SUM(F36,F38)</f>
        <v>-16286</v>
      </c>
      <c r="H40" s="393">
        <f>SUM(H36,H38)</f>
        <v>22723058.8675</v>
      </c>
      <c r="I40" s="407">
        <f t="shared" ref="I40" si="26">SUM(I36,I38)</f>
        <v>-16036</v>
      </c>
      <c r="K40" s="393">
        <f>SUM(K36,K38)</f>
        <v>22914362.8475</v>
      </c>
      <c r="L40" s="407">
        <f t="shared" ref="L40" si="27">SUM(L36,L38)</f>
        <v>-16185</v>
      </c>
      <c r="N40" s="393"/>
      <c r="O40" s="407"/>
    </row>
    <row r="41" spans="1:15" ht="10.8" thickTop="1"/>
  </sheetData>
  <mergeCells count="8">
    <mergeCell ref="H5:I5"/>
    <mergeCell ref="K5:L5"/>
    <mergeCell ref="N5:O5"/>
    <mergeCell ref="A5:F5"/>
    <mergeCell ref="A1:F1"/>
    <mergeCell ref="A2:F2"/>
    <mergeCell ref="A3:F3"/>
    <mergeCell ref="A4:F4"/>
  </mergeCells>
  <printOptions horizontalCentered="1"/>
  <pageMargins left="0.7" right="0.7" top="0.75" bottom="0.88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AB46"/>
  <sheetViews>
    <sheetView zoomScaleNormal="10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activeCell="P40" sqref="P40"/>
    </sheetView>
  </sheetViews>
  <sheetFormatPr defaultColWidth="8.88671875" defaultRowHeight="10.199999999999999"/>
  <cols>
    <col min="1" max="1" width="4.44140625" style="387" bestFit="1" customWidth="1"/>
    <col min="2" max="2" width="12.33203125" style="387" bestFit="1" customWidth="1"/>
    <col min="3" max="3" width="18.33203125" style="387" bestFit="1" customWidth="1"/>
    <col min="4" max="4" width="13.33203125" style="387" bestFit="1" customWidth="1"/>
    <col min="5" max="5" width="9.33203125" style="387" bestFit="1" customWidth="1"/>
    <col min="6" max="6" width="10" style="387" bestFit="1" customWidth="1"/>
    <col min="7" max="7" width="9.6640625" style="387" bestFit="1" customWidth="1"/>
    <col min="8" max="8" width="12.44140625" style="387" bestFit="1" customWidth="1"/>
    <col min="9" max="11" width="13.88671875" style="387" bestFit="1" customWidth="1"/>
    <col min="12" max="12" width="1.44140625" style="387" customWidth="1"/>
    <col min="13" max="14" width="12.6640625" style="387" bestFit="1" customWidth="1"/>
    <col min="15" max="15" width="13.88671875" style="387" bestFit="1" customWidth="1"/>
    <col min="16" max="16" width="12.6640625" style="387" bestFit="1" customWidth="1"/>
    <col min="17" max="17" width="1" style="387" customWidth="1"/>
    <col min="18" max="18" width="12.6640625" style="387" bestFit="1" customWidth="1"/>
    <col min="19" max="19" width="11.33203125" style="387" customWidth="1"/>
    <col min="20" max="20" width="8.44140625" style="387" bestFit="1" customWidth="1"/>
    <col min="21" max="21" width="1.5546875" style="387" customWidth="1"/>
    <col min="22" max="22" width="9.88671875" style="387" bestFit="1" customWidth="1"/>
    <col min="23" max="23" width="11.33203125" style="387" customWidth="1"/>
    <col min="24" max="24" width="8.44140625" style="387" bestFit="1" customWidth="1"/>
    <col min="25" max="25" width="2" style="387" customWidth="1"/>
    <col min="26" max="26" width="8.44140625" style="387" bestFit="1" customWidth="1"/>
    <col min="27" max="27" width="11.33203125" style="387" customWidth="1"/>
    <col min="28" max="28" width="8.44140625" style="387" bestFit="1" customWidth="1"/>
    <col min="29" max="16384" width="8.88671875" style="387"/>
  </cols>
  <sheetData>
    <row r="1" spans="1:28" s="409" customFormat="1">
      <c r="A1" s="772" t="s">
        <v>0</v>
      </c>
      <c r="B1" s="772"/>
      <c r="C1" s="772"/>
      <c r="D1" s="772"/>
      <c r="E1" s="772"/>
    </row>
    <row r="2" spans="1:28" s="409" customFormat="1">
      <c r="A2" s="773" t="s">
        <v>168</v>
      </c>
      <c r="B2" s="772"/>
      <c r="C2" s="772"/>
      <c r="D2" s="772"/>
      <c r="E2" s="772"/>
    </row>
    <row r="3" spans="1:28" s="409" customFormat="1">
      <c r="A3" s="772" t="str">
        <f>+'Revenue By Sch TY'!A3</f>
        <v>Test Year ended June 2021</v>
      </c>
      <c r="B3" s="772"/>
      <c r="C3" s="772"/>
      <c r="D3" s="772"/>
      <c r="E3" s="772"/>
    </row>
    <row r="4" spans="1:28" s="409" customFormat="1" ht="10.8" thickBot="1">
      <c r="A4" s="772"/>
      <c r="B4" s="772"/>
      <c r="C4" s="772"/>
      <c r="D4" s="772"/>
      <c r="E4" s="772"/>
      <c r="R4" s="766" t="s">
        <v>340</v>
      </c>
      <c r="S4" s="767"/>
      <c r="T4" s="767"/>
      <c r="U4" s="767"/>
      <c r="V4" s="767"/>
      <c r="W4" s="767"/>
      <c r="X4" s="767"/>
      <c r="Y4" s="767"/>
      <c r="Z4" s="767"/>
      <c r="AA4" s="767"/>
      <c r="AB4" s="768"/>
    </row>
    <row r="5" spans="1:28" s="409" customFormat="1" ht="10.8" thickBot="1">
      <c r="A5" s="411"/>
      <c r="B5" s="398"/>
      <c r="C5" s="398"/>
      <c r="D5" s="398"/>
      <c r="F5" s="789" t="s">
        <v>340</v>
      </c>
      <c r="G5" s="787"/>
      <c r="H5" s="788"/>
      <c r="I5" s="789" t="s">
        <v>339</v>
      </c>
      <c r="J5" s="787"/>
      <c r="K5" s="788"/>
      <c r="M5" s="785" t="s">
        <v>588</v>
      </c>
      <c r="N5" s="787"/>
      <c r="O5" s="787"/>
      <c r="P5" s="788"/>
      <c r="R5" s="803" t="s">
        <v>512</v>
      </c>
      <c r="S5" s="803"/>
      <c r="T5" s="803"/>
      <c r="V5" s="802" t="s">
        <v>515</v>
      </c>
      <c r="W5" s="802"/>
      <c r="X5" s="802"/>
      <c r="Z5" s="802" t="s">
        <v>514</v>
      </c>
      <c r="AA5" s="802"/>
      <c r="AB5" s="803"/>
    </row>
    <row r="6" spans="1:28" s="409" customFormat="1" ht="51.6" thickBot="1">
      <c r="A6" s="399" t="s">
        <v>2</v>
      </c>
      <c r="B6" s="399" t="s">
        <v>3</v>
      </c>
      <c r="C6" s="399" t="s">
        <v>31</v>
      </c>
      <c r="D6" s="400" t="str">
        <f>+'Revenue By Sch TY'!D7</f>
        <v>Annual mWh
Delivered Sales 
YE 06-2021</v>
      </c>
      <c r="E6" s="400" t="s">
        <v>422</v>
      </c>
      <c r="F6" s="413" t="s">
        <v>427</v>
      </c>
      <c r="G6" s="414" t="s">
        <v>428</v>
      </c>
      <c r="H6" s="415" t="s">
        <v>432</v>
      </c>
      <c r="I6" s="413" t="s">
        <v>429</v>
      </c>
      <c r="J6" s="414" t="s">
        <v>430</v>
      </c>
      <c r="K6" s="415" t="s">
        <v>433</v>
      </c>
      <c r="M6" s="413" t="s">
        <v>548</v>
      </c>
      <c r="N6" s="414" t="s">
        <v>549</v>
      </c>
      <c r="O6" s="414" t="str">
        <f>+K6</f>
        <v>Sch 142 Decoupling
Rider Revenue
Effective 
October 15, 2020</v>
      </c>
      <c r="P6" s="415" t="s">
        <v>550</v>
      </c>
      <c r="R6" s="400" t="s">
        <v>522</v>
      </c>
      <c r="S6" s="400" t="s">
        <v>551</v>
      </c>
      <c r="T6" s="400" t="s">
        <v>513</v>
      </c>
      <c r="U6" s="400"/>
      <c r="V6" s="400" t="str">
        <f>+R6</f>
        <v>Annual Delivered MWh</v>
      </c>
      <c r="W6" s="400" t="s">
        <v>551</v>
      </c>
      <c r="X6" s="400" t="str">
        <f>+T6</f>
        <v>Annual Delivered $</v>
      </c>
      <c r="Y6" s="400"/>
      <c r="Z6" s="400" t="str">
        <f>+V6</f>
        <v>Annual Delivered MWh</v>
      </c>
      <c r="AA6" s="400" t="s">
        <v>551</v>
      </c>
      <c r="AB6" s="400" t="str">
        <f>+V6</f>
        <v>Annual Delivered MWh</v>
      </c>
    </row>
    <row r="7" spans="1:28">
      <c r="A7" s="386">
        <v>1</v>
      </c>
      <c r="B7" s="386">
        <v>7</v>
      </c>
      <c r="D7" s="388">
        <f>+'Revenue By Sch TY'!D9</f>
        <v>11355354.571603522</v>
      </c>
      <c r="E7" s="388"/>
      <c r="F7" s="402">
        <f>+'UE-210214 Sch 142'!F12</f>
        <v>-4.17E-4</v>
      </c>
      <c r="G7" s="402"/>
      <c r="H7" s="403">
        <f>ROUND(D7*F7+G7*E7/1000,0)</f>
        <v>-4735</v>
      </c>
      <c r="I7" s="402">
        <f>+'UE-200965 Sch 142 Supplemental'!E12</f>
        <v>3.1400000000000004E-4</v>
      </c>
      <c r="J7" s="402"/>
      <c r="K7" s="403">
        <f>ROUND(D7*I7+J7*E7/1000,0)</f>
        <v>3566</v>
      </c>
      <c r="M7" s="402">
        <v>0</v>
      </c>
      <c r="N7" s="402"/>
      <c r="O7" s="403">
        <f>ROUND(R7*I7+J7*S7/1000,0)</f>
        <v>3442</v>
      </c>
      <c r="P7" s="403">
        <f>ROUND(D7*M7+N7*E7/1000,0)</f>
        <v>0</v>
      </c>
      <c r="R7" s="388">
        <f>+'[1]Exhibit No.__(BDJ-MYRP-SUM)'!$K$14</f>
        <v>10963050.375499999</v>
      </c>
      <c r="S7" s="388"/>
      <c r="T7" s="403">
        <f>ROUND($F7*R7+S7*$G7/1000,0)</f>
        <v>-4572</v>
      </c>
      <c r="U7" s="403"/>
      <c r="V7" s="388">
        <f>+'[1]Exhibit No.__(BDJ-MYRP-SUM)'!$Q$14</f>
        <v>11064440.8695</v>
      </c>
      <c r="W7" s="388"/>
      <c r="X7" s="403">
        <f>ROUND($F7*V7+W7*$G7/1000,0)</f>
        <v>-4614</v>
      </c>
      <c r="Z7" s="388"/>
      <c r="AA7" s="388"/>
      <c r="AB7" s="403"/>
    </row>
    <row r="8" spans="1:28">
      <c r="A8" s="386">
        <f t="shared" ref="A8:A40" si="0">+A7+1</f>
        <v>2</v>
      </c>
      <c r="B8" s="389" t="s">
        <v>10</v>
      </c>
      <c r="D8" s="388">
        <v>0</v>
      </c>
      <c r="E8" s="388"/>
      <c r="F8" s="402">
        <f>+'UE-210214 Sch 142'!F18</f>
        <v>2.9560000000000003E-3</v>
      </c>
      <c r="G8" s="402"/>
      <c r="H8" s="403">
        <f>ROUND(D8*F8+G8*E8/1000,0)</f>
        <v>0</v>
      </c>
      <c r="I8" s="402">
        <f>+'UE-200965 Sch 142 Supplemental'!E18</f>
        <v>-6.1000000000000019E-5</v>
      </c>
      <c r="J8" s="402"/>
      <c r="K8" s="403">
        <f>ROUND(D8*I8+J8*E8/1000,0)</f>
        <v>0</v>
      </c>
      <c r="M8" s="402">
        <v>0</v>
      </c>
      <c r="N8" s="402"/>
      <c r="O8" s="403">
        <f>ROUND(R8*I8+J8*S8/1000,0)</f>
        <v>0</v>
      </c>
      <c r="P8" s="403">
        <f>ROUND(D8*M8+N8*E8/1000,0)</f>
        <v>0</v>
      </c>
      <c r="R8" s="388">
        <v>0</v>
      </c>
      <c r="S8" s="388"/>
      <c r="T8" s="403">
        <f>ROUND($F8*R8+S8*$G8/1000,0)</f>
        <v>0</v>
      </c>
      <c r="U8" s="403"/>
      <c r="V8" s="388">
        <v>0</v>
      </c>
      <c r="W8" s="388"/>
      <c r="X8" s="403">
        <f>ROUND($F8*V8+W8*$G8/1000,0)</f>
        <v>0</v>
      </c>
      <c r="Z8" s="388"/>
      <c r="AA8" s="388"/>
      <c r="AB8" s="403"/>
    </row>
    <row r="9" spans="1:28">
      <c r="A9" s="386">
        <f t="shared" si="0"/>
        <v>3</v>
      </c>
      <c r="B9" s="386"/>
      <c r="C9" s="387" t="s">
        <v>11</v>
      </c>
      <c r="D9" s="390">
        <f>SUM(D7:D8)</f>
        <v>11355354.571603522</v>
      </c>
      <c r="E9" s="388"/>
      <c r="F9" s="388"/>
      <c r="G9" s="388"/>
      <c r="H9" s="405">
        <f t="shared" ref="H9" si="1">SUM(H7:H8)</f>
        <v>-4735</v>
      </c>
      <c r="I9" s="388"/>
      <c r="J9" s="388"/>
      <c r="K9" s="405">
        <f t="shared" ref="K9" si="2">SUM(K7:K8)</f>
        <v>3566</v>
      </c>
      <c r="M9" s="388"/>
      <c r="N9" s="388"/>
      <c r="O9" s="405">
        <f t="shared" ref="O9:P9" si="3">SUM(O7:O8)</f>
        <v>3442</v>
      </c>
      <c r="P9" s="405">
        <f t="shared" si="3"/>
        <v>0</v>
      </c>
      <c r="R9" s="390">
        <f>SUM(R7:R8)</f>
        <v>10963050.375499999</v>
      </c>
      <c r="S9" s="388"/>
      <c r="T9" s="405">
        <f t="shared" ref="T9" si="4">SUM(T7:T8)</f>
        <v>-4572</v>
      </c>
      <c r="U9" s="412"/>
      <c r="V9" s="390">
        <f>SUM(V7:V8)</f>
        <v>11064440.8695</v>
      </c>
      <c r="W9" s="388"/>
      <c r="X9" s="405">
        <f t="shared" ref="X9" si="5">SUM(X7:X8)</f>
        <v>-4614</v>
      </c>
      <c r="Z9" s="390"/>
      <c r="AA9" s="388"/>
      <c r="AB9" s="405"/>
    </row>
    <row r="10" spans="1:28">
      <c r="A10" s="386">
        <f t="shared" si="0"/>
        <v>4</v>
      </c>
      <c r="B10" s="386"/>
      <c r="D10" s="388"/>
      <c r="E10" s="388"/>
      <c r="F10" s="402"/>
      <c r="G10" s="402"/>
      <c r="H10" s="403"/>
      <c r="I10" s="402"/>
      <c r="J10" s="402"/>
      <c r="K10" s="403"/>
      <c r="M10" s="402"/>
      <c r="N10" s="402"/>
      <c r="O10" s="403"/>
      <c r="P10" s="403"/>
      <c r="R10" s="388"/>
      <c r="S10" s="388"/>
      <c r="T10" s="403"/>
      <c r="U10" s="403"/>
      <c r="V10" s="388"/>
      <c r="W10" s="388"/>
      <c r="X10" s="403"/>
      <c r="Z10" s="388"/>
      <c r="AA10" s="388"/>
      <c r="AB10" s="403"/>
    </row>
    <row r="11" spans="1:28">
      <c r="A11" s="386">
        <f t="shared" si="0"/>
        <v>5</v>
      </c>
      <c r="B11" s="386">
        <v>8</v>
      </c>
      <c r="D11" s="388">
        <v>0</v>
      </c>
      <c r="E11" s="388"/>
      <c r="F11" s="402">
        <f>+'UE-210214 Sch 142'!F15</f>
        <v>3.2799999999999999E-3</v>
      </c>
      <c r="G11" s="402"/>
      <c r="H11" s="403">
        <f t="shared" ref="H11:H17" si="6">ROUND(D11*F11+G11*E11/1000,0)</f>
        <v>0</v>
      </c>
      <c r="I11" s="402">
        <f>+'UE-200965 Sch 142 Supplemental'!E15</f>
        <v>1.201E-3</v>
      </c>
      <c r="J11" s="402"/>
      <c r="K11" s="403">
        <f t="shared" ref="K11:K17" si="7">ROUND(D11*I11+J11*E11/1000,0)</f>
        <v>0</v>
      </c>
      <c r="M11" s="402">
        <v>0</v>
      </c>
      <c r="N11" s="402"/>
      <c r="O11" s="403">
        <f t="shared" ref="O11:O17" si="8">ROUND(R11*I11+J11*S11/1000,0)</f>
        <v>0</v>
      </c>
      <c r="P11" s="403">
        <f t="shared" ref="P11:P17" si="9">ROUND(D11*M11+N11*E11/1000,0)</f>
        <v>0</v>
      </c>
      <c r="R11" s="388">
        <v>0</v>
      </c>
      <c r="S11" s="388"/>
      <c r="T11" s="403">
        <f t="shared" ref="T11:T17" si="10">ROUND($F11*R11+S11*$G11/1000,0)</f>
        <v>0</v>
      </c>
      <c r="U11" s="403"/>
      <c r="V11" s="388">
        <v>0</v>
      </c>
      <c r="W11" s="388"/>
      <c r="X11" s="403">
        <f t="shared" ref="X11:X17" si="11">ROUND($F11*V11+W11*$G11/1000,0)</f>
        <v>0</v>
      </c>
      <c r="Z11" s="388"/>
      <c r="AA11" s="388"/>
      <c r="AB11" s="403"/>
    </row>
    <row r="12" spans="1:28">
      <c r="A12" s="386">
        <f t="shared" si="0"/>
        <v>6</v>
      </c>
      <c r="B12" s="386">
        <v>24</v>
      </c>
      <c r="D12" s="388">
        <f>+'Revenue By Sch TY'!D10</f>
        <v>2658833.1030243803</v>
      </c>
      <c r="E12" s="388"/>
      <c r="F12" s="402">
        <f>+F11</f>
        <v>3.2799999999999999E-3</v>
      </c>
      <c r="G12" s="402"/>
      <c r="H12" s="403">
        <f t="shared" si="6"/>
        <v>8721</v>
      </c>
      <c r="I12" s="402">
        <f>+I11</f>
        <v>1.201E-3</v>
      </c>
      <c r="J12" s="402"/>
      <c r="K12" s="403">
        <f t="shared" si="7"/>
        <v>3193</v>
      </c>
      <c r="M12" s="402">
        <v>0</v>
      </c>
      <c r="N12" s="402"/>
      <c r="O12" s="403">
        <f t="shared" si="8"/>
        <v>3240</v>
      </c>
      <c r="P12" s="403">
        <f t="shared" si="9"/>
        <v>0</v>
      </c>
      <c r="R12" s="388">
        <f>+'[1]Exhibit No.__(BDJ-MYRP-SUM)'!$K$15</f>
        <v>2697633</v>
      </c>
      <c r="S12" s="388"/>
      <c r="T12" s="403">
        <f t="shared" si="10"/>
        <v>8848</v>
      </c>
      <c r="U12" s="403"/>
      <c r="V12" s="388">
        <f>+'[1]Exhibit No.__(BDJ-MYRP-SUM)'!$Q$15</f>
        <v>2730372</v>
      </c>
      <c r="W12" s="388"/>
      <c r="X12" s="403">
        <f t="shared" si="11"/>
        <v>8956</v>
      </c>
      <c r="Z12" s="388"/>
      <c r="AA12" s="388"/>
      <c r="AB12" s="403"/>
    </row>
    <row r="13" spans="1:28">
      <c r="A13" s="386">
        <f t="shared" si="0"/>
        <v>7</v>
      </c>
      <c r="B13" s="389">
        <v>11</v>
      </c>
      <c r="D13" s="388">
        <v>0</v>
      </c>
      <c r="E13" s="388"/>
      <c r="F13" s="402">
        <f t="shared" ref="F13:F14" si="12">+$F$8</f>
        <v>2.9560000000000003E-3</v>
      </c>
      <c r="G13" s="402"/>
      <c r="H13" s="403">
        <f t="shared" si="6"/>
        <v>0</v>
      </c>
      <c r="I13" s="402">
        <f>+$I$8</f>
        <v>-6.1000000000000019E-5</v>
      </c>
      <c r="J13" s="402"/>
      <c r="K13" s="403">
        <f t="shared" si="7"/>
        <v>0</v>
      </c>
      <c r="M13" s="402">
        <v>0</v>
      </c>
      <c r="N13" s="402"/>
      <c r="O13" s="403">
        <f t="shared" si="8"/>
        <v>0</v>
      </c>
      <c r="P13" s="403">
        <f t="shared" si="9"/>
        <v>0</v>
      </c>
      <c r="R13" s="388">
        <v>0</v>
      </c>
      <c r="S13" s="388"/>
      <c r="T13" s="403">
        <f t="shared" si="10"/>
        <v>0</v>
      </c>
      <c r="U13" s="403"/>
      <c r="V13" s="388">
        <v>0</v>
      </c>
      <c r="W13" s="388"/>
      <c r="X13" s="403">
        <f t="shared" si="11"/>
        <v>0</v>
      </c>
      <c r="Z13" s="388"/>
      <c r="AA13" s="388"/>
      <c r="AB13" s="403"/>
    </row>
    <row r="14" spans="1:28">
      <c r="A14" s="386">
        <f t="shared" si="0"/>
        <v>8</v>
      </c>
      <c r="B14" s="389">
        <v>25</v>
      </c>
      <c r="D14" s="388">
        <f>+'Revenue By Sch TY'!D11</f>
        <v>2856045.8325844579</v>
      </c>
      <c r="E14" s="388"/>
      <c r="F14" s="402">
        <f t="shared" si="12"/>
        <v>2.9560000000000003E-3</v>
      </c>
      <c r="G14" s="402"/>
      <c r="H14" s="403">
        <f t="shared" si="6"/>
        <v>8442</v>
      </c>
      <c r="I14" s="402">
        <f>+$I$8</f>
        <v>-6.1000000000000019E-5</v>
      </c>
      <c r="J14" s="402"/>
      <c r="K14" s="403">
        <f t="shared" si="7"/>
        <v>-174</v>
      </c>
      <c r="M14" s="402">
        <v>0</v>
      </c>
      <c r="N14" s="402"/>
      <c r="O14" s="403">
        <f t="shared" si="8"/>
        <v>-178</v>
      </c>
      <c r="P14" s="403">
        <f t="shared" si="9"/>
        <v>0</v>
      </c>
      <c r="R14" s="388">
        <f>+'[1]Exhibit No.__(BDJ-MYRP-SUM)'!$K$16</f>
        <v>2911699.0000000005</v>
      </c>
      <c r="S14" s="388"/>
      <c r="T14" s="403">
        <f t="shared" si="10"/>
        <v>8607</v>
      </c>
      <c r="U14" s="403"/>
      <c r="V14" s="388">
        <f>+'[1]Exhibit No.__(BDJ-MYRP-SUM)'!$Q$16</f>
        <v>2948172</v>
      </c>
      <c r="W14" s="388"/>
      <c r="X14" s="403">
        <f t="shared" si="11"/>
        <v>8715</v>
      </c>
      <c r="Z14" s="388"/>
      <c r="AA14" s="388"/>
      <c r="AB14" s="403"/>
    </row>
    <row r="15" spans="1:28">
      <c r="A15" s="386">
        <f t="shared" si="0"/>
        <v>9</v>
      </c>
      <c r="B15" s="386">
        <v>12</v>
      </c>
      <c r="D15" s="388">
        <v>0</v>
      </c>
      <c r="E15" s="388"/>
      <c r="F15" s="402">
        <f>+'UE-210214 Sch 142'!F25</f>
        <v>1.5579999999999999E-3</v>
      </c>
      <c r="G15" s="402">
        <f>+'UE-210214 Sch 142'!F24</f>
        <v>0.47999999999999993</v>
      </c>
      <c r="H15" s="403">
        <f t="shared" si="6"/>
        <v>0</v>
      </c>
      <c r="I15" s="402">
        <f>+'UE-200965 Sch 142 Supplemental'!E28</f>
        <v>5.5999999999999999E-5</v>
      </c>
      <c r="J15" s="402">
        <f>+'UE-200965 Sch 142 Supplemental'!E27</f>
        <v>0.1</v>
      </c>
      <c r="K15" s="403">
        <f t="shared" si="7"/>
        <v>0</v>
      </c>
      <c r="M15" s="402">
        <v>0</v>
      </c>
      <c r="N15" s="402">
        <v>0</v>
      </c>
      <c r="O15" s="403">
        <f t="shared" si="8"/>
        <v>0</v>
      </c>
      <c r="P15" s="403">
        <f t="shared" si="9"/>
        <v>0</v>
      </c>
      <c r="R15" s="388">
        <v>0</v>
      </c>
      <c r="S15" s="388"/>
      <c r="T15" s="403">
        <f t="shared" si="10"/>
        <v>0</v>
      </c>
      <c r="U15" s="403"/>
      <c r="V15" s="388">
        <v>0</v>
      </c>
      <c r="W15" s="388"/>
      <c r="X15" s="403">
        <f t="shared" si="11"/>
        <v>0</v>
      </c>
      <c r="Z15" s="388"/>
      <c r="AA15" s="388"/>
      <c r="AB15" s="403"/>
    </row>
    <row r="16" spans="1:28">
      <c r="A16" s="386">
        <f t="shared" si="0"/>
        <v>10</v>
      </c>
      <c r="B16" s="386" t="s">
        <v>12</v>
      </c>
      <c r="D16" s="388">
        <f>+'Revenue By Sch TY'!D12</f>
        <v>1761911.047761543</v>
      </c>
      <c r="E16" s="388">
        <f>'[1]Exhibit No.__(BDJ-Prof-Prop)'!J23*1000</f>
        <v>4340158</v>
      </c>
      <c r="F16" s="402">
        <f>+F15</f>
        <v>1.5579999999999999E-3</v>
      </c>
      <c r="G16" s="402">
        <f>+G15</f>
        <v>0.47999999999999993</v>
      </c>
      <c r="H16" s="403">
        <f t="shared" si="6"/>
        <v>4828</v>
      </c>
      <c r="I16" s="402">
        <f>+I15</f>
        <v>5.5999999999999999E-5</v>
      </c>
      <c r="J16" s="402">
        <f>+J15</f>
        <v>0.1</v>
      </c>
      <c r="K16" s="403">
        <f t="shared" si="7"/>
        <v>533</v>
      </c>
      <c r="M16" s="402">
        <v>0</v>
      </c>
      <c r="N16" s="402">
        <v>0</v>
      </c>
      <c r="O16" s="403">
        <f t="shared" si="8"/>
        <v>545</v>
      </c>
      <c r="P16" s="403">
        <f t="shared" si="9"/>
        <v>0</v>
      </c>
      <c r="R16" s="388">
        <f>+'[1]Exhibit No.__(BDJ-MYRP-SUM)'!$K$17</f>
        <v>1831289</v>
      </c>
      <c r="S16" s="388">
        <f>+'[1]Exhibit No.__(BDJ-MYRP)'!$I$61</f>
        <v>4426846.4048776105</v>
      </c>
      <c r="T16" s="403">
        <f t="shared" si="10"/>
        <v>4978</v>
      </c>
      <c r="U16" s="403"/>
      <c r="V16" s="388">
        <f>+'[1]Exhibit No.__(BDJ-MYRP-SUM)'!$Q$17</f>
        <v>1853862</v>
      </c>
      <c r="W16" s="388">
        <f>+'[1]Exhibit No.__(BDJ-MYRP)'!$O$61</f>
        <v>4435559.87969926</v>
      </c>
      <c r="X16" s="403">
        <f t="shared" si="11"/>
        <v>5017</v>
      </c>
      <c r="Z16" s="388"/>
      <c r="AA16" s="388"/>
      <c r="AB16" s="403"/>
    </row>
    <row r="17" spans="1:28">
      <c r="A17" s="386">
        <f t="shared" si="0"/>
        <v>11</v>
      </c>
      <c r="B17" s="386">
        <v>29</v>
      </c>
      <c r="D17" s="388">
        <f>+'Revenue By Sch TY'!D13</f>
        <v>15293.727999999999</v>
      </c>
      <c r="E17" s="388"/>
      <c r="F17" s="402">
        <f>+$F$8</f>
        <v>2.9560000000000003E-3</v>
      </c>
      <c r="G17" s="402"/>
      <c r="H17" s="403">
        <f t="shared" si="6"/>
        <v>45</v>
      </c>
      <c r="I17" s="402">
        <f>+$I$8</f>
        <v>-6.1000000000000019E-5</v>
      </c>
      <c r="J17" s="402"/>
      <c r="K17" s="403">
        <f t="shared" si="7"/>
        <v>-1</v>
      </c>
      <c r="M17" s="402">
        <v>0</v>
      </c>
      <c r="N17" s="402"/>
      <c r="O17" s="403">
        <f t="shared" si="8"/>
        <v>-1</v>
      </c>
      <c r="P17" s="403">
        <f t="shared" si="9"/>
        <v>0</v>
      </c>
      <c r="R17" s="388">
        <f>+'[1]Exhibit No.__(BDJ-MYRP-SUM)'!$K$18</f>
        <v>15100.966499999999</v>
      </c>
      <c r="S17" s="388"/>
      <c r="T17" s="403">
        <f t="shared" si="10"/>
        <v>45</v>
      </c>
      <c r="U17" s="403"/>
      <c r="V17" s="388">
        <f>+'[1]Exhibit No.__(BDJ-MYRP-SUM)'!$Q$18</f>
        <v>15233.452499999999</v>
      </c>
      <c r="W17" s="388"/>
      <c r="X17" s="403">
        <f t="shared" si="11"/>
        <v>45</v>
      </c>
      <c r="Z17" s="388"/>
      <c r="AA17" s="388"/>
      <c r="AB17" s="403"/>
    </row>
    <row r="18" spans="1:28">
      <c r="A18" s="386">
        <f t="shared" si="0"/>
        <v>12</v>
      </c>
      <c r="B18" s="386"/>
      <c r="C18" s="391" t="s">
        <v>13</v>
      </c>
      <c r="D18" s="390">
        <f>SUM(D11:D17)</f>
        <v>7292083.7113703806</v>
      </c>
      <c r="E18" s="390">
        <f>SUM(E11:E17)</f>
        <v>4340158</v>
      </c>
      <c r="F18" s="388"/>
      <c r="G18" s="388"/>
      <c r="H18" s="405">
        <f t="shared" ref="H18" si="13">SUM(H11:H17)</f>
        <v>22036</v>
      </c>
      <c r="I18" s="388"/>
      <c r="J18" s="388"/>
      <c r="K18" s="405">
        <f t="shared" ref="K18" si="14">SUM(K11:K17)</f>
        <v>3551</v>
      </c>
      <c r="M18" s="388"/>
      <c r="N18" s="388"/>
      <c r="O18" s="405">
        <f t="shared" ref="O18:P18" si="15">SUM(O11:O17)</f>
        <v>3606</v>
      </c>
      <c r="P18" s="405">
        <f t="shared" si="15"/>
        <v>0</v>
      </c>
      <c r="R18" s="390">
        <f>SUM(R11:R17)</f>
        <v>7455721.9665000001</v>
      </c>
      <c r="S18" s="390">
        <f>SUM(S11:S17)</f>
        <v>4426846.4048776105</v>
      </c>
      <c r="T18" s="405">
        <f t="shared" ref="T18" si="16">SUM(T11:T17)</f>
        <v>22478</v>
      </c>
      <c r="U18" s="412"/>
      <c r="V18" s="390">
        <f>SUM(V11:V17)</f>
        <v>7547639.4524999997</v>
      </c>
      <c r="W18" s="390">
        <f>SUM(W11:W17)</f>
        <v>4435559.87969926</v>
      </c>
      <c r="X18" s="405">
        <f t="shared" ref="X18" si="17">SUM(X11:X17)</f>
        <v>22733</v>
      </c>
      <c r="Z18" s="390"/>
      <c r="AA18" s="390"/>
      <c r="AB18" s="405"/>
    </row>
    <row r="19" spans="1:28">
      <c r="A19" s="386">
        <f t="shared" si="0"/>
        <v>13</v>
      </c>
      <c r="B19" s="386"/>
      <c r="D19" s="388"/>
      <c r="E19" s="388"/>
      <c r="F19" s="402"/>
      <c r="G19" s="402"/>
      <c r="H19" s="403"/>
      <c r="I19" s="402"/>
      <c r="J19" s="402"/>
      <c r="K19" s="403"/>
      <c r="M19" s="402"/>
      <c r="N19" s="402"/>
      <c r="O19" s="403"/>
      <c r="P19" s="403"/>
      <c r="R19" s="388"/>
      <c r="S19" s="388"/>
      <c r="T19" s="403"/>
      <c r="U19" s="403"/>
      <c r="V19" s="388"/>
      <c r="W19" s="388"/>
      <c r="X19" s="403"/>
      <c r="Z19" s="388"/>
      <c r="AA19" s="388"/>
      <c r="AB19" s="403"/>
    </row>
    <row r="20" spans="1:28">
      <c r="A20" s="386">
        <f t="shared" si="0"/>
        <v>14</v>
      </c>
      <c r="B20" s="386">
        <v>10</v>
      </c>
      <c r="D20" s="388"/>
      <c r="E20" s="388"/>
      <c r="F20" s="402">
        <f>+'UE-210214 Sch 142'!F29</f>
        <v>1.7290000000000003E-3</v>
      </c>
      <c r="G20" s="402">
        <f>+'UE-210214 Sch 142'!F28</f>
        <v>0.4</v>
      </c>
      <c r="H20" s="403">
        <f>ROUND(D20*F20+G20*E20/1000,0)</f>
        <v>0</v>
      </c>
      <c r="I20" s="402">
        <f>+'UE-200965 Sch 142 Supplemental'!E32</f>
        <v>3.4600000000000001E-4</v>
      </c>
      <c r="J20" s="402">
        <f>+'UE-200965 Sch 142 Supplemental'!E31</f>
        <v>0.21</v>
      </c>
      <c r="K20" s="403">
        <f t="shared" ref="K20:K23" si="18">ROUND(D20*I20+J20*E20/1000,0)</f>
        <v>0</v>
      </c>
      <c r="M20" s="402">
        <v>0</v>
      </c>
      <c r="N20" s="402">
        <v>0</v>
      </c>
      <c r="O20" s="403">
        <f t="shared" ref="O20:O23" si="19">ROUND(R20*I20+J20*S20/1000,0)</f>
        <v>0</v>
      </c>
      <c r="P20" s="403">
        <f t="shared" ref="P20:P23" si="20">ROUND(D20*M20+N20*E20/1000,0)</f>
        <v>0</v>
      </c>
      <c r="R20" s="388">
        <v>0</v>
      </c>
      <c r="S20" s="388"/>
      <c r="T20" s="403">
        <f t="shared" ref="T20:T23" si="21">ROUND($F20*R20+S20*$G20/1000,0)</f>
        <v>0</v>
      </c>
      <c r="U20" s="403"/>
      <c r="V20" s="388">
        <v>0</v>
      </c>
      <c r="W20" s="388"/>
      <c r="X20" s="403">
        <f t="shared" ref="X20:X23" si="22">ROUND($F20*V20+W20*$G20/1000,0)</f>
        <v>0</v>
      </c>
      <c r="Z20" s="388"/>
      <c r="AA20" s="388"/>
      <c r="AB20" s="403"/>
    </row>
    <row r="21" spans="1:28">
      <c r="A21" s="386">
        <f t="shared" si="0"/>
        <v>15</v>
      </c>
      <c r="B21" s="386">
        <v>31</v>
      </c>
      <c r="D21" s="388">
        <f>+'Revenue By Sch TY'!D14</f>
        <v>1307770.0591754341</v>
      </c>
      <c r="E21" s="388">
        <f>'[1]Exhibit No.__(BDJ-Prof-Prop)'!J28*1000</f>
        <v>3207439</v>
      </c>
      <c r="F21" s="402">
        <f>+F20</f>
        <v>1.7290000000000003E-3</v>
      </c>
      <c r="G21" s="402">
        <f>+G20</f>
        <v>0.4</v>
      </c>
      <c r="H21" s="403">
        <f>ROUND(D21*F21+G21*E21/1000,0)</f>
        <v>3544</v>
      </c>
      <c r="I21" s="402">
        <f>+I20</f>
        <v>3.4600000000000001E-4</v>
      </c>
      <c r="J21" s="402">
        <f>+J20</f>
        <v>0.21</v>
      </c>
      <c r="K21" s="403">
        <f t="shared" si="18"/>
        <v>1126</v>
      </c>
      <c r="M21" s="402">
        <v>0</v>
      </c>
      <c r="N21" s="402">
        <v>0</v>
      </c>
      <c r="O21" s="403">
        <f t="shared" si="19"/>
        <v>1152</v>
      </c>
      <c r="P21" s="403">
        <f t="shared" si="20"/>
        <v>0</v>
      </c>
      <c r="R21" s="388">
        <f>+'[1]Exhibit No.__(BDJ-MYRP-SUM)'!$K$19</f>
        <v>1332008</v>
      </c>
      <c r="S21" s="388">
        <f>+'[1]Exhibit No.__(BDJ-MYRP)'!$I$95</f>
        <v>3292032.2143539358</v>
      </c>
      <c r="T21" s="403">
        <f t="shared" si="21"/>
        <v>3620</v>
      </c>
      <c r="U21" s="403"/>
      <c r="V21" s="388">
        <f>+'[1]Exhibit No.__(BDJ-MYRP-SUM)'!$Q$19</f>
        <v>1335448</v>
      </c>
      <c r="W21" s="388">
        <f>+'[1]Exhibit No.__(BDJ-MYRP)'!$O$95</f>
        <v>3273574.4614315722</v>
      </c>
      <c r="X21" s="403">
        <f t="shared" si="22"/>
        <v>3618</v>
      </c>
      <c r="Z21" s="388"/>
      <c r="AA21" s="388"/>
      <c r="AB21" s="403"/>
    </row>
    <row r="22" spans="1:28">
      <c r="A22" s="386">
        <f t="shared" si="0"/>
        <v>16</v>
      </c>
      <c r="B22" s="386">
        <v>35</v>
      </c>
      <c r="D22" s="388">
        <f>+'Revenue By Sch TY'!D15</f>
        <v>4387.6440000000002</v>
      </c>
      <c r="E22" s="388"/>
      <c r="F22" s="402">
        <f t="shared" ref="F22:F23" si="23">+$F$8</f>
        <v>2.9560000000000003E-3</v>
      </c>
      <c r="G22" s="402"/>
      <c r="H22" s="403">
        <f>ROUND(D22*F22+G22*E22/1000,0)</f>
        <v>13</v>
      </c>
      <c r="I22" s="402">
        <f t="shared" ref="I22:I23" si="24">+$I$8</f>
        <v>-6.1000000000000019E-5</v>
      </c>
      <c r="J22" s="402"/>
      <c r="K22" s="403">
        <f t="shared" si="18"/>
        <v>0</v>
      </c>
      <c r="M22" s="402">
        <v>0</v>
      </c>
      <c r="N22" s="402"/>
      <c r="O22" s="403">
        <f t="shared" si="19"/>
        <v>0</v>
      </c>
      <c r="P22" s="403">
        <f t="shared" si="20"/>
        <v>0</v>
      </c>
      <c r="R22" s="388">
        <f>+'[1]Exhibit No.__(BDJ-MYRP-SUM)'!$K$20</f>
        <v>4663</v>
      </c>
      <c r="S22" s="388"/>
      <c r="T22" s="403">
        <f t="shared" si="21"/>
        <v>14</v>
      </c>
      <c r="U22" s="403"/>
      <c r="V22" s="388">
        <f>+'[1]Exhibit No.__(BDJ-MYRP-SUM)'!$Q$20</f>
        <v>4695</v>
      </c>
      <c r="W22" s="388"/>
      <c r="X22" s="403">
        <f t="shared" si="22"/>
        <v>14</v>
      </c>
      <c r="Z22" s="388"/>
      <c r="AA22" s="388"/>
      <c r="AB22" s="403"/>
    </row>
    <row r="23" spans="1:28">
      <c r="A23" s="386">
        <f t="shared" si="0"/>
        <v>17</v>
      </c>
      <c r="B23" s="386">
        <v>43</v>
      </c>
      <c r="D23" s="388">
        <f>+'Revenue By Sch TY'!D16</f>
        <v>114099.11728442684</v>
      </c>
      <c r="E23" s="388"/>
      <c r="F23" s="402">
        <f t="shared" si="23"/>
        <v>2.9560000000000003E-3</v>
      </c>
      <c r="G23" s="402"/>
      <c r="H23" s="403">
        <f>ROUND(D23*F23+G23*E23/1000,0)</f>
        <v>337</v>
      </c>
      <c r="I23" s="402">
        <f t="shared" si="24"/>
        <v>-6.1000000000000019E-5</v>
      </c>
      <c r="J23" s="402"/>
      <c r="K23" s="403">
        <f t="shared" si="18"/>
        <v>-7</v>
      </c>
      <c r="M23" s="402">
        <v>0</v>
      </c>
      <c r="N23" s="402"/>
      <c r="O23" s="403">
        <f t="shared" si="19"/>
        <v>-7</v>
      </c>
      <c r="P23" s="403">
        <f t="shared" si="20"/>
        <v>0</v>
      </c>
      <c r="R23" s="388">
        <f>+'[1]Exhibit No.__(BDJ-MYRP-SUM)'!$K$21</f>
        <v>118190</v>
      </c>
      <c r="S23" s="388"/>
      <c r="T23" s="403">
        <f t="shared" si="21"/>
        <v>349</v>
      </c>
      <c r="U23" s="403"/>
      <c r="V23" s="388">
        <f>+'[1]Exhibit No.__(BDJ-MYRP-SUM)'!$Q$21</f>
        <v>119782</v>
      </c>
      <c r="W23" s="388"/>
      <c r="X23" s="403">
        <f t="shared" si="22"/>
        <v>354</v>
      </c>
      <c r="Z23" s="388"/>
      <c r="AA23" s="388"/>
      <c r="AB23" s="403"/>
    </row>
    <row r="24" spans="1:28">
      <c r="A24" s="386">
        <f t="shared" si="0"/>
        <v>18</v>
      </c>
      <c r="B24" s="386"/>
      <c r="C24" s="387" t="s">
        <v>14</v>
      </c>
      <c r="D24" s="390">
        <f>SUM(D20:D23)</f>
        <v>1426256.8204598611</v>
      </c>
      <c r="E24" s="390">
        <f>SUM(E20:E23)</f>
        <v>3207439</v>
      </c>
      <c r="F24" s="388"/>
      <c r="G24" s="388"/>
      <c r="H24" s="405">
        <f t="shared" ref="H24" si="25">SUM(H20:H23)</f>
        <v>3894</v>
      </c>
      <c r="I24" s="388"/>
      <c r="J24" s="388"/>
      <c r="K24" s="405">
        <f t="shared" ref="K24" si="26">SUM(K20:K23)</f>
        <v>1119</v>
      </c>
      <c r="M24" s="388"/>
      <c r="N24" s="388"/>
      <c r="O24" s="405">
        <f t="shared" ref="O24:P24" si="27">SUM(O20:O23)</f>
        <v>1145</v>
      </c>
      <c r="P24" s="405">
        <f t="shared" si="27"/>
        <v>0</v>
      </c>
      <c r="R24" s="390">
        <f>SUM(R20:R23)</f>
        <v>1454861</v>
      </c>
      <c r="S24" s="390">
        <f>SUM(S20:S23)</f>
        <v>3292032.2143539358</v>
      </c>
      <c r="T24" s="405">
        <f t="shared" ref="T24" si="28">SUM(T20:T23)</f>
        <v>3983</v>
      </c>
      <c r="U24" s="412"/>
      <c r="V24" s="390">
        <f>SUM(V20:V23)</f>
        <v>1459925</v>
      </c>
      <c r="W24" s="390">
        <f>SUM(W20:W23)</f>
        <v>3273574.4614315722</v>
      </c>
      <c r="X24" s="405">
        <f t="shared" ref="X24" si="29">SUM(X20:X23)</f>
        <v>3986</v>
      </c>
      <c r="Z24" s="390"/>
      <c r="AA24" s="390"/>
      <c r="AB24" s="405"/>
    </row>
    <row r="25" spans="1:28">
      <c r="A25" s="386">
        <f t="shared" si="0"/>
        <v>19</v>
      </c>
      <c r="B25" s="386"/>
      <c r="D25" s="388"/>
      <c r="E25" s="388"/>
      <c r="F25" s="402"/>
      <c r="G25" s="402"/>
      <c r="H25" s="403"/>
      <c r="I25" s="402"/>
      <c r="J25" s="402"/>
      <c r="K25" s="403"/>
      <c r="M25" s="402"/>
      <c r="N25" s="402"/>
      <c r="O25" s="403"/>
      <c r="P25" s="403"/>
      <c r="R25" s="388"/>
      <c r="S25" s="388"/>
      <c r="T25" s="403"/>
      <c r="U25" s="403"/>
      <c r="V25" s="388"/>
      <c r="W25" s="388"/>
      <c r="X25" s="403"/>
      <c r="Z25" s="388"/>
      <c r="AA25" s="388"/>
      <c r="AB25" s="403"/>
    </row>
    <row r="26" spans="1:28">
      <c r="A26" s="386">
        <f t="shared" si="0"/>
        <v>20</v>
      </c>
      <c r="B26" s="386">
        <v>46</v>
      </c>
      <c r="D26" s="388">
        <f>+'Revenue By Sch TY'!D17</f>
        <v>100810.05100000001</v>
      </c>
      <c r="E26" s="388"/>
      <c r="F26" s="402">
        <v>0</v>
      </c>
      <c r="G26" s="402"/>
      <c r="H26" s="403">
        <f>ROUND(D26*F26+G26*E26/1000,0)</f>
        <v>0</v>
      </c>
      <c r="I26" s="402">
        <f>+'UE-200965 Sch 142 Supplemental'!E35</f>
        <v>0</v>
      </c>
      <c r="J26" s="402"/>
      <c r="K26" s="403">
        <f t="shared" ref="K26:K27" si="30">ROUND(D26*I26+J26*E26/1000,0)</f>
        <v>0</v>
      </c>
      <c r="M26" s="402">
        <v>0</v>
      </c>
      <c r="N26" s="402"/>
      <c r="O26" s="403">
        <f t="shared" ref="O26:O27" si="31">ROUND(R26*I26+J26*S26/1000,0)</f>
        <v>0</v>
      </c>
      <c r="P26" s="403">
        <f t="shared" ref="P26:P27" si="32">ROUND(D26*M26+N26*E26/1000,0)</f>
        <v>0</v>
      </c>
      <c r="R26" s="388">
        <f>+'[1]Exhibit No.__(BDJ-MYRP-SUM)'!$K$22</f>
        <v>89530.525500000018</v>
      </c>
      <c r="S26" s="388"/>
      <c r="T26" s="403">
        <f t="shared" ref="T26:T27" si="33">ROUND($F26*R26+S26*$G26/1000,0)</f>
        <v>0</v>
      </c>
      <c r="U26" s="403"/>
      <c r="V26" s="388">
        <f>+'[1]Exhibit No.__(BDJ-MYRP-SUM)'!$Q$22</f>
        <v>89210.525500000018</v>
      </c>
      <c r="W26" s="388"/>
      <c r="X26" s="403">
        <f t="shared" ref="X26:X27" si="34">ROUND($F26*V26+W26*$G26/1000,0)</f>
        <v>0</v>
      </c>
      <c r="Z26" s="388"/>
      <c r="AA26" s="388"/>
      <c r="AB26" s="403"/>
    </row>
    <row r="27" spans="1:28">
      <c r="A27" s="386">
        <f t="shared" si="0"/>
        <v>21</v>
      </c>
      <c r="B27" s="386">
        <v>49</v>
      </c>
      <c r="D27" s="388">
        <f>+'Revenue By Sch TY'!D18</f>
        <v>513293.73700000002</v>
      </c>
      <c r="E27" s="388"/>
      <c r="F27" s="402">
        <v>0</v>
      </c>
      <c r="G27" s="402"/>
      <c r="H27" s="403">
        <f>ROUND(D27*F27+G27*E27/1000,0)</f>
        <v>0</v>
      </c>
      <c r="I27" s="402">
        <f>+I26</f>
        <v>0</v>
      </c>
      <c r="J27" s="402"/>
      <c r="K27" s="403">
        <f t="shared" si="30"/>
        <v>0</v>
      </c>
      <c r="M27" s="402">
        <v>0</v>
      </c>
      <c r="N27" s="402"/>
      <c r="O27" s="403">
        <f t="shared" si="31"/>
        <v>0</v>
      </c>
      <c r="P27" s="403">
        <f t="shared" si="32"/>
        <v>0</v>
      </c>
      <c r="R27" s="388">
        <f>+'[1]Exhibit No.__(BDJ-MYRP-SUM)'!$K$23</f>
        <v>504715</v>
      </c>
      <c r="S27" s="388"/>
      <c r="T27" s="403">
        <f t="shared" si="33"/>
        <v>0</v>
      </c>
      <c r="U27" s="403"/>
      <c r="V27" s="388">
        <f>+'[1]Exhibit No.__(BDJ-MYRP-SUM)'!$Q$23</f>
        <v>499683</v>
      </c>
      <c r="W27" s="388"/>
      <c r="X27" s="403">
        <f t="shared" si="34"/>
        <v>0</v>
      </c>
      <c r="Z27" s="388"/>
      <c r="AA27" s="388"/>
      <c r="AB27" s="403"/>
    </row>
    <row r="28" spans="1:28">
      <c r="A28" s="386">
        <f t="shared" si="0"/>
        <v>22</v>
      </c>
      <c r="B28" s="386"/>
      <c r="C28" s="387" t="s">
        <v>15</v>
      </c>
      <c r="D28" s="390">
        <f>SUM(D26:D27)</f>
        <v>614103.78800000006</v>
      </c>
      <c r="E28" s="388"/>
      <c r="F28" s="388"/>
      <c r="G28" s="388"/>
      <c r="H28" s="405">
        <f t="shared" ref="H28" si="35">SUM(H26:H27)</f>
        <v>0</v>
      </c>
      <c r="I28" s="388"/>
      <c r="J28" s="388"/>
      <c r="K28" s="405">
        <f t="shared" ref="K28" si="36">SUM(K26:K27)</f>
        <v>0</v>
      </c>
      <c r="M28" s="388"/>
      <c r="N28" s="388"/>
      <c r="O28" s="405">
        <f t="shared" ref="O28:P28" si="37">SUM(O26:O27)</f>
        <v>0</v>
      </c>
      <c r="P28" s="405">
        <f t="shared" si="37"/>
        <v>0</v>
      </c>
      <c r="R28" s="390">
        <f>SUM(R26:R27)</f>
        <v>594245.52549999999</v>
      </c>
      <c r="S28" s="388"/>
      <c r="T28" s="405">
        <f t="shared" ref="T28" si="38">SUM(T26:T27)</f>
        <v>0</v>
      </c>
      <c r="U28" s="412"/>
      <c r="V28" s="390">
        <f>SUM(V26:V27)</f>
        <v>588893.52549999999</v>
      </c>
      <c r="W28" s="388"/>
      <c r="X28" s="405">
        <f t="shared" ref="X28" si="39">SUM(X26:X27)</f>
        <v>0</v>
      </c>
      <c r="Z28" s="390"/>
      <c r="AA28" s="388"/>
      <c r="AB28" s="405"/>
    </row>
    <row r="29" spans="1:28">
      <c r="A29" s="386">
        <f t="shared" si="0"/>
        <v>23</v>
      </c>
      <c r="B29" s="386"/>
      <c r="D29" s="388"/>
      <c r="E29" s="388"/>
      <c r="F29" s="402"/>
      <c r="G29" s="402"/>
      <c r="H29" s="403"/>
      <c r="I29" s="402"/>
      <c r="J29" s="402"/>
      <c r="K29" s="403"/>
      <c r="M29" s="402"/>
      <c r="N29" s="402"/>
      <c r="O29" s="403"/>
      <c r="P29" s="403"/>
      <c r="R29" s="388"/>
      <c r="S29" s="388"/>
      <c r="T29" s="403"/>
      <c r="U29" s="403"/>
      <c r="V29" s="388"/>
      <c r="W29" s="388"/>
      <c r="X29" s="403"/>
      <c r="Z29" s="388"/>
      <c r="AA29" s="388"/>
      <c r="AB29" s="403"/>
    </row>
    <row r="30" spans="1:28">
      <c r="A30" s="386">
        <f t="shared" si="0"/>
        <v>24</v>
      </c>
      <c r="B30" s="386" t="s">
        <v>16</v>
      </c>
      <c r="D30" s="390">
        <f>+'Revenue By Sch TY'!D19</f>
        <v>69892.887000000002</v>
      </c>
      <c r="E30" s="388"/>
      <c r="F30" s="388"/>
      <c r="G30" s="388"/>
      <c r="H30" s="405">
        <f>ROUND(D30*F30+G30*E30/1000,0)</f>
        <v>0</v>
      </c>
      <c r="I30" s="388"/>
      <c r="J30" s="388"/>
      <c r="K30" s="405">
        <f>ROUND(D30*I30+J30*E30/1000,0)</f>
        <v>0</v>
      </c>
      <c r="M30" s="388"/>
      <c r="N30" s="388"/>
      <c r="O30" s="403">
        <f>ROUND(R30*I30+J30*S30/1000,0)</f>
        <v>0</v>
      </c>
      <c r="P30" s="405">
        <f>ROUND(D30*M30+N30*E30/1000,0)</f>
        <v>0</v>
      </c>
      <c r="R30" s="390">
        <f>+'[1]Exhibit No.__(BDJ-MYRP-SUM)'!$K$24</f>
        <v>62703</v>
      </c>
      <c r="S30" s="388"/>
      <c r="T30" s="405">
        <f>ROUND($F30*R30+S30*$G30/1000,0)</f>
        <v>0</v>
      </c>
      <c r="U30" s="412"/>
      <c r="V30" s="390">
        <f>+'[1]Exhibit No.__(BDJ-MYRP-SUM)'!$Q$24</f>
        <v>61382</v>
      </c>
      <c r="W30" s="388"/>
      <c r="X30" s="405">
        <f>ROUND($F30*V30+W30*$G30/1000,0)</f>
        <v>0</v>
      </c>
      <c r="Z30" s="390"/>
      <c r="AA30" s="388"/>
      <c r="AB30" s="405"/>
    </row>
    <row r="31" spans="1:28">
      <c r="A31" s="386">
        <f t="shared" si="0"/>
        <v>25</v>
      </c>
      <c r="B31" s="386"/>
      <c r="D31" s="388"/>
      <c r="E31" s="402"/>
      <c r="F31" s="403"/>
      <c r="G31" s="388"/>
      <c r="H31" s="403"/>
      <c r="I31" s="403"/>
      <c r="J31" s="388"/>
      <c r="K31" s="403"/>
      <c r="M31" s="403"/>
      <c r="N31" s="388"/>
      <c r="O31" s="403"/>
      <c r="P31" s="403"/>
      <c r="R31" s="388"/>
      <c r="S31" s="402"/>
      <c r="T31" s="403"/>
      <c r="U31" s="403"/>
      <c r="V31" s="388"/>
      <c r="W31" s="402"/>
      <c r="X31" s="403"/>
      <c r="Z31" s="388"/>
      <c r="AA31" s="402"/>
      <c r="AB31" s="403"/>
    </row>
    <row r="32" spans="1:28">
      <c r="A32" s="386">
        <f t="shared" si="0"/>
        <v>26</v>
      </c>
      <c r="B32" s="389" t="s">
        <v>17</v>
      </c>
      <c r="D32" s="388">
        <f>+'Revenue By Sch TY'!D20</f>
        <v>1945214.1669999999</v>
      </c>
      <c r="E32" s="388"/>
      <c r="F32" s="402">
        <v>0</v>
      </c>
      <c r="G32" s="402"/>
      <c r="H32" s="403">
        <f>ROUND(D32*F32+G32*E32/1000,0)</f>
        <v>0</v>
      </c>
      <c r="I32" s="402">
        <v>0</v>
      </c>
      <c r="J32" s="402"/>
      <c r="K32" s="403">
        <f t="shared" ref="K32:K33" si="40">ROUND(D32*I32+J32*E32/1000,0)</f>
        <v>0</v>
      </c>
      <c r="M32" s="402">
        <v>0</v>
      </c>
      <c r="N32" s="402"/>
      <c r="O32" s="403">
        <f t="shared" ref="O32:O33" si="41">ROUND(R32*I32+J32*S32/1000,0)</f>
        <v>0</v>
      </c>
      <c r="P32" s="403">
        <f t="shared" ref="P32:P33" si="42">ROUND(D32*M32+N32*E32/1000,0)</f>
        <v>0</v>
      </c>
      <c r="R32" s="388">
        <f>+'[1]Exhibit No.__(BDJ-MYRP-SUM)'!$K$25</f>
        <v>1895530</v>
      </c>
      <c r="S32" s="388"/>
      <c r="T32" s="403">
        <f t="shared" ref="T32:T33" si="43">ROUND($F32*R32+S32*$G32/1000,0)</f>
        <v>0</v>
      </c>
      <c r="U32" s="403"/>
      <c r="V32" s="388">
        <f>+'[1]Exhibit No.__(BDJ-MYRP-SUM)'!$Q$25</f>
        <v>1895104</v>
      </c>
      <c r="W32" s="388"/>
      <c r="X32" s="403">
        <f t="shared" ref="X32:X33" si="44">ROUND($F32*V32+W32*$G32/1000,0)</f>
        <v>0</v>
      </c>
      <c r="Z32" s="388"/>
      <c r="AA32" s="388"/>
      <c r="AB32" s="403"/>
    </row>
    <row r="33" spans="1:28">
      <c r="A33" s="386">
        <f t="shared" si="0"/>
        <v>27</v>
      </c>
      <c r="B33" s="389" t="s">
        <v>262</v>
      </c>
      <c r="D33" s="388">
        <f>+'Revenue By Sch TY'!D21</f>
        <v>278070.311162</v>
      </c>
      <c r="E33" s="402"/>
      <c r="F33" s="402">
        <f>+'UE-210214 Sch 142'!F21</f>
        <v>6.2799999999999998E-4</v>
      </c>
      <c r="G33" s="402"/>
      <c r="H33" s="403">
        <f>ROUND(D33*F33+G33*E33/1000,0)</f>
        <v>175</v>
      </c>
      <c r="I33" s="402">
        <f>+'UE-200965 Sch 142 Supplemental'!E24</f>
        <v>2.5769999999999999E-3</v>
      </c>
      <c r="J33" s="402"/>
      <c r="K33" s="403">
        <f t="shared" si="40"/>
        <v>717</v>
      </c>
      <c r="M33" s="402">
        <v>0</v>
      </c>
      <c r="N33" s="402"/>
      <c r="O33" s="403">
        <f t="shared" si="41"/>
        <v>746</v>
      </c>
      <c r="P33" s="403">
        <f t="shared" si="42"/>
        <v>0</v>
      </c>
      <c r="R33" s="388">
        <f>+'[1]Exhibit No.__(BDJ-MYRP-SUM)'!$K$26</f>
        <v>289426</v>
      </c>
      <c r="S33" s="402"/>
      <c r="T33" s="403">
        <f t="shared" si="43"/>
        <v>182</v>
      </c>
      <c r="U33" s="403"/>
      <c r="V33" s="388">
        <f>+'[1]Exhibit No.__(BDJ-MYRP-SUM)'!$Q$26</f>
        <v>289426</v>
      </c>
      <c r="W33" s="402"/>
      <c r="X33" s="403">
        <f t="shared" si="44"/>
        <v>182</v>
      </c>
      <c r="Z33" s="388"/>
      <c r="AA33" s="402"/>
      <c r="AB33" s="403"/>
    </row>
    <row r="34" spans="1:28">
      <c r="A34" s="386">
        <f t="shared" si="0"/>
        <v>28</v>
      </c>
      <c r="B34" s="389"/>
      <c r="C34" s="387" t="s">
        <v>263</v>
      </c>
      <c r="D34" s="390">
        <f>SUM(D32:D33)</f>
        <v>2223284.478162</v>
      </c>
      <c r="E34" s="388"/>
      <c r="F34" s="388"/>
      <c r="G34" s="388"/>
      <c r="H34" s="405">
        <f t="shared" ref="H34" si="45">SUM(H32:H33)</f>
        <v>175</v>
      </c>
      <c r="I34" s="388"/>
      <c r="J34" s="388"/>
      <c r="K34" s="405">
        <f t="shared" ref="K34" si="46">SUM(K32:K33)</f>
        <v>717</v>
      </c>
      <c r="M34" s="388"/>
      <c r="N34" s="388"/>
      <c r="O34" s="405">
        <f t="shared" ref="O34:P34" si="47">SUM(O32:O33)</f>
        <v>746</v>
      </c>
      <c r="P34" s="405">
        <f t="shared" si="47"/>
        <v>0</v>
      </c>
      <c r="R34" s="390">
        <f>SUM(R32:R33)</f>
        <v>2184956</v>
      </c>
      <c r="S34" s="388"/>
      <c r="T34" s="405">
        <f t="shared" ref="T34" si="48">SUM(T32:T33)</f>
        <v>182</v>
      </c>
      <c r="U34" s="412"/>
      <c r="V34" s="390">
        <f>SUM(V32:V33)</f>
        <v>2184530</v>
      </c>
      <c r="W34" s="388"/>
      <c r="X34" s="405">
        <f t="shared" ref="X34" si="49">SUM(X32:X33)</f>
        <v>182</v>
      </c>
      <c r="Z34" s="390"/>
      <c r="AA34" s="388"/>
      <c r="AB34" s="405"/>
    </row>
    <row r="35" spans="1:28">
      <c r="A35" s="386">
        <f t="shared" si="0"/>
        <v>29</v>
      </c>
      <c r="B35" s="386"/>
      <c r="D35" s="388"/>
      <c r="E35" s="388"/>
      <c r="F35" s="388"/>
      <c r="G35" s="388"/>
      <c r="H35" s="403"/>
      <c r="I35" s="388"/>
      <c r="J35" s="388"/>
      <c r="K35" s="403"/>
      <c r="M35" s="388"/>
      <c r="N35" s="388"/>
      <c r="O35" s="403"/>
      <c r="P35" s="403"/>
      <c r="R35" s="388"/>
      <c r="S35" s="388"/>
      <c r="T35" s="403"/>
      <c r="U35" s="403"/>
      <c r="V35" s="388"/>
      <c r="W35" s="388"/>
      <c r="X35" s="403"/>
      <c r="Z35" s="388"/>
      <c r="AA35" s="388"/>
      <c r="AB35" s="403"/>
    </row>
    <row r="36" spans="1:28" ht="10.8" thickBot="1">
      <c r="A36" s="386">
        <f t="shared" si="0"/>
        <v>30</v>
      </c>
      <c r="B36" s="386"/>
      <c r="C36" s="391" t="s">
        <v>66</v>
      </c>
      <c r="D36" s="393">
        <f>SUM(D9,D18,D24,D28,D30,D34)</f>
        <v>22980976.256595761</v>
      </c>
      <c r="E36" s="393">
        <f>SUM(E9,E18,E24,E28,E30,E34)</f>
        <v>7547597</v>
      </c>
      <c r="F36" s="388"/>
      <c r="G36" s="388"/>
      <c r="H36" s="407">
        <f>SUM(H9,H18,H24,H28,H30,H34)</f>
        <v>21370</v>
      </c>
      <c r="I36" s="388"/>
      <c r="J36" s="388"/>
      <c r="K36" s="407">
        <f>SUM(K9,K18,K24,K28,K30,K34)</f>
        <v>8953</v>
      </c>
      <c r="M36" s="388"/>
      <c r="N36" s="388"/>
      <c r="O36" s="407">
        <f>SUM(O9,O18,O24,O28,O30,O34)</f>
        <v>8939</v>
      </c>
      <c r="P36" s="407">
        <f>SUM(P9,P18,P24,P28,P30,P34)</f>
        <v>0</v>
      </c>
      <c r="R36" s="393">
        <f>SUM(R9,R18,R24,R28,R30,R34)</f>
        <v>22715537.8675</v>
      </c>
      <c r="S36" s="393">
        <f>SUM(S9,S18,S24,S28,S30,S34)</f>
        <v>7718878.6192315463</v>
      </c>
      <c r="T36" s="407">
        <f>SUM(T9,T18,T24,T28,T30,T34)</f>
        <v>22071</v>
      </c>
      <c r="U36" s="412"/>
      <c r="V36" s="393">
        <f>SUM(V9,V18,V24,V28,V30,V34)</f>
        <v>22906810.8475</v>
      </c>
      <c r="W36" s="393">
        <f>SUM(W9,W18,W24,W28,W30,W34)</f>
        <v>7709134.3411308322</v>
      </c>
      <c r="X36" s="407">
        <f>SUM(X9,X18,X24,X28,X30,X34)</f>
        <v>22287</v>
      </c>
      <c r="Z36" s="393"/>
      <c r="AA36" s="393"/>
      <c r="AB36" s="407"/>
    </row>
    <row r="37" spans="1:28" ht="10.8" thickTop="1">
      <c r="A37" s="386">
        <f t="shared" si="0"/>
        <v>31</v>
      </c>
      <c r="B37" s="386"/>
      <c r="E37" s="388"/>
      <c r="F37" s="388"/>
      <c r="G37" s="388"/>
      <c r="H37" s="403"/>
      <c r="I37" s="388"/>
      <c r="J37" s="388"/>
      <c r="K37" s="403"/>
      <c r="M37" s="388"/>
      <c r="N37" s="388"/>
      <c r="O37" s="403"/>
      <c r="P37" s="403"/>
      <c r="S37" s="388"/>
      <c r="T37" s="403"/>
      <c r="U37" s="403"/>
      <c r="W37" s="388"/>
      <c r="X37" s="403"/>
      <c r="AA37" s="388"/>
      <c r="AB37" s="403"/>
    </row>
    <row r="38" spans="1:28">
      <c r="A38" s="386">
        <f t="shared" si="0"/>
        <v>32</v>
      </c>
      <c r="B38" s="386">
        <v>5</v>
      </c>
      <c r="C38" s="387" t="s">
        <v>67</v>
      </c>
      <c r="D38" s="388">
        <f>+'Revenue By Sch TY'!D22</f>
        <v>7372.3372879022108</v>
      </c>
      <c r="E38" s="388"/>
      <c r="F38" s="388"/>
      <c r="G38" s="388"/>
      <c r="H38" s="405">
        <f>ROUND(D38*F38+G38*E38/1000,0)</f>
        <v>0</v>
      </c>
      <c r="I38" s="388"/>
      <c r="J38" s="388"/>
      <c r="K38" s="405">
        <f>ROUND(D38*I38+J38*E38/1000,0)</f>
        <v>0</v>
      </c>
      <c r="M38" s="388"/>
      <c r="N38" s="388"/>
      <c r="O38" s="403">
        <f>ROUND(R38*I38+J38*S38/1000,0)</f>
        <v>0</v>
      </c>
      <c r="P38" s="405">
        <f>ROUND(D38*M38+N38*E38/1000,0)</f>
        <v>0</v>
      </c>
      <c r="R38" s="390">
        <f>+'[1]Exhibit No.__(BDJ-MYRP-SUM)'!$K$27</f>
        <v>7521</v>
      </c>
      <c r="S38" s="388"/>
      <c r="T38" s="405">
        <f>ROUND($F38*R38+S38*$G38/1000,0)</f>
        <v>0</v>
      </c>
      <c r="U38" s="412"/>
      <c r="V38" s="390">
        <f>+'[1]Exhibit No.__(BDJ-MYRP-SUM)'!$Q$27</f>
        <v>7552</v>
      </c>
      <c r="W38" s="388"/>
      <c r="X38" s="405">
        <f>ROUND($F38*V38+W38*$G38/1000,0)</f>
        <v>0</v>
      </c>
      <c r="Z38" s="390"/>
      <c r="AA38" s="388"/>
      <c r="AB38" s="405"/>
    </row>
    <row r="39" spans="1:28">
      <c r="A39" s="386">
        <f t="shared" si="0"/>
        <v>33</v>
      </c>
      <c r="B39" s="386"/>
      <c r="E39" s="388"/>
      <c r="H39" s="403"/>
      <c r="K39" s="403"/>
      <c r="O39" s="403"/>
      <c r="P39" s="403"/>
      <c r="S39" s="388"/>
      <c r="T39" s="403"/>
      <c r="U39" s="403"/>
      <c r="W39" s="388"/>
      <c r="X39" s="403"/>
      <c r="AA39" s="388"/>
      <c r="AB39" s="403"/>
    </row>
    <row r="40" spans="1:28" ht="10.8" thickBot="1">
      <c r="A40" s="386">
        <f t="shared" si="0"/>
        <v>34</v>
      </c>
      <c r="B40" s="386"/>
      <c r="C40" s="391" t="s">
        <v>68</v>
      </c>
      <c r="D40" s="393">
        <f>SUM(D36,D38)</f>
        <v>22988348.593883663</v>
      </c>
      <c r="E40" s="388"/>
      <c r="H40" s="407">
        <f t="shared" ref="H40" si="50">SUM(H36,H38)</f>
        <v>21370</v>
      </c>
      <c r="K40" s="407">
        <f t="shared" ref="K40" si="51">SUM(K36,K38)</f>
        <v>8953</v>
      </c>
      <c r="O40" s="407">
        <f t="shared" ref="O40:P40" si="52">SUM(O36,O38)</f>
        <v>8939</v>
      </c>
      <c r="P40" s="407">
        <f t="shared" si="52"/>
        <v>0</v>
      </c>
      <c r="R40" s="393">
        <f>SUM(R36,R38)</f>
        <v>22723058.8675</v>
      </c>
      <c r="S40" s="388"/>
      <c r="T40" s="407">
        <f t="shared" ref="T40" si="53">SUM(T36,T38)</f>
        <v>22071</v>
      </c>
      <c r="U40" s="412"/>
      <c r="V40" s="393">
        <f>SUM(V36,V38)</f>
        <v>22914362.8475</v>
      </c>
      <c r="W40" s="388"/>
      <c r="X40" s="407">
        <f t="shared" ref="X40" si="54">SUM(X36,X38)</f>
        <v>22287</v>
      </c>
      <c r="Z40" s="393"/>
      <c r="AA40" s="388"/>
      <c r="AB40" s="407"/>
    </row>
    <row r="41" spans="1:28" ht="10.8" thickTop="1">
      <c r="E41" s="388"/>
      <c r="H41" s="403"/>
    </row>
    <row r="42" spans="1:28">
      <c r="E42" s="388"/>
      <c r="V42" s="388"/>
      <c r="W42" s="388"/>
      <c r="Z42" s="388"/>
      <c r="AA42" s="388"/>
    </row>
    <row r="43" spans="1:28">
      <c r="C43" s="391"/>
      <c r="E43" s="388"/>
    </row>
    <row r="44" spans="1:28">
      <c r="E44" s="388"/>
    </row>
    <row r="45" spans="1:28">
      <c r="E45" s="388"/>
    </row>
    <row r="46" spans="1:28">
      <c r="E46" s="388"/>
    </row>
  </sheetData>
  <mergeCells count="11">
    <mergeCell ref="M5:P5"/>
    <mergeCell ref="R5:T5"/>
    <mergeCell ref="V5:X5"/>
    <mergeCell ref="Z5:AB5"/>
    <mergeCell ref="R4:AB4"/>
    <mergeCell ref="A1:E1"/>
    <mergeCell ref="A2:E2"/>
    <mergeCell ref="A3:E3"/>
    <mergeCell ref="A4:E4"/>
    <mergeCell ref="I5:K5"/>
    <mergeCell ref="F5:H5"/>
  </mergeCells>
  <printOptions horizontalCentered="1"/>
  <pageMargins left="0.7" right="0.7" top="0.75" bottom="0.71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N30"/>
  <sheetViews>
    <sheetView zoomScaleNormal="100" workbookViewId="0">
      <pane xSplit="5" ySplit="7" topLeftCell="F8" activePane="bottomRight" state="frozen"/>
      <selection activeCell="F7" sqref="F7:F62"/>
      <selection pane="topRight" activeCell="F7" sqref="F7:F62"/>
      <selection pane="bottomLeft" activeCell="F7" sqref="F7:F62"/>
      <selection pane="bottomRight" activeCell="H7" sqref="H7"/>
    </sheetView>
  </sheetViews>
  <sheetFormatPr defaultColWidth="6.33203125" defaultRowHeight="10.199999999999999"/>
  <cols>
    <col min="1" max="1" width="4.88671875" style="387" bestFit="1" customWidth="1"/>
    <col min="2" max="2" width="32.44140625" style="387" bestFit="1" customWidth="1"/>
    <col min="3" max="3" width="15.5546875" style="387" bestFit="1" customWidth="1"/>
    <col min="4" max="4" width="13.33203125" style="387" customWidth="1"/>
    <col min="5" max="5" width="11" style="387" bestFit="1" customWidth="1"/>
    <col min="6" max="6" width="2.109375" style="387" customWidth="1"/>
    <col min="7" max="7" width="10.6640625" style="387" bestFit="1" customWidth="1"/>
    <col min="8" max="8" width="9.6640625" style="387" customWidth="1"/>
    <col min="9" max="9" width="2.109375" style="387" customWidth="1"/>
    <col min="10" max="10" width="10.6640625" style="387" bestFit="1" customWidth="1"/>
    <col min="11" max="11" width="9.6640625" style="387" customWidth="1"/>
    <col min="12" max="12" width="2.109375" style="387" customWidth="1"/>
    <col min="13" max="13" width="10.6640625" style="387" bestFit="1" customWidth="1"/>
    <col min="14" max="14" width="9.6640625" style="387" customWidth="1"/>
    <col min="15" max="15" width="2.109375" style="387" customWidth="1"/>
    <col min="16" max="17" width="9.6640625" style="387" customWidth="1"/>
    <col min="18" max="18" width="2.109375" style="387" customWidth="1"/>
    <col min="19" max="19" width="12" style="387" bestFit="1" customWidth="1"/>
    <col min="20" max="20" width="10.109375" style="387" bestFit="1" customWidth="1"/>
    <col min="21" max="21" width="9.5546875" style="387" bestFit="1" customWidth="1"/>
    <col min="22" max="23" width="9.6640625" style="387" customWidth="1"/>
    <col min="24" max="24" width="6.33203125" style="387"/>
    <col min="25" max="26" width="9.6640625" style="387" customWidth="1"/>
    <col min="27" max="27" width="6.33203125" style="387"/>
    <col min="28" max="29" width="9.6640625" style="387" customWidth="1"/>
    <col min="30" max="30" width="6.33203125" style="387"/>
    <col min="31" max="32" width="9.6640625" style="387" customWidth="1"/>
    <col min="33" max="33" width="6.33203125" style="387"/>
    <col min="34" max="35" width="9.6640625" style="387" customWidth="1"/>
    <col min="36" max="36" width="6.33203125" style="387"/>
    <col min="37" max="38" width="9.5546875" style="387" customWidth="1"/>
    <col min="39" max="39" width="6.33203125" style="387"/>
    <col min="40" max="42" width="9.5546875" style="387" customWidth="1"/>
    <col min="43" max="16384" width="6.33203125" style="387"/>
  </cols>
  <sheetData>
    <row r="1" spans="1:40" s="409" customFormat="1">
      <c r="A1" s="772" t="s">
        <v>0</v>
      </c>
      <c r="B1" s="772"/>
      <c r="C1" s="398"/>
      <c r="D1" s="436"/>
      <c r="E1" s="436"/>
    </row>
    <row r="2" spans="1:40" s="409" customFormat="1">
      <c r="A2" s="772" t="s">
        <v>61</v>
      </c>
      <c r="B2" s="772"/>
      <c r="C2" s="398"/>
      <c r="D2" s="436"/>
      <c r="E2" s="436"/>
    </row>
    <row r="3" spans="1:40" s="409" customFormat="1">
      <c r="A3" s="773" t="s">
        <v>563</v>
      </c>
      <c r="B3" s="772"/>
      <c r="C3" s="398"/>
      <c r="D3" s="436"/>
      <c r="E3" s="436"/>
    </row>
    <row r="4" spans="1:40" s="409" customFormat="1">
      <c r="A4" s="772" t="s">
        <v>174</v>
      </c>
      <c r="B4" s="772"/>
      <c r="C4" s="398"/>
      <c r="D4" s="436"/>
      <c r="E4" s="436"/>
    </row>
    <row r="5" spans="1:40" s="409" customFormat="1">
      <c r="A5" s="773" t="s">
        <v>564</v>
      </c>
      <c r="B5" s="772"/>
      <c r="C5" s="398"/>
      <c r="D5" s="398"/>
      <c r="E5" s="398"/>
    </row>
    <row r="6" spans="1:40" s="409" customFormat="1">
      <c r="A6" s="411"/>
      <c r="B6" s="398"/>
      <c r="C6" s="398"/>
      <c r="D6" s="398"/>
      <c r="E6" s="398"/>
    </row>
    <row r="7" spans="1:40" s="409" customFormat="1" ht="61.2">
      <c r="A7" s="399" t="s">
        <v>2</v>
      </c>
      <c r="B7" s="399" t="s">
        <v>579</v>
      </c>
      <c r="C7" s="399" t="s">
        <v>315</v>
      </c>
      <c r="D7" s="400" t="s">
        <v>565</v>
      </c>
      <c r="E7" s="438" t="s">
        <v>603</v>
      </c>
      <c r="G7" s="439" t="s">
        <v>887</v>
      </c>
      <c r="H7" s="439" t="s">
        <v>888</v>
      </c>
      <c r="J7" s="439" t="s">
        <v>818</v>
      </c>
      <c r="K7" s="439" t="s">
        <v>819</v>
      </c>
      <c r="M7" s="439" t="s">
        <v>582</v>
      </c>
      <c r="N7" s="439" t="s">
        <v>583</v>
      </c>
      <c r="P7" s="439" t="s">
        <v>584</v>
      </c>
      <c r="Q7" s="439" t="s">
        <v>585</v>
      </c>
      <c r="S7" s="439" t="s">
        <v>618</v>
      </c>
      <c r="T7" s="439" t="s">
        <v>597</v>
      </c>
      <c r="U7" s="439" t="s">
        <v>598</v>
      </c>
      <c r="AN7" s="608"/>
    </row>
    <row r="8" spans="1:40" s="433" customFormat="1">
      <c r="A8" s="430"/>
      <c r="B8" s="430" t="s">
        <v>106</v>
      </c>
      <c r="C8" s="430" t="s">
        <v>107</v>
      </c>
      <c r="D8" s="431" t="s">
        <v>266</v>
      </c>
      <c r="E8" s="432" t="s">
        <v>274</v>
      </c>
      <c r="F8" s="440"/>
      <c r="G8" s="440" t="s">
        <v>620</v>
      </c>
      <c r="H8" s="440" t="s">
        <v>619</v>
      </c>
      <c r="I8" s="440"/>
      <c r="J8" s="440" t="s">
        <v>621</v>
      </c>
      <c r="K8" s="440" t="s">
        <v>622</v>
      </c>
      <c r="L8" s="440"/>
      <c r="M8" s="440" t="s">
        <v>623</v>
      </c>
      <c r="N8" s="441" t="s">
        <v>624</v>
      </c>
      <c r="O8" s="440"/>
      <c r="P8" s="440" t="s">
        <v>625</v>
      </c>
      <c r="Q8" s="441" t="s">
        <v>809</v>
      </c>
      <c r="R8" s="440"/>
      <c r="S8" s="441" t="s">
        <v>810</v>
      </c>
      <c r="T8" s="441" t="s">
        <v>811</v>
      </c>
      <c r="U8" s="433" t="s">
        <v>812</v>
      </c>
    </row>
    <row r="9" spans="1:40">
      <c r="A9" s="386">
        <v>1</v>
      </c>
      <c r="B9" s="434" t="s">
        <v>11</v>
      </c>
      <c r="C9" s="434">
        <v>7</v>
      </c>
      <c r="D9" s="388"/>
      <c r="E9" s="403"/>
      <c r="F9" s="435"/>
      <c r="G9" s="403"/>
      <c r="H9" s="453"/>
      <c r="J9" s="419"/>
      <c r="K9" s="455"/>
      <c r="M9" s="403"/>
      <c r="N9" s="453"/>
      <c r="P9" s="403"/>
      <c r="Q9" s="453"/>
      <c r="S9" s="419"/>
      <c r="T9" s="419"/>
      <c r="U9" s="455"/>
    </row>
    <row r="10" spans="1:40">
      <c r="A10" s="386">
        <f>+A9+1</f>
        <v>2</v>
      </c>
      <c r="B10" s="434" t="s">
        <v>568</v>
      </c>
      <c r="C10" s="434" t="s">
        <v>62</v>
      </c>
      <c r="D10" s="388"/>
      <c r="E10" s="403"/>
      <c r="F10" s="435"/>
      <c r="G10" s="403"/>
      <c r="H10" s="453"/>
      <c r="J10" s="419"/>
      <c r="K10" s="455"/>
      <c r="M10" s="403"/>
      <c r="N10" s="453"/>
      <c r="P10" s="403"/>
      <c r="Q10" s="453"/>
      <c r="S10" s="419"/>
      <c r="T10" s="419"/>
      <c r="U10" s="455"/>
    </row>
    <row r="11" spans="1:40">
      <c r="A11" s="386">
        <f>+A10+1</f>
        <v>3</v>
      </c>
      <c r="B11" s="391" t="s">
        <v>570</v>
      </c>
      <c r="C11" s="434" t="s">
        <v>166</v>
      </c>
      <c r="D11" s="388"/>
      <c r="E11" s="403"/>
      <c r="F11" s="435"/>
      <c r="G11" s="403"/>
      <c r="H11" s="453"/>
      <c r="J11" s="419"/>
      <c r="K11" s="455"/>
      <c r="M11" s="403"/>
      <c r="N11" s="453"/>
      <c r="P11" s="403"/>
      <c r="Q11" s="453"/>
      <c r="S11" s="419"/>
      <c r="T11" s="419"/>
      <c r="U11" s="455"/>
    </row>
    <row r="12" spans="1:40">
      <c r="A12" s="386">
        <f t="shared" ref="A12:A23" si="0">+A11+1</f>
        <v>4</v>
      </c>
      <c r="B12" s="391" t="s">
        <v>569</v>
      </c>
      <c r="C12" s="434" t="s">
        <v>63</v>
      </c>
      <c r="D12" s="388"/>
      <c r="E12" s="403"/>
      <c r="F12" s="435"/>
      <c r="G12" s="403"/>
      <c r="H12" s="453"/>
      <c r="J12" s="419"/>
      <c r="K12" s="455"/>
      <c r="M12" s="403"/>
      <c r="N12" s="453"/>
      <c r="P12" s="403"/>
      <c r="Q12" s="453"/>
      <c r="S12" s="419"/>
      <c r="T12" s="419"/>
      <c r="U12" s="455"/>
    </row>
    <row r="13" spans="1:40">
      <c r="A13" s="386">
        <f t="shared" si="0"/>
        <v>5</v>
      </c>
      <c r="B13" s="434" t="s">
        <v>571</v>
      </c>
      <c r="C13" s="434">
        <v>29</v>
      </c>
      <c r="D13" s="388"/>
      <c r="E13" s="403"/>
      <c r="F13" s="435"/>
      <c r="G13" s="403"/>
      <c r="H13" s="453"/>
      <c r="J13" s="419"/>
      <c r="K13" s="455"/>
      <c r="M13" s="403"/>
      <c r="N13" s="453"/>
      <c r="P13" s="403"/>
      <c r="Q13" s="453"/>
      <c r="S13" s="419"/>
      <c r="T13" s="419"/>
      <c r="U13" s="455"/>
    </row>
    <row r="14" spans="1:40">
      <c r="A14" s="386">
        <f t="shared" si="0"/>
        <v>6</v>
      </c>
      <c r="B14" s="391" t="s">
        <v>572</v>
      </c>
      <c r="C14" s="434" t="s">
        <v>64</v>
      </c>
      <c r="D14" s="388"/>
      <c r="E14" s="403"/>
      <c r="F14" s="435"/>
      <c r="G14" s="403"/>
      <c r="H14" s="453"/>
      <c r="J14" s="419"/>
      <c r="K14" s="455"/>
      <c r="M14" s="403"/>
      <c r="N14" s="453"/>
      <c r="P14" s="403"/>
      <c r="Q14" s="453"/>
      <c r="S14" s="419"/>
      <c r="T14" s="419"/>
      <c r="U14" s="455"/>
    </row>
    <row r="15" spans="1:40">
      <c r="A15" s="386">
        <f t="shared" si="0"/>
        <v>7</v>
      </c>
      <c r="B15" s="391" t="s">
        <v>573</v>
      </c>
      <c r="C15" s="434">
        <v>35</v>
      </c>
      <c r="D15" s="388"/>
      <c r="E15" s="403"/>
      <c r="F15" s="435"/>
      <c r="G15" s="403"/>
      <c r="H15" s="453"/>
      <c r="J15" s="419"/>
      <c r="K15" s="455"/>
      <c r="M15" s="403"/>
      <c r="N15" s="453"/>
      <c r="P15" s="403"/>
      <c r="Q15" s="453"/>
      <c r="S15" s="419"/>
      <c r="T15" s="419"/>
      <c r="U15" s="455"/>
    </row>
    <row r="16" spans="1:40">
      <c r="A16" s="386">
        <f t="shared" si="0"/>
        <v>8</v>
      </c>
      <c r="B16" s="434" t="s">
        <v>574</v>
      </c>
      <c r="C16" s="434">
        <v>43</v>
      </c>
      <c r="D16" s="388"/>
      <c r="E16" s="403"/>
      <c r="F16" s="435"/>
      <c r="G16" s="403"/>
      <c r="H16" s="453"/>
      <c r="J16" s="419"/>
      <c r="K16" s="455"/>
      <c r="M16" s="403"/>
      <c r="N16" s="453"/>
      <c r="P16" s="403"/>
      <c r="Q16" s="453"/>
      <c r="S16" s="419"/>
      <c r="T16" s="419"/>
      <c r="U16" s="455"/>
    </row>
    <row r="17" spans="1:21">
      <c r="A17" s="386">
        <f t="shared" si="0"/>
        <v>9</v>
      </c>
      <c r="B17" s="434" t="s">
        <v>575</v>
      </c>
      <c r="C17" s="434">
        <v>46</v>
      </c>
      <c r="D17" s="388"/>
      <c r="E17" s="403"/>
      <c r="F17" s="435"/>
      <c r="G17" s="403"/>
      <c r="H17" s="453"/>
      <c r="J17" s="419"/>
      <c r="K17" s="455"/>
      <c r="M17" s="403"/>
      <c r="N17" s="453"/>
      <c r="P17" s="403"/>
      <c r="Q17" s="453"/>
      <c r="S17" s="419"/>
      <c r="T17" s="419"/>
      <c r="U17" s="455"/>
    </row>
    <row r="18" spans="1:21">
      <c r="A18" s="386">
        <f t="shared" si="0"/>
        <v>10</v>
      </c>
      <c r="B18" s="391" t="s">
        <v>576</v>
      </c>
      <c r="C18" s="434">
        <v>49</v>
      </c>
      <c r="D18" s="388"/>
      <c r="E18" s="403"/>
      <c r="F18" s="435"/>
      <c r="G18" s="403"/>
      <c r="H18" s="453"/>
      <c r="J18" s="419"/>
      <c r="K18" s="455"/>
      <c r="M18" s="403"/>
      <c r="N18" s="453"/>
      <c r="P18" s="403"/>
      <c r="Q18" s="453"/>
      <c r="S18" s="419"/>
      <c r="T18" s="419"/>
      <c r="U18" s="455"/>
    </row>
    <row r="19" spans="1:21">
      <c r="A19" s="386">
        <f t="shared" si="0"/>
        <v>11</v>
      </c>
      <c r="B19" s="434" t="s">
        <v>577</v>
      </c>
      <c r="C19" s="434" t="s">
        <v>16</v>
      </c>
      <c r="D19" s="388"/>
      <c r="E19" s="403"/>
      <c r="F19" s="435"/>
      <c r="G19" s="403"/>
      <c r="H19" s="453"/>
      <c r="J19" s="419"/>
      <c r="K19" s="455"/>
      <c r="M19" s="403"/>
      <c r="N19" s="453"/>
      <c r="P19" s="403"/>
      <c r="Q19" s="453"/>
      <c r="S19" s="419"/>
      <c r="T19" s="419"/>
      <c r="U19" s="455"/>
    </row>
    <row r="20" spans="1:21">
      <c r="A20" s="386">
        <f t="shared" si="0"/>
        <v>12</v>
      </c>
      <c r="B20" s="434" t="s">
        <v>112</v>
      </c>
      <c r="C20" s="434" t="s">
        <v>17</v>
      </c>
      <c r="D20" s="388"/>
      <c r="E20" s="403"/>
      <c r="F20" s="435"/>
      <c r="G20" s="403"/>
      <c r="H20" s="453"/>
      <c r="J20" s="419"/>
      <c r="K20" s="455"/>
      <c r="M20" s="403"/>
      <c r="N20" s="453"/>
      <c r="P20" s="403"/>
      <c r="Q20" s="453"/>
      <c r="S20" s="419"/>
      <c r="T20" s="419"/>
      <c r="U20" s="455"/>
    </row>
    <row r="21" spans="1:21">
      <c r="A21" s="386">
        <f t="shared" si="0"/>
        <v>13</v>
      </c>
      <c r="B21" s="434" t="s">
        <v>262</v>
      </c>
      <c r="C21" s="434" t="s">
        <v>262</v>
      </c>
      <c r="D21" s="388"/>
      <c r="E21" s="403"/>
      <c r="F21" s="435"/>
      <c r="G21" s="403"/>
      <c r="H21" s="453"/>
      <c r="J21" s="419"/>
      <c r="K21" s="455"/>
      <c r="M21" s="403"/>
      <c r="N21" s="453"/>
      <c r="P21" s="403"/>
      <c r="Q21" s="453"/>
      <c r="S21" s="419"/>
      <c r="T21" s="419"/>
      <c r="U21" s="455"/>
    </row>
    <row r="22" spans="1:21">
      <c r="A22" s="386">
        <f t="shared" si="0"/>
        <v>14</v>
      </c>
      <c r="B22" s="434" t="s">
        <v>67</v>
      </c>
      <c r="C22" s="434">
        <v>5</v>
      </c>
      <c r="D22" s="388"/>
      <c r="E22" s="403"/>
      <c r="F22" s="435"/>
      <c r="G22" s="403"/>
      <c r="H22" s="453"/>
      <c r="J22" s="419"/>
      <c r="K22" s="455"/>
      <c r="M22" s="403"/>
      <c r="N22" s="453"/>
      <c r="P22" s="403"/>
      <c r="Q22" s="453"/>
      <c r="S22" s="419"/>
      <c r="T22" s="419"/>
      <c r="U22" s="455"/>
    </row>
    <row r="23" spans="1:21" ht="10.8" thickBot="1">
      <c r="A23" s="386">
        <f t="shared" si="0"/>
        <v>15</v>
      </c>
      <c r="B23" s="434"/>
      <c r="C23" s="434" t="s">
        <v>19</v>
      </c>
      <c r="D23" s="393"/>
      <c r="E23" s="407"/>
      <c r="F23" s="403"/>
      <c r="G23" s="407"/>
      <c r="H23" s="454"/>
      <c r="J23" s="424"/>
      <c r="K23" s="456"/>
      <c r="M23" s="407"/>
      <c r="N23" s="454"/>
      <c r="P23" s="407"/>
      <c r="Q23" s="454"/>
      <c r="S23" s="424"/>
      <c r="T23" s="424"/>
      <c r="U23" s="456"/>
    </row>
    <row r="24" spans="1:21" ht="10.8" thickTop="1">
      <c r="E24" s="403"/>
    </row>
    <row r="25" spans="1:21">
      <c r="D25" s="388"/>
      <c r="E25" s="403"/>
      <c r="S25" s="419"/>
    </row>
    <row r="26" spans="1:21">
      <c r="D26" s="388"/>
      <c r="E26" s="403"/>
      <c r="S26" s="419"/>
    </row>
    <row r="27" spans="1:21" ht="12.75" customHeight="1"/>
    <row r="28" spans="1:21">
      <c r="B28" s="391" t="s">
        <v>602</v>
      </c>
    </row>
    <row r="30" spans="1:21">
      <c r="B30" s="397"/>
    </row>
  </sheetData>
  <mergeCells count="5">
    <mergeCell ref="A1:B1"/>
    <mergeCell ref="A2:B2"/>
    <mergeCell ref="A3:B3"/>
    <mergeCell ref="A4:B4"/>
    <mergeCell ref="A5:B5"/>
  </mergeCells>
  <printOptions horizontalCentered="1"/>
  <pageMargins left="0.25" right="0.25" top="0.75" bottom="0.75" header="0.3" footer="0.3"/>
  <pageSetup scale="63" orientation="landscape" r:id="rId1"/>
  <headerFooter>
    <oddFooter>&amp;L&amp;"Times New Roman,Regular"&amp;A&amp;R&amp;"Times New Roman,Regular"Exhibit No.___(BDJ-7)
Page &amp;P of &amp;N</oddFooter>
  </headerFooter>
  <customProperties>
    <customPr name="_pios_id" r:id="rId2"/>
  </customPropertie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O45"/>
  <sheetViews>
    <sheetView zoomScaleNormal="10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activeCell="E23" sqref="E23"/>
    </sheetView>
  </sheetViews>
  <sheetFormatPr defaultColWidth="9.109375" defaultRowHeight="10.199999999999999"/>
  <cols>
    <col min="1" max="1" width="7.6640625" style="392" bestFit="1" customWidth="1"/>
    <col min="2" max="2" width="14.5546875" style="392" bestFit="1" customWidth="1"/>
    <col min="3" max="3" width="21" style="392" bestFit="1" customWidth="1"/>
    <col min="4" max="4" width="13.33203125" style="392" bestFit="1" customWidth="1"/>
    <col min="5" max="6" width="14.88671875" style="392" bestFit="1" customWidth="1"/>
    <col min="7" max="7" width="2" style="387" customWidth="1"/>
    <col min="8" max="8" width="14.44140625" style="387" bestFit="1" customWidth="1"/>
    <col min="9" max="9" width="8.44140625" style="387" bestFit="1" customWidth="1"/>
    <col min="10" max="10" width="2" style="387" customWidth="1"/>
    <col min="11" max="11" width="9.88671875" style="387" bestFit="1" customWidth="1"/>
    <col min="12" max="12" width="8.44140625" style="387" bestFit="1" customWidth="1"/>
    <col min="13" max="13" width="2" style="387" customWidth="1"/>
    <col min="14" max="15" width="8.44140625" style="387" bestFit="1" customWidth="1"/>
    <col min="16" max="16384" width="9.109375" style="392"/>
  </cols>
  <sheetData>
    <row r="1" spans="1:15" s="410" customFormat="1">
      <c r="A1" s="772" t="s">
        <v>0</v>
      </c>
      <c r="B1" s="772"/>
      <c r="C1" s="772"/>
      <c r="D1" s="772"/>
      <c r="E1" s="772"/>
      <c r="F1" s="772"/>
      <c r="G1" s="409"/>
      <c r="H1" s="409"/>
      <c r="I1" s="409"/>
      <c r="J1" s="409"/>
      <c r="K1" s="409"/>
      <c r="L1" s="409"/>
      <c r="M1" s="409"/>
      <c r="N1" s="409"/>
      <c r="O1" s="409"/>
    </row>
    <row r="2" spans="1:15" s="410" customFormat="1">
      <c r="A2" s="773" t="s">
        <v>175</v>
      </c>
      <c r="B2" s="772"/>
      <c r="C2" s="772"/>
      <c r="D2" s="772"/>
      <c r="E2" s="772"/>
      <c r="F2" s="772"/>
      <c r="G2" s="409"/>
      <c r="H2" s="409"/>
      <c r="I2" s="409"/>
      <c r="J2" s="409"/>
      <c r="K2" s="409"/>
      <c r="L2" s="409"/>
      <c r="M2" s="409"/>
      <c r="N2" s="409"/>
      <c r="O2" s="409"/>
    </row>
    <row r="3" spans="1:15" s="410" customFormat="1">
      <c r="A3" s="772" t="str">
        <f>+'Revenue By Sch TY'!A3</f>
        <v>Test Year ended June 2021</v>
      </c>
      <c r="B3" s="772"/>
      <c r="C3" s="772"/>
      <c r="D3" s="772"/>
      <c r="E3" s="772"/>
      <c r="F3" s="772"/>
      <c r="G3" s="409"/>
      <c r="H3" s="409"/>
      <c r="I3" s="409"/>
      <c r="J3" s="409"/>
      <c r="K3" s="409"/>
      <c r="L3" s="409"/>
      <c r="M3" s="409"/>
      <c r="N3" s="409"/>
      <c r="O3" s="409"/>
    </row>
    <row r="4" spans="1:15" s="410" customFormat="1">
      <c r="A4" s="772"/>
      <c r="B4" s="772"/>
      <c r="C4" s="772"/>
      <c r="D4" s="772"/>
      <c r="E4" s="772"/>
      <c r="F4" s="772"/>
      <c r="G4" s="409"/>
      <c r="H4" s="409"/>
      <c r="I4" s="409"/>
      <c r="J4" s="409"/>
      <c r="K4" s="409"/>
      <c r="L4" s="409"/>
      <c r="M4" s="409"/>
      <c r="N4" s="409"/>
      <c r="O4" s="409"/>
    </row>
    <row r="5" spans="1:15" s="410" customFormat="1">
      <c r="A5" s="411"/>
      <c r="B5" s="398"/>
      <c r="C5" s="398"/>
      <c r="D5" s="398"/>
      <c r="E5" s="409"/>
      <c r="F5" s="409" t="s">
        <v>100</v>
      </c>
      <c r="G5" s="409"/>
      <c r="H5" s="803" t="s">
        <v>512</v>
      </c>
      <c r="I5" s="803"/>
      <c r="J5" s="409"/>
      <c r="K5" s="802" t="s">
        <v>515</v>
      </c>
      <c r="L5" s="803"/>
      <c r="M5" s="409"/>
      <c r="N5" s="802" t="s">
        <v>514</v>
      </c>
      <c r="O5" s="803"/>
    </row>
    <row r="6" spans="1:15" s="410" customFormat="1" ht="40.799999999999997">
      <c r="A6" s="399" t="s">
        <v>2</v>
      </c>
      <c r="B6" s="399" t="s">
        <v>3</v>
      </c>
      <c r="C6" s="399" t="s">
        <v>31</v>
      </c>
      <c r="D6" s="400" t="str">
        <f>+'Revenue By Sch TY'!D7</f>
        <v>Annual mWh
Delivered Sales 
YE 06-2021</v>
      </c>
      <c r="E6" s="400" t="s">
        <v>426</v>
      </c>
      <c r="F6" s="400" t="s">
        <v>431</v>
      </c>
      <c r="G6" s="409"/>
      <c r="H6" s="400" t="s">
        <v>522</v>
      </c>
      <c r="I6" s="400" t="s">
        <v>523</v>
      </c>
      <c r="J6" s="400"/>
      <c r="K6" s="400" t="str">
        <f>+H6</f>
        <v>Annual Delivered MWh</v>
      </c>
      <c r="L6" s="400" t="str">
        <f>+I6</f>
        <v>Annual Delivered $x1000</v>
      </c>
      <c r="M6" s="400"/>
      <c r="N6" s="400" t="str">
        <f>+K6</f>
        <v>Annual Delivered MWh</v>
      </c>
      <c r="O6" s="400" t="str">
        <f>+L6</f>
        <v>Annual Delivered $x1000</v>
      </c>
    </row>
    <row r="7" spans="1:15">
      <c r="A7" s="386">
        <v>1</v>
      </c>
      <c r="B7" s="386">
        <v>7</v>
      </c>
      <c r="C7" s="387"/>
      <c r="D7" s="388">
        <f>+'Revenue By Sch TY'!D9</f>
        <v>11355354.571603522</v>
      </c>
      <c r="E7" s="402">
        <f>'UE-210757 Sch 194'!D18</f>
        <v>-6.689136E-3</v>
      </c>
      <c r="F7" s="403">
        <f>ROUND(D7*E7,0)</f>
        <v>-75958</v>
      </c>
      <c r="H7" s="388">
        <v>10963050.375500001</v>
      </c>
      <c r="I7" s="403">
        <f>ROUND($E7*H7,0)</f>
        <v>-73333</v>
      </c>
      <c r="K7" s="388">
        <v>11064440.869500002</v>
      </c>
      <c r="L7" s="403">
        <f>ROUND($E7*K7,0)</f>
        <v>-74012</v>
      </c>
      <c r="N7" s="388"/>
      <c r="O7" s="403"/>
    </row>
    <row r="8" spans="1:15">
      <c r="A8" s="386">
        <f t="shared" ref="A8:A42" si="0">+A7+1</f>
        <v>2</v>
      </c>
      <c r="B8" s="389" t="s">
        <v>10</v>
      </c>
      <c r="C8" s="387"/>
      <c r="D8" s="388">
        <v>2517.1640000000002</v>
      </c>
      <c r="E8" s="402">
        <f>+E7</f>
        <v>-6.689136E-3</v>
      </c>
      <c r="F8" s="403">
        <f>ROUND(D8*E8,0)</f>
        <v>-17</v>
      </c>
      <c r="H8" s="388">
        <v>2497</v>
      </c>
      <c r="I8" s="403">
        <f>ROUND($E8*H8,0)</f>
        <v>-17</v>
      </c>
      <c r="K8" s="388">
        <v>2497</v>
      </c>
      <c r="L8" s="403">
        <f>ROUND($E8*K8,0)</f>
        <v>-17</v>
      </c>
      <c r="N8" s="388"/>
      <c r="O8" s="403"/>
    </row>
    <row r="9" spans="1:15">
      <c r="A9" s="386">
        <f t="shared" si="0"/>
        <v>3</v>
      </c>
      <c r="B9" s="386"/>
      <c r="C9" s="387" t="s">
        <v>11</v>
      </c>
      <c r="D9" s="390">
        <f>SUM(D7:D8)</f>
        <v>11357871.735603523</v>
      </c>
      <c r="E9" s="404"/>
      <c r="F9" s="405">
        <f t="shared" ref="F9" si="1">SUM(F7:F8)</f>
        <v>-75975</v>
      </c>
      <c r="H9" s="390">
        <f>SUM(H7:H8)</f>
        <v>10965547.375500001</v>
      </c>
      <c r="I9" s="405">
        <f t="shared" ref="I9" si="2">SUM(I7:I8)</f>
        <v>-73350</v>
      </c>
      <c r="K9" s="390">
        <f>SUM(K7:K8)</f>
        <v>11066937.869500002</v>
      </c>
      <c r="L9" s="405">
        <f t="shared" ref="L9" si="3">SUM(L7:L8)</f>
        <v>-74029</v>
      </c>
      <c r="N9" s="390"/>
      <c r="O9" s="405"/>
    </row>
    <row r="10" spans="1:15">
      <c r="A10" s="386">
        <f t="shared" si="0"/>
        <v>4</v>
      </c>
      <c r="B10" s="386"/>
      <c r="C10" s="387"/>
      <c r="D10" s="388"/>
      <c r="E10" s="402"/>
      <c r="F10" s="403"/>
      <c r="H10" s="388"/>
      <c r="I10" s="403"/>
      <c r="K10" s="388"/>
      <c r="L10" s="403"/>
      <c r="N10" s="388"/>
      <c r="O10" s="403"/>
    </row>
    <row r="11" spans="1:15">
      <c r="A11" s="386">
        <f t="shared" si="0"/>
        <v>5</v>
      </c>
      <c r="B11" s="386">
        <v>8</v>
      </c>
      <c r="C11" s="387"/>
      <c r="D11" s="388">
        <v>0</v>
      </c>
      <c r="E11" s="402">
        <f>+$E$7</f>
        <v>-6.689136E-3</v>
      </c>
      <c r="F11" s="403">
        <f t="shared" ref="F11:F17" si="4">ROUND(D11*E11,0)</f>
        <v>0</v>
      </c>
      <c r="H11" s="388">
        <f>+'Sch 95 PCORC'!J11</f>
        <v>0</v>
      </c>
      <c r="I11" s="403">
        <f t="shared" ref="I11:I17" si="5">ROUND($E11*H11,0)</f>
        <v>0</v>
      </c>
      <c r="K11" s="388">
        <f>+'Sch 95 PCORC'!N11</f>
        <v>0</v>
      </c>
      <c r="L11" s="403">
        <f t="shared" ref="L11:L17" si="6">ROUND($E11*K11,0)</f>
        <v>0</v>
      </c>
      <c r="N11" s="388"/>
      <c r="O11" s="403"/>
    </row>
    <row r="12" spans="1:15">
      <c r="A12" s="386">
        <f t="shared" si="0"/>
        <v>6</v>
      </c>
      <c r="B12" s="386">
        <v>24</v>
      </c>
      <c r="C12" s="387"/>
      <c r="D12" s="388">
        <v>256034.27100000001</v>
      </c>
      <c r="E12" s="402">
        <f t="shared" ref="E12:E17" si="7">+$E$7</f>
        <v>-6.689136E-3</v>
      </c>
      <c r="F12" s="403">
        <f t="shared" si="4"/>
        <v>-1713</v>
      </c>
      <c r="H12" s="388">
        <v>240014</v>
      </c>
      <c r="I12" s="403">
        <f t="shared" si="5"/>
        <v>-1605</v>
      </c>
      <c r="K12" s="388">
        <v>240161</v>
      </c>
      <c r="L12" s="403">
        <f t="shared" si="6"/>
        <v>-1606</v>
      </c>
      <c r="N12" s="388"/>
      <c r="O12" s="403"/>
    </row>
    <row r="13" spans="1:15">
      <c r="A13" s="386">
        <f t="shared" si="0"/>
        <v>7</v>
      </c>
      <c r="B13" s="389">
        <v>11</v>
      </c>
      <c r="C13" s="387"/>
      <c r="D13" s="388">
        <v>0</v>
      </c>
      <c r="E13" s="402">
        <f t="shared" si="7"/>
        <v>-6.689136E-3</v>
      </c>
      <c r="F13" s="403">
        <f t="shared" si="4"/>
        <v>0</v>
      </c>
      <c r="H13" s="388">
        <f>+'Sch 95 PCORC'!J13</f>
        <v>0</v>
      </c>
      <c r="I13" s="403">
        <f t="shared" si="5"/>
        <v>0</v>
      </c>
      <c r="K13" s="388">
        <f>+'Sch 95 PCORC'!N13</f>
        <v>0</v>
      </c>
      <c r="L13" s="403">
        <f t="shared" si="6"/>
        <v>0</v>
      </c>
      <c r="N13" s="388"/>
      <c r="O13" s="403"/>
    </row>
    <row r="14" spans="1:15">
      <c r="A14" s="386">
        <f t="shared" si="0"/>
        <v>8</v>
      </c>
      <c r="B14" s="389">
        <v>25</v>
      </c>
      <c r="C14" s="387"/>
      <c r="D14" s="388">
        <v>132609.95600000001</v>
      </c>
      <c r="E14" s="402">
        <f t="shared" si="7"/>
        <v>-6.689136E-3</v>
      </c>
      <c r="F14" s="403">
        <f t="shared" si="4"/>
        <v>-887</v>
      </c>
      <c r="H14" s="388">
        <v>137220</v>
      </c>
      <c r="I14" s="403">
        <f t="shared" si="5"/>
        <v>-918</v>
      </c>
      <c r="K14" s="388">
        <v>138856</v>
      </c>
      <c r="L14" s="403">
        <f t="shared" si="6"/>
        <v>-929</v>
      </c>
      <c r="N14" s="388"/>
      <c r="O14" s="403"/>
    </row>
    <row r="15" spans="1:15">
      <c r="A15" s="386">
        <f t="shared" si="0"/>
        <v>9</v>
      </c>
      <c r="B15" s="386">
        <v>12</v>
      </c>
      <c r="C15" s="387"/>
      <c r="D15" s="388">
        <v>0</v>
      </c>
      <c r="E15" s="402">
        <f t="shared" si="7"/>
        <v>-6.689136E-3</v>
      </c>
      <c r="F15" s="403">
        <f t="shared" si="4"/>
        <v>0</v>
      </c>
      <c r="H15" s="388">
        <f>+'Sch 95 PCORC'!J15</f>
        <v>0</v>
      </c>
      <c r="I15" s="403">
        <f t="shared" si="5"/>
        <v>0</v>
      </c>
      <c r="K15" s="388">
        <f>+'Sch 95 PCORC'!N15</f>
        <v>0</v>
      </c>
      <c r="L15" s="403">
        <f t="shared" si="6"/>
        <v>0</v>
      </c>
      <c r="N15" s="388"/>
      <c r="O15" s="403"/>
    </row>
    <row r="16" spans="1:15">
      <c r="A16" s="386">
        <f t="shared" si="0"/>
        <v>10</v>
      </c>
      <c r="B16" s="386" t="s">
        <v>12</v>
      </c>
      <c r="C16" s="387"/>
      <c r="D16" s="388">
        <v>16048.47</v>
      </c>
      <c r="E16" s="402">
        <f t="shared" si="7"/>
        <v>-6.689136E-3</v>
      </c>
      <c r="F16" s="403">
        <f t="shared" si="4"/>
        <v>-107</v>
      </c>
      <c r="H16" s="388">
        <v>17462</v>
      </c>
      <c r="I16" s="403">
        <f t="shared" si="5"/>
        <v>-117</v>
      </c>
      <c r="K16" s="388">
        <v>17666</v>
      </c>
      <c r="L16" s="403">
        <f t="shared" si="6"/>
        <v>-118</v>
      </c>
      <c r="N16" s="388"/>
      <c r="O16" s="403"/>
    </row>
    <row r="17" spans="1:15">
      <c r="A17" s="386">
        <f t="shared" si="0"/>
        <v>11</v>
      </c>
      <c r="B17" s="386">
        <v>29</v>
      </c>
      <c r="C17" s="387"/>
      <c r="D17" s="388">
        <f>+'Revenue By Sch TY'!D13</f>
        <v>15293.727999999999</v>
      </c>
      <c r="E17" s="402">
        <f t="shared" si="7"/>
        <v>-6.689136E-3</v>
      </c>
      <c r="F17" s="403">
        <f t="shared" si="4"/>
        <v>-102</v>
      </c>
      <c r="H17" s="388">
        <v>15100.9665</v>
      </c>
      <c r="I17" s="403">
        <f t="shared" si="5"/>
        <v>-101</v>
      </c>
      <c r="K17" s="388">
        <v>15233.452499999998</v>
      </c>
      <c r="L17" s="403">
        <f t="shared" si="6"/>
        <v>-102</v>
      </c>
      <c r="N17" s="388"/>
      <c r="O17" s="403"/>
    </row>
    <row r="18" spans="1:15">
      <c r="A18" s="386">
        <f t="shared" si="0"/>
        <v>12</v>
      </c>
      <c r="B18" s="386"/>
      <c r="C18" s="391" t="s">
        <v>13</v>
      </c>
      <c r="D18" s="390">
        <f>SUM(D11:D17)</f>
        <v>419986.42499999999</v>
      </c>
      <c r="E18" s="404"/>
      <c r="F18" s="405">
        <f t="shared" ref="F18" si="8">SUM(F11:F17)</f>
        <v>-2809</v>
      </c>
      <c r="H18" s="390">
        <f>SUM(H11:H17)</f>
        <v>409796.96649999998</v>
      </c>
      <c r="I18" s="405">
        <f t="shared" ref="I18" si="9">SUM(I11:I17)</f>
        <v>-2741</v>
      </c>
      <c r="K18" s="390">
        <f>SUM(K11:K17)</f>
        <v>411916.45250000001</v>
      </c>
      <c r="L18" s="405">
        <f t="shared" ref="L18" si="10">SUM(L11:L17)</f>
        <v>-2755</v>
      </c>
      <c r="N18" s="390"/>
      <c r="O18" s="405"/>
    </row>
    <row r="19" spans="1:15">
      <c r="A19" s="386">
        <f t="shared" si="0"/>
        <v>13</v>
      </c>
      <c r="B19" s="386"/>
      <c r="C19" s="387"/>
      <c r="D19" s="388"/>
      <c r="E19" s="402"/>
      <c r="F19" s="403"/>
      <c r="H19" s="388"/>
      <c r="I19" s="403"/>
      <c r="K19" s="388"/>
      <c r="L19" s="403"/>
      <c r="N19" s="388"/>
      <c r="O19" s="403"/>
    </row>
    <row r="20" spans="1:15">
      <c r="A20" s="386">
        <f t="shared" si="0"/>
        <v>14</v>
      </c>
      <c r="B20" s="386">
        <v>10</v>
      </c>
      <c r="C20" s="387"/>
      <c r="D20" s="388">
        <v>0</v>
      </c>
      <c r="E20" s="402">
        <f t="shared" ref="E20:E22" si="11">+$E$7</f>
        <v>-6.689136E-3</v>
      </c>
      <c r="F20" s="403">
        <f>ROUND(D20*E20,0)</f>
        <v>0</v>
      </c>
      <c r="H20" s="388"/>
      <c r="I20" s="403">
        <f t="shared" ref="I20:I23" si="12">ROUND($E20*H20,0)</f>
        <v>0</v>
      </c>
      <c r="K20" s="388"/>
      <c r="L20" s="403">
        <f t="shared" ref="L20:L23" si="13">ROUND($E20*K20,0)</f>
        <v>0</v>
      </c>
      <c r="N20" s="388"/>
      <c r="O20" s="403"/>
    </row>
    <row r="21" spans="1:15">
      <c r="A21" s="386">
        <f t="shared" si="0"/>
        <v>15</v>
      </c>
      <c r="B21" s="386">
        <v>31</v>
      </c>
      <c r="C21" s="387"/>
      <c r="D21" s="388">
        <v>21706.32</v>
      </c>
      <c r="E21" s="402">
        <f t="shared" si="11"/>
        <v>-6.689136E-3</v>
      </c>
      <c r="F21" s="403">
        <f>ROUND(D21*E21,0)</f>
        <v>-145</v>
      </c>
      <c r="H21" s="388">
        <v>27802</v>
      </c>
      <c r="I21" s="403">
        <f t="shared" si="12"/>
        <v>-186</v>
      </c>
      <c r="K21" s="388">
        <v>28137</v>
      </c>
      <c r="L21" s="403">
        <f t="shared" si="13"/>
        <v>-188</v>
      </c>
      <c r="N21" s="388"/>
      <c r="O21" s="403"/>
    </row>
    <row r="22" spans="1:15">
      <c r="A22" s="386">
        <f t="shared" si="0"/>
        <v>16</v>
      </c>
      <c r="B22" s="386">
        <v>35</v>
      </c>
      <c r="C22" s="387"/>
      <c r="D22" s="388">
        <f>+'Revenue By Sch TY'!D15</f>
        <v>4387.6440000000002</v>
      </c>
      <c r="E22" s="402">
        <f t="shared" si="11"/>
        <v>-6.689136E-3</v>
      </c>
      <c r="F22" s="403">
        <f>ROUND(D22*E22,0)</f>
        <v>-29</v>
      </c>
      <c r="H22" s="388">
        <v>4663</v>
      </c>
      <c r="I22" s="403">
        <f t="shared" si="12"/>
        <v>-31</v>
      </c>
      <c r="K22" s="388">
        <v>4695</v>
      </c>
      <c r="L22" s="403">
        <f t="shared" si="13"/>
        <v>-31</v>
      </c>
      <c r="N22" s="388"/>
      <c r="O22" s="403"/>
    </row>
    <row r="23" spans="1:15">
      <c r="A23" s="386">
        <f t="shared" si="0"/>
        <v>17</v>
      </c>
      <c r="B23" s="386">
        <v>43</v>
      </c>
      <c r="C23" s="387"/>
      <c r="D23" s="388">
        <v>0</v>
      </c>
      <c r="E23" s="402"/>
      <c r="F23" s="403">
        <f>ROUND(D23*E23,0)</f>
        <v>0</v>
      </c>
      <c r="H23" s="388">
        <v>118190</v>
      </c>
      <c r="I23" s="403">
        <f t="shared" si="12"/>
        <v>0</v>
      </c>
      <c r="K23" s="388">
        <v>119782</v>
      </c>
      <c r="L23" s="403">
        <f t="shared" si="13"/>
        <v>0</v>
      </c>
      <c r="N23" s="388"/>
      <c r="O23" s="403"/>
    </row>
    <row r="24" spans="1:15">
      <c r="A24" s="386">
        <f t="shared" si="0"/>
        <v>18</v>
      </c>
      <c r="B24" s="386"/>
      <c r="C24" s="387" t="s">
        <v>14</v>
      </c>
      <c r="D24" s="390">
        <f>SUM(D20:D23)</f>
        <v>26093.964</v>
      </c>
      <c r="E24" s="404"/>
      <c r="F24" s="405">
        <f t="shared" ref="F24" si="14">SUM(F20:F23)</f>
        <v>-174</v>
      </c>
      <c r="H24" s="390">
        <f>SUM(H20:H23)</f>
        <v>150655</v>
      </c>
      <c r="I24" s="405">
        <f t="shared" ref="I24" si="15">SUM(I20:I23)</f>
        <v>-217</v>
      </c>
      <c r="K24" s="390">
        <f>SUM(K20:K23)</f>
        <v>152614</v>
      </c>
      <c r="L24" s="405">
        <f t="shared" ref="L24" si="16">SUM(L20:L23)</f>
        <v>-219</v>
      </c>
      <c r="N24" s="390"/>
      <c r="O24" s="405"/>
    </row>
    <row r="25" spans="1:15">
      <c r="A25" s="386">
        <f t="shared" si="0"/>
        <v>19</v>
      </c>
      <c r="B25" s="386"/>
      <c r="C25" s="387"/>
      <c r="D25" s="388"/>
      <c r="E25" s="402"/>
      <c r="F25" s="403"/>
      <c r="H25" s="388"/>
      <c r="I25" s="403"/>
      <c r="K25" s="388"/>
      <c r="L25" s="403"/>
      <c r="N25" s="388"/>
      <c r="O25" s="403"/>
    </row>
    <row r="26" spans="1:15">
      <c r="A26" s="386">
        <f t="shared" si="0"/>
        <v>20</v>
      </c>
      <c r="B26" s="386">
        <v>40</v>
      </c>
      <c r="C26" s="387"/>
      <c r="D26" s="390">
        <v>0</v>
      </c>
      <c r="E26" s="404"/>
      <c r="F26" s="405">
        <f>ROUND(D26*E26,0)</f>
        <v>0</v>
      </c>
    </row>
    <row r="27" spans="1:15">
      <c r="A27" s="386">
        <f t="shared" si="0"/>
        <v>21</v>
      </c>
      <c r="B27" s="386"/>
      <c r="C27" s="387"/>
      <c r="D27" s="388"/>
      <c r="E27" s="402"/>
      <c r="F27" s="403"/>
    </row>
    <row r="28" spans="1:15">
      <c r="A28" s="386">
        <f t="shared" si="0"/>
        <v>22</v>
      </c>
      <c r="B28" s="386">
        <v>46</v>
      </c>
      <c r="C28" s="387"/>
      <c r="D28" s="388">
        <v>0</v>
      </c>
      <c r="E28" s="402"/>
      <c r="F28" s="403">
        <f>ROUND(D28*E28,0)</f>
        <v>0</v>
      </c>
      <c r="H28" s="388"/>
      <c r="I28" s="403">
        <f>ROUND($E26*H28,0)</f>
        <v>0</v>
      </c>
      <c r="K28" s="388"/>
      <c r="L28" s="403">
        <f>ROUND($E26*K28,0)</f>
        <v>0</v>
      </c>
      <c r="N28" s="388"/>
      <c r="O28" s="403"/>
    </row>
    <row r="29" spans="1:15">
      <c r="A29" s="386">
        <f t="shared" si="0"/>
        <v>23</v>
      </c>
      <c r="B29" s="386">
        <v>49</v>
      </c>
      <c r="C29" s="387"/>
      <c r="D29" s="388">
        <v>0</v>
      </c>
      <c r="E29" s="402"/>
      <c r="F29" s="403">
        <f>ROUND(D29*E29,0)</f>
        <v>0</v>
      </c>
      <c r="H29" s="388"/>
      <c r="I29" s="403">
        <f>ROUND($E27*H29,0)</f>
        <v>0</v>
      </c>
      <c r="K29" s="388"/>
      <c r="L29" s="403">
        <f>ROUND($E27*K29,0)</f>
        <v>0</v>
      </c>
      <c r="N29" s="388"/>
      <c r="O29" s="403"/>
    </row>
    <row r="30" spans="1:15">
      <c r="A30" s="386">
        <f t="shared" si="0"/>
        <v>24</v>
      </c>
      <c r="B30" s="386"/>
      <c r="C30" s="387" t="s">
        <v>15</v>
      </c>
      <c r="D30" s="390">
        <f>SUM(D28:D29)</f>
        <v>0</v>
      </c>
      <c r="E30" s="404"/>
      <c r="F30" s="405">
        <f t="shared" ref="F30" si="17">SUM(F28:F29)</f>
        <v>0</v>
      </c>
      <c r="H30" s="390">
        <f>SUM(H28:H29)</f>
        <v>0</v>
      </c>
      <c r="I30" s="405">
        <f t="shared" ref="I30" si="18">SUM(I28:I29)</f>
        <v>0</v>
      </c>
      <c r="K30" s="390">
        <f>SUM(K28:K29)</f>
        <v>0</v>
      </c>
      <c r="L30" s="405">
        <f t="shared" ref="L30" si="19">SUM(L28:L29)</f>
        <v>0</v>
      </c>
      <c r="N30" s="390"/>
      <c r="O30" s="405"/>
    </row>
    <row r="31" spans="1:15">
      <c r="A31" s="386">
        <f t="shared" si="0"/>
        <v>25</v>
      </c>
      <c r="B31" s="386"/>
      <c r="C31" s="387"/>
      <c r="D31" s="388"/>
      <c r="E31" s="402"/>
      <c r="F31" s="403"/>
      <c r="H31" s="388"/>
      <c r="I31" s="403"/>
      <c r="K31" s="388"/>
      <c r="L31" s="403"/>
      <c r="N31" s="388"/>
      <c r="O31" s="403"/>
    </row>
    <row r="32" spans="1:15">
      <c r="A32" s="386">
        <f t="shared" si="0"/>
        <v>26</v>
      </c>
      <c r="B32" s="386" t="s">
        <v>16</v>
      </c>
      <c r="C32" s="387"/>
      <c r="D32" s="390">
        <v>1811.5939999999998</v>
      </c>
      <c r="E32" s="404">
        <f>+E7</f>
        <v>-6.689136E-3</v>
      </c>
      <c r="F32" s="405">
        <f>ROUND(D32*E32,0)</f>
        <v>-12</v>
      </c>
      <c r="H32" s="390">
        <v>1843</v>
      </c>
      <c r="I32" s="405">
        <f>ROUND($E30*H32,0)</f>
        <v>0</v>
      </c>
      <c r="K32" s="390">
        <v>1864</v>
      </c>
      <c r="L32" s="405">
        <f>ROUND($E30*K32,0)</f>
        <v>0</v>
      </c>
      <c r="N32" s="390"/>
      <c r="O32" s="405"/>
    </row>
    <row r="33" spans="1:15">
      <c r="A33" s="386">
        <f t="shared" si="0"/>
        <v>27</v>
      </c>
      <c r="B33" s="386"/>
      <c r="C33" s="387"/>
      <c r="D33" s="388"/>
      <c r="E33" s="402"/>
      <c r="F33" s="403"/>
      <c r="H33" s="403"/>
      <c r="I33" s="403"/>
      <c r="K33" s="403"/>
      <c r="L33" s="403"/>
      <c r="N33" s="403"/>
      <c r="O33" s="403"/>
    </row>
    <row r="34" spans="1:15">
      <c r="A34" s="386">
        <f t="shared" si="0"/>
        <v>28</v>
      </c>
      <c r="B34" s="389" t="s">
        <v>17</v>
      </c>
      <c r="C34" s="387"/>
      <c r="D34" s="388">
        <v>0</v>
      </c>
      <c r="E34" s="402">
        <v>0</v>
      </c>
      <c r="F34" s="403">
        <f>ROUND(D34*E34,0)</f>
        <v>0</v>
      </c>
      <c r="H34" s="388"/>
      <c r="I34" s="403">
        <f>ROUND($E32*H34,0)</f>
        <v>0</v>
      </c>
      <c r="K34" s="388"/>
      <c r="L34" s="403">
        <f>ROUND($E32*K34,0)</f>
        <v>0</v>
      </c>
      <c r="N34" s="388"/>
      <c r="O34" s="403"/>
    </row>
    <row r="35" spans="1:15">
      <c r="A35" s="386">
        <f t="shared" si="0"/>
        <v>29</v>
      </c>
      <c r="B35" s="389" t="s">
        <v>262</v>
      </c>
      <c r="C35" s="387"/>
      <c r="D35" s="388">
        <v>0</v>
      </c>
      <c r="E35" s="402">
        <v>0</v>
      </c>
      <c r="F35" s="403">
        <f>ROUND(D35*E35,0)</f>
        <v>0</v>
      </c>
      <c r="H35" s="388"/>
      <c r="I35" s="403">
        <f>ROUND($E33*H35,0)</f>
        <v>0</v>
      </c>
      <c r="K35" s="388"/>
      <c r="L35" s="403">
        <f>ROUND($E33*K35,0)</f>
        <v>0</v>
      </c>
      <c r="N35" s="388"/>
      <c r="O35" s="403"/>
    </row>
    <row r="36" spans="1:15">
      <c r="A36" s="386">
        <f t="shared" si="0"/>
        <v>30</v>
      </c>
      <c r="B36" s="389"/>
      <c r="C36" s="387" t="s">
        <v>263</v>
      </c>
      <c r="D36" s="390">
        <f>SUM(D34:D35)</f>
        <v>0</v>
      </c>
      <c r="E36" s="404"/>
      <c r="F36" s="405">
        <f t="shared" ref="F36" si="20">SUM(F34:F35)</f>
        <v>0</v>
      </c>
      <c r="H36" s="390">
        <f>SUM(H34:H35)</f>
        <v>0</v>
      </c>
      <c r="I36" s="405">
        <f t="shared" ref="I36" si="21">SUM(I34:I35)</f>
        <v>0</v>
      </c>
      <c r="K36" s="390">
        <f>SUM(K34:K35)</f>
        <v>0</v>
      </c>
      <c r="L36" s="405">
        <f t="shared" ref="L36" si="22">SUM(L34:L35)</f>
        <v>0</v>
      </c>
      <c r="N36" s="390"/>
      <c r="O36" s="405"/>
    </row>
    <row r="37" spans="1:15">
      <c r="A37" s="386">
        <f t="shared" si="0"/>
        <v>31</v>
      </c>
      <c r="B37" s="386"/>
      <c r="C37" s="387"/>
      <c r="D37" s="388"/>
      <c r="E37" s="402"/>
      <c r="F37" s="403"/>
      <c r="H37" s="388"/>
      <c r="I37" s="403"/>
      <c r="K37" s="388"/>
      <c r="L37" s="403"/>
      <c r="N37" s="388"/>
      <c r="O37" s="403"/>
    </row>
    <row r="38" spans="1:15" ht="10.8" thickBot="1">
      <c r="A38" s="386">
        <f t="shared" si="0"/>
        <v>32</v>
      </c>
      <c r="B38" s="386"/>
      <c r="C38" s="391" t="s">
        <v>66</v>
      </c>
      <c r="D38" s="393">
        <f>SUM(D9,D18,D24,D26,D30,D32,D36)</f>
        <v>11805763.718603523</v>
      </c>
      <c r="E38" s="406"/>
      <c r="F38" s="407">
        <f t="shared" ref="F38" si="23">SUM(F9,F18,F24,F26,F30,F32,F36)</f>
        <v>-78970</v>
      </c>
      <c r="H38" s="393">
        <f>SUM(H9,H18,H24,H30,H32,H36)</f>
        <v>11527842.342</v>
      </c>
      <c r="I38" s="407">
        <f>SUM(I9,I18,I24,I30,I32,I36)</f>
        <v>-76308</v>
      </c>
      <c r="K38" s="393">
        <f>SUM(K9,K18,K24,K30,K32,K36)</f>
        <v>11633332.322000002</v>
      </c>
      <c r="L38" s="407">
        <f>SUM(L9,L18,L24,L30,L32,L36)</f>
        <v>-77003</v>
      </c>
      <c r="N38" s="393"/>
      <c r="O38" s="407"/>
    </row>
    <row r="39" spans="1:15" ht="10.8" thickTop="1">
      <c r="A39" s="386">
        <f t="shared" si="0"/>
        <v>33</v>
      </c>
      <c r="B39" s="386"/>
      <c r="C39" s="387"/>
      <c r="D39" s="387"/>
      <c r="E39" s="387"/>
      <c r="F39" s="403"/>
      <c r="I39" s="403"/>
      <c r="L39" s="403"/>
      <c r="O39" s="403"/>
    </row>
    <row r="40" spans="1:15">
      <c r="A40" s="386">
        <f t="shared" si="0"/>
        <v>34</v>
      </c>
      <c r="B40" s="386">
        <v>5</v>
      </c>
      <c r="C40" s="387" t="s">
        <v>67</v>
      </c>
      <c r="D40" s="388">
        <v>0</v>
      </c>
      <c r="E40" s="404">
        <v>0</v>
      </c>
      <c r="F40" s="405">
        <f>ROUND(D40*E40,-3)</f>
        <v>0</v>
      </c>
      <c r="H40" s="390"/>
      <c r="I40" s="405">
        <f>ROUND($E38*H40,0)</f>
        <v>0</v>
      </c>
      <c r="K40" s="390"/>
      <c r="L40" s="405">
        <f>ROUND($E38*K40,0)</f>
        <v>0</v>
      </c>
      <c r="N40" s="390"/>
      <c r="O40" s="405"/>
    </row>
    <row r="41" spans="1:15">
      <c r="A41" s="386">
        <f t="shared" si="0"/>
        <v>35</v>
      </c>
      <c r="B41" s="386"/>
      <c r="C41" s="387"/>
      <c r="D41" s="387"/>
      <c r="E41" s="387"/>
      <c r="F41" s="403"/>
      <c r="I41" s="403"/>
      <c r="L41" s="403"/>
      <c r="O41" s="403"/>
    </row>
    <row r="42" spans="1:15" ht="10.8" thickBot="1">
      <c r="A42" s="386">
        <f t="shared" si="0"/>
        <v>36</v>
      </c>
      <c r="B42" s="386"/>
      <c r="C42" s="391" t="s">
        <v>68</v>
      </c>
      <c r="D42" s="393">
        <f>SUM(D38,D40)</f>
        <v>11805763.718603523</v>
      </c>
      <c r="E42" s="387"/>
      <c r="F42" s="407">
        <f t="shared" ref="F42" si="24">SUM(F38,F40)</f>
        <v>-78970</v>
      </c>
      <c r="H42" s="393">
        <f>SUM(H38,H40)</f>
        <v>11527842.342</v>
      </c>
      <c r="I42" s="407">
        <f t="shared" ref="I42" si="25">SUM(I38,I40)</f>
        <v>-76308</v>
      </c>
      <c r="K42" s="393">
        <f>SUM(K38,K40)</f>
        <v>11633332.322000002</v>
      </c>
      <c r="L42" s="407">
        <f t="shared" ref="L42" si="26">SUM(L38,L40)</f>
        <v>-77003</v>
      </c>
      <c r="N42" s="393"/>
      <c r="O42" s="407"/>
    </row>
    <row r="43" spans="1:15" ht="10.8" thickTop="1">
      <c r="D43" s="387"/>
      <c r="H43" s="388">
        <v>11527842.342000002</v>
      </c>
      <c r="K43" s="388">
        <v>11633332.322000002</v>
      </c>
      <c r="N43" s="388"/>
    </row>
    <row r="44" spans="1:15">
      <c r="D44" s="408"/>
      <c r="H44" s="388">
        <f>H42-H43</f>
        <v>0</v>
      </c>
      <c r="K44" s="388">
        <f>K42-K43</f>
        <v>0</v>
      </c>
      <c r="N44" s="388"/>
    </row>
    <row r="45" spans="1:15">
      <c r="D45" s="408"/>
    </row>
  </sheetData>
  <mergeCells count="7">
    <mergeCell ref="K5:L5"/>
    <mergeCell ref="N5:O5"/>
    <mergeCell ref="A1:F1"/>
    <mergeCell ref="A2:F2"/>
    <mergeCell ref="A3:F3"/>
    <mergeCell ref="A4:F4"/>
    <mergeCell ref="H5:I5"/>
  </mergeCells>
  <printOptions horizontalCentered="1"/>
  <pageMargins left="0.7" right="0.7" top="0.75" bottom="0.71" header="0.3" footer="0.3"/>
  <pageSetup scale="90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"/>
  <sheetViews>
    <sheetView workbookViewId="0">
      <selection activeCell="O31" sqref="O31"/>
    </sheetView>
  </sheetViews>
  <sheetFormatPr defaultColWidth="8.88671875" defaultRowHeight="13.2"/>
  <cols>
    <col min="1" max="16384" width="8.88671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N31"/>
  <sheetViews>
    <sheetView workbookViewId="0">
      <pane xSplit="3" ySplit="5" topLeftCell="D17" activePane="bottomRight" state="frozen"/>
      <selection activeCell="D8" sqref="D8"/>
      <selection pane="topRight" activeCell="D8" sqref="D8"/>
      <selection pane="bottomLeft" activeCell="D8" sqref="D8"/>
      <selection pane="bottomRight" activeCell="L21" sqref="L21"/>
    </sheetView>
  </sheetViews>
  <sheetFormatPr defaultColWidth="9.109375" defaultRowHeight="13.2"/>
  <cols>
    <col min="1" max="1" width="5" style="110" bestFit="1" customWidth="1"/>
    <col min="2" max="2" width="25.6640625" style="110" bestFit="1" customWidth="1"/>
    <col min="3" max="3" width="13.109375" style="110" bestFit="1" customWidth="1"/>
    <col min="4" max="4" width="15" style="110" bestFit="1" customWidth="1"/>
    <col min="5" max="5" width="9.6640625" style="110" bestFit="1" customWidth="1"/>
    <col min="6" max="6" width="10.33203125" style="110" bestFit="1" customWidth="1"/>
    <col min="7" max="8" width="9.6640625" style="110" bestFit="1" customWidth="1"/>
    <col min="9" max="10" width="12.33203125" style="110" bestFit="1" customWidth="1"/>
    <col min="11" max="11" width="15" style="110" bestFit="1" customWidth="1"/>
    <col min="12" max="12" width="10.6640625" style="110" bestFit="1" customWidth="1"/>
    <col min="13" max="13" width="2.109375" style="110" customWidth="1"/>
    <col min="14" max="14" width="13.88671875" style="110" bestFit="1" customWidth="1"/>
    <col min="15" max="16384" width="9.109375" style="110"/>
  </cols>
  <sheetData>
    <row r="1" spans="1:14">
      <c r="A1" s="809" t="s">
        <v>0</v>
      </c>
      <c r="B1" s="810"/>
      <c r="C1" s="810"/>
      <c r="D1" s="811"/>
      <c r="E1" s="811"/>
      <c r="F1" s="811"/>
      <c r="G1" s="811"/>
      <c r="H1" s="811"/>
      <c r="I1" s="811"/>
      <c r="J1" s="811"/>
      <c r="K1" s="811"/>
      <c r="L1" s="812"/>
      <c r="M1" s="343"/>
      <c r="N1" s="343"/>
    </row>
    <row r="2" spans="1:14">
      <c r="A2" s="813" t="s">
        <v>314</v>
      </c>
      <c r="B2" s="814"/>
      <c r="C2" s="814"/>
      <c r="D2" s="815"/>
      <c r="E2" s="815"/>
      <c r="F2" s="815"/>
      <c r="G2" s="815"/>
      <c r="H2" s="815"/>
      <c r="I2" s="815"/>
      <c r="J2" s="815"/>
      <c r="K2" s="815"/>
      <c r="L2" s="816"/>
      <c r="M2" s="343"/>
      <c r="N2" s="343"/>
    </row>
    <row r="3" spans="1:14">
      <c r="A3" s="344"/>
      <c r="B3" s="345"/>
      <c r="C3" s="155"/>
      <c r="D3" s="346"/>
      <c r="E3" s="345"/>
      <c r="F3" s="346"/>
      <c r="G3" s="345"/>
      <c r="H3" s="345"/>
      <c r="I3" s="345"/>
      <c r="J3" s="345"/>
      <c r="K3" s="345"/>
      <c r="L3" s="265"/>
      <c r="M3" s="347"/>
      <c r="N3" s="347"/>
    </row>
    <row r="4" spans="1:14" ht="79.8" thickBot="1">
      <c r="A4" s="256" t="s">
        <v>2</v>
      </c>
      <c r="B4" s="257" t="s">
        <v>104</v>
      </c>
      <c r="C4" s="258" t="s">
        <v>315</v>
      </c>
      <c r="D4" s="259" t="s">
        <v>316</v>
      </c>
      <c r="E4" s="259" t="s">
        <v>317</v>
      </c>
      <c r="F4" s="259" t="s">
        <v>318</v>
      </c>
      <c r="G4" s="259" t="s">
        <v>319</v>
      </c>
      <c r="H4" s="257" t="s">
        <v>320</v>
      </c>
      <c r="I4" s="258" t="s">
        <v>321</v>
      </c>
      <c r="J4" s="258" t="s">
        <v>322</v>
      </c>
      <c r="K4" s="259" t="s">
        <v>323</v>
      </c>
      <c r="L4" s="348" t="s">
        <v>324</v>
      </c>
      <c r="M4" s="347"/>
      <c r="N4" s="349" t="s">
        <v>325</v>
      </c>
    </row>
    <row r="5" spans="1:14" ht="39.6">
      <c r="A5" s="350"/>
      <c r="B5" s="351"/>
      <c r="C5" s="351"/>
      <c r="D5" s="352" t="s">
        <v>73</v>
      </c>
      <c r="E5" s="353" t="s">
        <v>326</v>
      </c>
      <c r="F5" s="352" t="s">
        <v>75</v>
      </c>
      <c r="G5" s="353" t="s">
        <v>327</v>
      </c>
      <c r="H5" s="351" t="s">
        <v>328</v>
      </c>
      <c r="I5" s="351" t="s">
        <v>329</v>
      </c>
      <c r="J5" s="354" t="s">
        <v>330</v>
      </c>
      <c r="K5" s="351" t="s">
        <v>169</v>
      </c>
      <c r="L5" s="355" t="s">
        <v>331</v>
      </c>
      <c r="M5" s="356"/>
      <c r="N5" s="356"/>
    </row>
    <row r="6" spans="1:14">
      <c r="A6" s="38"/>
      <c r="B6" s="4"/>
      <c r="C6" s="4"/>
      <c r="D6" s="357"/>
      <c r="E6" s="39"/>
      <c r="F6" s="3"/>
      <c r="G6" s="357"/>
      <c r="H6" s="4"/>
      <c r="I6" s="4"/>
      <c r="J6" s="4"/>
      <c r="K6" s="4"/>
      <c r="L6" s="358"/>
      <c r="M6" s="356"/>
      <c r="N6" s="356"/>
    </row>
    <row r="7" spans="1:14">
      <c r="A7" s="51">
        <v>1</v>
      </c>
      <c r="B7" s="52" t="s">
        <v>11</v>
      </c>
      <c r="C7" s="74">
        <v>7</v>
      </c>
      <c r="D7" s="266">
        <v>11476152247.161776</v>
      </c>
      <c r="E7" s="359">
        <f t="shared" ref="E7:E14" si="0">+D7/D$23*ROUND(0.75,2)</f>
        <v>0.39072264776300736</v>
      </c>
      <c r="F7" s="266">
        <v>2236474.2253660602</v>
      </c>
      <c r="G7" s="359">
        <f t="shared" ref="G7:G14" si="1">+F7/F$23*ROUND(0.25,2)</f>
        <v>0.14418129406223315</v>
      </c>
      <c r="H7" s="359">
        <f t="shared" ref="H7:H12" si="2">+G7+E7</f>
        <v>0.53490394182524048</v>
      </c>
      <c r="I7" s="359"/>
      <c r="J7" s="67">
        <f t="shared" ref="J7:J14" si="3">+H7*($I$23)</f>
        <v>36002805.08345256</v>
      </c>
      <c r="K7" s="360">
        <v>10863043096.272161</v>
      </c>
      <c r="L7" s="361">
        <f>+J7/K7</f>
        <v>3.3142467321893932E-3</v>
      </c>
      <c r="M7" s="195"/>
      <c r="N7" s="93" t="s">
        <v>332</v>
      </c>
    </row>
    <row r="8" spans="1:14">
      <c r="A8" s="51">
        <f t="shared" ref="A8:A28" si="4">+A7+1</f>
        <v>2</v>
      </c>
      <c r="B8" s="75" t="s">
        <v>81</v>
      </c>
      <c r="C8" s="74" t="s">
        <v>82</v>
      </c>
      <c r="D8" s="266">
        <v>2915955626.4103169</v>
      </c>
      <c r="E8" s="359">
        <f t="shared" si="0"/>
        <v>9.927804011072186E-2</v>
      </c>
      <c r="F8" s="266">
        <v>515625.82524854271</v>
      </c>
      <c r="G8" s="359">
        <f t="shared" si="1"/>
        <v>3.3241428804784645E-2</v>
      </c>
      <c r="H8" s="359">
        <f t="shared" si="2"/>
        <v>0.13251946891550651</v>
      </c>
      <c r="I8" s="359"/>
      <c r="J8" s="67">
        <f t="shared" si="3"/>
        <v>8919494.2045994457</v>
      </c>
      <c r="K8" s="360">
        <v>2586338527.0017586</v>
      </c>
      <c r="L8" s="361">
        <f t="shared" ref="L8:L23" si="5">+J8/K8</f>
        <v>3.4486955638168013E-3</v>
      </c>
      <c r="M8" s="195"/>
      <c r="N8" s="93" t="str">
        <f>+$N$7</f>
        <v>Sheet No. 95</v>
      </c>
    </row>
    <row r="9" spans="1:14">
      <c r="A9" s="51">
        <f t="shared" si="4"/>
        <v>3</v>
      </c>
      <c r="B9" s="52" t="s">
        <v>83</v>
      </c>
      <c r="C9" s="74" t="s">
        <v>84</v>
      </c>
      <c r="D9" s="266">
        <v>3225522141.4879136</v>
      </c>
      <c r="E9" s="359">
        <f t="shared" si="0"/>
        <v>0.10981769188815443</v>
      </c>
      <c r="F9" s="266">
        <v>551432.84077501134</v>
      </c>
      <c r="G9" s="359">
        <f t="shared" si="1"/>
        <v>3.5549839863833498E-2</v>
      </c>
      <c r="H9" s="359">
        <f t="shared" si="2"/>
        <v>0.14536753175198794</v>
      </c>
      <c r="I9" s="359"/>
      <c r="J9" s="67">
        <f t="shared" si="3"/>
        <v>9784259.3817327227</v>
      </c>
      <c r="K9" s="360">
        <v>2884671453.8191686</v>
      </c>
      <c r="L9" s="361">
        <f t="shared" si="5"/>
        <v>3.391810657944712E-3</v>
      </c>
      <c r="M9" s="195"/>
      <c r="N9" s="93" t="str">
        <f t="shared" ref="N9:N14" si="6">+$N$7</f>
        <v>Sheet No. 95</v>
      </c>
    </row>
    <row r="10" spans="1:14">
      <c r="A10" s="51">
        <f t="shared" si="4"/>
        <v>4</v>
      </c>
      <c r="B10" s="52" t="s">
        <v>85</v>
      </c>
      <c r="C10" s="74" t="s">
        <v>86</v>
      </c>
      <c r="D10" s="266">
        <v>2092770306.5275679</v>
      </c>
      <c r="E10" s="359">
        <f t="shared" si="0"/>
        <v>7.1251473291362041E-2</v>
      </c>
      <c r="F10" s="266">
        <v>289974.91765494185</v>
      </c>
      <c r="G10" s="359">
        <f t="shared" si="1"/>
        <v>1.8694138478719036E-2</v>
      </c>
      <c r="H10" s="359">
        <f t="shared" si="2"/>
        <v>8.9945611770081077E-2</v>
      </c>
      <c r="I10" s="359"/>
      <c r="J10" s="67">
        <f t="shared" si="3"/>
        <v>6053973.5744331367</v>
      </c>
      <c r="K10" s="360">
        <v>1841173274.7668719</v>
      </c>
      <c r="L10" s="361">
        <f t="shared" si="5"/>
        <v>3.2881063707595293E-3</v>
      </c>
      <c r="M10" s="195"/>
      <c r="N10" s="93" t="str">
        <f t="shared" si="6"/>
        <v>Sheet No. 95</v>
      </c>
    </row>
    <row r="11" spans="1:14">
      <c r="A11" s="51">
        <f t="shared" si="4"/>
        <v>5</v>
      </c>
      <c r="B11" s="52" t="s">
        <v>87</v>
      </c>
      <c r="C11" s="74">
        <v>29</v>
      </c>
      <c r="D11" s="266">
        <v>17243818.472518876</v>
      </c>
      <c r="E11" s="359">
        <f t="shared" si="0"/>
        <v>5.8709141060702894E-4</v>
      </c>
      <c r="F11" s="266">
        <v>461.07800540214549</v>
      </c>
      <c r="G11" s="359">
        <f t="shared" si="1"/>
        <v>2.9724833279325449E-5</v>
      </c>
      <c r="H11" s="359">
        <f t="shared" si="2"/>
        <v>6.1681624388635443E-4</v>
      </c>
      <c r="I11" s="359"/>
      <c r="J11" s="67">
        <f t="shared" si="3"/>
        <v>41516.080298774628</v>
      </c>
      <c r="K11" s="360">
        <v>11424740.434375001</v>
      </c>
      <c r="L11" s="361">
        <f t="shared" si="5"/>
        <v>3.6338751446693849E-3</v>
      </c>
      <c r="M11" s="195"/>
      <c r="N11" s="93" t="str">
        <f t="shared" si="6"/>
        <v>Sheet No. 95</v>
      </c>
    </row>
    <row r="12" spans="1:14">
      <c r="A12" s="51">
        <f t="shared" si="4"/>
        <v>6</v>
      </c>
      <c r="B12" s="52" t="s">
        <v>89</v>
      </c>
      <c r="C12" s="74" t="s">
        <v>90</v>
      </c>
      <c r="D12" s="266">
        <v>1456029850.0547175</v>
      </c>
      <c r="E12" s="359">
        <f t="shared" si="0"/>
        <v>4.957269875676773E-2</v>
      </c>
      <c r="F12" s="266">
        <v>204844.84270926949</v>
      </c>
      <c r="G12" s="359">
        <f t="shared" si="1"/>
        <v>1.3205962388841259E-2</v>
      </c>
      <c r="H12" s="359">
        <f t="shared" si="2"/>
        <v>6.2778661145608983E-2</v>
      </c>
      <c r="I12" s="359"/>
      <c r="J12" s="67">
        <f t="shared" si="3"/>
        <v>4225446.3351177061</v>
      </c>
      <c r="K12" s="360">
        <v>1335654341.1168144</v>
      </c>
      <c r="L12" s="361">
        <f t="shared" si="5"/>
        <v>3.1635777349284674E-3</v>
      </c>
      <c r="M12" s="195"/>
      <c r="N12" s="93" t="str">
        <f t="shared" si="6"/>
        <v>Sheet No. 95</v>
      </c>
    </row>
    <row r="13" spans="1:14">
      <c r="A13" s="51">
        <f t="shared" si="4"/>
        <v>7</v>
      </c>
      <c r="B13" s="52" t="s">
        <v>91</v>
      </c>
      <c r="C13" s="74">
        <v>35</v>
      </c>
      <c r="D13" s="266">
        <v>4597572.0317007378</v>
      </c>
      <c r="E13" s="359">
        <f t="shared" si="0"/>
        <v>1.5653116818413872E-4</v>
      </c>
      <c r="F13" s="266">
        <v>7.0004300675974864</v>
      </c>
      <c r="G13" s="359">
        <f t="shared" si="1"/>
        <v>4.5130458231557189E-7</v>
      </c>
      <c r="H13" s="359">
        <f>+G13+E13</f>
        <v>1.5698247276645428E-4</v>
      </c>
      <c r="I13" s="359"/>
      <c r="J13" s="67">
        <f t="shared" si="3"/>
        <v>10566.026769672913</v>
      </c>
      <c r="K13" s="360">
        <v>5945040</v>
      </c>
      <c r="L13" s="361">
        <f t="shared" si="5"/>
        <v>1.7772843865933472E-3</v>
      </c>
      <c r="M13" s="195"/>
      <c r="N13" s="93" t="str">
        <f t="shared" si="6"/>
        <v>Sheet No. 95</v>
      </c>
    </row>
    <row r="14" spans="1:14">
      <c r="A14" s="51">
        <f t="shared" si="4"/>
        <v>8</v>
      </c>
      <c r="B14" s="52" t="s">
        <v>92</v>
      </c>
      <c r="C14" s="74">
        <v>43</v>
      </c>
      <c r="D14" s="266">
        <v>126890757.18193617</v>
      </c>
      <c r="E14" s="359">
        <f t="shared" si="0"/>
        <v>4.3201842878165531E-3</v>
      </c>
      <c r="F14" s="266">
        <v>0</v>
      </c>
      <c r="G14" s="359">
        <f t="shared" si="1"/>
        <v>0</v>
      </c>
      <c r="H14" s="359">
        <f>+G14+E14</f>
        <v>4.3201842878165531E-3</v>
      </c>
      <c r="I14" s="359"/>
      <c r="J14" s="67">
        <f t="shared" si="3"/>
        <v>290778.84957832308</v>
      </c>
      <c r="K14" s="360">
        <v>116280759.88464826</v>
      </c>
      <c r="L14" s="361">
        <f t="shared" si="5"/>
        <v>2.5006617592349652E-3</v>
      </c>
      <c r="M14" s="195"/>
      <c r="N14" s="93" t="str">
        <f t="shared" si="6"/>
        <v>Sheet No. 95</v>
      </c>
    </row>
    <row r="15" spans="1:14">
      <c r="A15" s="51">
        <f t="shared" si="4"/>
        <v>9</v>
      </c>
      <c r="B15" s="52"/>
      <c r="C15" s="74"/>
      <c r="D15" s="266"/>
      <c r="E15" s="359"/>
      <c r="F15" s="53"/>
      <c r="G15" s="359"/>
      <c r="H15" s="359"/>
      <c r="I15" s="359"/>
      <c r="J15" s="67"/>
      <c r="K15" s="360"/>
      <c r="L15" s="362"/>
      <c r="M15" s="195"/>
      <c r="N15" s="86"/>
    </row>
    <row r="16" spans="1:14">
      <c r="A16" s="51">
        <f t="shared" si="4"/>
        <v>10</v>
      </c>
      <c r="B16" s="44" t="s">
        <v>333</v>
      </c>
      <c r="C16" s="74">
        <v>46</v>
      </c>
      <c r="D16" s="266">
        <v>79573505.04899931</v>
      </c>
      <c r="E16" s="359">
        <f t="shared" ref="E16:E17" si="7">+D16/D$23*ROUND(0.75,2)</f>
        <v>2.7091981628439405E-3</v>
      </c>
      <c r="F16" s="363">
        <v>0</v>
      </c>
      <c r="G16" s="359">
        <f t="shared" ref="G16:G17" si="8">+F16/F$23*ROUND(0.25,2)</f>
        <v>0</v>
      </c>
      <c r="H16" s="359">
        <f t="shared" ref="H16:H17" si="9">+G16+E16</f>
        <v>2.7091981628439405E-3</v>
      </c>
      <c r="I16" s="359"/>
      <c r="J16" s="67">
        <f t="shared" ref="J16:J17" si="10">+H16*($I$23)</f>
        <v>182348.12975295898</v>
      </c>
      <c r="K16" s="360">
        <v>81635228</v>
      </c>
      <c r="L16" s="361">
        <f t="shared" si="5"/>
        <v>2.2336941320597399E-3</v>
      </c>
      <c r="M16" s="195"/>
      <c r="N16" s="364" t="s">
        <v>334</v>
      </c>
    </row>
    <row r="17" spans="1:14">
      <c r="A17" s="51">
        <f t="shared" si="4"/>
        <v>11</v>
      </c>
      <c r="B17" s="44" t="s">
        <v>55</v>
      </c>
      <c r="C17" s="74">
        <v>49</v>
      </c>
      <c r="D17" s="266">
        <v>550655414.21762562</v>
      </c>
      <c r="E17" s="359">
        <f t="shared" si="7"/>
        <v>1.8747881416557269E-2</v>
      </c>
      <c r="F17" s="266">
        <v>69577.130407689765</v>
      </c>
      <c r="G17" s="359">
        <f t="shared" si="8"/>
        <v>4.4855069580225088E-3</v>
      </c>
      <c r="H17" s="359">
        <f t="shared" si="9"/>
        <v>2.3233388374579778E-2</v>
      </c>
      <c r="I17" s="359"/>
      <c r="J17" s="67">
        <f t="shared" si="10"/>
        <v>1563770.7776538171</v>
      </c>
      <c r="K17" s="360">
        <v>563071445.51999998</v>
      </c>
      <c r="L17" s="361">
        <f t="shared" si="5"/>
        <v>2.7772155560288891E-3</v>
      </c>
      <c r="M17" s="195"/>
      <c r="N17" s="93" t="str">
        <f>+$N$16</f>
        <v>Sheet No. 95-A</v>
      </c>
    </row>
    <row r="18" spans="1:14">
      <c r="A18" s="51">
        <f t="shared" si="4"/>
        <v>12</v>
      </c>
      <c r="B18" s="75"/>
      <c r="C18" s="31"/>
      <c r="D18" s="266"/>
      <c r="E18" s="359"/>
      <c r="F18" s="53"/>
      <c r="G18" s="359"/>
      <c r="H18" s="359"/>
      <c r="I18" s="359"/>
      <c r="J18" s="67"/>
      <c r="K18" s="360"/>
      <c r="L18" s="362"/>
      <c r="M18" s="195"/>
      <c r="N18" s="86"/>
    </row>
    <row r="19" spans="1:14">
      <c r="A19" s="51">
        <f t="shared" si="4"/>
        <v>13</v>
      </c>
      <c r="B19" s="52" t="s">
        <v>97</v>
      </c>
      <c r="C19" s="74" t="s">
        <v>16</v>
      </c>
      <c r="D19" s="266">
        <v>75887375.026475519</v>
      </c>
      <c r="E19" s="359">
        <f t="shared" ref="E19" si="11">+D19/D$23*ROUND(0.75,2)</f>
        <v>2.5836983915459946E-3</v>
      </c>
      <c r="F19" s="266">
        <v>8059.2720272472116</v>
      </c>
      <c r="G19" s="359">
        <f t="shared" ref="G19" si="12">+F19/F$23*ROUND(0.25,2)</f>
        <v>5.1956613535211553E-4</v>
      </c>
      <c r="H19" s="359">
        <f>+G19+E19</f>
        <v>3.1032645268981099E-3</v>
      </c>
      <c r="I19" s="359"/>
      <c r="J19" s="67">
        <f>+H19*($I$23)</f>
        <v>208871.57328297943</v>
      </c>
      <c r="K19" s="360">
        <v>68936797.67750001</v>
      </c>
      <c r="L19" s="361">
        <f t="shared" si="5"/>
        <v>3.0298995648176466E-3</v>
      </c>
      <c r="M19" s="195"/>
      <c r="N19" s="365"/>
    </row>
    <row r="20" spans="1:14">
      <c r="A20" s="51">
        <f t="shared" si="4"/>
        <v>14</v>
      </c>
      <c r="B20" s="52"/>
      <c r="C20" s="74"/>
      <c r="D20" s="266"/>
      <c r="E20" s="359"/>
      <c r="F20" s="53"/>
      <c r="G20" s="52"/>
      <c r="H20" s="52"/>
      <c r="I20" s="52"/>
      <c r="J20" s="67"/>
      <c r="K20" s="360"/>
      <c r="L20" s="362"/>
      <c r="M20" s="195"/>
      <c r="N20" s="195"/>
    </row>
    <row r="21" spans="1:14">
      <c r="A21" s="51">
        <f t="shared" si="4"/>
        <v>15</v>
      </c>
      <c r="B21" s="52" t="s">
        <v>67</v>
      </c>
      <c r="C21" s="74"/>
      <c r="D21" s="266">
        <v>7427003.1359829875</v>
      </c>
      <c r="E21" s="359">
        <f t="shared" ref="E21" si="13">+D21/D$23*ROUND(0.75,2)</f>
        <v>2.5286335243183223E-4</v>
      </c>
      <c r="F21" s="266">
        <v>1428.4140277629981</v>
      </c>
      <c r="G21" s="359">
        <f t="shared" ref="G21" si="14">+F21/F$23*ROUND(0.25,2)</f>
        <v>9.2087170352167269E-5</v>
      </c>
      <c r="H21" s="359">
        <f>+G21+E21</f>
        <v>3.4495052278399948E-4</v>
      </c>
      <c r="I21" s="359"/>
      <c r="J21" s="67">
        <f>+H21*($I$23)</f>
        <v>23217.601262854205</v>
      </c>
      <c r="K21" s="360">
        <v>7369853.2214806583</v>
      </c>
      <c r="L21" s="361">
        <f t="shared" si="5"/>
        <v>3.1503478515939312E-3</v>
      </c>
      <c r="M21" s="195"/>
      <c r="N21" s="365"/>
    </row>
    <row r="22" spans="1:14">
      <c r="A22" s="51">
        <f t="shared" si="4"/>
        <v>16</v>
      </c>
      <c r="B22" s="52"/>
      <c r="C22" s="74"/>
      <c r="D22" s="53"/>
      <c r="E22" s="359"/>
      <c r="F22" s="53"/>
      <c r="G22" s="52"/>
      <c r="H22" s="52"/>
      <c r="I22" s="52"/>
      <c r="J22" s="67"/>
      <c r="K22" s="366"/>
      <c r="L22" s="362"/>
      <c r="M22" s="195"/>
      <c r="N22" s="195"/>
    </row>
    <row r="23" spans="1:14">
      <c r="A23" s="51">
        <f t="shared" si="4"/>
        <v>17</v>
      </c>
      <c r="B23" s="52" t="s">
        <v>98</v>
      </c>
      <c r="C23" s="74"/>
      <c r="D23" s="103">
        <f>SUM(D7:D21)</f>
        <v>22028705616.757526</v>
      </c>
      <c r="E23" s="367">
        <f>SUM(E7:E21)</f>
        <v>0.75000000000000022</v>
      </c>
      <c r="F23" s="103">
        <f>SUM(F7:F21)</f>
        <v>3877885.5466519948</v>
      </c>
      <c r="G23" s="367">
        <f>SUM(G7:G21)</f>
        <v>0.25</v>
      </c>
      <c r="H23" s="367">
        <f>SUM(H7:H21)</f>
        <v>1</v>
      </c>
      <c r="I23" s="333">
        <v>67307047.617934942</v>
      </c>
      <c r="J23" s="327">
        <f>SUM(J7:J21)</f>
        <v>67307047.617934957</v>
      </c>
      <c r="K23" s="326">
        <f>SUM(K7:K21)</f>
        <v>20365544557.714779</v>
      </c>
      <c r="L23" s="368">
        <f t="shared" si="5"/>
        <v>3.3049471094274284E-3</v>
      </c>
      <c r="M23" s="195"/>
      <c r="N23" s="195"/>
    </row>
    <row r="24" spans="1:14">
      <c r="A24" s="51">
        <f t="shared" si="4"/>
        <v>18</v>
      </c>
      <c r="B24" s="52"/>
      <c r="C24" s="74"/>
      <c r="D24" s="53"/>
      <c r="E24" s="52"/>
      <c r="F24" s="53"/>
      <c r="G24" s="52"/>
      <c r="H24" s="52"/>
      <c r="I24" s="52"/>
      <c r="J24" s="67"/>
      <c r="K24" s="366"/>
      <c r="L24" s="369"/>
      <c r="M24" s="195"/>
      <c r="N24" s="370"/>
    </row>
    <row r="25" spans="1:14">
      <c r="A25" s="51">
        <f t="shared" si="4"/>
        <v>19</v>
      </c>
      <c r="B25" s="75" t="s">
        <v>250</v>
      </c>
      <c r="C25" s="31" t="s">
        <v>281</v>
      </c>
      <c r="D25" s="53"/>
      <c r="E25" s="359"/>
      <c r="F25" s="53"/>
      <c r="G25" s="359"/>
      <c r="H25" s="359"/>
      <c r="I25" s="359"/>
      <c r="J25" s="67"/>
      <c r="K25" s="366">
        <v>2296743088.5840001</v>
      </c>
      <c r="L25" s="371"/>
      <c r="M25" s="195"/>
      <c r="N25" s="195"/>
    </row>
    <row r="26" spans="1:14">
      <c r="A26" s="51">
        <f t="shared" si="4"/>
        <v>20</v>
      </c>
      <c r="B26" s="75"/>
      <c r="C26" s="31"/>
      <c r="D26" s="53"/>
      <c r="E26" s="359"/>
      <c r="F26" s="53"/>
      <c r="G26" s="359"/>
      <c r="H26" s="359"/>
      <c r="I26" s="359"/>
      <c r="J26" s="67"/>
      <c r="K26" s="366"/>
      <c r="L26" s="371"/>
      <c r="M26" s="195"/>
      <c r="N26" s="195"/>
    </row>
    <row r="27" spans="1:14" ht="13.8" thickBot="1">
      <c r="A27" s="51">
        <f t="shared" si="4"/>
        <v>21</v>
      </c>
      <c r="B27" s="52" t="s">
        <v>18</v>
      </c>
      <c r="C27" s="74"/>
      <c r="D27" s="272">
        <f>SUM(D23:D26)</f>
        <v>22028705616.757526</v>
      </c>
      <c r="E27" s="372"/>
      <c r="F27" s="272">
        <f>SUM(F23:F26)</f>
        <v>3877885.5466519948</v>
      </c>
      <c r="G27" s="372"/>
      <c r="H27" s="372"/>
      <c r="I27" s="273"/>
      <c r="J27" s="273"/>
      <c r="K27" s="337">
        <f>+K25+K23</f>
        <v>22662287646.298779</v>
      </c>
      <c r="L27" s="371"/>
      <c r="M27" s="195"/>
    </row>
    <row r="28" spans="1:14" ht="13.8" thickTop="1">
      <c r="A28" s="51">
        <f t="shared" si="4"/>
        <v>22</v>
      </c>
      <c r="B28" s="52"/>
      <c r="C28" s="74"/>
      <c r="D28" s="53"/>
      <c r="E28" s="52"/>
      <c r="F28" s="53"/>
      <c r="G28" s="52"/>
      <c r="H28" s="52"/>
      <c r="I28" s="52"/>
      <c r="J28" s="52"/>
      <c r="K28" s="52"/>
      <c r="L28" s="54"/>
      <c r="M28" s="195"/>
    </row>
    <row r="29" spans="1:14">
      <c r="A29" s="817" t="s">
        <v>335</v>
      </c>
      <c r="B29" s="818"/>
      <c r="C29" s="818"/>
      <c r="D29" s="818"/>
      <c r="E29" s="818"/>
      <c r="F29" s="818"/>
      <c r="G29" s="818"/>
      <c r="H29" s="818"/>
      <c r="I29" s="818"/>
      <c r="J29" s="818"/>
      <c r="K29" s="818"/>
      <c r="L29" s="819"/>
      <c r="M29" s="195"/>
      <c r="N29" s="195"/>
    </row>
    <row r="30" spans="1:14">
      <c r="A30" s="817" t="s">
        <v>336</v>
      </c>
      <c r="B30" s="818"/>
      <c r="C30" s="818"/>
      <c r="D30" s="818"/>
      <c r="E30" s="818"/>
      <c r="F30" s="818"/>
      <c r="G30" s="818"/>
      <c r="H30" s="818"/>
      <c r="I30" s="818"/>
      <c r="J30" s="818"/>
      <c r="K30" s="818"/>
      <c r="L30" s="819"/>
      <c r="M30" s="195"/>
      <c r="N30" s="195"/>
    </row>
    <row r="31" spans="1:14" ht="13.8" thickBot="1">
      <c r="A31" s="820" t="s">
        <v>337</v>
      </c>
      <c r="B31" s="821"/>
      <c r="C31" s="821"/>
      <c r="D31" s="821"/>
      <c r="E31" s="821"/>
      <c r="F31" s="821"/>
      <c r="G31" s="821"/>
      <c r="H31" s="821"/>
      <c r="I31" s="821"/>
      <c r="J31" s="821"/>
      <c r="K31" s="821"/>
      <c r="L31" s="822"/>
      <c r="M31" s="195"/>
      <c r="N31" s="195"/>
    </row>
  </sheetData>
  <mergeCells count="5">
    <mergeCell ref="A1:L1"/>
    <mergeCell ref="A2:L2"/>
    <mergeCell ref="A29:L29"/>
    <mergeCell ref="A30:L30"/>
    <mergeCell ref="A31:L31"/>
  </mergeCells>
  <pageMargins left="0.7" right="0.7" top="0.75" bottom="0.75" header="0.3" footer="0.3"/>
  <customProperties>
    <customPr name="_pios_id" r:id="rId1"/>
  </customPropertie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N35"/>
  <sheetViews>
    <sheetView workbookViewId="0">
      <pane xSplit="3" ySplit="6" topLeftCell="H25" activePane="bottomRight" state="frozen"/>
      <selection activeCell="D8" sqref="D8"/>
      <selection pane="topRight" activeCell="D8" sqref="D8"/>
      <selection pane="bottomLeft" activeCell="D8" sqref="D8"/>
      <selection pane="bottomRight" activeCell="H31" sqref="H31"/>
    </sheetView>
  </sheetViews>
  <sheetFormatPr defaultColWidth="3.5546875" defaultRowHeight="13.2"/>
  <cols>
    <col min="1" max="1" width="3.5546875" style="110" bestFit="1" customWidth="1"/>
    <col min="2" max="2" width="31.44140625" style="110" customWidth="1"/>
    <col min="3" max="3" width="9.109375" style="110" bestFit="1" customWidth="1"/>
    <col min="4" max="5" width="15" style="110" bestFit="1" customWidth="1"/>
    <col min="6" max="6" width="3.5546875" style="110"/>
    <col min="7" max="7" width="10.5546875" style="110" bestFit="1" customWidth="1"/>
    <col min="8" max="9" width="10.6640625" style="110" bestFit="1" customWidth="1"/>
    <col min="10" max="10" width="3.5546875" style="110"/>
    <col min="11" max="12" width="15" style="110" bestFit="1" customWidth="1"/>
    <col min="13" max="13" width="12.33203125" style="110" bestFit="1" customWidth="1"/>
    <col min="14" max="14" width="9.33203125" style="110" bestFit="1" customWidth="1"/>
    <col min="15" max="16384" width="3.5546875" style="110"/>
  </cols>
  <sheetData>
    <row r="1" spans="1:14">
      <c r="A1" s="823" t="s">
        <v>0</v>
      </c>
      <c r="B1" s="823">
        <v>0</v>
      </c>
      <c r="C1" s="823">
        <v>0</v>
      </c>
      <c r="D1" s="823">
        <v>0</v>
      </c>
      <c r="E1" s="823">
        <v>0</v>
      </c>
      <c r="F1" s="823">
        <v>0</v>
      </c>
      <c r="G1" s="823">
        <v>0</v>
      </c>
      <c r="H1" s="823">
        <v>0</v>
      </c>
      <c r="I1" s="823">
        <v>0</v>
      </c>
      <c r="J1" s="823">
        <v>0</v>
      </c>
      <c r="K1" s="823">
        <v>0</v>
      </c>
      <c r="L1" s="823">
        <v>0</v>
      </c>
      <c r="M1" s="823">
        <v>0</v>
      </c>
      <c r="N1" s="823">
        <v>0</v>
      </c>
    </row>
    <row r="2" spans="1:14">
      <c r="A2" s="823" t="s">
        <v>294</v>
      </c>
      <c r="B2" s="823">
        <v>0</v>
      </c>
      <c r="C2" s="823">
        <v>0</v>
      </c>
      <c r="D2" s="823">
        <v>0</v>
      </c>
      <c r="E2" s="823">
        <v>0</v>
      </c>
      <c r="F2" s="823">
        <v>0</v>
      </c>
      <c r="G2" s="823">
        <v>0</v>
      </c>
      <c r="H2" s="823">
        <v>0</v>
      </c>
      <c r="I2" s="823">
        <v>0</v>
      </c>
      <c r="J2" s="823">
        <v>0</v>
      </c>
      <c r="K2" s="823">
        <v>0</v>
      </c>
      <c r="L2" s="823">
        <v>0</v>
      </c>
      <c r="M2" s="823">
        <v>0</v>
      </c>
      <c r="N2" s="823">
        <v>0</v>
      </c>
    </row>
    <row r="3" spans="1:14">
      <c r="A3" s="823" t="s">
        <v>304</v>
      </c>
      <c r="B3" s="823">
        <v>0</v>
      </c>
      <c r="C3" s="823">
        <v>0</v>
      </c>
      <c r="D3" s="823">
        <v>0</v>
      </c>
      <c r="E3" s="823">
        <v>0</v>
      </c>
      <c r="F3" s="823">
        <v>0</v>
      </c>
      <c r="G3" s="823">
        <v>0</v>
      </c>
      <c r="H3" s="823">
        <v>0</v>
      </c>
      <c r="I3" s="823">
        <v>0</v>
      </c>
      <c r="J3" s="823">
        <v>0</v>
      </c>
      <c r="K3" s="823">
        <v>0</v>
      </c>
      <c r="L3" s="823">
        <v>0</v>
      </c>
      <c r="M3" s="823">
        <v>0</v>
      </c>
      <c r="N3" s="823">
        <v>0</v>
      </c>
    </row>
    <row r="4" spans="1:14">
      <c r="A4" s="310"/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</row>
    <row r="5" spans="1:14" ht="79.2">
      <c r="A5" s="296" t="s">
        <v>2</v>
      </c>
      <c r="B5" s="296" t="s">
        <v>114</v>
      </c>
      <c r="C5" s="296" t="s">
        <v>105</v>
      </c>
      <c r="D5" s="298" t="s">
        <v>305</v>
      </c>
      <c r="E5" s="298" t="s">
        <v>306</v>
      </c>
      <c r="F5" s="298"/>
      <c r="G5" s="298" t="s">
        <v>307</v>
      </c>
      <c r="H5" s="299" t="s">
        <v>308</v>
      </c>
      <c r="I5" s="298" t="s">
        <v>295</v>
      </c>
      <c r="K5" s="298" t="s">
        <v>309</v>
      </c>
      <c r="L5" s="298" t="s">
        <v>310</v>
      </c>
      <c r="M5" s="298" t="s">
        <v>311</v>
      </c>
      <c r="N5" s="298" t="s">
        <v>312</v>
      </c>
    </row>
    <row r="6" spans="1:14" ht="26.4">
      <c r="A6" s="4"/>
      <c r="B6" s="69" t="s">
        <v>117</v>
      </c>
      <c r="C6" s="70" t="s">
        <v>118</v>
      </c>
      <c r="D6" s="70" t="s">
        <v>119</v>
      </c>
      <c r="E6" s="70" t="s">
        <v>120</v>
      </c>
      <c r="F6" s="70"/>
      <c r="G6" s="70" t="s">
        <v>121</v>
      </c>
      <c r="H6" s="311" t="s">
        <v>122</v>
      </c>
      <c r="I6" s="70" t="s">
        <v>296</v>
      </c>
      <c r="K6" s="70" t="s">
        <v>297</v>
      </c>
      <c r="L6" s="70" t="s">
        <v>298</v>
      </c>
      <c r="M6" s="70" t="s">
        <v>299</v>
      </c>
      <c r="N6" s="70" t="s">
        <v>300</v>
      </c>
    </row>
    <row r="7" spans="1:14">
      <c r="A7" s="102">
        <v>1</v>
      </c>
      <c r="B7" s="312" t="s">
        <v>11</v>
      </c>
      <c r="C7" s="4"/>
      <c r="D7" s="313"/>
      <c r="E7" s="294"/>
      <c r="F7" s="39"/>
      <c r="G7" s="46"/>
      <c r="H7" s="202"/>
      <c r="I7" s="46"/>
      <c r="J7" s="314"/>
      <c r="K7" s="294"/>
      <c r="L7" s="294"/>
      <c r="M7" s="294"/>
      <c r="N7" s="315"/>
    </row>
    <row r="8" spans="1:14">
      <c r="A8" s="102">
        <v>2</v>
      </c>
      <c r="B8" s="316" t="s">
        <v>11</v>
      </c>
      <c r="C8" s="106">
        <v>7</v>
      </c>
      <c r="D8" s="317">
        <v>10994456000</v>
      </c>
      <c r="E8" s="318">
        <v>1207245000</v>
      </c>
      <c r="F8" s="319"/>
      <c r="G8" s="320">
        <v>0</v>
      </c>
      <c r="H8" s="321">
        <v>2.1346263238885407E-3</v>
      </c>
      <c r="I8" s="322">
        <f>+H8-G8</f>
        <v>2.1346263238885407E-3</v>
      </c>
      <c r="J8" s="314"/>
      <c r="K8" s="323">
        <f>G8*$D8+E8</f>
        <v>1207245000</v>
      </c>
      <c r="L8" s="323">
        <f>H8*$D8+E8</f>
        <v>1230714055.1944344</v>
      </c>
      <c r="M8" s="323">
        <f>+L8-K8</f>
        <v>23469055.194434404</v>
      </c>
      <c r="N8" s="324">
        <f>+M8/K8</f>
        <v>1.9440175933165518E-2</v>
      </c>
    </row>
    <row r="9" spans="1:14">
      <c r="A9" s="102">
        <v>3</v>
      </c>
      <c r="B9" s="325" t="s">
        <v>125</v>
      </c>
      <c r="C9" s="73"/>
      <c r="D9" s="326">
        <f>SUM(D8:D8)</f>
        <v>10994456000</v>
      </c>
      <c r="E9" s="327">
        <f>SUM(E8:E8)</f>
        <v>1207245000</v>
      </c>
      <c r="F9" s="39"/>
      <c r="G9" s="47">
        <f>SUM(G8)</f>
        <v>0</v>
      </c>
      <c r="H9" s="328">
        <f>SUM(H8)</f>
        <v>2.1346263238885407E-3</v>
      </c>
      <c r="I9" s="47">
        <f>SUM(I8)</f>
        <v>2.1346263238885407E-3</v>
      </c>
      <c r="K9" s="327">
        <f>SUM(K8:K8)</f>
        <v>1207245000</v>
      </c>
      <c r="L9" s="327">
        <f>SUM(L8:L8)</f>
        <v>1230714055.1944344</v>
      </c>
      <c r="M9" s="327">
        <f>SUM(M8:M8)</f>
        <v>23469055.194434404</v>
      </c>
      <c r="N9" s="329">
        <f>+M9/K9</f>
        <v>1.9440175933165518E-2</v>
      </c>
    </row>
    <row r="10" spans="1:14">
      <c r="A10" s="102">
        <v>4</v>
      </c>
      <c r="B10" s="73"/>
      <c r="C10" s="73"/>
      <c r="D10" s="313"/>
      <c r="E10" s="294"/>
      <c r="F10" s="39"/>
      <c r="G10" s="46"/>
      <c r="H10" s="202"/>
      <c r="I10" s="46"/>
      <c r="J10" s="314"/>
      <c r="K10" s="294"/>
      <c r="L10" s="294"/>
      <c r="M10" s="294"/>
      <c r="N10" s="315"/>
    </row>
    <row r="11" spans="1:14">
      <c r="A11" s="102">
        <v>5</v>
      </c>
      <c r="B11" s="73" t="s">
        <v>126</v>
      </c>
      <c r="C11" s="73"/>
      <c r="D11" s="313"/>
      <c r="E11" s="294"/>
      <c r="F11" s="39"/>
      <c r="G11" s="46"/>
      <c r="H11" s="202"/>
      <c r="I11" s="46"/>
      <c r="J11" s="314"/>
      <c r="K11" s="294"/>
      <c r="L11" s="294"/>
      <c r="M11" s="294"/>
      <c r="N11" s="315"/>
    </row>
    <row r="12" spans="1:14">
      <c r="A12" s="102">
        <v>6</v>
      </c>
      <c r="B12" s="330" t="s">
        <v>127</v>
      </c>
      <c r="C12" s="107" t="s">
        <v>108</v>
      </c>
      <c r="D12" s="317">
        <v>2698287000</v>
      </c>
      <c r="E12" s="318">
        <v>278370000</v>
      </c>
      <c r="F12" s="319"/>
      <c r="G12" s="320">
        <v>0</v>
      </c>
      <c r="H12" s="321">
        <v>2.1548217661402514E-3</v>
      </c>
      <c r="I12" s="322">
        <f t="shared" ref="I12:I15" si="0">+H12-G12</f>
        <v>2.1548217661402514E-3</v>
      </c>
      <c r="J12" s="314"/>
      <c r="K12" s="67">
        <f t="shared" ref="K12:K15" si="1">G12*$D12+E12</f>
        <v>278370000</v>
      </c>
      <c r="L12" s="67">
        <f t="shared" ref="L12:L15" si="2">H12*$D12+E12</f>
        <v>284184327.55889326</v>
      </c>
      <c r="M12" s="67">
        <f t="shared" ref="M12:M15" si="3">+L12-K12</f>
        <v>5814327.5588932633</v>
      </c>
      <c r="N12" s="331">
        <f t="shared" ref="N12:N16" si="4">+M12/K12</f>
        <v>2.0887048025625115E-2</v>
      </c>
    </row>
    <row r="13" spans="1:14">
      <c r="A13" s="102">
        <v>7</v>
      </c>
      <c r="B13" s="330" t="s">
        <v>128</v>
      </c>
      <c r="C13" s="107" t="s">
        <v>129</v>
      </c>
      <c r="D13" s="317">
        <v>2868466000</v>
      </c>
      <c r="E13" s="318">
        <v>268882000</v>
      </c>
      <c r="F13" s="319"/>
      <c r="G13" s="320">
        <v>0</v>
      </c>
      <c r="H13" s="321">
        <v>2.2235019667564571E-3</v>
      </c>
      <c r="I13" s="322">
        <f t="shared" si="0"/>
        <v>2.2235019667564571E-3</v>
      </c>
      <c r="J13" s="314"/>
      <c r="K13" s="67">
        <f t="shared" si="1"/>
        <v>268882000</v>
      </c>
      <c r="L13" s="67">
        <f t="shared" si="2"/>
        <v>275260039.79257405</v>
      </c>
      <c r="M13" s="67">
        <f t="shared" si="3"/>
        <v>6378039.792574048</v>
      </c>
      <c r="N13" s="331">
        <f t="shared" si="4"/>
        <v>2.3720590417261281E-2</v>
      </c>
    </row>
    <row r="14" spans="1:14">
      <c r="A14" s="102">
        <v>8</v>
      </c>
      <c r="B14" s="330" t="s">
        <v>130</v>
      </c>
      <c r="C14" s="107" t="s">
        <v>164</v>
      </c>
      <c r="D14" s="317">
        <v>1696095000</v>
      </c>
      <c r="E14" s="318">
        <v>146304000</v>
      </c>
      <c r="F14" s="319"/>
      <c r="G14" s="320">
        <v>0</v>
      </c>
      <c r="H14" s="321">
        <v>2.3267494191098565E-3</v>
      </c>
      <c r="I14" s="322">
        <f t="shared" si="0"/>
        <v>2.3267494191098565E-3</v>
      </c>
      <c r="J14" s="314"/>
      <c r="K14" s="67">
        <f t="shared" si="1"/>
        <v>146304000</v>
      </c>
      <c r="L14" s="67">
        <f t="shared" si="2"/>
        <v>150250388.05600512</v>
      </c>
      <c r="M14" s="67">
        <f t="shared" si="3"/>
        <v>3946388.0560051203</v>
      </c>
      <c r="N14" s="331">
        <f t="shared" si="4"/>
        <v>2.6973890365301838E-2</v>
      </c>
    </row>
    <row r="15" spans="1:14">
      <c r="A15" s="102">
        <v>9</v>
      </c>
      <c r="B15" s="316" t="s">
        <v>131</v>
      </c>
      <c r="C15" s="106">
        <v>29</v>
      </c>
      <c r="D15" s="317">
        <v>14609000</v>
      </c>
      <c r="E15" s="318">
        <v>1187000</v>
      </c>
      <c r="F15" s="319"/>
      <c r="G15" s="320">
        <v>0</v>
      </c>
      <c r="H15" s="321">
        <v>1.8524867967086855E-3</v>
      </c>
      <c r="I15" s="322">
        <f t="shared" si="0"/>
        <v>1.8524867967086855E-3</v>
      </c>
      <c r="J15" s="314"/>
      <c r="K15" s="67">
        <f t="shared" si="1"/>
        <v>1187000</v>
      </c>
      <c r="L15" s="67">
        <f t="shared" si="2"/>
        <v>1214062.9796131172</v>
      </c>
      <c r="M15" s="67">
        <f t="shared" si="3"/>
        <v>27062.979613117175</v>
      </c>
      <c r="N15" s="331">
        <f t="shared" si="4"/>
        <v>2.2799477348877148E-2</v>
      </c>
    </row>
    <row r="16" spans="1:14">
      <c r="A16" s="102">
        <v>10</v>
      </c>
      <c r="B16" s="2" t="s">
        <v>13</v>
      </c>
      <c r="C16" s="73"/>
      <c r="D16" s="326">
        <f>SUM(D12:D15)</f>
        <v>7277457000</v>
      </c>
      <c r="E16" s="327">
        <f>SUM(E12:E15)</f>
        <v>694743000</v>
      </c>
      <c r="F16" s="39"/>
      <c r="G16" s="47">
        <f t="shared" ref="G16:I16" si="5">SUMPRODUCT($D$12:$D$15,G12:G15)/SUM($D$12:$D$15)</f>
        <v>0</v>
      </c>
      <c r="H16" s="328">
        <f t="shared" si="5"/>
        <v>2.2213553975084371E-3</v>
      </c>
      <c r="I16" s="47">
        <f t="shared" si="5"/>
        <v>2.2213553975084371E-3</v>
      </c>
      <c r="K16" s="327">
        <f>SUM(K12:K15)</f>
        <v>694743000</v>
      </c>
      <c r="L16" s="327">
        <f>SUM(L12:L15)</f>
        <v>710908818.38708556</v>
      </c>
      <c r="M16" s="327">
        <f>SUM(M12:M15)</f>
        <v>16165818.38708555</v>
      </c>
      <c r="N16" s="329">
        <f t="shared" si="4"/>
        <v>2.3268774765755899E-2</v>
      </c>
    </row>
    <row r="17" spans="1:14">
      <c r="A17" s="102">
        <v>11</v>
      </c>
      <c r="B17" s="73"/>
      <c r="C17" s="73"/>
      <c r="D17" s="313"/>
      <c r="E17" s="294"/>
      <c r="F17" s="39"/>
      <c r="G17" s="46"/>
      <c r="H17" s="202"/>
      <c r="I17" s="46"/>
      <c r="J17" s="314"/>
      <c r="K17" s="294"/>
      <c r="L17" s="294"/>
      <c r="M17" s="294"/>
      <c r="N17" s="315"/>
    </row>
    <row r="18" spans="1:14">
      <c r="A18" s="102">
        <v>12</v>
      </c>
      <c r="B18" s="73" t="s">
        <v>132</v>
      </c>
      <c r="C18" s="73"/>
      <c r="D18" s="313"/>
      <c r="E18" s="294"/>
      <c r="F18" s="39"/>
      <c r="G18" s="46"/>
      <c r="H18" s="202"/>
      <c r="I18" s="46"/>
      <c r="J18" s="314"/>
      <c r="K18" s="294"/>
      <c r="L18" s="294"/>
      <c r="M18" s="294"/>
      <c r="N18" s="315"/>
    </row>
    <row r="19" spans="1:14">
      <c r="A19" s="102">
        <v>13</v>
      </c>
      <c r="B19" s="330" t="s">
        <v>133</v>
      </c>
      <c r="C19" s="107" t="s">
        <v>111</v>
      </c>
      <c r="D19" s="317">
        <v>1293580000</v>
      </c>
      <c r="E19" s="318">
        <v>109968000</v>
      </c>
      <c r="F19" s="319"/>
      <c r="G19" s="320">
        <v>0</v>
      </c>
      <c r="H19" s="321">
        <v>2.1293083890334291E-3</v>
      </c>
      <c r="I19" s="322">
        <f t="shared" ref="I19:I21" si="6">+H19-G19</f>
        <v>2.1293083890334291E-3</v>
      </c>
      <c r="J19" s="314"/>
      <c r="K19" s="67">
        <f t="shared" ref="K19:K21" si="7">G19*$D19+E19</f>
        <v>109968000</v>
      </c>
      <c r="L19" s="67">
        <f t="shared" ref="L19:L21" si="8">H19*$D19+E19</f>
        <v>112722430.74588586</v>
      </c>
      <c r="M19" s="67">
        <f t="shared" ref="M19:M21" si="9">+L19-K19</f>
        <v>2754430.7458858639</v>
      </c>
      <c r="N19" s="331">
        <f t="shared" ref="N19:N22" si="10">+M19/K19</f>
        <v>2.5047566072729011E-2</v>
      </c>
    </row>
    <row r="20" spans="1:14">
      <c r="A20" s="102">
        <v>14</v>
      </c>
      <c r="B20" s="316" t="s">
        <v>131</v>
      </c>
      <c r="C20" s="106">
        <v>35</v>
      </c>
      <c r="D20" s="317">
        <v>4335000</v>
      </c>
      <c r="E20" s="318">
        <v>275000</v>
      </c>
      <c r="F20" s="319"/>
      <c r="G20" s="320">
        <v>0</v>
      </c>
      <c r="H20" s="321">
        <v>1.5888462451272998E-3</v>
      </c>
      <c r="I20" s="322">
        <f t="shared" si="6"/>
        <v>1.5888462451272998E-3</v>
      </c>
      <c r="J20" s="314"/>
      <c r="K20" s="67">
        <f t="shared" si="7"/>
        <v>275000</v>
      </c>
      <c r="L20" s="67">
        <f t="shared" si="8"/>
        <v>281887.64847262687</v>
      </c>
      <c r="M20" s="67">
        <f t="shared" si="9"/>
        <v>6887.6484726268682</v>
      </c>
      <c r="N20" s="331">
        <f t="shared" si="10"/>
        <v>2.5045994445915883E-2</v>
      </c>
    </row>
    <row r="21" spans="1:14">
      <c r="A21" s="102">
        <v>15</v>
      </c>
      <c r="B21" s="316" t="s">
        <v>134</v>
      </c>
      <c r="C21" s="106">
        <v>43</v>
      </c>
      <c r="D21" s="317">
        <v>111480000</v>
      </c>
      <c r="E21" s="318">
        <v>10231000</v>
      </c>
      <c r="F21" s="319"/>
      <c r="G21" s="320">
        <v>0</v>
      </c>
      <c r="H21" s="321">
        <v>1.7002983018005256E-3</v>
      </c>
      <c r="I21" s="322">
        <f t="shared" si="6"/>
        <v>1.7002983018005256E-3</v>
      </c>
      <c r="J21" s="314"/>
      <c r="K21" s="67">
        <f t="shared" si="7"/>
        <v>10231000</v>
      </c>
      <c r="L21" s="67">
        <f t="shared" si="8"/>
        <v>10420549.254684722</v>
      </c>
      <c r="M21" s="67">
        <f t="shared" si="9"/>
        <v>189549.25468472205</v>
      </c>
      <c r="N21" s="331">
        <f t="shared" si="10"/>
        <v>1.8526952857464769E-2</v>
      </c>
    </row>
    <row r="22" spans="1:14">
      <c r="A22" s="102">
        <v>16</v>
      </c>
      <c r="B22" s="325" t="s">
        <v>14</v>
      </c>
      <c r="C22" s="73"/>
      <c r="D22" s="326">
        <f>SUM(D19:D21)</f>
        <v>1409395000</v>
      </c>
      <c r="E22" s="327">
        <f>SUM(E19:E21)</f>
        <v>120474000</v>
      </c>
      <c r="F22" s="39"/>
      <c r="G22" s="47">
        <f>SUMPRODUCT($D$19:$D$21,G19:G21)/SUM($D$19:$D$21)</f>
        <v>0</v>
      </c>
      <c r="H22" s="328">
        <f>SUMPRODUCT($D$19:$D$21,H19:H21)/SUM($D$19:$D$21)</f>
        <v>2.0937123014082015E-3</v>
      </c>
      <c r="I22" s="47">
        <f>SUMPRODUCT($D$19:$D$21,I19:I21)/SUM($D$19:$D$21)</f>
        <v>2.0937123014082015E-3</v>
      </c>
      <c r="J22" s="314"/>
      <c r="K22" s="327">
        <f>SUM(K19:K21)</f>
        <v>120474000</v>
      </c>
      <c r="L22" s="327">
        <f>SUM(L19:L21)</f>
        <v>123424867.6490432</v>
      </c>
      <c r="M22" s="327">
        <f>SUM(M19:M21)</f>
        <v>2950867.6490432126</v>
      </c>
      <c r="N22" s="329">
        <f t="shared" si="10"/>
        <v>2.4493813179965906E-2</v>
      </c>
    </row>
    <row r="23" spans="1:14">
      <c r="A23" s="102">
        <v>17</v>
      </c>
      <c r="B23" s="73"/>
      <c r="C23" s="73"/>
      <c r="D23" s="313"/>
      <c r="E23" s="294"/>
      <c r="F23" s="39"/>
      <c r="G23" s="46"/>
      <c r="H23" s="202"/>
      <c r="I23" s="46"/>
      <c r="J23" s="314"/>
      <c r="K23" s="294"/>
      <c r="L23" s="294"/>
      <c r="M23" s="294"/>
      <c r="N23" s="315"/>
    </row>
    <row r="24" spans="1:14">
      <c r="A24" s="102">
        <v>18</v>
      </c>
      <c r="B24" s="73" t="s">
        <v>135</v>
      </c>
      <c r="C24" s="73"/>
      <c r="D24" s="313"/>
      <c r="E24" s="294"/>
      <c r="F24" s="39"/>
      <c r="G24" s="46"/>
      <c r="H24" s="202"/>
      <c r="I24" s="46"/>
      <c r="J24" s="314"/>
      <c r="K24" s="294"/>
      <c r="L24" s="294"/>
      <c r="M24" s="294"/>
      <c r="N24" s="315"/>
    </row>
    <row r="25" spans="1:14">
      <c r="A25" s="102">
        <v>19</v>
      </c>
      <c r="B25" s="330" t="s">
        <v>136</v>
      </c>
      <c r="C25" s="106">
        <v>46</v>
      </c>
      <c r="D25" s="317">
        <v>65400000</v>
      </c>
      <c r="E25" s="318">
        <v>4522000</v>
      </c>
      <c r="F25" s="319"/>
      <c r="G25" s="320">
        <v>0</v>
      </c>
      <c r="H25" s="321">
        <v>1.8175352066230359E-3</v>
      </c>
      <c r="I25" s="322">
        <f t="shared" ref="I25:I26" si="11">+H25-G25</f>
        <v>1.8175352066230359E-3</v>
      </c>
      <c r="J25" s="314"/>
      <c r="K25" s="67">
        <f t="shared" ref="K25:K26" si="12">G25*$D25+E25</f>
        <v>4522000</v>
      </c>
      <c r="L25" s="67">
        <f t="shared" ref="L25:L26" si="13">H25*$D25+E25</f>
        <v>4640866.8025131468</v>
      </c>
      <c r="M25" s="67">
        <f t="shared" ref="M25:M26" si="14">+L25-K25</f>
        <v>118866.80251314677</v>
      </c>
      <c r="N25" s="331">
        <f t="shared" ref="N25:N27" si="15">+M25/K25</f>
        <v>2.6286334036520736E-2</v>
      </c>
    </row>
    <row r="26" spans="1:14">
      <c r="A26" s="102">
        <v>20</v>
      </c>
      <c r="B26" s="330" t="s">
        <v>133</v>
      </c>
      <c r="C26" s="106">
        <v>49</v>
      </c>
      <c r="D26" s="317">
        <v>518246000</v>
      </c>
      <c r="E26" s="318">
        <v>34834000</v>
      </c>
      <c r="F26" s="319"/>
      <c r="G26" s="320">
        <v>0</v>
      </c>
      <c r="H26" s="321">
        <v>1.9669639552832604E-3</v>
      </c>
      <c r="I26" s="322">
        <f t="shared" si="11"/>
        <v>1.9669639552832604E-3</v>
      </c>
      <c r="J26" s="314"/>
      <c r="K26" s="67">
        <f t="shared" si="12"/>
        <v>34834000</v>
      </c>
      <c r="L26" s="67">
        <f t="shared" si="13"/>
        <v>35853371.201969728</v>
      </c>
      <c r="M26" s="67">
        <f t="shared" si="14"/>
        <v>1019371.2019697279</v>
      </c>
      <c r="N26" s="331">
        <f t="shared" si="15"/>
        <v>2.9263684962098177E-2</v>
      </c>
    </row>
    <row r="27" spans="1:14">
      <c r="A27" s="102">
        <v>21</v>
      </c>
      <c r="B27" s="2" t="s">
        <v>15</v>
      </c>
      <c r="C27" s="73"/>
      <c r="D27" s="326">
        <f>SUM(D25:D26)</f>
        <v>583646000</v>
      </c>
      <c r="E27" s="327">
        <f>SUM(E25:E26)</f>
        <v>39356000</v>
      </c>
      <c r="F27" s="39"/>
      <c r="G27" s="47">
        <f t="shared" ref="G27:I27" si="16">SUMPRODUCT($D$25:$D$26,G25:G26)/SUM($D$25:$D$26)</f>
        <v>0</v>
      </c>
      <c r="H27" s="328">
        <f t="shared" si="16"/>
        <v>1.9502198327117381E-3</v>
      </c>
      <c r="I27" s="47">
        <f t="shared" si="16"/>
        <v>1.9502198327117381E-3</v>
      </c>
      <c r="J27" s="314"/>
      <c r="K27" s="327">
        <f>SUM(K25:K26)</f>
        <v>39356000</v>
      </c>
      <c r="L27" s="327">
        <f>SUM(L25:L26)</f>
        <v>40494238.004482873</v>
      </c>
      <c r="M27" s="327">
        <f>SUM(M25:M26)</f>
        <v>1138238.0044828746</v>
      </c>
      <c r="N27" s="329">
        <f t="shared" si="15"/>
        <v>2.8921587673617102E-2</v>
      </c>
    </row>
    <row r="28" spans="1:14">
      <c r="A28" s="102">
        <v>22</v>
      </c>
      <c r="B28" s="73"/>
      <c r="C28" s="73"/>
      <c r="D28" s="313"/>
      <c r="E28" s="294"/>
      <c r="F28" s="39"/>
      <c r="G28" s="46"/>
      <c r="H28" s="202"/>
      <c r="I28" s="46"/>
      <c r="J28" s="314"/>
      <c r="K28" s="294"/>
      <c r="L28" s="294"/>
      <c r="M28" s="294"/>
      <c r="N28" s="315"/>
    </row>
    <row r="29" spans="1:14">
      <c r="A29" s="102">
        <v>23</v>
      </c>
      <c r="B29" s="73" t="s">
        <v>137</v>
      </c>
      <c r="C29" s="106" t="s">
        <v>16</v>
      </c>
      <c r="D29" s="332">
        <v>63910000</v>
      </c>
      <c r="E29" s="333">
        <v>15824000</v>
      </c>
      <c r="F29" s="319"/>
      <c r="G29" s="334">
        <v>0</v>
      </c>
      <c r="H29" s="335">
        <v>2.1304423544318677E-3</v>
      </c>
      <c r="I29" s="336">
        <f t="shared" ref="I29:I31" si="17">+H29-G29</f>
        <v>2.1304423544318677E-3</v>
      </c>
      <c r="J29" s="314"/>
      <c r="K29" s="327">
        <f>G29*$D29+E29</f>
        <v>15824000</v>
      </c>
      <c r="L29" s="327">
        <f>H29*$D29+E29</f>
        <v>15960156.570871741</v>
      </c>
      <c r="M29" s="327">
        <f>+L29-K29</f>
        <v>136156.57087174058</v>
      </c>
      <c r="N29" s="329">
        <f>+M29/K29</f>
        <v>8.6044344585275902E-3</v>
      </c>
    </row>
    <row r="30" spans="1:14">
      <c r="A30" s="102">
        <v>24</v>
      </c>
      <c r="B30" s="73"/>
      <c r="C30" s="106"/>
      <c r="D30" s="313"/>
      <c r="E30" s="294"/>
      <c r="F30" s="39"/>
      <c r="G30" s="46"/>
      <c r="H30" s="202"/>
      <c r="I30" s="46"/>
      <c r="J30" s="314"/>
      <c r="K30" s="294"/>
      <c r="L30" s="294"/>
      <c r="M30" s="294"/>
      <c r="N30" s="315"/>
    </row>
    <row r="31" spans="1:14">
      <c r="A31" s="102">
        <v>25</v>
      </c>
      <c r="B31" s="325" t="s">
        <v>301</v>
      </c>
      <c r="C31" s="106">
        <v>5</v>
      </c>
      <c r="D31" s="332">
        <v>7428000</v>
      </c>
      <c r="E31" s="333">
        <v>717000</v>
      </c>
      <c r="F31" s="319"/>
      <c r="G31" s="334">
        <v>0</v>
      </c>
      <c r="H31" s="335">
        <v>2.0375333241719703E-3</v>
      </c>
      <c r="I31" s="336">
        <f t="shared" si="17"/>
        <v>2.0375333241719703E-3</v>
      </c>
      <c r="J31" s="314"/>
      <c r="K31" s="327">
        <f>G31*$D31+E31</f>
        <v>717000</v>
      </c>
      <c r="L31" s="327">
        <f>H31*$D31+E31</f>
        <v>732134.79753194936</v>
      </c>
      <c r="M31" s="327">
        <f>+L31-K31</f>
        <v>15134.797531949356</v>
      </c>
      <c r="N31" s="329">
        <f>+M31/K31</f>
        <v>2.1108504228660192E-2</v>
      </c>
    </row>
    <row r="32" spans="1:14">
      <c r="A32" s="102">
        <v>26</v>
      </c>
      <c r="B32" s="73"/>
      <c r="C32" s="73"/>
      <c r="D32" s="313"/>
      <c r="E32" s="294"/>
      <c r="F32" s="39"/>
      <c r="G32" s="46"/>
      <c r="H32" s="202"/>
      <c r="I32" s="46"/>
      <c r="J32" s="314"/>
      <c r="K32" s="294"/>
      <c r="L32" s="294"/>
      <c r="M32" s="294"/>
      <c r="N32" s="315"/>
    </row>
    <row r="33" spans="1:14" ht="13.8" thickBot="1">
      <c r="A33" s="102">
        <v>27</v>
      </c>
      <c r="B33" s="2" t="s">
        <v>139</v>
      </c>
      <c r="C33" s="73"/>
      <c r="D33" s="337">
        <f>SUM(D9,D16,D22,D27,D29,D31)</f>
        <v>20336292000</v>
      </c>
      <c r="E33" s="273">
        <f>SUM(E9,E16,E22,E27,E29,E31)</f>
        <v>2078359000</v>
      </c>
      <c r="F33" s="338"/>
      <c r="G33" s="304">
        <f>(+G9*$D$9+G16*$D$16+G22*$D$22+G27*$D$27+G29*$D$29+G31*$D$31)/$D$33</f>
        <v>0</v>
      </c>
      <c r="H33" s="305">
        <f>(+H9*$D$9+H16*$D$16+H22*$D$22+H27*$D$27+H29*$D$29+H31*$D$31)/$D$33</f>
        <v>2.1574862616768899E-3</v>
      </c>
      <c r="I33" s="304">
        <f>(+I9*$D$9+I16*$D$16+I22*$D$22+I27*$D$27+I29*$D$29+I31*$D$31)/$D$33</f>
        <v>2.1574862616768899E-3</v>
      </c>
      <c r="J33" s="339"/>
      <c r="K33" s="273">
        <f>SUM(K9,K16,K22,K27,K29,K31)</f>
        <v>2078359000</v>
      </c>
      <c r="L33" s="273">
        <f t="shared" ref="L33:M33" si="18">SUM(L9,L16,L22,L27,L29,L31)</f>
        <v>2122234270.6034498</v>
      </c>
      <c r="M33" s="273">
        <f t="shared" si="18"/>
        <v>43875270.603449725</v>
      </c>
      <c r="N33" s="340">
        <f t="shared" ref="N33" si="19">+M33/K33</f>
        <v>2.1110535092084538E-2</v>
      </c>
    </row>
    <row r="34" spans="1:14" ht="13.8" thickTop="1">
      <c r="A34" s="102"/>
      <c r="D34" s="73"/>
      <c r="E34" s="73"/>
      <c r="J34" s="314"/>
      <c r="K34" s="341"/>
      <c r="L34" s="341"/>
    </row>
    <row r="35" spans="1:14">
      <c r="A35" s="102"/>
      <c r="B35" s="2" t="s">
        <v>313</v>
      </c>
      <c r="D35" s="73"/>
      <c r="E35" s="73"/>
      <c r="J35" s="314"/>
      <c r="K35" s="342"/>
      <c r="L35" s="342"/>
    </row>
  </sheetData>
  <mergeCells count="3">
    <mergeCell ref="A1:N1"/>
    <mergeCell ref="A2:N2"/>
    <mergeCell ref="A3:N3"/>
  </mergeCells>
  <pageMargins left="0.7" right="0.7" top="0.75" bottom="0.75" header="0.3" footer="0.3"/>
  <customProperties>
    <customPr name="_pios_id" r:id="rId1"/>
  </customPropertie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1"/>
  <sheetViews>
    <sheetView zoomScaleNormal="100" workbookViewId="0">
      <pane xSplit="3" ySplit="6" topLeftCell="G29" activePane="bottomRight" state="frozen"/>
      <selection activeCell="D8" sqref="D8"/>
      <selection pane="topRight" activeCell="D8" sqref="D8"/>
      <selection pane="bottomLeft" activeCell="D8" sqref="D8"/>
      <selection pane="bottomRight" activeCell="G30" sqref="G30"/>
    </sheetView>
  </sheetViews>
  <sheetFormatPr defaultColWidth="9.109375" defaultRowHeight="13.2"/>
  <cols>
    <col min="1" max="1" width="7.44140625" style="110" bestFit="1" customWidth="1"/>
    <col min="2" max="2" width="26.44140625" style="110" bestFit="1" customWidth="1"/>
    <col min="3" max="3" width="10.88671875" style="110" bestFit="1" customWidth="1"/>
    <col min="4" max="5" width="15" style="110" bestFit="1" customWidth="1"/>
    <col min="6" max="6" width="11.33203125" style="110" bestFit="1" customWidth="1"/>
    <col min="7" max="7" width="12.88671875" style="110" bestFit="1" customWidth="1"/>
    <col min="8" max="8" width="16.109375" style="110" bestFit="1" customWidth="1"/>
    <col min="9" max="9" width="15" style="110" bestFit="1" customWidth="1"/>
    <col min="10" max="10" width="11.33203125" style="110" bestFit="1" customWidth="1"/>
    <col min="11" max="11" width="8.88671875" style="110" bestFit="1" customWidth="1"/>
    <col min="12" max="16384" width="9.109375" style="110"/>
  </cols>
  <sheetData>
    <row r="1" spans="1:11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>
      <c r="A2" s="35" t="s">
        <v>149</v>
      </c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1:11">
      <c r="A3" s="51"/>
      <c r="B3" s="52"/>
      <c r="C3" s="74"/>
      <c r="D3" s="53"/>
      <c r="E3" s="53"/>
      <c r="F3" s="53"/>
      <c r="G3" s="52"/>
      <c r="H3" s="52"/>
      <c r="I3" s="53"/>
      <c r="J3" s="52"/>
      <c r="K3" s="54"/>
    </row>
    <row r="4" spans="1:11">
      <c r="A4" s="38"/>
      <c r="B4" s="4"/>
      <c r="C4" s="4"/>
      <c r="D4" s="55"/>
      <c r="E4" s="55"/>
      <c r="F4" s="55"/>
      <c r="G4" s="39"/>
      <c r="H4" s="55"/>
      <c r="I4" s="55"/>
      <c r="J4" s="39"/>
      <c r="K4" s="56"/>
    </row>
    <row r="5" spans="1:11" ht="79.8" thickBot="1">
      <c r="A5" s="256" t="s">
        <v>2</v>
      </c>
      <c r="B5" s="257" t="s">
        <v>70</v>
      </c>
      <c r="C5" s="257" t="s">
        <v>102</v>
      </c>
      <c r="D5" s="258" t="s">
        <v>536</v>
      </c>
      <c r="E5" s="259" t="s">
        <v>537</v>
      </c>
      <c r="F5" s="259" t="s">
        <v>542</v>
      </c>
      <c r="G5" s="260" t="s">
        <v>543</v>
      </c>
      <c r="H5" s="259" t="s">
        <v>544</v>
      </c>
      <c r="I5" s="259" t="s">
        <v>545</v>
      </c>
      <c r="J5" s="257" t="s">
        <v>150</v>
      </c>
      <c r="K5" s="261" t="s">
        <v>151</v>
      </c>
    </row>
    <row r="6" spans="1:11" ht="26.4">
      <c r="A6" s="40"/>
      <c r="B6" s="69"/>
      <c r="C6" s="69"/>
      <c r="D6" s="41" t="s">
        <v>73</v>
      </c>
      <c r="E6" s="41" t="s">
        <v>74</v>
      </c>
      <c r="F6" s="42" t="s">
        <v>75</v>
      </c>
      <c r="G6" s="307" t="s">
        <v>76</v>
      </c>
      <c r="H6" s="41" t="s">
        <v>152</v>
      </c>
      <c r="I6" s="41" t="s">
        <v>153</v>
      </c>
      <c r="J6" s="69" t="s">
        <v>79</v>
      </c>
      <c r="K6" s="43" t="s">
        <v>80</v>
      </c>
    </row>
    <row r="7" spans="1:11">
      <c r="A7" s="51"/>
      <c r="B7" s="52"/>
      <c r="C7" s="74"/>
      <c r="D7" s="53"/>
      <c r="E7" s="53"/>
      <c r="F7" s="53"/>
      <c r="G7" s="302"/>
      <c r="H7" s="52"/>
      <c r="I7" s="53"/>
      <c r="J7" s="52"/>
      <c r="K7" s="54"/>
    </row>
    <row r="8" spans="1:11">
      <c r="A8" s="51">
        <v>1</v>
      </c>
      <c r="B8" s="52" t="s">
        <v>11</v>
      </c>
      <c r="C8" s="74">
        <v>7</v>
      </c>
      <c r="D8" s="266">
        <v>10857353000</v>
      </c>
      <c r="E8" s="269">
        <v>1210080000</v>
      </c>
      <c r="F8" s="81">
        <v>-1.4400000000000001E-3</v>
      </c>
      <c r="G8" s="303">
        <v>-1.3910000000000001E-3</v>
      </c>
      <c r="H8" s="67">
        <v>1194445411.6800001</v>
      </c>
      <c r="I8" s="67">
        <v>1194977421.977</v>
      </c>
      <c r="J8" s="67">
        <v>532010.29699993134</v>
      </c>
      <c r="K8" s="68">
        <v>4.4540360890302493E-4</v>
      </c>
    </row>
    <row r="9" spans="1:11">
      <c r="A9" s="51">
        <v>2</v>
      </c>
      <c r="B9" s="52"/>
      <c r="C9" s="74"/>
      <c r="D9" s="53"/>
      <c r="E9" s="67"/>
      <c r="F9" s="67"/>
      <c r="G9" s="308"/>
      <c r="H9" s="58"/>
      <c r="I9" s="67"/>
      <c r="J9" s="67"/>
      <c r="K9" s="68"/>
    </row>
    <row r="10" spans="1:11">
      <c r="A10" s="51">
        <v>3</v>
      </c>
      <c r="B10" s="59" t="s">
        <v>81</v>
      </c>
      <c r="C10" s="74" t="s">
        <v>82</v>
      </c>
      <c r="D10" s="266">
        <v>2628116000</v>
      </c>
      <c r="E10" s="269">
        <v>304249000</v>
      </c>
      <c r="F10" s="81">
        <v>-1.451E-3</v>
      </c>
      <c r="G10" s="303">
        <v>-1.423E-3</v>
      </c>
      <c r="H10" s="67">
        <v>300435603.68400002</v>
      </c>
      <c r="I10" s="67">
        <v>300509190.93199998</v>
      </c>
      <c r="J10" s="67">
        <v>73587.247999966145</v>
      </c>
      <c r="K10" s="68">
        <v>2.4493517778061239E-4</v>
      </c>
    </row>
    <row r="11" spans="1:11">
      <c r="A11" s="51">
        <v>4</v>
      </c>
      <c r="B11" s="60" t="s">
        <v>83</v>
      </c>
      <c r="C11" s="31" t="s">
        <v>84</v>
      </c>
      <c r="D11" s="266">
        <v>2836808000</v>
      </c>
      <c r="E11" s="269">
        <v>300376000</v>
      </c>
      <c r="F11" s="81">
        <v>-1.498E-3</v>
      </c>
      <c r="G11" s="303">
        <v>-1.446E-3</v>
      </c>
      <c r="H11" s="67">
        <v>296126461.616</v>
      </c>
      <c r="I11" s="67">
        <v>296273975.63200003</v>
      </c>
      <c r="J11" s="67">
        <v>147514.01600003242</v>
      </c>
      <c r="K11" s="68">
        <v>4.9814533694499835E-4</v>
      </c>
    </row>
    <row r="12" spans="1:11">
      <c r="A12" s="51">
        <v>5</v>
      </c>
      <c r="B12" s="60" t="s">
        <v>85</v>
      </c>
      <c r="C12" s="74" t="s">
        <v>86</v>
      </c>
      <c r="D12" s="266">
        <v>1789712000</v>
      </c>
      <c r="E12" s="269">
        <v>176857000</v>
      </c>
      <c r="F12" s="81">
        <v>-1.5690000000000001E-3</v>
      </c>
      <c r="G12" s="303">
        <v>-1.4189999999999999E-3</v>
      </c>
      <c r="H12" s="67">
        <v>174048941.87200001</v>
      </c>
      <c r="I12" s="67">
        <v>174317398.67199999</v>
      </c>
      <c r="J12" s="67">
        <v>268456.79999998212</v>
      </c>
      <c r="K12" s="68">
        <v>1.542421327659734E-3</v>
      </c>
    </row>
    <row r="13" spans="1:11">
      <c r="A13" s="51">
        <v>6</v>
      </c>
      <c r="B13" s="60" t="s">
        <v>87</v>
      </c>
      <c r="C13" s="74">
        <v>29</v>
      </c>
      <c r="D13" s="266">
        <v>14336000</v>
      </c>
      <c r="E13" s="269">
        <v>1237000</v>
      </c>
      <c r="F13" s="81">
        <v>-1.2459999999999999E-3</v>
      </c>
      <c r="G13" s="303">
        <v>-1.2149999999999999E-3</v>
      </c>
      <c r="H13" s="67">
        <v>1219137.344</v>
      </c>
      <c r="I13" s="67">
        <v>1219581.76</v>
      </c>
      <c r="J13" s="67">
        <v>444.41599999996834</v>
      </c>
      <c r="K13" s="68">
        <v>3.6453316944736977E-4</v>
      </c>
    </row>
    <row r="14" spans="1:11">
      <c r="A14" s="51">
        <v>7</v>
      </c>
      <c r="B14" s="52"/>
      <c r="C14" s="74"/>
      <c r="D14" s="53"/>
      <c r="E14" s="67"/>
      <c r="F14" s="58"/>
      <c r="G14" s="309"/>
      <c r="H14" s="58"/>
      <c r="I14" s="67"/>
      <c r="J14" s="67"/>
      <c r="K14" s="68"/>
    </row>
    <row r="15" spans="1:11">
      <c r="A15" s="51">
        <v>8</v>
      </c>
      <c r="B15" s="52" t="s">
        <v>88</v>
      </c>
      <c r="C15" s="74"/>
      <c r="D15" s="53">
        <v>7268972000</v>
      </c>
      <c r="E15" s="67">
        <v>782719000</v>
      </c>
      <c r="F15" s="57">
        <v>-1.4979911167631406E-3</v>
      </c>
      <c r="G15" s="201">
        <v>-1.4305809685331021E-3</v>
      </c>
      <c r="H15" s="67">
        <v>771830144.51599991</v>
      </c>
      <c r="I15" s="67">
        <v>772320146.99600005</v>
      </c>
      <c r="J15" s="67">
        <v>490002.47999998066</v>
      </c>
      <c r="K15" s="68">
        <v>6.3485791981764583E-4</v>
      </c>
    </row>
    <row r="16" spans="1:11">
      <c r="A16" s="51">
        <v>9</v>
      </c>
      <c r="B16" s="52"/>
      <c r="C16" s="74"/>
      <c r="D16" s="53"/>
      <c r="E16" s="67"/>
      <c r="F16" s="58"/>
      <c r="G16" s="309"/>
      <c r="H16" s="58"/>
      <c r="I16" s="67"/>
      <c r="J16" s="67"/>
      <c r="K16" s="68"/>
    </row>
    <row r="17" spans="1:11">
      <c r="A17" s="51">
        <v>10</v>
      </c>
      <c r="B17" s="60" t="s">
        <v>89</v>
      </c>
      <c r="C17" s="74" t="s">
        <v>90</v>
      </c>
      <c r="D17" s="266">
        <v>1318295000</v>
      </c>
      <c r="E17" s="269">
        <v>127996000</v>
      </c>
      <c r="F17" s="81">
        <v>-1.4350000000000001E-3</v>
      </c>
      <c r="G17" s="303">
        <v>-1.3439999999999999E-3</v>
      </c>
      <c r="H17" s="67">
        <v>126104246.675</v>
      </c>
      <c r="I17" s="67">
        <v>126224211.52</v>
      </c>
      <c r="J17" s="67">
        <v>119964.84499999881</v>
      </c>
      <c r="K17" s="68">
        <v>9.5131486974563313E-4</v>
      </c>
    </row>
    <row r="18" spans="1:11">
      <c r="A18" s="51">
        <v>11</v>
      </c>
      <c r="B18" s="60" t="s">
        <v>91</v>
      </c>
      <c r="C18" s="74">
        <v>35</v>
      </c>
      <c r="D18" s="266">
        <v>4565000</v>
      </c>
      <c r="E18" s="269">
        <v>298000</v>
      </c>
      <c r="F18" s="81">
        <v>-1.0690000000000001E-3</v>
      </c>
      <c r="G18" s="303">
        <v>-9.7099999999999997E-4</v>
      </c>
      <c r="H18" s="67">
        <v>293120.01500000001</v>
      </c>
      <c r="I18" s="67">
        <v>293567.38500000001</v>
      </c>
      <c r="J18" s="67">
        <v>447.36999999999534</v>
      </c>
      <c r="K18" s="68">
        <v>1.5262349109800479E-3</v>
      </c>
    </row>
    <row r="19" spans="1:11">
      <c r="A19" s="51">
        <v>12</v>
      </c>
      <c r="B19" s="60" t="s">
        <v>92</v>
      </c>
      <c r="C19" s="74">
        <v>43</v>
      </c>
      <c r="D19" s="266">
        <v>114881000</v>
      </c>
      <c r="E19" s="269">
        <v>11661000</v>
      </c>
      <c r="F19" s="81">
        <v>-1.1460000000000001E-3</v>
      </c>
      <c r="G19" s="303">
        <v>-1.062E-3</v>
      </c>
      <c r="H19" s="67">
        <v>11529346.374</v>
      </c>
      <c r="I19" s="67">
        <v>11538996.378</v>
      </c>
      <c r="J19" s="67">
        <v>9650.0040000006557</v>
      </c>
      <c r="K19" s="68">
        <v>8.36994889993289E-4</v>
      </c>
    </row>
    <row r="20" spans="1:11">
      <c r="A20" s="51">
        <v>13</v>
      </c>
      <c r="B20" s="75"/>
      <c r="C20" s="74"/>
      <c r="D20" s="53"/>
      <c r="E20" s="67"/>
      <c r="F20" s="58"/>
      <c r="G20" s="309"/>
      <c r="H20" s="58"/>
      <c r="I20" s="67"/>
      <c r="J20" s="67"/>
      <c r="K20" s="68"/>
    </row>
    <row r="21" spans="1:11">
      <c r="A21" s="51">
        <v>14</v>
      </c>
      <c r="B21" s="75" t="s">
        <v>93</v>
      </c>
      <c r="C21" s="74"/>
      <c r="D21" s="53">
        <v>1437741000</v>
      </c>
      <c r="E21" s="67">
        <v>139955000</v>
      </c>
      <c r="F21" s="57">
        <v>-1.4107457017640871E-3</v>
      </c>
      <c r="G21" s="201">
        <v>-1.3202828026744734E-3</v>
      </c>
      <c r="H21" s="67">
        <v>137926713.06400001</v>
      </c>
      <c r="I21" s="67">
        <v>138056775.28299999</v>
      </c>
      <c r="J21" s="67">
        <v>130062.21899999946</v>
      </c>
      <c r="K21" s="68">
        <v>9.4298063160287661E-4</v>
      </c>
    </row>
    <row r="22" spans="1:11">
      <c r="A22" s="51">
        <v>15</v>
      </c>
      <c r="B22" s="75"/>
      <c r="C22" s="74"/>
      <c r="D22" s="53"/>
      <c r="E22" s="67"/>
      <c r="F22" s="58"/>
      <c r="G22" s="309"/>
      <c r="H22" s="58"/>
      <c r="I22" s="67"/>
      <c r="J22" s="67"/>
      <c r="K22" s="68"/>
    </row>
    <row r="23" spans="1:11">
      <c r="A23" s="51">
        <v>18</v>
      </c>
      <c r="B23" s="60" t="s">
        <v>94</v>
      </c>
      <c r="C23" s="74">
        <v>46</v>
      </c>
      <c r="D23" s="266">
        <v>78958000</v>
      </c>
      <c r="E23" s="269">
        <v>6036000</v>
      </c>
      <c r="F23" s="81">
        <v>-1.225E-3</v>
      </c>
      <c r="G23" s="303">
        <v>-9.6900000000000003E-4</v>
      </c>
      <c r="H23" s="67">
        <v>5939276.4500000002</v>
      </c>
      <c r="I23" s="67">
        <v>5959489.6979999999</v>
      </c>
      <c r="J23" s="67">
        <v>20213.247999999672</v>
      </c>
      <c r="K23" s="68">
        <v>3.403318261098904E-3</v>
      </c>
    </row>
    <row r="24" spans="1:11">
      <c r="A24" s="51">
        <v>19</v>
      </c>
      <c r="B24" s="59" t="s">
        <v>95</v>
      </c>
      <c r="C24" s="74">
        <v>49</v>
      </c>
      <c r="D24" s="266">
        <v>504163000</v>
      </c>
      <c r="E24" s="269">
        <v>37909000</v>
      </c>
      <c r="F24" s="81">
        <v>-1.3259999999999999E-3</v>
      </c>
      <c r="G24" s="303">
        <v>-1.3010000000000001E-3</v>
      </c>
      <c r="H24" s="67">
        <v>37240479.862000003</v>
      </c>
      <c r="I24" s="67">
        <v>37253083.936999999</v>
      </c>
      <c r="J24" s="67">
        <v>12604.07499999553</v>
      </c>
      <c r="K24" s="68">
        <v>3.3845092884682895E-4</v>
      </c>
    </row>
    <row r="25" spans="1:11">
      <c r="A25" s="51">
        <v>20</v>
      </c>
      <c r="B25" s="52"/>
      <c r="C25" s="74"/>
      <c r="D25" s="53"/>
      <c r="E25" s="67"/>
      <c r="F25" s="58"/>
      <c r="G25" s="309"/>
      <c r="H25" s="58"/>
      <c r="I25" s="67"/>
      <c r="J25" s="67"/>
      <c r="K25" s="68"/>
    </row>
    <row r="26" spans="1:11">
      <c r="A26" s="51">
        <v>21</v>
      </c>
      <c r="B26" s="61" t="s">
        <v>96</v>
      </c>
      <c r="C26" s="74"/>
      <c r="D26" s="53">
        <v>583121000</v>
      </c>
      <c r="E26" s="67">
        <v>43945000</v>
      </c>
      <c r="F26" s="57">
        <v>-1.3123240082247079E-3</v>
      </c>
      <c r="G26" s="201">
        <v>-1.2560452547584464E-3</v>
      </c>
      <c r="H26" s="53">
        <v>43179756.312000006</v>
      </c>
      <c r="I26" s="53">
        <v>43212573.634999998</v>
      </c>
      <c r="J26" s="67">
        <v>32817.322999995202</v>
      </c>
      <c r="K26" s="68">
        <v>7.6001640127077331E-4</v>
      </c>
    </row>
    <row r="27" spans="1:11">
      <c r="A27" s="51">
        <v>22</v>
      </c>
      <c r="B27" s="52"/>
      <c r="C27" s="74"/>
      <c r="D27" s="53"/>
      <c r="E27" s="67"/>
      <c r="F27" s="58"/>
      <c r="G27" s="309"/>
      <c r="H27" s="58"/>
      <c r="I27" s="67"/>
      <c r="J27" s="67"/>
      <c r="K27" s="68"/>
    </row>
    <row r="28" spans="1:11">
      <c r="A28" s="51">
        <v>23</v>
      </c>
      <c r="B28" s="52" t="s">
        <v>97</v>
      </c>
      <c r="C28" s="74" t="s">
        <v>16</v>
      </c>
      <c r="D28" s="266">
        <v>64560000</v>
      </c>
      <c r="E28" s="269">
        <v>16455000</v>
      </c>
      <c r="F28" s="81">
        <v>-1.438E-3</v>
      </c>
      <c r="G28" s="303">
        <v>-1.3569999999999999E-3</v>
      </c>
      <c r="H28" s="67">
        <v>16362162.720000001</v>
      </c>
      <c r="I28" s="67">
        <v>16367392.08</v>
      </c>
      <c r="J28" s="67">
        <v>5229.359999999404</v>
      </c>
      <c r="K28" s="68">
        <v>3.1960078196798447E-4</v>
      </c>
    </row>
    <row r="29" spans="1:11">
      <c r="A29" s="51">
        <v>24</v>
      </c>
      <c r="B29" s="52"/>
      <c r="C29" s="74"/>
      <c r="D29" s="53"/>
      <c r="E29" s="67"/>
      <c r="F29" s="58"/>
      <c r="G29" s="309"/>
      <c r="H29" s="52"/>
      <c r="I29" s="67"/>
      <c r="J29" s="67"/>
      <c r="K29" s="68"/>
    </row>
    <row r="30" spans="1:11">
      <c r="A30" s="51">
        <v>25</v>
      </c>
      <c r="B30" s="44" t="s">
        <v>154</v>
      </c>
      <c r="C30" s="31" t="s">
        <v>155</v>
      </c>
      <c r="D30" s="266">
        <v>7520000</v>
      </c>
      <c r="E30" s="269">
        <v>696000</v>
      </c>
      <c r="F30" s="81">
        <v>-1.3699999999999999E-3</v>
      </c>
      <c r="G30" s="303">
        <v>-1.2949999999999999E-3</v>
      </c>
      <c r="H30" s="67">
        <v>685697.6</v>
      </c>
      <c r="I30" s="67">
        <v>686261.6</v>
      </c>
      <c r="J30" s="67">
        <v>564</v>
      </c>
      <c r="K30" s="68">
        <v>8.2252001465368992E-4</v>
      </c>
    </row>
    <row r="31" spans="1:11">
      <c r="A31" s="51">
        <v>26</v>
      </c>
      <c r="B31" s="44"/>
      <c r="C31" s="31"/>
      <c r="D31" s="53"/>
      <c r="E31" s="67"/>
      <c r="F31" s="58"/>
      <c r="G31" s="309"/>
      <c r="H31" s="58"/>
      <c r="I31" s="67"/>
      <c r="J31" s="67"/>
      <c r="K31" s="68"/>
    </row>
    <row r="32" spans="1:11">
      <c r="A32" s="51">
        <v>27</v>
      </c>
      <c r="B32" s="60" t="s">
        <v>98</v>
      </c>
      <c r="C32" s="74"/>
      <c r="D32" s="53">
        <v>20219267000</v>
      </c>
      <c r="E32" s="67">
        <v>2193850000</v>
      </c>
      <c r="F32" s="57">
        <v>-1.4550534452114411E-3</v>
      </c>
      <c r="G32" s="201">
        <v>-1.3960679818882181E-3</v>
      </c>
      <c r="H32" s="67">
        <v>2164429885.8919997</v>
      </c>
      <c r="I32" s="67">
        <v>2165620571.5710001</v>
      </c>
      <c r="J32" s="67">
        <v>1190685.6789999059</v>
      </c>
      <c r="K32" s="68">
        <v>5.5011515353808904E-4</v>
      </c>
    </row>
    <row r="33" spans="1:11">
      <c r="A33" s="51">
        <v>28</v>
      </c>
      <c r="B33" s="61"/>
      <c r="C33" s="74"/>
      <c r="D33" s="53"/>
      <c r="E33" s="67"/>
      <c r="F33" s="58"/>
      <c r="G33" s="309"/>
      <c r="H33" s="58"/>
      <c r="I33" s="67"/>
      <c r="J33" s="67"/>
      <c r="K33" s="68"/>
    </row>
    <row r="34" spans="1:11">
      <c r="A34" s="51">
        <v>29</v>
      </c>
      <c r="B34" s="61" t="s">
        <v>156</v>
      </c>
      <c r="C34" s="74"/>
      <c r="D34" s="53"/>
      <c r="E34" s="67"/>
      <c r="F34" s="67"/>
      <c r="G34" s="309"/>
      <c r="H34" s="58"/>
      <c r="I34" s="67"/>
      <c r="J34" s="67"/>
      <c r="K34" s="68"/>
    </row>
    <row r="35" spans="1:11">
      <c r="A35" s="51">
        <v>30</v>
      </c>
      <c r="B35" s="60" t="s">
        <v>338</v>
      </c>
      <c r="C35" s="31" t="s">
        <v>281</v>
      </c>
      <c r="D35" s="266">
        <v>2190147000</v>
      </c>
      <c r="E35" s="269">
        <v>16914000</v>
      </c>
      <c r="F35" s="67"/>
      <c r="G35" s="309"/>
      <c r="H35" s="67">
        <v>16914000</v>
      </c>
      <c r="I35" s="67">
        <v>16914000</v>
      </c>
      <c r="J35" s="67">
        <v>0</v>
      </c>
      <c r="K35" s="68"/>
    </row>
    <row r="36" spans="1:11">
      <c r="A36" s="51">
        <v>31</v>
      </c>
      <c r="B36" s="61"/>
      <c r="C36" s="74"/>
      <c r="D36" s="53"/>
      <c r="E36" s="67"/>
      <c r="F36" s="67"/>
      <c r="G36" s="309"/>
      <c r="H36" s="58"/>
      <c r="I36" s="67"/>
      <c r="J36" s="67"/>
      <c r="K36" s="68"/>
    </row>
    <row r="37" spans="1:11" ht="13.8" thickBot="1">
      <c r="A37" s="51">
        <v>32</v>
      </c>
      <c r="B37" s="61" t="s">
        <v>18</v>
      </c>
      <c r="C37" s="74"/>
      <c r="D37" s="272">
        <v>22409414000</v>
      </c>
      <c r="E37" s="273">
        <v>2210764000</v>
      </c>
      <c r="F37" s="273"/>
      <c r="G37" s="274"/>
      <c r="H37" s="273">
        <v>2181343885.8919997</v>
      </c>
      <c r="I37" s="273">
        <v>2182534571.5710001</v>
      </c>
      <c r="J37" s="273">
        <v>1190685.6789999059</v>
      </c>
      <c r="K37" s="68"/>
    </row>
    <row r="38" spans="1:11" ht="14.4" thickTop="1" thickBot="1">
      <c r="A38" s="45"/>
      <c r="B38" s="63"/>
      <c r="C38" s="64"/>
      <c r="D38" s="65"/>
      <c r="E38" s="50"/>
      <c r="F38" s="50"/>
      <c r="G38" s="275"/>
      <c r="H38" s="63"/>
      <c r="I38" s="65"/>
      <c r="J38" s="63"/>
      <c r="K38" s="66"/>
    </row>
    <row r="40" spans="1:11">
      <c r="I40" s="276">
        <f>+I32-E32</f>
        <v>-28229428.428999901</v>
      </c>
    </row>
    <row r="41" spans="1:11">
      <c r="G41" s="277"/>
    </row>
  </sheetData>
  <pageMargins left="0.7" right="0.7" top="0.75" bottom="0.75" header="0.3" footer="0.3"/>
  <pageSetup scale="59" orientation="landscape" r:id="rId1"/>
  <customProperties>
    <customPr name="_pios_id" r:id="rId2"/>
  </customProperties>
  <drawing r:id="rId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36"/>
  <sheetViews>
    <sheetView zoomScaleNormal="100" zoomScaleSheetLayoutView="100" workbookViewId="0">
      <pane xSplit="3" ySplit="5" topLeftCell="G17" activePane="bottomRight" state="frozen"/>
      <selection activeCell="D8" sqref="D8"/>
      <selection pane="topRight" activeCell="D8" sqref="D8"/>
      <selection pane="bottomLeft" activeCell="D8" sqref="D8"/>
      <selection pane="bottomRight" activeCell="G31" sqref="G31"/>
    </sheetView>
  </sheetViews>
  <sheetFormatPr defaultColWidth="8.88671875" defaultRowHeight="13.2"/>
  <cols>
    <col min="1" max="1" width="5.6640625" style="73" customWidth="1"/>
    <col min="2" max="2" width="19.6640625" style="73" bestFit="1" customWidth="1"/>
    <col min="3" max="3" width="9" style="73" bestFit="1" customWidth="1"/>
    <col min="4" max="5" width="15" style="73" bestFit="1" customWidth="1"/>
    <col min="6" max="7" width="11.44140625" style="73" bestFit="1" customWidth="1"/>
    <col min="8" max="9" width="15" style="73" bestFit="1" customWidth="1"/>
    <col min="10" max="10" width="12.88671875" style="73" bestFit="1" customWidth="1"/>
    <col min="11" max="11" width="10" style="73" customWidth="1"/>
    <col min="12" max="12" width="8.88671875" style="73"/>
    <col min="13" max="13" width="14.109375" style="73" bestFit="1" customWidth="1"/>
    <col min="14" max="14" width="8.88671875" style="73"/>
    <col min="15" max="15" width="12.44140625" style="73" bestFit="1" customWidth="1"/>
    <col min="16" max="16384" width="8.88671875" style="73"/>
  </cols>
  <sheetData>
    <row r="1" spans="1:15">
      <c r="A1" s="76"/>
      <c r="B1" s="33" t="s">
        <v>256</v>
      </c>
      <c r="C1" s="33"/>
      <c r="D1" s="48"/>
      <c r="E1" s="48"/>
      <c r="F1" s="33"/>
      <c r="G1" s="33"/>
      <c r="H1" s="48"/>
      <c r="I1" s="48"/>
      <c r="J1" s="33"/>
      <c r="K1" s="34"/>
    </row>
    <row r="2" spans="1:15">
      <c r="A2" s="77"/>
      <c r="B2" s="36" t="s">
        <v>101</v>
      </c>
      <c r="C2" s="36"/>
      <c r="D2" s="49"/>
      <c r="E2" s="49"/>
      <c r="F2" s="36"/>
      <c r="G2" s="36"/>
      <c r="H2" s="49"/>
      <c r="I2" s="49"/>
      <c r="J2" s="36"/>
      <c r="K2" s="37"/>
    </row>
    <row r="3" spans="1:15">
      <c r="A3" s="77"/>
      <c r="B3" s="52"/>
      <c r="C3" s="74"/>
      <c r="D3" s="53"/>
      <c r="E3" s="53"/>
      <c r="F3" s="52"/>
      <c r="G3" s="52"/>
      <c r="H3" s="53"/>
      <c r="I3" s="53"/>
      <c r="J3" s="52"/>
      <c r="K3" s="54"/>
    </row>
    <row r="4" spans="1:15" ht="66">
      <c r="A4" s="295" t="s">
        <v>2</v>
      </c>
      <c r="B4" s="296" t="s">
        <v>70</v>
      </c>
      <c r="C4" s="296" t="s">
        <v>102</v>
      </c>
      <c r="D4" s="297" t="s">
        <v>341</v>
      </c>
      <c r="E4" s="297" t="s">
        <v>342</v>
      </c>
      <c r="F4" s="298" t="s">
        <v>343</v>
      </c>
      <c r="G4" s="299" t="s">
        <v>344</v>
      </c>
      <c r="H4" s="297" t="s">
        <v>267</v>
      </c>
      <c r="I4" s="297" t="s">
        <v>345</v>
      </c>
      <c r="J4" s="298" t="s">
        <v>71</v>
      </c>
      <c r="K4" s="300" t="s">
        <v>72</v>
      </c>
    </row>
    <row r="5" spans="1:15">
      <c r="A5" s="38"/>
      <c r="B5" s="4"/>
      <c r="C5" s="4"/>
      <c r="D5" s="3" t="s">
        <v>73</v>
      </c>
      <c r="E5" s="3" t="s">
        <v>74</v>
      </c>
      <c r="F5" s="4" t="s">
        <v>75</v>
      </c>
      <c r="G5" s="301" t="s">
        <v>76</v>
      </c>
      <c r="H5" s="55" t="s">
        <v>77</v>
      </c>
      <c r="I5" s="3" t="s">
        <v>78</v>
      </c>
      <c r="J5" s="4" t="s">
        <v>79</v>
      </c>
      <c r="K5" s="78" t="s">
        <v>80</v>
      </c>
    </row>
    <row r="6" spans="1:15">
      <c r="A6" s="51">
        <v>1</v>
      </c>
      <c r="B6" s="52"/>
      <c r="C6" s="74"/>
      <c r="D6" s="53"/>
      <c r="E6" s="53"/>
      <c r="F6" s="52"/>
      <c r="G6" s="302"/>
      <c r="H6" s="53"/>
      <c r="I6" s="53"/>
      <c r="J6" s="52"/>
      <c r="K6" s="54"/>
    </row>
    <row r="7" spans="1:15">
      <c r="A7" s="51">
        <f>+A6+1</f>
        <v>2</v>
      </c>
      <c r="B7" s="61" t="s">
        <v>11</v>
      </c>
      <c r="C7" s="74">
        <v>7</v>
      </c>
      <c r="D7" s="266">
        <v>10836904000</v>
      </c>
      <c r="E7" s="269">
        <v>1129947000</v>
      </c>
      <c r="F7" s="81">
        <v>4.6589999999999999E-3</v>
      </c>
      <c r="G7" s="303">
        <v>3.8249999999999998E-3</v>
      </c>
      <c r="H7" s="67">
        <f>+F7*$D7+$E7</f>
        <v>1180436135.7360001</v>
      </c>
      <c r="I7" s="67">
        <f>+G7*$D7+$E7</f>
        <v>1171398157.8</v>
      </c>
      <c r="J7" s="67">
        <f>+I7-H7</f>
        <v>-9037977.9360001087</v>
      </c>
      <c r="K7" s="79">
        <f>IF(H7=0,"n/a",+J7/H7)</f>
        <v>-7.6564734528098326E-3</v>
      </c>
      <c r="M7" s="255"/>
      <c r="O7" s="105"/>
    </row>
    <row r="8" spans="1:15">
      <c r="A8" s="51">
        <f t="shared" ref="A8:A33" si="0">+A7+1</f>
        <v>3</v>
      </c>
      <c r="B8" s="61"/>
      <c r="C8" s="74"/>
      <c r="D8" s="53"/>
      <c r="E8" s="67"/>
      <c r="F8" s="57"/>
      <c r="G8" s="201"/>
      <c r="H8" s="67"/>
      <c r="I8" s="67"/>
      <c r="J8" s="67"/>
      <c r="K8" s="79"/>
      <c r="M8" s="255"/>
    </row>
    <row r="9" spans="1:15">
      <c r="A9" s="51">
        <f t="shared" si="0"/>
        <v>4</v>
      </c>
      <c r="B9" s="59" t="s">
        <v>81</v>
      </c>
      <c r="C9" s="31" t="s">
        <v>246</v>
      </c>
      <c r="D9" s="266">
        <v>2675945000</v>
      </c>
      <c r="E9" s="269">
        <v>281269000</v>
      </c>
      <c r="F9" s="81">
        <v>4.3189999999999999E-3</v>
      </c>
      <c r="G9" s="303">
        <v>3.8500000000000001E-3</v>
      </c>
      <c r="H9" s="67">
        <f t="shared" ref="H9:I12" si="1">+F9*$D9+$E9</f>
        <v>292826406.45499998</v>
      </c>
      <c r="I9" s="67">
        <f t="shared" si="1"/>
        <v>291571388.25</v>
      </c>
      <c r="J9" s="67">
        <f>+I9-H9</f>
        <v>-1255018.2049999833</v>
      </c>
      <c r="K9" s="79">
        <f>IF(H9=0,"n/a",+J9/H9)</f>
        <v>-4.2858778352451894E-3</v>
      </c>
      <c r="M9" s="255"/>
      <c r="O9" s="105"/>
    </row>
    <row r="10" spans="1:15">
      <c r="A10" s="51">
        <f t="shared" si="0"/>
        <v>5</v>
      </c>
      <c r="B10" s="60" t="s">
        <v>83</v>
      </c>
      <c r="C10" s="31" t="s">
        <v>247</v>
      </c>
      <c r="D10" s="266">
        <v>2841443000</v>
      </c>
      <c r="E10" s="269">
        <v>268955000</v>
      </c>
      <c r="F10" s="81">
        <v>4.0969999999999999E-3</v>
      </c>
      <c r="G10" s="303">
        <v>4.0879999999999996E-3</v>
      </c>
      <c r="H10" s="67">
        <f t="shared" si="1"/>
        <v>280596391.97100002</v>
      </c>
      <c r="I10" s="67">
        <f t="shared" si="1"/>
        <v>280570818.98400003</v>
      </c>
      <c r="J10" s="67">
        <f>+I10-H10</f>
        <v>-25572.986999988556</v>
      </c>
      <c r="K10" s="79">
        <f>IF(H10=0,"n/a",+J10/H10)</f>
        <v>-9.1137975154832201E-5</v>
      </c>
      <c r="M10" s="255"/>
      <c r="O10" s="105"/>
    </row>
    <row r="11" spans="1:15">
      <c r="A11" s="51">
        <f t="shared" si="0"/>
        <v>6</v>
      </c>
      <c r="B11" s="60" t="s">
        <v>85</v>
      </c>
      <c r="C11" s="31" t="s">
        <v>248</v>
      </c>
      <c r="D11" s="266">
        <v>1673580000</v>
      </c>
      <c r="E11" s="269">
        <v>146893000</v>
      </c>
      <c r="F11" s="81">
        <v>4.522E-3</v>
      </c>
      <c r="G11" s="303">
        <v>4.1999999999999997E-3</v>
      </c>
      <c r="H11" s="67">
        <f t="shared" si="1"/>
        <v>154460928.75999999</v>
      </c>
      <c r="I11" s="67">
        <f t="shared" si="1"/>
        <v>153922036</v>
      </c>
      <c r="J11" s="67">
        <f>+I11-H11</f>
        <v>-538892.75999999046</v>
      </c>
      <c r="K11" s="79">
        <f>IF(H11=0,"n/a",+J11/H11)</f>
        <v>-3.4888613212815597E-3</v>
      </c>
      <c r="M11" s="255"/>
      <c r="O11" s="105"/>
    </row>
    <row r="12" spans="1:15">
      <c r="A12" s="51">
        <f t="shared" si="0"/>
        <v>7</v>
      </c>
      <c r="B12" s="60" t="s">
        <v>87</v>
      </c>
      <c r="C12" s="74">
        <v>29</v>
      </c>
      <c r="D12" s="266">
        <v>14601000</v>
      </c>
      <c r="E12" s="269">
        <v>1095000</v>
      </c>
      <c r="F12" s="81">
        <v>3.3349999999999999E-3</v>
      </c>
      <c r="G12" s="303">
        <v>3.4199999999999999E-3</v>
      </c>
      <c r="H12" s="67">
        <f t="shared" si="1"/>
        <v>1143694.335</v>
      </c>
      <c r="I12" s="67">
        <f t="shared" si="1"/>
        <v>1144935.42</v>
      </c>
      <c r="J12" s="67">
        <f>+I12-H12</f>
        <v>1241.0849999999627</v>
      </c>
      <c r="K12" s="79">
        <f>IF(H12=0,"n/a",+J12/H12)</f>
        <v>1.0851544525661769E-3</v>
      </c>
      <c r="M12" s="255"/>
      <c r="O12" s="105"/>
    </row>
    <row r="13" spans="1:15">
      <c r="A13" s="51">
        <f t="shared" si="0"/>
        <v>8</v>
      </c>
      <c r="B13" s="61"/>
      <c r="C13" s="74"/>
      <c r="D13" s="53"/>
      <c r="E13" s="67"/>
      <c r="F13" s="57"/>
      <c r="G13" s="201"/>
      <c r="H13" s="67"/>
      <c r="I13" s="67"/>
      <c r="J13" s="67"/>
      <c r="K13" s="79"/>
      <c r="M13" s="255"/>
    </row>
    <row r="14" spans="1:15">
      <c r="A14" s="51">
        <f t="shared" si="0"/>
        <v>9</v>
      </c>
      <c r="B14" s="61" t="s">
        <v>88</v>
      </c>
      <c r="C14" s="74"/>
      <c r="D14" s="53">
        <f>SUM(D9:D13)</f>
        <v>7205569000</v>
      </c>
      <c r="E14" s="67">
        <f>SUM(E9:E13)</f>
        <v>698212000</v>
      </c>
      <c r="F14" s="57">
        <f>ROUND(SUMPRODUCT($D9:$D12,F9:F12)/$D14,6)</f>
        <v>4.2770000000000004E-3</v>
      </c>
      <c r="G14" s="201">
        <f>ROUND(SUMPRODUCT($D9:$D12,G9:G12)/$D14,6)</f>
        <v>4.0239999999999998E-3</v>
      </c>
      <c r="H14" s="67">
        <f>SUM(H9:H13)</f>
        <v>729027421.52100003</v>
      </c>
      <c r="I14" s="67">
        <f>SUM(I9:I13)</f>
        <v>727209178.65399992</v>
      </c>
      <c r="J14" s="67">
        <f>SUM(J9:J12)</f>
        <v>-1818242.8669999624</v>
      </c>
      <c r="K14" s="79">
        <f>IF(H14=0,"n/a",+J14/H14)</f>
        <v>-2.4940664964377981E-3</v>
      </c>
      <c r="M14" s="255"/>
    </row>
    <row r="15" spans="1:15">
      <c r="A15" s="51">
        <f t="shared" si="0"/>
        <v>10</v>
      </c>
      <c r="B15" s="61"/>
      <c r="C15" s="74"/>
      <c r="D15" s="53"/>
      <c r="E15" s="67"/>
      <c r="F15" s="57"/>
      <c r="G15" s="201"/>
      <c r="H15" s="67"/>
      <c r="I15" s="67"/>
      <c r="J15" s="67"/>
      <c r="K15" s="79"/>
      <c r="M15" s="255"/>
    </row>
    <row r="16" spans="1:15">
      <c r="A16" s="51">
        <f t="shared" si="0"/>
        <v>11</v>
      </c>
      <c r="B16" s="60" t="s">
        <v>89</v>
      </c>
      <c r="C16" s="31" t="s">
        <v>249</v>
      </c>
      <c r="D16" s="266">
        <v>1279393000</v>
      </c>
      <c r="E16" s="269">
        <v>111222000</v>
      </c>
      <c r="F16" s="81">
        <v>4.0509999999999999E-3</v>
      </c>
      <c r="G16" s="303">
        <v>3.8219999999999999E-3</v>
      </c>
      <c r="H16" s="67">
        <f t="shared" ref="H16:I18" si="2">+F16*$D16+$E16</f>
        <v>116404821.043</v>
      </c>
      <c r="I16" s="67">
        <f t="shared" si="2"/>
        <v>116111840.046</v>
      </c>
      <c r="J16" s="67">
        <f>+I16-H16</f>
        <v>-292980.99699999392</v>
      </c>
      <c r="K16" s="79">
        <f>IF(H16=0,"n/a",+J16/H16)</f>
        <v>-2.5169146292640799E-3</v>
      </c>
      <c r="M16" s="255"/>
      <c r="O16" s="105"/>
    </row>
    <row r="17" spans="1:15">
      <c r="A17" s="51">
        <f t="shared" si="0"/>
        <v>12</v>
      </c>
      <c r="B17" s="60" t="s">
        <v>91</v>
      </c>
      <c r="C17" s="74">
        <v>35</v>
      </c>
      <c r="D17" s="266">
        <v>4334000</v>
      </c>
      <c r="E17" s="269">
        <v>249000</v>
      </c>
      <c r="F17" s="81">
        <v>3.1869999999999997E-3</v>
      </c>
      <c r="G17" s="303">
        <v>2.8170000000000001E-3</v>
      </c>
      <c r="H17" s="67">
        <f t="shared" si="2"/>
        <v>262812.45799999998</v>
      </c>
      <c r="I17" s="67">
        <f t="shared" si="2"/>
        <v>261208.878</v>
      </c>
      <c r="J17" s="67">
        <f>+I17-H17</f>
        <v>-1603.5799999999872</v>
      </c>
      <c r="K17" s="79">
        <f>IF(H17=0,"n/a",+J17/H17)</f>
        <v>-6.1016133413279343E-3</v>
      </c>
      <c r="M17" s="255"/>
      <c r="O17" s="105"/>
    </row>
    <row r="18" spans="1:15">
      <c r="A18" s="51">
        <f t="shared" si="0"/>
        <v>13</v>
      </c>
      <c r="B18" s="60" t="s">
        <v>92</v>
      </c>
      <c r="C18" s="74">
        <v>43</v>
      </c>
      <c r="D18" s="266">
        <v>110092000</v>
      </c>
      <c r="E18" s="269">
        <v>10245000</v>
      </c>
      <c r="F18" s="81">
        <v>3.362E-3</v>
      </c>
      <c r="G18" s="303">
        <v>3.0660000000000001E-3</v>
      </c>
      <c r="H18" s="67">
        <f t="shared" si="2"/>
        <v>10615129.304</v>
      </c>
      <c r="I18" s="67">
        <f t="shared" si="2"/>
        <v>10582542.072000001</v>
      </c>
      <c r="J18" s="67">
        <f>+I18-H18</f>
        <v>-32587.231999998912</v>
      </c>
      <c r="K18" s="79">
        <f>IF(H18=0,"n/a",+J18/H18)</f>
        <v>-3.0698855441845039E-3</v>
      </c>
      <c r="M18" s="255"/>
      <c r="O18" s="105"/>
    </row>
    <row r="19" spans="1:15">
      <c r="A19" s="51">
        <f t="shared" si="0"/>
        <v>14</v>
      </c>
      <c r="B19" s="75"/>
      <c r="C19" s="74"/>
      <c r="D19" s="53"/>
      <c r="E19" s="67"/>
      <c r="F19" s="57"/>
      <c r="G19" s="201"/>
      <c r="H19" s="67"/>
      <c r="I19" s="67"/>
      <c r="J19" s="67"/>
      <c r="K19" s="79"/>
      <c r="M19" s="255"/>
    </row>
    <row r="20" spans="1:15">
      <c r="A20" s="51">
        <f t="shared" si="0"/>
        <v>15</v>
      </c>
      <c r="B20" s="75" t="s">
        <v>93</v>
      </c>
      <c r="C20" s="74"/>
      <c r="D20" s="53">
        <f>SUM(D16:D19)</f>
        <v>1393819000</v>
      </c>
      <c r="E20" s="67">
        <f>SUM(E16:E19)</f>
        <v>121716000</v>
      </c>
      <c r="F20" s="57">
        <f>ROUND(SUMPRODUCT($D16:$D18,F16:F18)/$D20,6)</f>
        <v>3.9940000000000002E-3</v>
      </c>
      <c r="G20" s="201">
        <f>ROUND(SUMPRODUCT($D16:$D18,G16:G18)/$D20,6)</f>
        <v>3.7590000000000002E-3</v>
      </c>
      <c r="H20" s="67">
        <f>SUM(H16:H19)</f>
        <v>127282762.80500001</v>
      </c>
      <c r="I20" s="67">
        <f>SUM(I16:I19)</f>
        <v>126955590.99600001</v>
      </c>
      <c r="J20" s="67">
        <f>SUM(J16:J18)</f>
        <v>-327171.80899999279</v>
      </c>
      <c r="K20" s="79">
        <f>IF(H20=0,"n/a",+J20/H20)</f>
        <v>-2.5704329619339519E-3</v>
      </c>
      <c r="M20" s="255"/>
    </row>
    <row r="21" spans="1:15">
      <c r="A21" s="51">
        <f t="shared" si="0"/>
        <v>16</v>
      </c>
      <c r="B21" s="75"/>
      <c r="C21" s="74"/>
      <c r="D21" s="53"/>
      <c r="E21" s="67"/>
      <c r="F21" s="57"/>
      <c r="G21" s="201"/>
      <c r="H21" s="67"/>
      <c r="I21" s="67"/>
      <c r="J21" s="67"/>
      <c r="K21" s="79"/>
      <c r="M21" s="255"/>
    </row>
    <row r="22" spans="1:15">
      <c r="A22" s="51">
        <f t="shared" si="0"/>
        <v>17</v>
      </c>
      <c r="B22" s="60" t="s">
        <v>94</v>
      </c>
      <c r="C22" s="74">
        <v>46</v>
      </c>
      <c r="D22" s="266">
        <v>64495000</v>
      </c>
      <c r="E22" s="269">
        <v>4522000</v>
      </c>
      <c r="F22" s="81">
        <v>2.5489999999999996E-3</v>
      </c>
      <c r="G22" s="303">
        <v>3.5590000000000001E-3</v>
      </c>
      <c r="H22" s="67">
        <f>+F22*$D22+$E22</f>
        <v>4686397.7549999999</v>
      </c>
      <c r="I22" s="67">
        <f>+G22*$D22+$E22</f>
        <v>4751537.7050000001</v>
      </c>
      <c r="J22" s="67">
        <f>+I22-H22</f>
        <v>65139.950000000186</v>
      </c>
      <c r="K22" s="79">
        <f>IF(H22=0,"n/a",+J22/H22)</f>
        <v>1.3899791141394524E-2</v>
      </c>
      <c r="M22" s="255"/>
      <c r="O22" s="105"/>
    </row>
    <row r="23" spans="1:15">
      <c r="A23" s="51">
        <f t="shared" si="0"/>
        <v>18</v>
      </c>
      <c r="B23" s="59" t="s">
        <v>95</v>
      </c>
      <c r="C23" s="74">
        <v>49</v>
      </c>
      <c r="D23" s="266">
        <v>512961000</v>
      </c>
      <c r="E23" s="269">
        <v>35019000</v>
      </c>
      <c r="F23" s="81">
        <v>4.0000000000000001E-3</v>
      </c>
      <c r="G23" s="303">
        <v>3.49E-3</v>
      </c>
      <c r="H23" s="67">
        <f>+F23*$D23+$E23</f>
        <v>37070844</v>
      </c>
      <c r="I23" s="67">
        <f>+G23*$D23+$E23</f>
        <v>36809233.890000001</v>
      </c>
      <c r="J23" s="67">
        <f>+I23-H23</f>
        <v>-261610.1099999994</v>
      </c>
      <c r="K23" s="79">
        <f>IF(H23=0,"n/a",+J23/H23)</f>
        <v>-7.0570313964257031E-3</v>
      </c>
      <c r="M23" s="255"/>
      <c r="O23" s="105"/>
    </row>
    <row r="24" spans="1:15">
      <c r="A24" s="51">
        <f t="shared" si="0"/>
        <v>19</v>
      </c>
      <c r="B24" s="61"/>
      <c r="C24" s="74"/>
      <c r="D24" s="53"/>
      <c r="E24" s="67"/>
      <c r="F24" s="57"/>
      <c r="G24" s="201"/>
      <c r="H24" s="67"/>
      <c r="I24" s="67"/>
      <c r="J24" s="67"/>
      <c r="K24" s="79"/>
      <c r="M24" s="255"/>
    </row>
    <row r="25" spans="1:15">
      <c r="A25" s="51">
        <f t="shared" si="0"/>
        <v>20</v>
      </c>
      <c r="B25" s="61" t="s">
        <v>96</v>
      </c>
      <c r="C25" s="74"/>
      <c r="D25" s="53">
        <f>SUM(D22:D24)</f>
        <v>577456000</v>
      </c>
      <c r="E25" s="67">
        <f>SUM(E22:E24)</f>
        <v>39541000</v>
      </c>
      <c r="F25" s="57">
        <f>ROUND(SUMPRODUCT($D22:$D23,F22:F23)/$D25,6)</f>
        <v>3.8379999999999998E-3</v>
      </c>
      <c r="G25" s="201">
        <f>ROUND(SUMPRODUCT($D22:$D23,G22:G23)/$D25,6)</f>
        <v>3.4979999999999998E-3</v>
      </c>
      <c r="H25" s="53">
        <f>SUM(H22:H24)</f>
        <v>41757241.755000003</v>
      </c>
      <c r="I25" s="53">
        <f>SUM(I22:I24)</f>
        <v>41560771.594999999</v>
      </c>
      <c r="J25" s="67">
        <f>SUM(J22:J24)</f>
        <v>-196470.15999999922</v>
      </c>
      <c r="K25" s="79">
        <f>IF(H25=0,"n/a",+J25/H25)</f>
        <v>-4.7050559793373791E-3</v>
      </c>
      <c r="M25" s="255"/>
    </row>
    <row r="26" spans="1:15">
      <c r="A26" s="51">
        <f t="shared" si="0"/>
        <v>21</v>
      </c>
      <c r="B26" s="61"/>
      <c r="C26" s="74"/>
      <c r="D26" s="53"/>
      <c r="E26" s="67"/>
      <c r="F26" s="57"/>
      <c r="G26" s="201"/>
      <c r="H26" s="53"/>
      <c r="I26" s="53"/>
      <c r="J26" s="67"/>
      <c r="K26" s="79"/>
      <c r="M26" s="255"/>
    </row>
    <row r="27" spans="1:15">
      <c r="A27" s="51">
        <f t="shared" si="0"/>
        <v>22</v>
      </c>
      <c r="B27" s="61" t="s">
        <v>250</v>
      </c>
      <c r="C27" s="74" t="s">
        <v>99</v>
      </c>
      <c r="D27" s="266">
        <v>1999367000</v>
      </c>
      <c r="E27" s="269">
        <v>10085000</v>
      </c>
      <c r="F27" s="81">
        <v>1.047E-3</v>
      </c>
      <c r="G27" s="303">
        <v>1.047E-3</v>
      </c>
      <c r="H27" s="67">
        <f>+F27*$D27+$E27</f>
        <v>12178337.249</v>
      </c>
      <c r="I27" s="67">
        <f>+G27*$D27+$E27</f>
        <v>12178337.249</v>
      </c>
      <c r="J27" s="67">
        <f>+I27-H27</f>
        <v>0</v>
      </c>
      <c r="K27" s="79">
        <f>IF(H27=0,"n/a",+J27/H27)</f>
        <v>0</v>
      </c>
      <c r="M27" s="255"/>
      <c r="O27" s="105"/>
    </row>
    <row r="28" spans="1:15">
      <c r="A28" s="51">
        <f t="shared" si="0"/>
        <v>23</v>
      </c>
      <c r="B28" s="61"/>
      <c r="C28" s="74"/>
      <c r="D28" s="53"/>
      <c r="E28" s="67"/>
      <c r="F28" s="57"/>
      <c r="G28" s="201"/>
      <c r="H28" s="67"/>
      <c r="I28" s="67"/>
      <c r="J28" s="67"/>
      <c r="K28" s="79"/>
      <c r="M28" s="255"/>
    </row>
    <row r="29" spans="1:15">
      <c r="A29" s="51">
        <f t="shared" si="0"/>
        <v>24</v>
      </c>
      <c r="B29" s="61" t="s">
        <v>262</v>
      </c>
      <c r="C29" s="74" t="s">
        <v>268</v>
      </c>
      <c r="D29" s="266">
        <v>480416000</v>
      </c>
      <c r="E29" s="269">
        <v>8077000</v>
      </c>
      <c r="F29" s="81">
        <v>4.1050000000000001E-3</v>
      </c>
      <c r="G29" s="303">
        <v>2.2720000000000001E-3</v>
      </c>
      <c r="H29" s="67">
        <f>+F29*$D29+$E29</f>
        <v>10049107.68</v>
      </c>
      <c r="I29" s="67">
        <f>+G29*$D29+$E29</f>
        <v>9168505.1520000007</v>
      </c>
      <c r="J29" s="67">
        <f>+I29-H29</f>
        <v>-880602.527999999</v>
      </c>
      <c r="K29" s="79">
        <f>IF(H29=0,"n/a",+J29/H29)</f>
        <v>-8.7629922580349837E-2</v>
      </c>
      <c r="M29" s="255"/>
    </row>
    <row r="30" spans="1:15">
      <c r="A30" s="51">
        <f t="shared" si="0"/>
        <v>25</v>
      </c>
      <c r="B30" s="52"/>
      <c r="C30" s="74"/>
      <c r="D30" s="53"/>
      <c r="E30" s="67"/>
      <c r="F30" s="57"/>
      <c r="G30" s="201"/>
      <c r="H30" s="67"/>
      <c r="I30" s="67"/>
      <c r="J30" s="67"/>
      <c r="K30" s="79"/>
      <c r="M30" s="255"/>
    </row>
    <row r="31" spans="1:15">
      <c r="A31" s="51">
        <f t="shared" si="0"/>
        <v>26</v>
      </c>
      <c r="B31" s="52" t="s">
        <v>97</v>
      </c>
      <c r="C31" s="31" t="s">
        <v>16</v>
      </c>
      <c r="D31" s="266">
        <v>62835000</v>
      </c>
      <c r="E31" s="269">
        <v>15746000</v>
      </c>
      <c r="F31" s="81">
        <v>5.006E-3</v>
      </c>
      <c r="G31" s="303">
        <v>3.607E-3</v>
      </c>
      <c r="H31" s="67">
        <f>+F31*$D31+$E31</f>
        <v>16060552.01</v>
      </c>
      <c r="I31" s="67">
        <f>+G31*$D31+$E31</f>
        <v>15972645.845000001</v>
      </c>
      <c r="J31" s="67">
        <f>+I31-H31</f>
        <v>-87906.164999999106</v>
      </c>
      <c r="K31" s="79">
        <f>IF(H31=0,"n/a",+J31/H31)</f>
        <v>-5.473421146749184E-3</v>
      </c>
      <c r="M31" s="255"/>
      <c r="O31" s="105"/>
    </row>
    <row r="32" spans="1:15">
      <c r="A32" s="51">
        <f t="shared" si="0"/>
        <v>27</v>
      </c>
      <c r="B32" s="52"/>
      <c r="C32" s="74"/>
      <c r="D32" s="53"/>
      <c r="E32" s="67"/>
      <c r="F32" s="57"/>
      <c r="G32" s="201"/>
      <c r="H32" s="67"/>
      <c r="I32" s="67"/>
      <c r="J32" s="67"/>
      <c r="K32" s="79"/>
      <c r="M32" s="255"/>
    </row>
    <row r="33" spans="1:15" ht="13.8" thickBot="1">
      <c r="A33" s="51">
        <f t="shared" si="0"/>
        <v>28</v>
      </c>
      <c r="B33" s="61" t="s">
        <v>18</v>
      </c>
      <c r="C33" s="74"/>
      <c r="D33" s="272">
        <f>SUM(D7,D14,D20,D25,D27,D31,D29)</f>
        <v>22556366000</v>
      </c>
      <c r="E33" s="223">
        <f>SUM(E7,E14,E20,E25,E27,E31,E29)</f>
        <v>2023324000</v>
      </c>
      <c r="F33" s="304">
        <f>ROUND(($D7*F7+$D14*F14+$D20*F20+$D25*F25+$D27*F27+$D29*F29+$D31*F31)/$D33,6)</f>
        <v>4.1440000000000001E-3</v>
      </c>
      <c r="G33" s="305">
        <f>ROUND(($D7*G7+$D14*G14+$D20*G20+$D25*G25+$D27*G27+$D29*G29+$D31*G31)/$D33,6)</f>
        <v>3.5959999999999998E-3</v>
      </c>
      <c r="H33" s="223">
        <f>SUM(H7,H14,H20,H25,H27,H31,H29)</f>
        <v>2116791558.7560003</v>
      </c>
      <c r="I33" s="223">
        <f>SUM(I7,I14,I20,I25,I27,I31,I29)</f>
        <v>2104443187.2910001</v>
      </c>
      <c r="J33" s="223">
        <f>SUM(J7,J14,J20,J25,J27,J31,J29)</f>
        <v>-12348371.465000061</v>
      </c>
      <c r="K33" s="306">
        <f>IF(H33=0,"n/a",+J33/H33)</f>
        <v>-5.8335320801529335E-3</v>
      </c>
      <c r="M33" s="255"/>
      <c r="N33" s="255"/>
      <c r="O33" s="255"/>
    </row>
    <row r="34" spans="1:15" ht="14.4" thickTop="1" thickBot="1">
      <c r="A34" s="62"/>
      <c r="B34" s="63"/>
      <c r="C34" s="64"/>
      <c r="D34" s="65"/>
      <c r="E34" s="65"/>
      <c r="F34" s="80"/>
      <c r="G34" s="275"/>
      <c r="H34" s="65"/>
      <c r="I34" s="65"/>
      <c r="J34" s="63"/>
      <c r="K34" s="66"/>
    </row>
    <row r="36" spans="1:15">
      <c r="G36" s="255"/>
      <c r="I36" s="294">
        <f>+I33-E33</f>
        <v>81119187.291000128</v>
      </c>
    </row>
  </sheetData>
  <printOptions horizontalCentered="1"/>
  <pageMargins left="0.7" right="0.7" top="0.75" bottom="0.71" header="0.3" footer="0.3"/>
  <pageSetup scale="61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45"/>
  <sheetViews>
    <sheetView zoomScale="90" zoomScaleNormal="90" workbookViewId="0">
      <pane xSplit="3" ySplit="7" topLeftCell="G27" activePane="bottomRight" state="frozen"/>
      <selection activeCell="D8" sqref="D8"/>
      <selection pane="topRight" activeCell="D8" sqref="D8"/>
      <selection pane="bottomLeft" activeCell="D8" sqref="D8"/>
      <selection pane="bottomRight" activeCell="G33" sqref="G33"/>
    </sheetView>
  </sheetViews>
  <sheetFormatPr defaultColWidth="8.88671875" defaultRowHeight="13.2"/>
  <cols>
    <col min="1" max="1" width="8.109375" style="73" bestFit="1" customWidth="1"/>
    <col min="2" max="2" width="30.33203125" style="73" customWidth="1"/>
    <col min="3" max="3" width="12" style="73" bestFit="1" customWidth="1"/>
    <col min="4" max="4" width="17.6640625" style="73" bestFit="1" customWidth="1"/>
    <col min="5" max="5" width="18.88671875" style="73" bestFit="1" customWidth="1"/>
    <col min="6" max="6" width="13.88671875" style="73" bestFit="1" customWidth="1"/>
    <col min="7" max="7" width="11.6640625" style="73" bestFit="1" customWidth="1"/>
    <col min="8" max="8" width="15.5546875" style="73" bestFit="1" customWidth="1"/>
    <col min="9" max="10" width="16.33203125" style="73" bestFit="1" customWidth="1"/>
    <col min="11" max="11" width="15.109375" style="73" bestFit="1" customWidth="1"/>
    <col min="12" max="12" width="11.6640625" style="73" bestFit="1" customWidth="1"/>
    <col min="13" max="16384" width="8.88671875" style="73"/>
  </cols>
  <sheetData>
    <row r="1" spans="1:12">
      <c r="A1" s="278" t="s">
        <v>269</v>
      </c>
      <c r="B1" s="279"/>
      <c r="C1" s="33"/>
      <c r="D1" s="48"/>
      <c r="E1" s="48"/>
      <c r="F1" s="33"/>
      <c r="G1" s="33"/>
      <c r="H1" s="33"/>
      <c r="I1" s="48"/>
      <c r="J1" s="48"/>
      <c r="K1" s="33"/>
      <c r="L1" s="34"/>
    </row>
    <row r="2" spans="1:12">
      <c r="A2" s="280" t="s">
        <v>103</v>
      </c>
      <c r="B2" s="281"/>
      <c r="C2" s="36"/>
      <c r="D2" s="49"/>
      <c r="E2" s="49"/>
      <c r="F2" s="36"/>
      <c r="G2" s="36"/>
      <c r="H2" s="36"/>
      <c r="I2" s="49"/>
      <c r="J2" s="49"/>
      <c r="K2" s="36"/>
      <c r="L2" s="37"/>
    </row>
    <row r="3" spans="1:12">
      <c r="A3" s="280" t="s">
        <v>270</v>
      </c>
      <c r="B3" s="281"/>
      <c r="C3" s="36"/>
      <c r="D3" s="49"/>
      <c r="E3" s="49"/>
      <c r="F3" s="36"/>
      <c r="G3" s="36"/>
      <c r="H3" s="36"/>
      <c r="I3" s="49"/>
      <c r="J3" s="49"/>
      <c r="K3" s="36"/>
      <c r="L3" s="37"/>
    </row>
    <row r="4" spans="1:12">
      <c r="A4" s="280" t="s">
        <v>353</v>
      </c>
      <c r="B4" s="281"/>
      <c r="C4" s="36"/>
      <c r="D4" s="49"/>
      <c r="E4" s="49"/>
      <c r="F4" s="36"/>
      <c r="G4" s="36"/>
      <c r="H4" s="36"/>
      <c r="I4" s="49"/>
      <c r="J4" s="49"/>
      <c r="K4" s="36"/>
      <c r="L4" s="37"/>
    </row>
    <row r="5" spans="1:12">
      <c r="A5" s="280"/>
      <c r="B5" s="281"/>
      <c r="C5" s="36"/>
      <c r="D5" s="49"/>
      <c r="E5" s="49"/>
      <c r="F5" s="36"/>
      <c r="G5" s="36"/>
      <c r="H5" s="36"/>
      <c r="I5" s="49"/>
      <c r="J5" s="49"/>
      <c r="K5" s="36"/>
      <c r="L5" s="37"/>
    </row>
    <row r="6" spans="1:12" ht="66.599999999999994" thickBot="1">
      <c r="A6" s="282" t="s">
        <v>2</v>
      </c>
      <c r="B6" s="283" t="s">
        <v>104</v>
      </c>
      <c r="C6" s="283" t="s">
        <v>105</v>
      </c>
      <c r="D6" s="82" t="s">
        <v>346</v>
      </c>
      <c r="E6" s="82" t="s">
        <v>347</v>
      </c>
      <c r="F6" s="284" t="s">
        <v>348</v>
      </c>
      <c r="G6" s="284" t="s">
        <v>349</v>
      </c>
      <c r="H6" s="284" t="s">
        <v>271</v>
      </c>
      <c r="I6" s="83" t="s">
        <v>350</v>
      </c>
      <c r="J6" s="83" t="s">
        <v>351</v>
      </c>
      <c r="K6" s="284" t="s">
        <v>272</v>
      </c>
      <c r="L6" s="285" t="s">
        <v>273</v>
      </c>
    </row>
    <row r="7" spans="1:12" ht="27" thickBot="1">
      <c r="A7" s="282"/>
      <c r="B7" s="283"/>
      <c r="C7" s="283"/>
      <c r="D7" s="84" t="s">
        <v>106</v>
      </c>
      <c r="E7" s="84" t="s">
        <v>107</v>
      </c>
      <c r="F7" s="283" t="s">
        <v>266</v>
      </c>
      <c r="G7" s="283" t="s">
        <v>274</v>
      </c>
      <c r="H7" s="284" t="s">
        <v>275</v>
      </c>
      <c r="I7" s="83" t="s">
        <v>276</v>
      </c>
      <c r="J7" s="83" t="s">
        <v>277</v>
      </c>
      <c r="K7" s="284" t="s">
        <v>278</v>
      </c>
      <c r="L7" s="285" t="s">
        <v>279</v>
      </c>
    </row>
    <row r="8" spans="1:12">
      <c r="A8" s="286"/>
      <c r="B8" s="195"/>
      <c r="C8" s="287"/>
      <c r="D8" s="85"/>
      <c r="E8" s="85"/>
      <c r="F8" s="86"/>
      <c r="G8" s="86"/>
      <c r="H8" s="86"/>
      <c r="I8" s="85"/>
      <c r="J8" s="85"/>
      <c r="K8" s="86"/>
      <c r="L8" s="87"/>
    </row>
    <row r="9" spans="1:12">
      <c r="A9" s="286">
        <v>1</v>
      </c>
      <c r="B9" s="288" t="s">
        <v>11</v>
      </c>
      <c r="C9" s="289">
        <v>7</v>
      </c>
      <c r="D9" s="88">
        <v>10889678000</v>
      </c>
      <c r="E9" s="89">
        <v>1195575000</v>
      </c>
      <c r="F9" s="90">
        <v>1.0640000000000001E-3</v>
      </c>
      <c r="G9" s="90">
        <v>1.3519999999999999E-3</v>
      </c>
      <c r="H9" s="90">
        <v>2.8799999999999984E-4</v>
      </c>
      <c r="I9" s="89">
        <v>1207161617.392</v>
      </c>
      <c r="J9" s="89">
        <v>1210297844.6559999</v>
      </c>
      <c r="K9" s="89">
        <v>3136227.263999939</v>
      </c>
      <c r="L9" s="91">
        <v>2.5980177126369948E-3</v>
      </c>
    </row>
    <row r="10" spans="1:12">
      <c r="A10" s="286">
        <v>2</v>
      </c>
      <c r="B10" s="288"/>
      <c r="C10" s="289"/>
      <c r="D10" s="85"/>
      <c r="E10" s="92"/>
      <c r="F10" s="93"/>
      <c r="G10" s="93"/>
      <c r="H10" s="94" t="s">
        <v>20</v>
      </c>
      <c r="I10" s="92"/>
      <c r="J10" s="92"/>
      <c r="K10" s="92"/>
      <c r="L10" s="95"/>
    </row>
    <row r="11" spans="1:12">
      <c r="A11" s="286">
        <v>3</v>
      </c>
      <c r="B11" s="290" t="s">
        <v>81</v>
      </c>
      <c r="C11" s="291" t="s">
        <v>108</v>
      </c>
      <c r="D11" s="88">
        <v>2605315000</v>
      </c>
      <c r="E11" s="89">
        <v>298659000</v>
      </c>
      <c r="F11" s="90">
        <v>1.0150000000000001E-3</v>
      </c>
      <c r="G11" s="90">
        <v>1.3339999999999999E-3</v>
      </c>
      <c r="H11" s="90">
        <v>3.1899999999999984E-4</v>
      </c>
      <c r="I11" s="89">
        <v>301303394.72500002</v>
      </c>
      <c r="J11" s="89">
        <v>302134490.20999998</v>
      </c>
      <c r="K11" s="89">
        <v>831095.4849999547</v>
      </c>
      <c r="L11" s="91">
        <v>2.7583342887938472E-3</v>
      </c>
    </row>
    <row r="12" spans="1:12">
      <c r="A12" s="286">
        <v>4</v>
      </c>
      <c r="B12" s="290" t="s">
        <v>83</v>
      </c>
      <c r="C12" s="291" t="s">
        <v>109</v>
      </c>
      <c r="D12" s="88">
        <v>2812804000</v>
      </c>
      <c r="E12" s="89">
        <v>293454000</v>
      </c>
      <c r="F12" s="90">
        <v>9.1500000000000001E-4</v>
      </c>
      <c r="G12" s="90">
        <v>1.206E-3</v>
      </c>
      <c r="H12" s="90">
        <v>2.9100000000000003E-4</v>
      </c>
      <c r="I12" s="89">
        <v>296027715.66000003</v>
      </c>
      <c r="J12" s="89">
        <v>296846241.62400001</v>
      </c>
      <c r="K12" s="89">
        <v>818525.96399998665</v>
      </c>
      <c r="L12" s="91">
        <v>2.7650315179950829E-3</v>
      </c>
    </row>
    <row r="13" spans="1:12">
      <c r="A13" s="286">
        <v>5</v>
      </c>
      <c r="B13" s="290" t="s">
        <v>85</v>
      </c>
      <c r="C13" s="291" t="s">
        <v>110</v>
      </c>
      <c r="D13" s="88">
        <v>1776603000</v>
      </c>
      <c r="E13" s="89">
        <v>172701000</v>
      </c>
      <c r="F13" s="90">
        <v>8.4900000000000004E-4</v>
      </c>
      <c r="G13" s="90">
        <v>1.1180000000000001E-3</v>
      </c>
      <c r="H13" s="90">
        <v>2.6900000000000003E-4</v>
      </c>
      <c r="I13" s="89">
        <v>174209335.947</v>
      </c>
      <c r="J13" s="89">
        <v>174687242.15400001</v>
      </c>
      <c r="K13" s="89">
        <v>477906.20700001717</v>
      </c>
      <c r="L13" s="91">
        <v>2.7432870023992939E-3</v>
      </c>
    </row>
    <row r="14" spans="1:12">
      <c r="A14" s="286">
        <v>6</v>
      </c>
      <c r="B14" s="290" t="s">
        <v>87</v>
      </c>
      <c r="C14" s="291">
        <v>29</v>
      </c>
      <c r="D14" s="88">
        <v>14281000</v>
      </c>
      <c r="E14" s="89">
        <v>1204000</v>
      </c>
      <c r="F14" s="90">
        <v>8.0599999999999997E-4</v>
      </c>
      <c r="G14" s="90">
        <v>1.054E-3</v>
      </c>
      <c r="H14" s="90">
        <v>2.4800000000000007E-4</v>
      </c>
      <c r="I14" s="89">
        <v>1215510.486</v>
      </c>
      <c r="J14" s="89">
        <v>1219052.1740000001</v>
      </c>
      <c r="K14" s="89">
        <v>3541.688000000082</v>
      </c>
      <c r="L14" s="91">
        <v>2.9137453282324722E-3</v>
      </c>
    </row>
    <row r="15" spans="1:12">
      <c r="A15" s="286">
        <v>7</v>
      </c>
      <c r="B15" s="290"/>
      <c r="C15" s="291"/>
      <c r="D15" s="85"/>
      <c r="E15" s="92"/>
      <c r="F15" s="94"/>
      <c r="G15" s="94"/>
      <c r="H15" s="94" t="s">
        <v>20</v>
      </c>
      <c r="I15" s="92"/>
      <c r="J15" s="92"/>
      <c r="K15" s="92"/>
      <c r="L15" s="95"/>
    </row>
    <row r="16" spans="1:12">
      <c r="A16" s="286">
        <v>8</v>
      </c>
      <c r="B16" s="290" t="s">
        <v>88</v>
      </c>
      <c r="C16" s="291"/>
      <c r="D16" s="88">
        <v>7209003000</v>
      </c>
      <c r="E16" s="89">
        <v>766018000</v>
      </c>
      <c r="F16" s="90">
        <v>9.3465862311334304E-4</v>
      </c>
      <c r="G16" s="90">
        <v>1.2302708380063179E-3</v>
      </c>
      <c r="H16" s="90">
        <v>2.9561221489297484E-4</v>
      </c>
      <c r="I16" s="89">
        <v>772755956.81799996</v>
      </c>
      <c r="J16" s="89">
        <v>774887026.16200006</v>
      </c>
      <c r="K16" s="89">
        <v>2131069.3439999586</v>
      </c>
      <c r="L16" s="91">
        <v>2.7577520757978051E-3</v>
      </c>
    </row>
    <row r="17" spans="1:12">
      <c r="A17" s="286">
        <v>9</v>
      </c>
      <c r="B17" s="290"/>
      <c r="C17" s="291"/>
      <c r="D17" s="85"/>
      <c r="E17" s="92"/>
      <c r="F17" s="94"/>
      <c r="G17" s="94"/>
      <c r="H17" s="94" t="s">
        <v>20</v>
      </c>
      <c r="I17" s="92"/>
      <c r="J17" s="92"/>
      <c r="K17" s="92"/>
      <c r="L17" s="95"/>
    </row>
    <row r="18" spans="1:12">
      <c r="A18" s="286">
        <v>10</v>
      </c>
      <c r="B18" s="290" t="s">
        <v>89</v>
      </c>
      <c r="C18" s="291" t="s">
        <v>111</v>
      </c>
      <c r="D18" s="88">
        <v>1313675000</v>
      </c>
      <c r="E18" s="89">
        <v>126059000</v>
      </c>
      <c r="F18" s="90">
        <v>8.4199999999999998E-4</v>
      </c>
      <c r="G18" s="90">
        <v>1.1069999999999999E-3</v>
      </c>
      <c r="H18" s="90">
        <v>2.6499999999999994E-4</v>
      </c>
      <c r="I18" s="89">
        <v>127165114.34999999</v>
      </c>
      <c r="J18" s="89">
        <v>127513238.22499999</v>
      </c>
      <c r="K18" s="89">
        <v>348123.875</v>
      </c>
      <c r="L18" s="91">
        <v>2.7375737188569597E-3</v>
      </c>
    </row>
    <row r="19" spans="1:12">
      <c r="A19" s="286">
        <v>11</v>
      </c>
      <c r="B19" s="290" t="s">
        <v>91</v>
      </c>
      <c r="C19" s="291">
        <v>35</v>
      </c>
      <c r="D19" s="88">
        <v>4529000</v>
      </c>
      <c r="E19" s="89">
        <v>292000</v>
      </c>
      <c r="F19" s="90">
        <v>6.02E-4</v>
      </c>
      <c r="G19" s="90">
        <v>8.1999999999999998E-4</v>
      </c>
      <c r="H19" s="90">
        <v>2.1799999999999999E-4</v>
      </c>
      <c r="I19" s="89">
        <v>294726.45799999998</v>
      </c>
      <c r="J19" s="89">
        <v>295713.78000000003</v>
      </c>
      <c r="K19" s="89">
        <v>987.32200000004377</v>
      </c>
      <c r="L19" s="91">
        <v>3.3499605250915201E-3</v>
      </c>
    </row>
    <row r="20" spans="1:12">
      <c r="A20" s="286">
        <v>12</v>
      </c>
      <c r="B20" s="290" t="s">
        <v>92</v>
      </c>
      <c r="C20" s="291">
        <v>43</v>
      </c>
      <c r="D20" s="88">
        <v>113786000</v>
      </c>
      <c r="E20" s="89">
        <v>11461000</v>
      </c>
      <c r="F20" s="90">
        <v>8.8999999999999995E-4</v>
      </c>
      <c r="G20" s="90">
        <v>1.1590000000000001E-3</v>
      </c>
      <c r="H20" s="90">
        <v>2.6900000000000014E-4</v>
      </c>
      <c r="I20" s="89">
        <v>11562269.539999999</v>
      </c>
      <c r="J20" s="89">
        <v>11592877.973999999</v>
      </c>
      <c r="K20" s="89">
        <v>30608.434000000358</v>
      </c>
      <c r="L20" s="91">
        <v>2.6472686780142614E-3</v>
      </c>
    </row>
    <row r="21" spans="1:12">
      <c r="A21" s="286">
        <v>13</v>
      </c>
      <c r="B21" s="290"/>
      <c r="C21" s="291"/>
      <c r="D21" s="85"/>
      <c r="E21" s="92"/>
      <c r="F21" s="94"/>
      <c r="G21" s="94"/>
      <c r="H21" s="94" t="s">
        <v>20</v>
      </c>
      <c r="I21" s="92"/>
      <c r="J21" s="92"/>
      <c r="K21" s="92"/>
      <c r="L21" s="95"/>
    </row>
    <row r="22" spans="1:12">
      <c r="A22" s="286">
        <v>14</v>
      </c>
      <c r="B22" s="290" t="s">
        <v>93</v>
      </c>
      <c r="C22" s="291"/>
      <c r="D22" s="88">
        <v>1431990000</v>
      </c>
      <c r="E22" s="89">
        <v>137812000</v>
      </c>
      <c r="F22" s="90">
        <v>8.4505502692057205E-4</v>
      </c>
      <c r="G22" s="90">
        <v>1.1102242187445458E-3</v>
      </c>
      <c r="H22" s="90">
        <v>2.651691918239738E-4</v>
      </c>
      <c r="I22" s="89">
        <v>139022110.34799999</v>
      </c>
      <c r="J22" s="89">
        <v>139401829.979</v>
      </c>
      <c r="K22" s="89">
        <v>379719.6310000004</v>
      </c>
      <c r="L22" s="91">
        <v>2.7313614363174798E-3</v>
      </c>
    </row>
    <row r="23" spans="1:12">
      <c r="A23" s="286">
        <v>15</v>
      </c>
      <c r="B23" s="290"/>
      <c r="C23" s="291"/>
      <c r="D23" s="85"/>
      <c r="E23" s="92"/>
      <c r="F23" s="94"/>
      <c r="G23" s="94"/>
      <c r="H23" s="94" t="s">
        <v>20</v>
      </c>
      <c r="I23" s="92"/>
      <c r="J23" s="92"/>
      <c r="K23" s="92"/>
      <c r="L23" s="95"/>
    </row>
    <row r="24" spans="1:12">
      <c r="A24" s="286">
        <v>16</v>
      </c>
      <c r="B24" s="290" t="s">
        <v>94</v>
      </c>
      <c r="C24" s="291">
        <v>46</v>
      </c>
      <c r="D24" s="88">
        <v>79164000</v>
      </c>
      <c r="E24" s="89">
        <v>5953000</v>
      </c>
      <c r="F24" s="90">
        <v>6.8099999999999996E-4</v>
      </c>
      <c r="G24" s="90">
        <v>8.6200000000000003E-4</v>
      </c>
      <c r="H24" s="90">
        <v>1.8100000000000006E-4</v>
      </c>
      <c r="I24" s="89">
        <v>6006910.6840000004</v>
      </c>
      <c r="J24" s="89">
        <v>6021239.3679999998</v>
      </c>
      <c r="K24" s="89">
        <v>14328.683999999426</v>
      </c>
      <c r="L24" s="91">
        <v>2.3853665808891236E-3</v>
      </c>
    </row>
    <row r="25" spans="1:12">
      <c r="A25" s="286">
        <v>17</v>
      </c>
      <c r="B25" s="290" t="s">
        <v>95</v>
      </c>
      <c r="C25" s="291">
        <v>49</v>
      </c>
      <c r="D25" s="88">
        <v>503339000</v>
      </c>
      <c r="E25" s="89">
        <v>37176000</v>
      </c>
      <c r="F25" s="90">
        <v>6.6600000000000003E-4</v>
      </c>
      <c r="G25" s="90">
        <v>8.4800000000000001E-4</v>
      </c>
      <c r="H25" s="90">
        <v>1.8199999999999998E-4</v>
      </c>
      <c r="I25" s="89">
        <v>37511223.773999996</v>
      </c>
      <c r="J25" s="89">
        <v>37602831.472000003</v>
      </c>
      <c r="K25" s="89">
        <v>91607.698000006378</v>
      </c>
      <c r="L25" s="91">
        <v>2.4421410122988855E-3</v>
      </c>
    </row>
    <row r="26" spans="1:12">
      <c r="A26" s="286">
        <v>18</v>
      </c>
      <c r="B26" s="290"/>
      <c r="C26" s="291"/>
      <c r="D26" s="85"/>
      <c r="E26" s="92"/>
      <c r="F26" s="94"/>
      <c r="G26" s="94"/>
      <c r="H26" s="94" t="s">
        <v>20</v>
      </c>
      <c r="I26" s="92"/>
      <c r="J26" s="92"/>
      <c r="K26" s="92"/>
      <c r="L26" s="95"/>
    </row>
    <row r="27" spans="1:12">
      <c r="A27" s="286">
        <v>19</v>
      </c>
      <c r="B27" s="290" t="s">
        <v>96</v>
      </c>
      <c r="C27" s="291"/>
      <c r="D27" s="88">
        <v>582503000</v>
      </c>
      <c r="E27" s="89">
        <v>43129000</v>
      </c>
      <c r="F27" s="90">
        <v>6.6803854744095198E-4</v>
      </c>
      <c r="G27" s="90">
        <v>8.4990264427823301E-4</v>
      </c>
      <c r="H27" s="90">
        <v>1.8186409683728104E-4</v>
      </c>
      <c r="I27" s="89">
        <v>43518134.457999997</v>
      </c>
      <c r="J27" s="89">
        <v>43624070.840000004</v>
      </c>
      <c r="K27" s="89">
        <v>105936.3820000058</v>
      </c>
      <c r="L27" s="91">
        <v>2.4343043036977284E-3</v>
      </c>
    </row>
    <row r="28" spans="1:12">
      <c r="A28" s="286">
        <v>20</v>
      </c>
      <c r="B28" s="290"/>
      <c r="C28" s="291"/>
      <c r="D28" s="85"/>
      <c r="E28" s="92"/>
      <c r="F28" s="94"/>
      <c r="G28" s="94"/>
      <c r="H28" s="94"/>
      <c r="I28" s="92"/>
      <c r="J28" s="92"/>
      <c r="K28" s="92"/>
      <c r="L28" s="95"/>
    </row>
    <row r="29" spans="1:12">
      <c r="A29" s="286">
        <v>21</v>
      </c>
      <c r="B29" s="290" t="s">
        <v>97</v>
      </c>
      <c r="C29" s="291" t="s">
        <v>280</v>
      </c>
      <c r="D29" s="88">
        <v>65045000</v>
      </c>
      <c r="E29" s="89">
        <v>16558000</v>
      </c>
      <c r="F29" s="90">
        <v>2.3800000000000002E-3</v>
      </c>
      <c r="G29" s="90">
        <v>2.944E-3</v>
      </c>
      <c r="H29" s="90">
        <v>5.6399999999999983E-4</v>
      </c>
      <c r="I29" s="89">
        <v>16712807.1</v>
      </c>
      <c r="J29" s="89">
        <v>16749492.48</v>
      </c>
      <c r="K29" s="89">
        <v>36685.38000000082</v>
      </c>
      <c r="L29" s="91">
        <v>2.1950459776443432E-3</v>
      </c>
    </row>
    <row r="30" spans="1:12">
      <c r="A30" s="286">
        <v>22</v>
      </c>
      <c r="B30" s="290"/>
      <c r="C30" s="291"/>
      <c r="D30" s="85"/>
      <c r="E30" s="92"/>
      <c r="F30" s="94"/>
      <c r="G30" s="94"/>
      <c r="H30" s="94" t="s">
        <v>20</v>
      </c>
      <c r="I30" s="92"/>
      <c r="J30" s="92"/>
      <c r="K30" s="92"/>
      <c r="L30" s="95"/>
    </row>
    <row r="31" spans="1:12">
      <c r="A31" s="286">
        <v>23</v>
      </c>
      <c r="B31" s="290" t="s">
        <v>112</v>
      </c>
      <c r="C31" s="291" t="s">
        <v>99</v>
      </c>
      <c r="D31" s="88">
        <v>1898174000</v>
      </c>
      <c r="E31" s="89">
        <v>11515000</v>
      </c>
      <c r="F31" s="90">
        <v>4.3000000000000002E-5</v>
      </c>
      <c r="G31" s="90">
        <v>6.0000000000000002E-5</v>
      </c>
      <c r="H31" s="90">
        <v>1.7E-5</v>
      </c>
      <c r="I31" s="89">
        <v>11596621.482000001</v>
      </c>
      <c r="J31" s="89">
        <v>11628890.439999999</v>
      </c>
      <c r="K31" s="89">
        <v>32268.957999998704</v>
      </c>
      <c r="L31" s="91">
        <v>2.7826171657051851E-3</v>
      </c>
    </row>
    <row r="32" spans="1:12">
      <c r="A32" s="286">
        <v>24</v>
      </c>
      <c r="B32" s="290"/>
      <c r="C32" s="291"/>
      <c r="D32" s="85"/>
      <c r="E32" s="92"/>
      <c r="F32" s="94"/>
      <c r="G32" s="94"/>
      <c r="H32" s="94" t="s">
        <v>20</v>
      </c>
      <c r="I32" s="92"/>
      <c r="J32" s="92"/>
      <c r="K32" s="92"/>
      <c r="L32" s="95"/>
    </row>
    <row r="33" spans="1:12">
      <c r="A33" s="286">
        <v>25</v>
      </c>
      <c r="B33" s="290" t="s">
        <v>262</v>
      </c>
      <c r="C33" s="291" t="s">
        <v>268</v>
      </c>
      <c r="D33" s="88">
        <v>289426000</v>
      </c>
      <c r="E33" s="89">
        <v>5067000</v>
      </c>
      <c r="F33" s="90">
        <v>6.1399999999999996E-4</v>
      </c>
      <c r="G33" s="90">
        <v>6.1399999999999996E-4</v>
      </c>
      <c r="H33" s="90">
        <v>0</v>
      </c>
      <c r="I33" s="89">
        <v>5244707.5640000002</v>
      </c>
      <c r="J33" s="89">
        <v>5244707.5640000002</v>
      </c>
      <c r="K33" s="89">
        <v>0</v>
      </c>
      <c r="L33" s="91">
        <v>0</v>
      </c>
    </row>
    <row r="34" spans="1:12">
      <c r="A34" s="286">
        <v>26</v>
      </c>
      <c r="B34" s="290"/>
      <c r="C34" s="291"/>
      <c r="D34" s="85"/>
      <c r="E34" s="92"/>
      <c r="F34" s="94"/>
      <c r="G34" s="94"/>
      <c r="H34" s="94" t="s">
        <v>20</v>
      </c>
      <c r="I34" s="92"/>
      <c r="J34" s="92"/>
      <c r="K34" s="92"/>
      <c r="L34" s="95"/>
    </row>
    <row r="35" spans="1:12">
      <c r="A35" s="286">
        <v>27</v>
      </c>
      <c r="B35" s="290" t="s">
        <v>18</v>
      </c>
      <c r="C35" s="291"/>
      <c r="D35" s="88">
        <v>22365819000</v>
      </c>
      <c r="E35" s="89">
        <v>2175674000</v>
      </c>
      <c r="F35" s="90">
        <v>9.0933201069007036E-4</v>
      </c>
      <c r="G35" s="90">
        <v>1.1696357786406253E-3</v>
      </c>
      <c r="H35" s="90">
        <v>2.6030376795055496E-4</v>
      </c>
      <c r="I35" s="89">
        <v>2196011955.1620002</v>
      </c>
      <c r="J35" s="89">
        <v>2201833862.1210003</v>
      </c>
      <c r="K35" s="89">
        <v>5821906.9589999029</v>
      </c>
      <c r="L35" s="91">
        <v>2.6511271695560598E-3</v>
      </c>
    </row>
    <row r="36" spans="1:12">
      <c r="A36" s="286">
        <v>28</v>
      </c>
      <c r="B36" s="290"/>
      <c r="C36" s="292"/>
      <c r="D36" s="85"/>
      <c r="E36" s="92"/>
      <c r="F36" s="94"/>
      <c r="G36" s="94"/>
      <c r="H36" s="94"/>
      <c r="I36" s="92"/>
      <c r="J36" s="92"/>
      <c r="K36" s="92"/>
      <c r="L36" s="96"/>
    </row>
    <row r="37" spans="1:12">
      <c r="A37" s="286">
        <v>29</v>
      </c>
      <c r="B37" s="290"/>
      <c r="C37" s="292"/>
      <c r="D37" s="85"/>
      <c r="E37" s="92"/>
      <c r="F37" s="94"/>
      <c r="G37" s="94"/>
      <c r="H37" s="94"/>
      <c r="I37" s="92"/>
      <c r="J37" s="92"/>
      <c r="K37" s="92"/>
      <c r="L37" s="96"/>
    </row>
    <row r="38" spans="1:12">
      <c r="A38" s="286">
        <v>30</v>
      </c>
      <c r="B38" s="290" t="s">
        <v>67</v>
      </c>
      <c r="C38" s="292"/>
      <c r="D38" s="88">
        <v>7510000</v>
      </c>
      <c r="E38" s="89">
        <v>726000</v>
      </c>
      <c r="F38" s="94"/>
      <c r="G38" s="94"/>
      <c r="H38" s="94"/>
      <c r="I38" s="92"/>
      <c r="J38" s="92"/>
      <c r="K38" s="92"/>
      <c r="L38" s="96"/>
    </row>
    <row r="39" spans="1:12">
      <c r="A39" s="286">
        <v>31</v>
      </c>
      <c r="B39" s="290"/>
      <c r="C39" s="292"/>
      <c r="D39" s="88"/>
      <c r="E39" s="89"/>
      <c r="F39" s="94"/>
      <c r="G39" s="94"/>
      <c r="H39" s="94"/>
      <c r="I39" s="92"/>
      <c r="J39" s="92"/>
      <c r="K39" s="92"/>
      <c r="L39" s="96"/>
    </row>
    <row r="40" spans="1:12" ht="13.8" thickBot="1">
      <c r="A40" s="293">
        <v>32</v>
      </c>
      <c r="B40" s="63" t="s">
        <v>68</v>
      </c>
      <c r="C40" s="63"/>
      <c r="D40" s="97">
        <v>22373329000</v>
      </c>
      <c r="E40" s="98">
        <v>2176400000</v>
      </c>
      <c r="F40" s="99"/>
      <c r="G40" s="99"/>
      <c r="H40" s="99"/>
      <c r="I40" s="100"/>
      <c r="J40" s="100"/>
      <c r="K40" s="100"/>
      <c r="L40" s="101"/>
    </row>
    <row r="42" spans="1:12" ht="12.75" customHeight="1">
      <c r="B42" s="73" t="s">
        <v>352</v>
      </c>
    </row>
    <row r="45" spans="1:12">
      <c r="J45" s="294">
        <f>+J35-E35</f>
        <v>26159862.12100029</v>
      </c>
    </row>
  </sheetData>
  <printOptions horizontalCentered="1"/>
  <pageMargins left="0.7" right="0.7" top="0.75" bottom="0.71" header="0.3" footer="0.3"/>
  <pageSetup scale="58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2"/>
  <sheetViews>
    <sheetView zoomScaleNormal="100" workbookViewId="0">
      <pane xSplit="3" ySplit="7" topLeftCell="D8" activePane="bottomRight" state="frozen"/>
      <selection activeCell="D8" sqref="D8"/>
      <selection pane="topRight" activeCell="D8" sqref="D8"/>
      <selection pane="bottomLeft" activeCell="D8" sqref="D8"/>
      <selection pane="bottomRight" activeCell="K9" sqref="K9"/>
    </sheetView>
  </sheetViews>
  <sheetFormatPr defaultColWidth="4.44140625" defaultRowHeight="13.2"/>
  <cols>
    <col min="1" max="1" width="4.5546875" style="110" bestFit="1" customWidth="1"/>
    <col min="2" max="2" width="24.88671875" style="110" bestFit="1" customWidth="1"/>
    <col min="3" max="3" width="10.88671875" style="110" bestFit="1" customWidth="1"/>
    <col min="4" max="5" width="15" style="110" bestFit="1" customWidth="1"/>
    <col min="6" max="6" width="11.33203125" style="110" bestFit="1" customWidth="1"/>
    <col min="7" max="7" width="12.88671875" style="110" bestFit="1" customWidth="1"/>
    <col min="8" max="9" width="15" style="110" bestFit="1" customWidth="1"/>
    <col min="10" max="10" width="9.6640625" style="110" bestFit="1" customWidth="1"/>
    <col min="11" max="11" width="9.6640625" style="110" customWidth="1"/>
    <col min="12" max="16384" width="4.44140625" style="110"/>
  </cols>
  <sheetData>
    <row r="1" spans="1:11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>
      <c r="A2" s="35" t="s">
        <v>163</v>
      </c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1:11">
      <c r="A3" s="51"/>
      <c r="B3" s="52"/>
      <c r="C3" s="74"/>
      <c r="D3" s="53"/>
      <c r="E3" s="53"/>
      <c r="F3" s="53"/>
      <c r="G3" s="52"/>
      <c r="H3" s="52"/>
      <c r="I3" s="53"/>
      <c r="J3" s="52"/>
      <c r="K3" s="54"/>
    </row>
    <row r="4" spans="1:11">
      <c r="A4" s="40"/>
      <c r="B4" s="69"/>
      <c r="C4" s="69"/>
      <c r="D4" s="41"/>
      <c r="E4" s="41"/>
      <c r="F4" s="42"/>
      <c r="G4" s="69"/>
      <c r="H4" s="41"/>
      <c r="I4" s="41"/>
      <c r="J4" s="69"/>
      <c r="K4" s="43"/>
    </row>
    <row r="5" spans="1:11">
      <c r="A5" s="38"/>
      <c r="B5" s="4"/>
      <c r="C5" s="4"/>
      <c r="D5" s="55"/>
      <c r="E5" s="55"/>
      <c r="F5" s="55"/>
      <c r="G5" s="39"/>
      <c r="H5" s="55"/>
      <c r="I5" s="55"/>
      <c r="J5" s="39"/>
      <c r="K5" s="56"/>
    </row>
    <row r="6" spans="1:11" ht="79.8" thickBot="1">
      <c r="A6" s="256" t="s">
        <v>2</v>
      </c>
      <c r="B6" s="257" t="s">
        <v>70</v>
      </c>
      <c r="C6" s="257" t="s">
        <v>102</v>
      </c>
      <c r="D6" s="258" t="s">
        <v>536</v>
      </c>
      <c r="E6" s="259" t="s">
        <v>537</v>
      </c>
      <c r="F6" s="259" t="s">
        <v>538</v>
      </c>
      <c r="G6" s="260" t="s">
        <v>539</v>
      </c>
      <c r="H6" s="259" t="s">
        <v>540</v>
      </c>
      <c r="I6" s="259" t="s">
        <v>541</v>
      </c>
      <c r="J6" s="257" t="s">
        <v>150</v>
      </c>
      <c r="K6" s="261" t="s">
        <v>151</v>
      </c>
    </row>
    <row r="7" spans="1:11" ht="26.4">
      <c r="A7" s="40"/>
      <c r="B7" s="69"/>
      <c r="C7" s="69"/>
      <c r="D7" s="41" t="s">
        <v>73</v>
      </c>
      <c r="E7" s="41" t="s">
        <v>74</v>
      </c>
      <c r="F7" s="42" t="s">
        <v>75</v>
      </c>
      <c r="G7" s="262" t="s">
        <v>76</v>
      </c>
      <c r="H7" s="41" t="s">
        <v>152</v>
      </c>
      <c r="I7" s="41" t="s">
        <v>153</v>
      </c>
      <c r="J7" s="69" t="s">
        <v>79</v>
      </c>
      <c r="K7" s="263" t="s">
        <v>80</v>
      </c>
    </row>
    <row r="8" spans="1:11">
      <c r="A8" s="51">
        <v>0</v>
      </c>
      <c r="B8" s="52"/>
      <c r="C8" s="74"/>
      <c r="D8" s="53"/>
      <c r="E8" s="53"/>
      <c r="F8" s="53"/>
      <c r="G8" s="264"/>
      <c r="H8" s="52"/>
      <c r="I8" s="53"/>
      <c r="J8" s="52"/>
      <c r="K8" s="265"/>
    </row>
    <row r="9" spans="1:11">
      <c r="A9" s="51">
        <v>1</v>
      </c>
      <c r="B9" s="52" t="s">
        <v>11</v>
      </c>
      <c r="C9" s="74">
        <v>7</v>
      </c>
      <c r="D9" s="266">
        <v>10857353000</v>
      </c>
      <c r="E9" s="266">
        <v>1236887000</v>
      </c>
      <c r="F9" s="81">
        <v>-4.3000000000000002E-5</v>
      </c>
      <c r="G9" s="267">
        <v>-2.0999999999999999E-5</v>
      </c>
      <c r="H9" s="67">
        <v>1236420133.8210001</v>
      </c>
      <c r="I9" s="67">
        <v>1236658995.5869999</v>
      </c>
      <c r="J9" s="67">
        <v>238861.76599979401</v>
      </c>
      <c r="K9" s="268">
        <v>1.9318818859866179E-4</v>
      </c>
    </row>
    <row r="10" spans="1:11">
      <c r="A10" s="51">
        <v>2</v>
      </c>
      <c r="B10" s="52"/>
      <c r="C10" s="74"/>
      <c r="D10" s="266"/>
      <c r="E10" s="269"/>
      <c r="F10" s="81"/>
      <c r="G10" s="267"/>
      <c r="H10" s="58"/>
      <c r="I10" s="67"/>
      <c r="J10" s="67"/>
      <c r="K10" s="268"/>
    </row>
    <row r="11" spans="1:11">
      <c r="A11" s="51">
        <v>3</v>
      </c>
      <c r="B11" s="59" t="s">
        <v>81</v>
      </c>
      <c r="C11" s="31" t="s">
        <v>82</v>
      </c>
      <c r="D11" s="266">
        <v>2628116000</v>
      </c>
      <c r="E11" s="269">
        <v>308897000</v>
      </c>
      <c r="F11" s="81">
        <v>-4.3999999999999999E-5</v>
      </c>
      <c r="G11" s="267">
        <v>-2.0999999999999999E-5</v>
      </c>
      <c r="H11" s="67">
        <v>308781362.89600003</v>
      </c>
      <c r="I11" s="67">
        <v>308841809.56400001</v>
      </c>
      <c r="J11" s="67">
        <v>60446.667999982834</v>
      </c>
      <c r="K11" s="268">
        <v>1.9575879655774997E-4</v>
      </c>
    </row>
    <row r="12" spans="1:11">
      <c r="A12" s="51">
        <v>4</v>
      </c>
      <c r="B12" s="60" t="s">
        <v>83</v>
      </c>
      <c r="C12" s="31" t="s">
        <v>84</v>
      </c>
      <c r="D12" s="266">
        <v>2836808000</v>
      </c>
      <c r="E12" s="269">
        <v>304753000</v>
      </c>
      <c r="F12" s="81">
        <v>-4.5000000000000003E-5</v>
      </c>
      <c r="G12" s="267">
        <v>-2.1999999999999999E-5</v>
      </c>
      <c r="H12" s="67">
        <v>304625343.63999999</v>
      </c>
      <c r="I12" s="67">
        <v>304690590.22399998</v>
      </c>
      <c r="J12" s="67">
        <v>65246.583999991417</v>
      </c>
      <c r="K12" s="268">
        <v>2.1418632875503128E-4</v>
      </c>
    </row>
    <row r="13" spans="1:11">
      <c r="A13" s="51">
        <v>5</v>
      </c>
      <c r="B13" s="60" t="s">
        <v>85</v>
      </c>
      <c r="C13" s="31" t="s">
        <v>86</v>
      </c>
      <c r="D13" s="266">
        <v>1789712000</v>
      </c>
      <c r="E13" s="269">
        <v>178791000</v>
      </c>
      <c r="F13" s="81">
        <v>-4.6999999999999997E-5</v>
      </c>
      <c r="G13" s="267">
        <v>-2.0999999999999999E-5</v>
      </c>
      <c r="H13" s="67">
        <v>178706883.53600001</v>
      </c>
      <c r="I13" s="67">
        <v>178753416.04800001</v>
      </c>
      <c r="J13" s="67">
        <v>46532.511999994516</v>
      </c>
      <c r="K13" s="268">
        <v>2.6038455306966765E-4</v>
      </c>
    </row>
    <row r="14" spans="1:11">
      <c r="A14" s="51">
        <v>6</v>
      </c>
      <c r="B14" s="60" t="s">
        <v>87</v>
      </c>
      <c r="C14" s="74">
        <v>29</v>
      </c>
      <c r="D14" s="266">
        <v>14336000</v>
      </c>
      <c r="E14" s="269">
        <v>1263000</v>
      </c>
      <c r="F14" s="81">
        <v>-3.6999999999999998E-5</v>
      </c>
      <c r="G14" s="267">
        <v>-1.8E-5</v>
      </c>
      <c r="H14" s="67">
        <v>1262469.568</v>
      </c>
      <c r="I14" s="67">
        <v>1262741.952</v>
      </c>
      <c r="J14" s="67">
        <v>272.38400000007823</v>
      </c>
      <c r="K14" s="268">
        <v>2.1575490364618297E-4</v>
      </c>
    </row>
    <row r="15" spans="1:11">
      <c r="A15" s="51">
        <v>7</v>
      </c>
      <c r="B15" s="52"/>
      <c r="C15" s="74"/>
      <c r="D15" s="53"/>
      <c r="E15" s="67"/>
      <c r="F15" s="57"/>
      <c r="G15" s="270"/>
      <c r="H15" s="58"/>
      <c r="I15" s="67"/>
      <c r="J15" s="67"/>
      <c r="K15" s="268"/>
    </row>
    <row r="16" spans="1:11">
      <c r="A16" s="51">
        <v>8</v>
      </c>
      <c r="B16" s="52" t="s">
        <v>88</v>
      </c>
      <c r="C16" s="74"/>
      <c r="D16" s="53">
        <v>7268972000</v>
      </c>
      <c r="E16" s="67">
        <v>793704000</v>
      </c>
      <c r="F16" s="57">
        <v>-4.5115094679137568E-5</v>
      </c>
      <c r="G16" s="270">
        <v>-2.1384345957034915E-5</v>
      </c>
      <c r="H16" s="67">
        <v>793376059.63999999</v>
      </c>
      <c r="I16" s="67">
        <v>793548557.78799999</v>
      </c>
      <c r="J16" s="67">
        <v>172498.14799996885</v>
      </c>
      <c r="K16" s="268">
        <v>2.1742293065692088E-4</v>
      </c>
    </row>
    <row r="17" spans="1:11">
      <c r="A17" s="51">
        <v>9</v>
      </c>
      <c r="B17" s="52"/>
      <c r="C17" s="74"/>
      <c r="D17" s="53"/>
      <c r="E17" s="67"/>
      <c r="F17" s="57"/>
      <c r="G17" s="270"/>
      <c r="H17" s="58"/>
      <c r="I17" s="67"/>
      <c r="J17" s="67"/>
      <c r="K17" s="268"/>
    </row>
    <row r="18" spans="1:11">
      <c r="A18" s="51">
        <v>10</v>
      </c>
      <c r="B18" s="60" t="s">
        <v>89</v>
      </c>
      <c r="C18" s="31" t="s">
        <v>90</v>
      </c>
      <c r="D18" s="266">
        <v>1318295000</v>
      </c>
      <c r="E18" s="269">
        <v>129657000</v>
      </c>
      <c r="F18" s="81">
        <v>-4.3000000000000002E-5</v>
      </c>
      <c r="G18" s="267">
        <v>-2.0000000000000002E-5</v>
      </c>
      <c r="H18" s="67">
        <v>129600313.315</v>
      </c>
      <c r="I18" s="67">
        <v>129630634.09999999</v>
      </c>
      <c r="J18" s="67">
        <v>30320.784999996424</v>
      </c>
      <c r="K18" s="268">
        <v>2.3395610878115897E-4</v>
      </c>
    </row>
    <row r="19" spans="1:11">
      <c r="A19" s="51">
        <v>11</v>
      </c>
      <c r="B19" s="60" t="s">
        <v>91</v>
      </c>
      <c r="C19" s="74">
        <v>35</v>
      </c>
      <c r="D19" s="266">
        <v>4565000</v>
      </c>
      <c r="E19" s="269">
        <v>313000</v>
      </c>
      <c r="F19" s="81">
        <v>-3.1999999999999999E-5</v>
      </c>
      <c r="G19" s="267">
        <v>-1.5E-5</v>
      </c>
      <c r="H19" s="67">
        <v>312853.92</v>
      </c>
      <c r="I19" s="67">
        <v>312931.52500000002</v>
      </c>
      <c r="J19" s="67">
        <v>77.605000000039581</v>
      </c>
      <c r="K19" s="268">
        <v>2.4805506672264033E-4</v>
      </c>
    </row>
    <row r="20" spans="1:11">
      <c r="A20" s="51">
        <v>12</v>
      </c>
      <c r="B20" s="60" t="s">
        <v>92</v>
      </c>
      <c r="C20" s="74">
        <v>43</v>
      </c>
      <c r="D20" s="266">
        <v>114881000</v>
      </c>
      <c r="E20" s="269">
        <v>11952000</v>
      </c>
      <c r="F20" s="81">
        <v>-3.4E-5</v>
      </c>
      <c r="G20" s="267">
        <v>-1.5999999999999999E-5</v>
      </c>
      <c r="H20" s="67">
        <v>11948094.046</v>
      </c>
      <c r="I20" s="67">
        <v>11950161.903999999</v>
      </c>
      <c r="J20" s="67">
        <v>2067.8579999990761</v>
      </c>
      <c r="K20" s="268">
        <v>1.730701141150924E-4</v>
      </c>
    </row>
    <row r="21" spans="1:11">
      <c r="A21" s="51">
        <v>13</v>
      </c>
      <c r="B21" s="75"/>
      <c r="C21" s="74"/>
      <c r="D21" s="53"/>
      <c r="E21" s="67"/>
      <c r="F21" s="57"/>
      <c r="G21" s="270"/>
      <c r="H21" s="58"/>
      <c r="I21" s="67"/>
      <c r="J21" s="67"/>
      <c r="K21" s="268"/>
    </row>
    <row r="22" spans="1:11">
      <c r="A22" s="51">
        <v>14</v>
      </c>
      <c r="B22" s="75" t="s">
        <v>93</v>
      </c>
      <c r="C22" s="74"/>
      <c r="D22" s="53">
        <v>1437741000</v>
      </c>
      <c r="E22" s="67">
        <v>141922000</v>
      </c>
      <c r="F22" s="57">
        <v>-4.2245939289482598E-5</v>
      </c>
      <c r="G22" s="270">
        <v>-1.966450911534136E-5</v>
      </c>
      <c r="H22" s="67">
        <v>141861261.28099999</v>
      </c>
      <c r="I22" s="67">
        <v>141893727.52899998</v>
      </c>
      <c r="J22" s="67">
        <v>32466.247999995539</v>
      </c>
      <c r="K22" s="268">
        <v>2.2885915229307118E-4</v>
      </c>
    </row>
    <row r="23" spans="1:11">
      <c r="A23" s="51">
        <v>15</v>
      </c>
      <c r="B23" s="75"/>
      <c r="C23" s="74"/>
      <c r="D23" s="53"/>
      <c r="E23" s="67"/>
      <c r="F23" s="57"/>
      <c r="G23" s="270"/>
      <c r="H23" s="58"/>
      <c r="I23" s="67"/>
      <c r="J23" s="67"/>
      <c r="K23" s="268"/>
    </row>
    <row r="24" spans="1:11">
      <c r="A24" s="51">
        <v>16</v>
      </c>
      <c r="B24" s="60" t="s">
        <v>94</v>
      </c>
      <c r="C24" s="74">
        <v>46</v>
      </c>
      <c r="D24" s="266">
        <v>78958000</v>
      </c>
      <c r="E24" s="269">
        <v>6101000</v>
      </c>
      <c r="F24" s="81">
        <v>-3.6999999999999998E-5</v>
      </c>
      <c r="G24" s="267">
        <v>-1.5E-5</v>
      </c>
      <c r="H24" s="67">
        <v>6098078.5539999995</v>
      </c>
      <c r="I24" s="67">
        <v>6099815.6299999999</v>
      </c>
      <c r="J24" s="67">
        <v>1737.0760000003502</v>
      </c>
      <c r="K24" s="268">
        <v>2.848562845850723E-4</v>
      </c>
    </row>
    <row r="25" spans="1:11">
      <c r="A25" s="51">
        <v>17</v>
      </c>
      <c r="B25" s="59" t="s">
        <v>95</v>
      </c>
      <c r="C25" s="74">
        <v>49</v>
      </c>
      <c r="D25" s="266">
        <v>504163000</v>
      </c>
      <c r="E25" s="269">
        <v>38278000</v>
      </c>
      <c r="F25" s="81">
        <v>-4.0000000000000003E-5</v>
      </c>
      <c r="G25" s="267">
        <v>-2.0000000000000002E-5</v>
      </c>
      <c r="H25" s="67">
        <v>38257833.479999997</v>
      </c>
      <c r="I25" s="67">
        <v>38267916.740000002</v>
      </c>
      <c r="J25" s="67">
        <v>10083.260000005364</v>
      </c>
      <c r="K25" s="268">
        <v>2.6356066412586008E-4</v>
      </c>
    </row>
    <row r="26" spans="1:11">
      <c r="A26" s="51">
        <v>18</v>
      </c>
      <c r="B26" s="52"/>
      <c r="C26" s="74"/>
      <c r="D26" s="53"/>
      <c r="E26" s="67"/>
      <c r="F26" s="57"/>
      <c r="G26" s="270"/>
      <c r="H26" s="58"/>
      <c r="I26" s="67"/>
      <c r="J26" s="67"/>
      <c r="K26" s="268"/>
    </row>
    <row r="27" spans="1:11">
      <c r="A27" s="51">
        <v>19</v>
      </c>
      <c r="B27" s="61" t="s">
        <v>96</v>
      </c>
      <c r="C27" s="74"/>
      <c r="D27" s="53">
        <v>583121000</v>
      </c>
      <c r="E27" s="67">
        <v>44379000</v>
      </c>
      <c r="F27" s="57">
        <v>-3.9593782422516085E-5</v>
      </c>
      <c r="G27" s="270">
        <v>-1.9322970704193471E-5</v>
      </c>
      <c r="H27" s="53">
        <v>44355912.033999994</v>
      </c>
      <c r="I27" s="53">
        <v>44367732.370000005</v>
      </c>
      <c r="J27" s="67">
        <v>11820.336000005715</v>
      </c>
      <c r="K27" s="268">
        <v>2.6648839935801817E-4</v>
      </c>
    </row>
    <row r="28" spans="1:11">
      <c r="A28" s="51">
        <v>20</v>
      </c>
      <c r="B28" s="52"/>
      <c r="C28" s="74"/>
      <c r="D28" s="53"/>
      <c r="E28" s="67"/>
      <c r="F28" s="57"/>
      <c r="G28" s="270"/>
      <c r="H28" s="58"/>
      <c r="I28" s="67"/>
      <c r="J28" s="67"/>
      <c r="K28" s="268"/>
    </row>
    <row r="29" spans="1:11">
      <c r="A29" s="51">
        <v>21</v>
      </c>
      <c r="B29" s="52" t="s">
        <v>97</v>
      </c>
      <c r="C29" s="74" t="s">
        <v>16</v>
      </c>
      <c r="D29" s="266">
        <v>64560000</v>
      </c>
      <c r="E29" s="269">
        <v>17092000</v>
      </c>
      <c r="F29" s="81">
        <v>-4.3000000000000002E-5</v>
      </c>
      <c r="G29" s="267">
        <v>-2.0000000000000002E-5</v>
      </c>
      <c r="H29" s="67">
        <v>17089223.920000002</v>
      </c>
      <c r="I29" s="67">
        <v>17090708.800000001</v>
      </c>
      <c r="J29" s="67">
        <v>1484.8799999989569</v>
      </c>
      <c r="K29" s="268">
        <v>8.6889843971273606E-5</v>
      </c>
    </row>
    <row r="30" spans="1:11">
      <c r="A30" s="51">
        <v>22</v>
      </c>
      <c r="B30" s="52"/>
      <c r="C30" s="74"/>
      <c r="D30" s="53"/>
      <c r="E30" s="67"/>
      <c r="F30" s="57"/>
      <c r="G30" s="270"/>
      <c r="H30" s="52"/>
      <c r="I30" s="67"/>
      <c r="J30" s="67"/>
      <c r="K30" s="268"/>
    </row>
    <row r="31" spans="1:11">
      <c r="A31" s="51">
        <v>23</v>
      </c>
      <c r="B31" s="44" t="s">
        <v>154</v>
      </c>
      <c r="C31" s="31" t="s">
        <v>155</v>
      </c>
      <c r="D31" s="266">
        <v>7520000</v>
      </c>
      <c r="E31" s="269">
        <v>720000</v>
      </c>
      <c r="F31" s="81">
        <v>-4.1E-5</v>
      </c>
      <c r="G31" s="267">
        <v>-1.9000000000000001E-5</v>
      </c>
      <c r="H31" s="67">
        <v>719691.68</v>
      </c>
      <c r="I31" s="67">
        <v>719857.12</v>
      </c>
      <c r="J31" s="67">
        <v>165.43999999994412</v>
      </c>
      <c r="K31" s="268">
        <v>2.2987621588170106E-4</v>
      </c>
    </row>
    <row r="32" spans="1:11">
      <c r="A32" s="51">
        <v>24</v>
      </c>
      <c r="B32" s="44"/>
      <c r="C32" s="31"/>
      <c r="D32" s="53"/>
      <c r="E32" s="67"/>
      <c r="F32" s="57"/>
      <c r="G32" s="270"/>
      <c r="H32" s="58"/>
      <c r="I32" s="67"/>
      <c r="J32" s="67"/>
      <c r="K32" s="268"/>
    </row>
    <row r="33" spans="1:11">
      <c r="A33" s="51">
        <v>25</v>
      </c>
      <c r="B33" s="60" t="s">
        <v>98</v>
      </c>
      <c r="C33" s="74"/>
      <c r="D33" s="53">
        <v>20219267000</v>
      </c>
      <c r="E33" s="67">
        <v>2234704000</v>
      </c>
      <c r="F33" s="57">
        <v>-4.3607793694993983E-5</v>
      </c>
      <c r="G33" s="267">
        <v>-2.0952195515223201E-5</v>
      </c>
      <c r="H33" s="67">
        <v>2233822282.3759999</v>
      </c>
      <c r="I33" s="67">
        <v>2234279579.1939998</v>
      </c>
      <c r="J33" s="67">
        <v>457296.81799976301</v>
      </c>
      <c r="K33" s="268">
        <v>2.0471495051672611E-4</v>
      </c>
    </row>
    <row r="34" spans="1:11">
      <c r="A34" s="51">
        <v>26</v>
      </c>
      <c r="B34" s="61"/>
      <c r="C34" s="74"/>
      <c r="D34" s="53"/>
      <c r="E34" s="67"/>
      <c r="F34" s="58"/>
      <c r="G34" s="271"/>
      <c r="H34" s="58"/>
      <c r="I34" s="67"/>
      <c r="J34" s="67"/>
      <c r="K34" s="268"/>
    </row>
    <row r="35" spans="1:11">
      <c r="A35" s="51">
        <v>27</v>
      </c>
      <c r="B35" s="61" t="s">
        <v>156</v>
      </c>
      <c r="C35" s="74"/>
      <c r="D35" s="53"/>
      <c r="E35" s="67"/>
      <c r="F35" s="67"/>
      <c r="G35" s="271"/>
      <c r="H35" s="58"/>
      <c r="I35" s="67"/>
      <c r="J35" s="67"/>
      <c r="K35" s="68"/>
    </row>
    <row r="36" spans="1:11">
      <c r="A36" s="51">
        <v>28</v>
      </c>
      <c r="B36" s="60" t="s">
        <v>354</v>
      </c>
      <c r="C36" s="31" t="s">
        <v>281</v>
      </c>
      <c r="D36" s="266">
        <v>2190147000</v>
      </c>
      <c r="E36" s="266">
        <v>17287000</v>
      </c>
      <c r="F36" s="67"/>
      <c r="G36" s="271"/>
      <c r="H36" s="67">
        <v>17287000</v>
      </c>
      <c r="I36" s="67">
        <v>17287000</v>
      </c>
      <c r="J36" s="67">
        <v>0</v>
      </c>
      <c r="K36" s="68"/>
    </row>
    <row r="37" spans="1:11">
      <c r="A37" s="51">
        <v>29</v>
      </c>
      <c r="B37" s="59"/>
      <c r="C37" s="74"/>
      <c r="D37" s="53"/>
      <c r="E37" s="67"/>
      <c r="F37" s="67"/>
      <c r="G37" s="271"/>
      <c r="H37" s="58"/>
      <c r="I37" s="67"/>
      <c r="J37" s="67"/>
      <c r="K37" s="68"/>
    </row>
    <row r="38" spans="1:11" ht="13.8" thickBot="1">
      <c r="A38" s="51">
        <v>30</v>
      </c>
      <c r="B38" s="149" t="s">
        <v>18</v>
      </c>
      <c r="C38" s="155"/>
      <c r="D38" s="272">
        <v>22409414000</v>
      </c>
      <c r="E38" s="273">
        <v>2251991000</v>
      </c>
      <c r="F38" s="273"/>
      <c r="G38" s="274"/>
      <c r="H38" s="273">
        <v>2251109282.3759999</v>
      </c>
      <c r="I38" s="273">
        <v>2251566579.1939998</v>
      </c>
      <c r="J38" s="273">
        <v>457296.81799976301</v>
      </c>
      <c r="K38" s="68"/>
    </row>
    <row r="39" spans="1:11" ht="14.4" thickTop="1" thickBot="1">
      <c r="A39" s="45"/>
      <c r="B39" s="63"/>
      <c r="C39" s="64"/>
      <c r="D39" s="65"/>
      <c r="E39" s="50"/>
      <c r="F39" s="50"/>
      <c r="G39" s="275"/>
      <c r="H39" s="63"/>
      <c r="I39" s="65"/>
      <c r="J39" s="63"/>
      <c r="K39" s="66"/>
    </row>
    <row r="41" spans="1:11">
      <c r="I41" s="276">
        <f>+I38-E38</f>
        <v>-424420.8060002327</v>
      </c>
    </row>
    <row r="42" spans="1:11">
      <c r="H42" s="277"/>
    </row>
  </sheetData>
  <printOptions horizontalCentered="1"/>
  <pageMargins left="0.7" right="0.7" top="0.75" bottom="0.71" header="0.3" footer="0.3"/>
  <pageSetup scale="63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37"/>
  <sheetViews>
    <sheetView zoomScaleNormal="100" workbookViewId="0">
      <pane xSplit="3" ySplit="6" topLeftCell="G18" activePane="bottomRight" state="frozen"/>
      <selection activeCell="D8" sqref="D8"/>
      <selection pane="topRight" activeCell="D8" sqref="D8"/>
      <selection pane="bottomLeft" activeCell="D8" sqref="D8"/>
      <selection pane="bottomRight" activeCell="G33" sqref="G33"/>
    </sheetView>
  </sheetViews>
  <sheetFormatPr defaultColWidth="8.88671875" defaultRowHeight="13.2"/>
  <cols>
    <col min="1" max="1" width="10.109375" style="73" customWidth="1"/>
    <col min="2" max="2" width="37.33203125" style="73" bestFit="1" customWidth="1"/>
    <col min="3" max="3" width="11.33203125" style="73" bestFit="1" customWidth="1"/>
    <col min="4" max="4" width="16.33203125" style="73" bestFit="1" customWidth="1"/>
    <col min="5" max="6" width="15.109375" style="73" bestFit="1" customWidth="1"/>
    <col min="7" max="7" width="15.33203125" style="73" bestFit="1" customWidth="1"/>
    <col min="8" max="9" width="12.6640625" style="73" bestFit="1" customWidth="1"/>
    <col min="10" max="16384" width="8.88671875" style="73"/>
  </cols>
  <sheetData>
    <row r="1" spans="1:9">
      <c r="A1" s="824" t="s">
        <v>0</v>
      </c>
      <c r="B1" s="824"/>
      <c r="C1" s="824"/>
      <c r="D1" s="824"/>
      <c r="E1" s="824"/>
      <c r="F1" s="824"/>
      <c r="G1" s="824"/>
      <c r="H1" s="824"/>
      <c r="I1" s="824"/>
    </row>
    <row r="2" spans="1:9">
      <c r="A2" s="824" t="s">
        <v>113</v>
      </c>
      <c r="B2" s="824"/>
      <c r="C2" s="824"/>
      <c r="D2" s="824"/>
      <c r="E2" s="824"/>
      <c r="F2" s="824"/>
      <c r="G2" s="824"/>
      <c r="H2" s="824"/>
      <c r="I2" s="824"/>
    </row>
    <row r="3" spans="1:9">
      <c r="A3" s="825" t="s">
        <v>355</v>
      </c>
      <c r="B3" s="824"/>
      <c r="C3" s="824"/>
      <c r="D3" s="824"/>
      <c r="E3" s="824"/>
      <c r="F3" s="824"/>
      <c r="G3" s="824"/>
      <c r="H3" s="824"/>
      <c r="I3" s="824"/>
    </row>
    <row r="4" spans="1:9">
      <c r="A4" s="72"/>
      <c r="B4" s="5"/>
      <c r="C4" s="5"/>
      <c r="D4" s="5"/>
      <c r="E4" s="5"/>
      <c r="F4" s="72"/>
      <c r="G4" s="72"/>
      <c r="H4" s="72"/>
      <c r="I4" s="72"/>
    </row>
    <row r="5" spans="1:9" ht="66">
      <c r="A5" s="230" t="s">
        <v>2</v>
      </c>
      <c r="B5" s="230" t="s">
        <v>114</v>
      </c>
      <c r="C5" s="230" t="s">
        <v>105</v>
      </c>
      <c r="D5" s="119" t="s">
        <v>356</v>
      </c>
      <c r="E5" s="119" t="s">
        <v>357</v>
      </c>
      <c r="F5" s="119" t="s">
        <v>358</v>
      </c>
      <c r="G5" s="231" t="s">
        <v>359</v>
      </c>
      <c r="H5" s="119" t="s">
        <v>115</v>
      </c>
      <c r="I5" s="119" t="s">
        <v>116</v>
      </c>
    </row>
    <row r="6" spans="1:9" ht="26.4">
      <c r="A6" s="232"/>
      <c r="B6" s="233" t="s">
        <v>117</v>
      </c>
      <c r="C6" s="234" t="s">
        <v>118</v>
      </c>
      <c r="D6" s="234" t="s">
        <v>119</v>
      </c>
      <c r="E6" s="234" t="s">
        <v>120</v>
      </c>
      <c r="F6" s="235" t="s">
        <v>121</v>
      </c>
      <c r="G6" s="236" t="s">
        <v>122</v>
      </c>
      <c r="H6" s="234" t="s">
        <v>123</v>
      </c>
      <c r="I6" s="234" t="s">
        <v>124</v>
      </c>
    </row>
    <row r="7" spans="1:9">
      <c r="A7" s="237">
        <v>1</v>
      </c>
      <c r="B7" s="8" t="s">
        <v>11</v>
      </c>
      <c r="C7" s="6"/>
      <c r="D7" s="232"/>
      <c r="E7" s="238"/>
      <c r="F7" s="237"/>
      <c r="G7" s="239"/>
      <c r="H7" s="238"/>
      <c r="I7" s="238"/>
    </row>
    <row r="8" spans="1:9">
      <c r="A8" s="237">
        <v>2</v>
      </c>
      <c r="B8" s="9" t="s">
        <v>11</v>
      </c>
      <c r="C8" s="108">
        <v>7</v>
      </c>
      <c r="D8" s="240">
        <v>10836904000</v>
      </c>
      <c r="E8" s="240">
        <v>1145660000</v>
      </c>
      <c r="F8" s="241">
        <v>3.209E-3</v>
      </c>
      <c r="G8" s="242">
        <v>3.0720000000000001E-3</v>
      </c>
      <c r="H8" s="10">
        <f>SUM(G8,-F8)*D8</f>
        <v>-1484655.8479999998</v>
      </c>
      <c r="I8" s="11">
        <f>H8/SUM(E8,D8*F8)</f>
        <v>-1.2577186054347467E-3</v>
      </c>
    </row>
    <row r="9" spans="1:9">
      <c r="A9" s="237">
        <v>3</v>
      </c>
      <c r="B9" s="12" t="s">
        <v>125</v>
      </c>
      <c r="C9" s="72"/>
      <c r="D9" s="13">
        <f>SUM(D8:D8)</f>
        <v>10836904000</v>
      </c>
      <c r="E9" s="14">
        <f>SUM(E8:E8)</f>
        <v>1145660000</v>
      </c>
      <c r="F9" s="15">
        <v>3.209E-3</v>
      </c>
      <c r="G9" s="243">
        <f>+G8</f>
        <v>3.0720000000000001E-3</v>
      </c>
      <c r="H9" s="14">
        <f>SUM(H8:H8)</f>
        <v>-1484655.8479999998</v>
      </c>
      <c r="I9" s="16">
        <f>H9/SUM(E9,D9*F9)</f>
        <v>-1.2577186054347467E-3</v>
      </c>
    </row>
    <row r="10" spans="1:9">
      <c r="A10" s="237">
        <v>4</v>
      </c>
      <c r="B10" s="72"/>
      <c r="C10" s="72"/>
      <c r="D10" s="17"/>
      <c r="E10" s="18"/>
      <c r="F10" s="19"/>
      <c r="G10" s="244"/>
      <c r="H10" s="18"/>
      <c r="I10" s="20"/>
    </row>
    <row r="11" spans="1:9">
      <c r="A11" s="237">
        <v>5</v>
      </c>
      <c r="B11" s="72" t="s">
        <v>126</v>
      </c>
      <c r="C11" s="72"/>
      <c r="D11" s="17"/>
      <c r="E11" s="18"/>
      <c r="F11" s="19"/>
      <c r="G11" s="244"/>
      <c r="H11" s="18"/>
      <c r="I11" s="20"/>
    </row>
    <row r="12" spans="1:9">
      <c r="A12" s="237">
        <v>6</v>
      </c>
      <c r="B12" s="21" t="s">
        <v>127</v>
      </c>
      <c r="C12" s="109" t="s">
        <v>108</v>
      </c>
      <c r="D12" s="245">
        <v>2675945000</v>
      </c>
      <c r="E12" s="246">
        <v>285756000</v>
      </c>
      <c r="F12" s="241">
        <v>2.6420000000000003E-3</v>
      </c>
      <c r="G12" s="242">
        <v>2.6389999999999999E-3</v>
      </c>
      <c r="H12" s="18">
        <f t="shared" ref="H12:H15" si="0">SUM(G12,-F12)*D12</f>
        <v>-8027.835000001066</v>
      </c>
      <c r="I12" s="20">
        <f t="shared" ref="I12:I16" si="1">H12/SUM(E12,D12*F12)</f>
        <v>-2.7415049220363839E-5</v>
      </c>
    </row>
    <row r="13" spans="1:9">
      <c r="A13" s="237">
        <v>7</v>
      </c>
      <c r="B13" s="21" t="s">
        <v>128</v>
      </c>
      <c r="C13" s="109" t="s">
        <v>129</v>
      </c>
      <c r="D13" s="245">
        <v>2841443000</v>
      </c>
      <c r="E13" s="246">
        <v>274081000</v>
      </c>
      <c r="F13" s="241">
        <v>2.2929999999999999E-3</v>
      </c>
      <c r="G13" s="242">
        <v>2.4289999999999997E-3</v>
      </c>
      <c r="H13" s="18">
        <f t="shared" si="0"/>
        <v>386436.24799999956</v>
      </c>
      <c r="I13" s="20">
        <f t="shared" si="1"/>
        <v>1.3771958882513643E-3</v>
      </c>
    </row>
    <row r="14" spans="1:9">
      <c r="A14" s="237">
        <v>8</v>
      </c>
      <c r="B14" s="21" t="s">
        <v>130</v>
      </c>
      <c r="C14" s="109" t="s">
        <v>164</v>
      </c>
      <c r="D14" s="245">
        <v>1673580000</v>
      </c>
      <c r="E14" s="246">
        <v>150672000</v>
      </c>
      <c r="F14" s="241">
        <v>2.264E-3</v>
      </c>
      <c r="G14" s="242">
        <v>2.307E-3</v>
      </c>
      <c r="H14" s="18">
        <f t="shared" si="0"/>
        <v>71963.940000000119</v>
      </c>
      <c r="I14" s="20">
        <f t="shared" si="1"/>
        <v>4.6590367104088891E-4</v>
      </c>
    </row>
    <row r="15" spans="1:9">
      <c r="A15" s="237">
        <v>9</v>
      </c>
      <c r="B15" s="9" t="s">
        <v>131</v>
      </c>
      <c r="C15" s="108">
        <v>29</v>
      </c>
      <c r="D15" s="245">
        <v>14601000</v>
      </c>
      <c r="E15" s="246">
        <v>1111000</v>
      </c>
      <c r="F15" s="241">
        <v>2.2929999999999999E-3</v>
      </c>
      <c r="G15" s="242">
        <v>2.4289999999999997E-3</v>
      </c>
      <c r="H15" s="18">
        <f t="shared" si="0"/>
        <v>1985.7359999999976</v>
      </c>
      <c r="I15" s="20">
        <f t="shared" si="1"/>
        <v>1.7350550805954449E-3</v>
      </c>
    </row>
    <row r="16" spans="1:9">
      <c r="A16" s="237">
        <v>10</v>
      </c>
      <c r="B16" s="22" t="s">
        <v>13</v>
      </c>
      <c r="C16" s="72"/>
      <c r="D16" s="13">
        <f>SUM(D12:D15)</f>
        <v>7205569000</v>
      </c>
      <c r="E16" s="14">
        <f>SUM(E12:E15)</f>
        <v>711620000</v>
      </c>
      <c r="F16" s="15">
        <v>2.4160468858877102E-3</v>
      </c>
      <c r="G16" s="243">
        <f>SUMPRODUCT(D12:D15,G12:G15)/SUM(D12:D15)</f>
        <v>2.4786521079737073E-3</v>
      </c>
      <c r="H16" s="14">
        <f>SUM(H12:H15)</f>
        <v>452358.08899999858</v>
      </c>
      <c r="I16" s="16">
        <f t="shared" si="1"/>
        <v>6.2049396337691975E-4</v>
      </c>
    </row>
    <row r="17" spans="1:9">
      <c r="A17" s="237">
        <v>11</v>
      </c>
      <c r="B17" s="72"/>
      <c r="C17" s="72"/>
      <c r="D17" s="17"/>
      <c r="E17" s="18"/>
      <c r="F17" s="19"/>
      <c r="G17" s="244"/>
      <c r="H17" s="18"/>
      <c r="I17" s="20"/>
    </row>
    <row r="18" spans="1:9">
      <c r="A18" s="237">
        <v>12</v>
      </c>
      <c r="B18" s="72" t="s">
        <v>132</v>
      </c>
      <c r="C18" s="72"/>
      <c r="D18" s="17"/>
      <c r="E18" s="18"/>
      <c r="F18" s="19"/>
      <c r="G18" s="244"/>
      <c r="H18" s="18"/>
      <c r="I18" s="20"/>
    </row>
    <row r="19" spans="1:9">
      <c r="A19" s="237">
        <v>13</v>
      </c>
      <c r="B19" s="21" t="s">
        <v>133</v>
      </c>
      <c r="C19" s="109" t="s">
        <v>111</v>
      </c>
      <c r="D19" s="245">
        <v>1279393000</v>
      </c>
      <c r="E19" s="246">
        <v>113696000</v>
      </c>
      <c r="F19" s="241">
        <v>2.1180000000000001E-3</v>
      </c>
      <c r="G19" s="242">
        <v>2.222E-3</v>
      </c>
      <c r="H19" s="18">
        <f t="shared" ref="H19:H21" si="2">SUM(G19,-F19)*D19</f>
        <v>133056.87199999992</v>
      </c>
      <c r="I19" s="20">
        <f t="shared" ref="I19:I22" si="3">H19/SUM(E19,D19*F19)</f>
        <v>1.1430437671706636E-3</v>
      </c>
    </row>
    <row r="20" spans="1:9">
      <c r="A20" s="237">
        <v>14</v>
      </c>
      <c r="B20" s="9" t="s">
        <v>131</v>
      </c>
      <c r="C20" s="108">
        <v>35</v>
      </c>
      <c r="D20" s="245">
        <v>4334000</v>
      </c>
      <c r="E20" s="246">
        <v>254000</v>
      </c>
      <c r="F20" s="241">
        <v>2.1180000000000001E-3</v>
      </c>
      <c r="G20" s="242">
        <v>2.222E-3</v>
      </c>
      <c r="H20" s="18">
        <f t="shared" si="2"/>
        <v>450.73599999999971</v>
      </c>
      <c r="I20" s="20">
        <f t="shared" si="3"/>
        <v>1.7126567635921297E-3</v>
      </c>
    </row>
    <row r="21" spans="1:9">
      <c r="A21" s="237">
        <v>15</v>
      </c>
      <c r="B21" s="9" t="s">
        <v>134</v>
      </c>
      <c r="C21" s="108">
        <v>43</v>
      </c>
      <c r="D21" s="245">
        <v>110092000</v>
      </c>
      <c r="E21" s="246">
        <v>10283000</v>
      </c>
      <c r="F21" s="241">
        <v>3.0140000000000002E-3</v>
      </c>
      <c r="G21" s="242">
        <v>3.0560000000000001E-3</v>
      </c>
      <c r="H21" s="18">
        <f t="shared" si="2"/>
        <v>4623.8639999999932</v>
      </c>
      <c r="I21" s="20">
        <f t="shared" si="3"/>
        <v>4.3560467170991715E-4</v>
      </c>
    </row>
    <row r="22" spans="1:9">
      <c r="A22" s="237">
        <v>16</v>
      </c>
      <c r="B22" s="12" t="s">
        <v>14</v>
      </c>
      <c r="C22" s="72"/>
      <c r="D22" s="13">
        <f>SUM(D19:D21)</f>
        <v>1393819000</v>
      </c>
      <c r="E22" s="14">
        <f>SUM(E19:E21)</f>
        <v>124233000</v>
      </c>
      <c r="F22" s="15">
        <v>2.1914254822874304E-3</v>
      </c>
      <c r="G22" s="243">
        <f>SUMPRODUCT(D19:D21,G19:G21)/SUM(D19:D21)</f>
        <v>2.2878742117879007E-3</v>
      </c>
      <c r="H22" s="14">
        <f>SUM(H19:H21)</f>
        <v>138131.47199999992</v>
      </c>
      <c r="I22" s="16">
        <f t="shared" si="3"/>
        <v>1.0851931709315939E-3</v>
      </c>
    </row>
    <row r="23" spans="1:9">
      <c r="A23" s="237">
        <v>17</v>
      </c>
      <c r="B23" s="72"/>
      <c r="C23" s="72"/>
      <c r="D23" s="23"/>
      <c r="E23" s="24"/>
      <c r="F23" s="25"/>
      <c r="G23" s="247"/>
      <c r="H23" s="24"/>
      <c r="I23" s="26"/>
    </row>
    <row r="24" spans="1:9">
      <c r="A24" s="237">
        <v>18</v>
      </c>
      <c r="B24" s="22" t="s">
        <v>262</v>
      </c>
      <c r="C24" s="108" t="s">
        <v>268</v>
      </c>
      <c r="D24" s="248">
        <v>480416000</v>
      </c>
      <c r="E24" s="249">
        <v>9050000</v>
      </c>
      <c r="F24" s="250">
        <v>2.0800000000000003E-3</v>
      </c>
      <c r="G24" s="251">
        <v>4.8499999999999997E-4</v>
      </c>
      <c r="H24" s="14">
        <f>SUM(G24,-F24)*D24</f>
        <v>-766263.52000000014</v>
      </c>
      <c r="I24" s="16">
        <f>H24/SUM(E24,D24*F24)</f>
        <v>-7.6250700787550529E-2</v>
      </c>
    </row>
    <row r="25" spans="1:9">
      <c r="A25" s="237">
        <v>19</v>
      </c>
      <c r="B25" s="72"/>
      <c r="C25" s="72"/>
      <c r="D25" s="23"/>
      <c r="E25" s="24"/>
      <c r="F25" s="25"/>
      <c r="G25" s="247"/>
      <c r="H25" s="24"/>
      <c r="I25" s="26"/>
    </row>
    <row r="26" spans="1:9">
      <c r="A26" s="237">
        <v>20</v>
      </c>
      <c r="B26" s="72" t="s">
        <v>135</v>
      </c>
      <c r="C26" s="72"/>
      <c r="D26" s="17"/>
      <c r="E26" s="18"/>
      <c r="F26" s="19"/>
      <c r="G26" s="244"/>
      <c r="H26" s="18"/>
      <c r="I26" s="20"/>
    </row>
    <row r="27" spans="1:9">
      <c r="A27" s="237">
        <v>21</v>
      </c>
      <c r="B27" s="21" t="s">
        <v>136</v>
      </c>
      <c r="C27" s="108">
        <v>46</v>
      </c>
      <c r="D27" s="245">
        <v>64495000</v>
      </c>
      <c r="E27" s="246">
        <v>4578000</v>
      </c>
      <c r="F27" s="252">
        <v>1.6779999999999998E-3</v>
      </c>
      <c r="G27" s="253">
        <v>1.668E-3</v>
      </c>
      <c r="H27" s="18">
        <f t="shared" ref="H27:H28" si="4">SUM(G27,-F27)*D27</f>
        <v>-644.94999999998765</v>
      </c>
      <c r="I27" s="20">
        <f t="shared" ref="I27:I29" si="5">H27/SUM(E27,D27*F27)</f>
        <v>-1.3762683800460507E-4</v>
      </c>
    </row>
    <row r="28" spans="1:9">
      <c r="A28" s="237">
        <v>22</v>
      </c>
      <c r="B28" s="21" t="s">
        <v>133</v>
      </c>
      <c r="C28" s="108">
        <v>49</v>
      </c>
      <c r="D28" s="245">
        <v>512961000</v>
      </c>
      <c r="E28" s="246">
        <v>36210000</v>
      </c>
      <c r="F28" s="252">
        <v>1.6779999999999998E-3</v>
      </c>
      <c r="G28" s="253">
        <v>1.668E-3</v>
      </c>
      <c r="H28" s="18">
        <f t="shared" si="4"/>
        <v>-5129.6099999999024</v>
      </c>
      <c r="I28" s="20">
        <f t="shared" si="5"/>
        <v>-1.3837352089004186E-4</v>
      </c>
    </row>
    <row r="29" spans="1:9">
      <c r="A29" s="237">
        <v>23</v>
      </c>
      <c r="B29" s="22" t="s">
        <v>15</v>
      </c>
      <c r="C29" s="72"/>
      <c r="D29" s="13">
        <f>SUM(D27:D28)</f>
        <v>577456000</v>
      </c>
      <c r="E29" s="14">
        <f>SUM(E27:E28)</f>
        <v>40788000</v>
      </c>
      <c r="F29" s="15">
        <v>1.6779999999999998E-3</v>
      </c>
      <c r="G29" s="243">
        <f>SUMPRODUCT(D27:D28,G27:G28)/SUM(D27:D28)</f>
        <v>1.668E-3</v>
      </c>
      <c r="H29" s="14">
        <f>SUM(H27:H28)</f>
        <v>-5774.5599999998904</v>
      </c>
      <c r="I29" s="16">
        <f t="shared" si="5"/>
        <v>-1.3828972357135812E-4</v>
      </c>
    </row>
    <row r="30" spans="1:9">
      <c r="A30" s="237">
        <v>24</v>
      </c>
      <c r="B30" s="72"/>
      <c r="C30" s="72"/>
      <c r="D30" s="23"/>
      <c r="E30" s="24"/>
      <c r="F30" s="25"/>
      <c r="G30" s="247"/>
      <c r="H30" s="24"/>
      <c r="I30" s="26"/>
    </row>
    <row r="31" spans="1:9">
      <c r="A31" s="237">
        <v>25</v>
      </c>
      <c r="B31" s="72" t="s">
        <v>137</v>
      </c>
      <c r="C31" s="108" t="s">
        <v>16</v>
      </c>
      <c r="D31" s="248">
        <v>62835000</v>
      </c>
      <c r="E31" s="249">
        <v>15462000</v>
      </c>
      <c r="F31" s="250">
        <v>9.5250000000000005E-3</v>
      </c>
      <c r="G31" s="251">
        <v>9.2899999999999996E-3</v>
      </c>
      <c r="H31" s="14">
        <f>SUM(G31,-F31)*D31</f>
        <v>-14766.225000000053</v>
      </c>
      <c r="I31" s="16">
        <f>H31/SUM(E31,D31*F31)</f>
        <v>-9.19412340648386E-4</v>
      </c>
    </row>
    <row r="32" spans="1:9">
      <c r="A32" s="237">
        <v>26</v>
      </c>
      <c r="B32" s="72"/>
      <c r="C32" s="108"/>
      <c r="D32" s="23"/>
      <c r="E32" s="24"/>
      <c r="F32" s="25"/>
      <c r="G32" s="247"/>
      <c r="H32" s="24"/>
      <c r="I32" s="26"/>
    </row>
    <row r="33" spans="1:9">
      <c r="A33" s="237">
        <v>27</v>
      </c>
      <c r="B33" s="12" t="s">
        <v>138</v>
      </c>
      <c r="C33" s="108" t="s">
        <v>17</v>
      </c>
      <c r="D33" s="248">
        <v>1999367000</v>
      </c>
      <c r="E33" s="249">
        <v>12128000</v>
      </c>
      <c r="F33" s="250">
        <v>2.5000000000000001E-5</v>
      </c>
      <c r="G33" s="251">
        <v>2.1999999999999999E-5</v>
      </c>
      <c r="H33" s="14">
        <f>SUM(G33,-F33)*D33</f>
        <v>-5998.1010000000033</v>
      </c>
      <c r="I33" s="16">
        <f t="shared" ref="I33" si="6">H33/SUM(E33,D33*F33)</f>
        <v>-4.925364423049107E-4</v>
      </c>
    </row>
    <row r="34" spans="1:9">
      <c r="A34" s="237">
        <v>28</v>
      </c>
      <c r="B34" s="72"/>
      <c r="C34" s="72"/>
      <c r="D34" s="23"/>
      <c r="E34" s="24"/>
      <c r="F34" s="25"/>
      <c r="G34" s="247"/>
      <c r="H34" s="24"/>
      <c r="I34" s="26"/>
    </row>
    <row r="35" spans="1:9" ht="13.8" thickBot="1">
      <c r="A35" s="237">
        <v>29</v>
      </c>
      <c r="B35" s="22" t="s">
        <v>139</v>
      </c>
      <c r="C35" s="72"/>
      <c r="D35" s="27">
        <f>SUM(D9,D16,D22,D24,D29,D31,D33)</f>
        <v>22556366000</v>
      </c>
      <c r="E35" s="28">
        <f>SUM(E9,E16,E22,E24,E29,E31,E33)</f>
        <v>2058941000</v>
      </c>
      <c r="F35" s="29">
        <v>2.5528270926158873E-3</v>
      </c>
      <c r="G35" s="254">
        <f>(+G9*D9+G16*D16+G22*D22+G24*D24+G29*D29+G31*D31+G33*D33)/D35</f>
        <v>2.4899344166077106E-3</v>
      </c>
      <c r="H35" s="28">
        <f>SUM(H9,H16,H22,H24,H29,H31,H33)</f>
        <v>-1686968.6930000014</v>
      </c>
      <c r="I35" s="30">
        <f>H35/SUM(E35,D35*F35)</f>
        <v>-7.9704699296653011E-4</v>
      </c>
    </row>
    <row r="36" spans="1:9" ht="13.8" thickTop="1"/>
    <row r="37" spans="1:9">
      <c r="F37" s="255"/>
      <c r="G37" s="105">
        <f>+G35*D35</f>
        <v>56163872.016999997</v>
      </c>
    </row>
  </sheetData>
  <mergeCells count="3">
    <mergeCell ref="A1:I1"/>
    <mergeCell ref="A2:I2"/>
    <mergeCell ref="A3:I3"/>
  </mergeCells>
  <printOptions horizontalCentered="1"/>
  <pageMargins left="0.7" right="0.7" top="0.75" bottom="0.71" header="0.3" footer="0.3"/>
  <pageSetup scale="68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Q48"/>
  <sheetViews>
    <sheetView workbookViewId="0">
      <pane xSplit="6" ySplit="9" topLeftCell="M42" activePane="bottomRight" state="frozen"/>
      <selection activeCell="D8" sqref="D8"/>
      <selection pane="topRight" activeCell="D8" sqref="D8"/>
      <selection pane="bottomLeft" activeCell="D8" sqref="D8"/>
      <selection pane="bottomRight" activeCell="M42" sqref="M42"/>
    </sheetView>
  </sheetViews>
  <sheetFormatPr defaultColWidth="4" defaultRowHeight="13.2"/>
  <cols>
    <col min="1" max="1" width="3.6640625" style="110" bestFit="1" customWidth="1"/>
    <col min="2" max="2" width="4" style="110"/>
    <col min="3" max="3" width="32.33203125" style="110" bestFit="1" customWidth="1"/>
    <col min="4" max="4" width="4" style="110"/>
    <col min="5" max="5" width="11.109375" style="110" bestFit="1" customWidth="1"/>
    <col min="6" max="6" width="4" style="110"/>
    <col min="7" max="7" width="10.6640625" style="110" bestFit="1" customWidth="1"/>
    <col min="8" max="8" width="12.88671875" style="110" bestFit="1" customWidth="1"/>
    <col min="9" max="9" width="4" style="110"/>
    <col min="10" max="10" width="8" style="110" bestFit="1" customWidth="1"/>
    <col min="11" max="11" width="4" style="110"/>
    <col min="12" max="12" width="10.6640625" style="110" bestFit="1" customWidth="1"/>
    <col min="13" max="13" width="9.44140625" style="110" bestFit="1" customWidth="1"/>
    <col min="14" max="14" width="4" style="110"/>
    <col min="15" max="15" width="8.33203125" style="110" bestFit="1" customWidth="1"/>
    <col min="16" max="16" width="4" style="110"/>
    <col min="17" max="17" width="14.88671875" style="110" bestFit="1" customWidth="1"/>
    <col min="18" max="16384" width="4" style="110"/>
  </cols>
  <sheetData>
    <row r="1" spans="1:17">
      <c r="A1" s="828" t="s">
        <v>22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  <c r="P1" s="828"/>
      <c r="Q1" s="828"/>
    </row>
    <row r="2" spans="1:17">
      <c r="A2" s="828" t="s">
        <v>360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828"/>
      <c r="M2" s="828"/>
      <c r="N2" s="828"/>
      <c r="O2" s="828"/>
      <c r="P2" s="828"/>
      <c r="Q2" s="828"/>
    </row>
    <row r="3" spans="1:17">
      <c r="A3" s="828" t="s">
        <v>361</v>
      </c>
      <c r="B3" s="828"/>
      <c r="C3" s="828"/>
      <c r="D3" s="828"/>
      <c r="E3" s="828"/>
      <c r="F3" s="828"/>
      <c r="G3" s="828"/>
      <c r="H3" s="828"/>
      <c r="I3" s="828"/>
      <c r="J3" s="828"/>
      <c r="K3" s="828"/>
      <c r="L3" s="828"/>
      <c r="M3" s="828"/>
      <c r="N3" s="828"/>
      <c r="O3" s="828"/>
      <c r="P3" s="828"/>
      <c r="Q3" s="828"/>
    </row>
    <row r="4" spans="1:17">
      <c r="A4" s="828" t="s">
        <v>362</v>
      </c>
      <c r="B4" s="828"/>
      <c r="C4" s="828"/>
      <c r="D4" s="828"/>
      <c r="E4" s="828"/>
      <c r="F4" s="828"/>
      <c r="G4" s="828"/>
      <c r="H4" s="828"/>
      <c r="I4" s="828"/>
      <c r="J4" s="828"/>
      <c r="K4" s="828"/>
      <c r="L4" s="828"/>
      <c r="M4" s="828"/>
      <c r="N4" s="828"/>
      <c r="O4" s="828"/>
      <c r="P4" s="828"/>
      <c r="Q4" s="828"/>
    </row>
    <row r="5" spans="1:17">
      <c r="A5" s="72"/>
      <c r="B5" s="72"/>
      <c r="C5" s="72"/>
      <c r="D5" s="72"/>
      <c r="E5" s="72"/>
      <c r="F5" s="72"/>
      <c r="G5" s="72"/>
      <c r="H5" s="72"/>
      <c r="I5" s="111"/>
      <c r="J5" s="72"/>
      <c r="K5" s="72"/>
      <c r="L5" s="72"/>
      <c r="M5" s="72"/>
      <c r="N5" s="72"/>
      <c r="O5" s="72"/>
      <c r="P5" s="72"/>
      <c r="Q5" s="72"/>
    </row>
    <row r="6" spans="1:17">
      <c r="A6" s="72"/>
      <c r="B6" s="72"/>
      <c r="C6" s="72"/>
      <c r="D6" s="72"/>
      <c r="E6" s="109"/>
      <c r="F6" s="108"/>
      <c r="G6" s="108"/>
      <c r="H6" s="72"/>
      <c r="I6" s="112"/>
      <c r="J6" s="113"/>
      <c r="K6" s="7"/>
      <c r="L6" s="113"/>
      <c r="M6" s="113"/>
      <c r="N6" s="72"/>
      <c r="O6" s="113"/>
      <c r="P6" s="72"/>
      <c r="Q6" s="72"/>
    </row>
    <row r="7" spans="1:17">
      <c r="A7" s="108"/>
      <c r="B7" s="72"/>
      <c r="C7" s="72"/>
      <c r="D7" s="72"/>
      <c r="E7" s="108"/>
      <c r="F7" s="108"/>
      <c r="G7" s="109"/>
      <c r="H7" s="109"/>
      <c r="I7" s="108"/>
      <c r="J7" s="113"/>
      <c r="K7" s="7"/>
      <c r="L7" s="113"/>
      <c r="M7" s="829" t="s">
        <v>363</v>
      </c>
      <c r="N7" s="830"/>
      <c r="O7" s="830"/>
      <c r="P7" s="72"/>
      <c r="Q7" s="72"/>
    </row>
    <row r="8" spans="1:17" ht="52.8">
      <c r="A8" s="114" t="s">
        <v>2</v>
      </c>
      <c r="B8" s="115"/>
      <c r="C8" s="116" t="s">
        <v>31</v>
      </c>
      <c r="D8" s="115"/>
      <c r="E8" s="117" t="s">
        <v>364</v>
      </c>
      <c r="F8" s="118"/>
      <c r="G8" s="119" t="s">
        <v>365</v>
      </c>
      <c r="H8" s="119" t="s">
        <v>366</v>
      </c>
      <c r="I8" s="118"/>
      <c r="J8" s="119" t="s">
        <v>367</v>
      </c>
      <c r="K8" s="115"/>
      <c r="L8" s="119" t="s">
        <v>368</v>
      </c>
      <c r="M8" s="119" t="s">
        <v>369</v>
      </c>
      <c r="N8" s="119"/>
      <c r="O8" s="119" t="s">
        <v>370</v>
      </c>
      <c r="P8" s="115"/>
      <c r="Q8" s="119" t="s">
        <v>371</v>
      </c>
    </row>
    <row r="9" spans="1:17">
      <c r="A9" s="120"/>
      <c r="B9" s="72"/>
      <c r="C9" s="109" t="s">
        <v>33</v>
      </c>
      <c r="D9" s="72"/>
      <c r="E9" s="109" t="s">
        <v>34</v>
      </c>
      <c r="F9" s="108"/>
      <c r="G9" s="109" t="s">
        <v>35</v>
      </c>
      <c r="H9" s="109" t="s">
        <v>35</v>
      </c>
      <c r="I9" s="109"/>
      <c r="J9" s="72"/>
      <c r="K9" s="72"/>
      <c r="L9" s="121"/>
      <c r="M9" s="72"/>
      <c r="N9" s="72"/>
      <c r="O9" s="72"/>
      <c r="P9" s="72"/>
      <c r="Q9" s="72"/>
    </row>
    <row r="10" spans="1:17">
      <c r="A10" s="72"/>
      <c r="B10" s="72"/>
      <c r="C10" s="72"/>
      <c r="D10" s="72"/>
      <c r="E10" s="72"/>
      <c r="F10" s="72"/>
      <c r="G10" s="72"/>
      <c r="H10" s="72"/>
      <c r="I10" s="109"/>
      <c r="J10" s="72"/>
      <c r="K10" s="72"/>
      <c r="L10" s="121"/>
      <c r="M10" s="72"/>
      <c r="N10" s="72"/>
      <c r="O10" s="72"/>
      <c r="P10" s="72"/>
      <c r="Q10" s="72"/>
    </row>
    <row r="11" spans="1:17">
      <c r="A11" s="72"/>
      <c r="B11" s="72"/>
      <c r="C11" s="122" t="s">
        <v>36</v>
      </c>
      <c r="D11" s="72"/>
      <c r="E11" s="72"/>
      <c r="F11" s="72"/>
      <c r="G11" s="72"/>
      <c r="H11" s="72"/>
      <c r="I11" s="72"/>
      <c r="J11" s="72"/>
      <c r="K11" s="72"/>
      <c r="L11" s="121"/>
      <c r="M11" s="72"/>
      <c r="N11" s="72"/>
      <c r="O11" s="72"/>
      <c r="P11" s="72"/>
      <c r="Q11" s="72"/>
    </row>
    <row r="12" spans="1:17">
      <c r="A12" s="108">
        <v>1</v>
      </c>
      <c r="B12" s="72"/>
      <c r="C12" s="72" t="s">
        <v>36</v>
      </c>
      <c r="D12" s="72"/>
      <c r="E12" s="109">
        <v>7</v>
      </c>
      <c r="F12" s="109"/>
      <c r="G12" s="123">
        <v>13996961</v>
      </c>
      <c r="H12" s="124">
        <v>3135176522.0642085</v>
      </c>
      <c r="I12" s="125"/>
      <c r="J12" s="126">
        <v>0.58980569344862599</v>
      </c>
      <c r="K12" s="126"/>
      <c r="L12" s="127">
        <v>11895977.986481845</v>
      </c>
      <c r="M12" s="128">
        <v>8.4999999999999995E-4</v>
      </c>
      <c r="N12" s="72"/>
      <c r="O12" s="72"/>
      <c r="P12" s="72"/>
      <c r="Q12" s="22" t="s">
        <v>372</v>
      </c>
    </row>
    <row r="13" spans="1:17">
      <c r="A13" s="108">
        <v>2</v>
      </c>
      <c r="B13" s="72"/>
      <c r="C13" s="129" t="s">
        <v>37</v>
      </c>
      <c r="D13" s="72"/>
      <c r="E13" s="72"/>
      <c r="F13" s="72"/>
      <c r="G13" s="130">
        <v>13996961</v>
      </c>
      <c r="H13" s="131">
        <v>3135176522.0642085</v>
      </c>
      <c r="I13" s="125"/>
      <c r="J13" s="126"/>
      <c r="K13" s="126"/>
      <c r="L13" s="132">
        <v>11895977.986481845</v>
      </c>
      <c r="M13" s="72"/>
      <c r="N13" s="72"/>
      <c r="O13" s="72"/>
      <c r="P13" s="72"/>
      <c r="Q13" s="72"/>
    </row>
    <row r="14" spans="1:17">
      <c r="A14" s="72"/>
      <c r="B14" s="72"/>
      <c r="C14" s="72"/>
      <c r="D14" s="72"/>
      <c r="E14" s="72"/>
      <c r="F14" s="72"/>
      <c r="G14" s="133" t="s">
        <v>20</v>
      </c>
      <c r="H14" s="121" t="s">
        <v>20</v>
      </c>
      <c r="I14" s="134"/>
      <c r="J14" s="126"/>
      <c r="K14" s="126"/>
      <c r="L14" s="121"/>
      <c r="M14" s="72"/>
      <c r="N14" s="72"/>
      <c r="O14" s="72"/>
      <c r="P14" s="72"/>
      <c r="Q14" s="72"/>
    </row>
    <row r="15" spans="1:17">
      <c r="A15" s="72"/>
      <c r="B15" s="72"/>
      <c r="C15" s="135" t="s">
        <v>38</v>
      </c>
      <c r="D15" s="72"/>
      <c r="E15" s="72"/>
      <c r="F15" s="72"/>
      <c r="G15" s="133"/>
      <c r="H15" s="121"/>
      <c r="I15" s="134"/>
      <c r="J15" s="126"/>
      <c r="K15" s="126"/>
      <c r="L15" s="121"/>
      <c r="M15" s="72"/>
      <c r="N15" s="72"/>
      <c r="O15" s="72"/>
      <c r="P15" s="72"/>
      <c r="Q15" s="72"/>
    </row>
    <row r="16" spans="1:17">
      <c r="A16" s="108">
        <v>3</v>
      </c>
      <c r="B16" s="72"/>
      <c r="C16" s="22" t="s">
        <v>39</v>
      </c>
      <c r="D16" s="72"/>
      <c r="E16" s="109" t="s">
        <v>40</v>
      </c>
      <c r="F16" s="108"/>
      <c r="G16" s="123">
        <v>3272209</v>
      </c>
      <c r="H16" s="124">
        <v>640743542.90350974</v>
      </c>
      <c r="I16" s="125"/>
      <c r="J16" s="126">
        <v>0.12054000372397351</v>
      </c>
      <c r="K16" s="126"/>
      <c r="L16" s="127">
        <v>2431209.5436151116</v>
      </c>
      <c r="M16" s="128">
        <v>7.4299999999999995E-4</v>
      </c>
      <c r="N16" s="72"/>
      <c r="O16" s="72"/>
      <c r="P16" s="72"/>
      <c r="Q16" s="22" t="s">
        <v>372</v>
      </c>
    </row>
    <row r="17" spans="1:17">
      <c r="A17" s="108">
        <v>4</v>
      </c>
      <c r="B17" s="72"/>
      <c r="C17" s="22" t="s">
        <v>41</v>
      </c>
      <c r="D17" s="72"/>
      <c r="E17" s="109" t="s">
        <v>42</v>
      </c>
      <c r="F17" s="108"/>
      <c r="G17" s="123">
        <v>3535023</v>
      </c>
      <c r="H17" s="124">
        <v>668610677.28831375</v>
      </c>
      <c r="I17" s="125"/>
      <c r="J17" s="126">
        <v>0.12578251380421415</v>
      </c>
      <c r="K17" s="126"/>
      <c r="L17" s="127">
        <v>2536947.3911828445</v>
      </c>
      <c r="M17" s="128">
        <v>7.1400000000000001E-4</v>
      </c>
      <c r="N17" s="72"/>
      <c r="O17" s="72"/>
      <c r="P17" s="72"/>
      <c r="Q17" s="22" t="s">
        <v>372</v>
      </c>
    </row>
    <row r="18" spans="1:17">
      <c r="A18" s="108">
        <v>5</v>
      </c>
      <c r="B18" s="72"/>
      <c r="C18" s="22" t="s">
        <v>43</v>
      </c>
      <c r="D18" s="72"/>
      <c r="E18" s="109" t="s">
        <v>44</v>
      </c>
      <c r="F18" s="108"/>
      <c r="G18" s="123">
        <v>2228006</v>
      </c>
      <c r="H18" s="124">
        <v>372376863.04224324</v>
      </c>
      <c r="I18" s="125"/>
      <c r="J18" s="126">
        <v>7.0053469839793686E-2</v>
      </c>
      <c r="K18" s="126"/>
      <c r="L18" s="127">
        <v>1412930.638594189</v>
      </c>
      <c r="M18" s="128">
        <v>6.3400000000000001E-4</v>
      </c>
      <c r="N18" s="72"/>
      <c r="O18" s="72"/>
      <c r="P18" s="72"/>
      <c r="Q18" s="22" t="s">
        <v>373</v>
      </c>
    </row>
    <row r="19" spans="1:17">
      <c r="A19" s="108">
        <v>6</v>
      </c>
      <c r="B19" s="72"/>
      <c r="C19" s="22" t="s">
        <v>45</v>
      </c>
      <c r="D19" s="72"/>
      <c r="E19" s="108">
        <v>29</v>
      </c>
      <c r="F19" s="108"/>
      <c r="G19" s="123">
        <v>15850</v>
      </c>
      <c r="H19" s="124"/>
      <c r="I19" s="125"/>
      <c r="J19" s="126">
        <v>0</v>
      </c>
      <c r="K19" s="126"/>
      <c r="L19" s="127">
        <v>0</v>
      </c>
      <c r="M19" s="128">
        <v>7.1400000000000001E-4</v>
      </c>
      <c r="N19" s="72"/>
      <c r="O19" s="72"/>
      <c r="P19" s="72"/>
      <c r="Q19" s="22" t="s">
        <v>373</v>
      </c>
    </row>
    <row r="20" spans="1:17">
      <c r="A20" s="108">
        <v>7</v>
      </c>
      <c r="B20" s="72"/>
      <c r="C20" s="129" t="s">
        <v>46</v>
      </c>
      <c r="D20" s="72"/>
      <c r="E20" s="108"/>
      <c r="F20" s="108"/>
      <c r="G20" s="130">
        <v>9051088</v>
      </c>
      <c r="H20" s="131">
        <v>1681731083.2340667</v>
      </c>
      <c r="I20" s="125"/>
      <c r="J20" s="126"/>
      <c r="K20" s="126"/>
      <c r="L20" s="132">
        <v>6381087.5733921444</v>
      </c>
      <c r="M20" s="72"/>
      <c r="N20" s="72"/>
      <c r="O20" s="72"/>
      <c r="P20" s="72"/>
      <c r="Q20" s="72"/>
    </row>
    <row r="21" spans="1:17">
      <c r="A21" s="108"/>
      <c r="B21" s="72"/>
      <c r="C21" s="22"/>
      <c r="D21" s="72"/>
      <c r="E21" s="108"/>
      <c r="F21" s="108"/>
      <c r="G21" s="123"/>
      <c r="H21" s="124"/>
      <c r="I21" s="125"/>
      <c r="J21" s="126"/>
      <c r="K21" s="126"/>
      <c r="L21" s="127"/>
      <c r="M21" s="72"/>
      <c r="N21" s="72"/>
      <c r="O21" s="72"/>
      <c r="P21" s="72"/>
      <c r="Q21" s="72"/>
    </row>
    <row r="22" spans="1:17">
      <c r="A22" s="108"/>
      <c r="B22" s="72"/>
      <c r="C22" s="135" t="s">
        <v>47</v>
      </c>
      <c r="D22" s="72"/>
      <c r="E22" s="108"/>
      <c r="F22" s="108"/>
      <c r="G22" s="123"/>
      <c r="H22" s="124"/>
      <c r="I22" s="125"/>
      <c r="J22" s="126"/>
      <c r="K22" s="126"/>
      <c r="L22" s="127"/>
      <c r="M22" s="72"/>
      <c r="N22" s="72"/>
      <c r="O22" s="72"/>
      <c r="P22" s="72"/>
      <c r="Q22" s="72"/>
    </row>
    <row r="23" spans="1:17">
      <c r="A23" s="108">
        <v>8</v>
      </c>
      <c r="B23" s="72"/>
      <c r="C23" s="22" t="s">
        <v>48</v>
      </c>
      <c r="D23" s="72"/>
      <c r="E23" s="109" t="s">
        <v>49</v>
      </c>
      <c r="F23" s="108"/>
      <c r="G23" s="123">
        <v>1644727</v>
      </c>
      <c r="H23" s="124">
        <v>276424800.11833674</v>
      </c>
      <c r="I23" s="125"/>
      <c r="J23" s="126">
        <v>5.2002469325985352E-2</v>
      </c>
      <c r="K23" s="126"/>
      <c r="L23" s="127">
        <v>1048854.2874645935</v>
      </c>
      <c r="M23" s="128">
        <v>6.38E-4</v>
      </c>
      <c r="N23" s="72"/>
      <c r="O23" s="72"/>
      <c r="P23" s="72"/>
      <c r="Q23" s="22" t="s">
        <v>373</v>
      </c>
    </row>
    <row r="24" spans="1:17">
      <c r="A24" s="108">
        <v>9</v>
      </c>
      <c r="B24" s="72"/>
      <c r="C24" s="22" t="s">
        <v>50</v>
      </c>
      <c r="D24" s="72"/>
      <c r="E24" s="108">
        <v>35</v>
      </c>
      <c r="F24" s="108"/>
      <c r="G24" s="123">
        <v>5533</v>
      </c>
      <c r="H24" s="124">
        <v>1445449.435610598</v>
      </c>
      <c r="I24" s="125"/>
      <c r="J24" s="126">
        <v>2.7192545641861434E-4</v>
      </c>
      <c r="K24" s="126"/>
      <c r="L24" s="127">
        <v>5484.5507248424483</v>
      </c>
      <c r="M24" s="128">
        <v>9.9099999999999991E-4</v>
      </c>
      <c r="N24" s="72"/>
      <c r="O24" s="72"/>
      <c r="P24" s="72"/>
      <c r="Q24" s="22" t="s">
        <v>373</v>
      </c>
    </row>
    <row r="25" spans="1:17">
      <c r="A25" s="108">
        <v>10</v>
      </c>
      <c r="B25" s="72"/>
      <c r="C25" s="72" t="s">
        <v>51</v>
      </c>
      <c r="D25" s="72"/>
      <c r="E25" s="109">
        <v>43</v>
      </c>
      <c r="F25" s="108"/>
      <c r="G25" s="123">
        <v>145285</v>
      </c>
      <c r="H25" s="124">
        <v>33296297.462748501</v>
      </c>
      <c r="I25" s="125"/>
      <c r="J25" s="126">
        <v>6.2638724410191008E-3</v>
      </c>
      <c r="K25" s="126"/>
      <c r="L25" s="127">
        <v>126338.02877147711</v>
      </c>
      <c r="M25" s="128">
        <v>8.7000000000000001E-4</v>
      </c>
      <c r="N25" s="72"/>
      <c r="O25" s="72"/>
      <c r="P25" s="72"/>
      <c r="Q25" s="22" t="s">
        <v>374</v>
      </c>
    </row>
    <row r="26" spans="1:17">
      <c r="A26" s="108">
        <v>11</v>
      </c>
      <c r="B26" s="72"/>
      <c r="C26" s="129" t="s">
        <v>52</v>
      </c>
      <c r="D26" s="72"/>
      <c r="E26" s="108"/>
      <c r="F26" s="108"/>
      <c r="G26" s="130">
        <v>1795545</v>
      </c>
      <c r="H26" s="131">
        <v>311166547.01669586</v>
      </c>
      <c r="I26" s="125"/>
      <c r="J26" s="126"/>
      <c r="K26" s="126"/>
      <c r="L26" s="132">
        <v>1180676.8669609129</v>
      </c>
      <c r="M26" s="72"/>
      <c r="N26" s="72"/>
      <c r="O26" s="72"/>
      <c r="P26" s="72"/>
      <c r="Q26" s="72"/>
    </row>
    <row r="27" spans="1:17">
      <c r="A27" s="108"/>
      <c r="B27" s="72"/>
      <c r="C27" s="72"/>
      <c r="D27" s="72"/>
      <c r="E27" s="109"/>
      <c r="F27" s="108"/>
      <c r="G27" s="123"/>
      <c r="H27" s="124"/>
      <c r="I27" s="125"/>
      <c r="J27" s="126"/>
      <c r="K27" s="126"/>
      <c r="L27" s="127"/>
      <c r="M27" s="72"/>
      <c r="N27" s="72"/>
      <c r="O27" s="72"/>
      <c r="P27" s="72"/>
      <c r="Q27" s="72"/>
    </row>
    <row r="28" spans="1:17">
      <c r="A28" s="108"/>
      <c r="B28" s="72"/>
      <c r="C28" s="135" t="s">
        <v>53</v>
      </c>
      <c r="D28" s="72"/>
      <c r="E28" s="109"/>
      <c r="F28" s="108"/>
      <c r="G28" s="123"/>
      <c r="H28" s="124"/>
      <c r="I28" s="125"/>
      <c r="J28" s="126"/>
      <c r="K28" s="126"/>
      <c r="L28" s="127"/>
      <c r="M28" s="72"/>
      <c r="N28" s="72"/>
      <c r="O28" s="72"/>
      <c r="P28" s="72"/>
      <c r="Q28" s="72"/>
    </row>
    <row r="29" spans="1:17">
      <c r="A29" s="108">
        <v>12</v>
      </c>
      <c r="B29" s="72"/>
      <c r="C29" s="22" t="s">
        <v>54</v>
      </c>
      <c r="D29" s="72"/>
      <c r="E29" s="109">
        <v>46</v>
      </c>
      <c r="F29" s="108"/>
      <c r="G29" s="123">
        <v>97627</v>
      </c>
      <c r="H29" s="124"/>
      <c r="I29" s="125"/>
      <c r="J29" s="126">
        <v>0</v>
      </c>
      <c r="K29" s="126"/>
      <c r="L29" s="127">
        <v>47251.468000000001</v>
      </c>
      <c r="M29" s="128">
        <v>4.84E-4</v>
      </c>
      <c r="N29" s="72"/>
      <c r="O29" s="72"/>
      <c r="P29" s="72"/>
      <c r="Q29" s="22" t="s">
        <v>375</v>
      </c>
    </row>
    <row r="30" spans="1:17">
      <c r="A30" s="108">
        <v>13</v>
      </c>
      <c r="B30" s="72"/>
      <c r="C30" s="72" t="s">
        <v>55</v>
      </c>
      <c r="D30" s="72"/>
      <c r="E30" s="109">
        <v>49</v>
      </c>
      <c r="F30" s="108"/>
      <c r="G30" s="123">
        <v>629950</v>
      </c>
      <c r="H30" s="124"/>
      <c r="I30" s="125"/>
      <c r="J30" s="126">
        <v>0</v>
      </c>
      <c r="K30" s="126"/>
      <c r="L30" s="127">
        <v>304895.8</v>
      </c>
      <c r="M30" s="128">
        <v>4.84E-4</v>
      </c>
      <c r="N30" s="72"/>
      <c r="O30" s="72"/>
      <c r="P30" s="72"/>
      <c r="Q30" s="22" t="s">
        <v>375</v>
      </c>
    </row>
    <row r="31" spans="1:17">
      <c r="A31" s="108">
        <v>14</v>
      </c>
      <c r="B31" s="72"/>
      <c r="C31" s="129" t="s">
        <v>53</v>
      </c>
      <c r="D31" s="72"/>
      <c r="E31" s="108"/>
      <c r="F31" s="108"/>
      <c r="G31" s="130">
        <v>727577</v>
      </c>
      <c r="H31" s="131">
        <v>92890893.415493071</v>
      </c>
      <c r="I31" s="125"/>
      <c r="J31" s="126">
        <v>1.74751174042076E-2</v>
      </c>
      <c r="K31" s="126"/>
      <c r="L31" s="131">
        <v>352461.18214989174</v>
      </c>
      <c r="M31" s="128">
        <v>4.84E-4</v>
      </c>
      <c r="N31" s="72"/>
      <c r="O31" s="72"/>
      <c r="P31" s="72"/>
      <c r="Q31" s="72"/>
    </row>
    <row r="32" spans="1:17">
      <c r="A32" s="108"/>
      <c r="B32" s="72"/>
      <c r="C32" s="72"/>
      <c r="D32" s="72"/>
      <c r="E32" s="109"/>
      <c r="F32" s="108"/>
      <c r="G32" s="123"/>
      <c r="H32" s="124"/>
      <c r="I32" s="125"/>
      <c r="J32" s="126"/>
      <c r="K32" s="126"/>
      <c r="L32" s="127"/>
      <c r="M32" s="72"/>
      <c r="N32" s="72"/>
      <c r="O32" s="72"/>
      <c r="P32" s="72"/>
      <c r="Q32" s="72"/>
    </row>
    <row r="33" spans="1:17">
      <c r="A33" s="108"/>
      <c r="B33" s="72"/>
      <c r="C33" s="136" t="s">
        <v>376</v>
      </c>
      <c r="D33" s="72"/>
      <c r="E33" s="109"/>
      <c r="F33" s="108"/>
      <c r="G33" s="123"/>
      <c r="H33" s="124"/>
      <c r="I33" s="125"/>
      <c r="J33" s="126"/>
      <c r="K33" s="126"/>
      <c r="L33" s="127"/>
      <c r="M33" s="72"/>
      <c r="N33" s="72"/>
      <c r="O33" s="72"/>
      <c r="P33" s="72"/>
      <c r="Q33" s="72"/>
    </row>
    <row r="34" spans="1:17">
      <c r="A34" s="108">
        <v>15</v>
      </c>
      <c r="B34" s="72"/>
      <c r="C34" s="22" t="s">
        <v>377</v>
      </c>
      <c r="D34" s="72"/>
      <c r="E34" s="109" t="s">
        <v>56</v>
      </c>
      <c r="F34" s="108"/>
      <c r="G34" s="123">
        <v>2379613</v>
      </c>
      <c r="H34" s="124">
        <v>3234251.523277767</v>
      </c>
      <c r="I34" s="125"/>
      <c r="J34" s="126">
        <v>6.0844419733602835E-4</v>
      </c>
      <c r="K34" s="126"/>
      <c r="L34" s="127">
        <v>12271.90387937899</v>
      </c>
      <c r="M34" s="128"/>
      <c r="N34" s="72"/>
      <c r="O34" s="137">
        <v>40.909999999999997</v>
      </c>
      <c r="P34" s="72"/>
      <c r="Q34" s="22" t="s">
        <v>375</v>
      </c>
    </row>
    <row r="35" spans="1:17">
      <c r="A35" s="108">
        <v>16</v>
      </c>
      <c r="B35" s="72"/>
      <c r="C35" s="22" t="s">
        <v>378</v>
      </c>
      <c r="D35" s="72"/>
      <c r="E35" s="109" t="s">
        <v>268</v>
      </c>
      <c r="F35" s="108"/>
      <c r="G35" s="123">
        <v>360660</v>
      </c>
      <c r="H35" s="124">
        <v>31356808.459470671</v>
      </c>
      <c r="I35" s="125"/>
      <c r="J35" s="126">
        <v>5.8990056947725109E-3</v>
      </c>
      <c r="K35" s="126"/>
      <c r="L35" s="127">
        <v>118978.9157117678</v>
      </c>
      <c r="M35" s="128">
        <v>3.3E-4</v>
      </c>
      <c r="N35" s="72"/>
      <c r="O35" s="72"/>
      <c r="P35" s="72"/>
      <c r="Q35" s="22" t="s">
        <v>374</v>
      </c>
    </row>
    <row r="36" spans="1:17">
      <c r="A36" s="108">
        <v>17</v>
      </c>
      <c r="B36" s="72"/>
      <c r="C36" s="129" t="s">
        <v>376</v>
      </c>
      <c r="D36" s="72"/>
      <c r="E36" s="109"/>
      <c r="F36" s="108"/>
      <c r="G36" s="130">
        <v>2740273</v>
      </c>
      <c r="H36" s="131">
        <v>34591059.982748434</v>
      </c>
      <c r="I36" s="125"/>
      <c r="J36" s="126"/>
      <c r="K36" s="126"/>
      <c r="L36" s="132">
        <v>131250.81959114678</v>
      </c>
      <c r="M36" s="72"/>
      <c r="N36" s="72"/>
      <c r="O36" s="72"/>
      <c r="P36" s="72"/>
      <c r="Q36" s="72"/>
    </row>
    <row r="37" spans="1:17">
      <c r="A37" s="108"/>
      <c r="B37" s="72"/>
      <c r="C37" s="72"/>
      <c r="D37" s="72"/>
      <c r="E37" s="109"/>
      <c r="F37" s="108"/>
      <c r="G37" s="123"/>
      <c r="H37" s="124"/>
      <c r="I37" s="125"/>
      <c r="J37" s="126"/>
      <c r="K37" s="126"/>
      <c r="L37" s="127"/>
      <c r="M37" s="72"/>
      <c r="N37" s="72"/>
      <c r="O37" s="72"/>
      <c r="P37" s="72"/>
      <c r="Q37" s="72"/>
    </row>
    <row r="38" spans="1:17">
      <c r="A38" s="108">
        <v>18</v>
      </c>
      <c r="B38" s="72"/>
      <c r="C38" s="72" t="s">
        <v>57</v>
      </c>
      <c r="D38" s="72"/>
      <c r="E38" s="109" t="s">
        <v>16</v>
      </c>
      <c r="F38" s="108"/>
      <c r="G38" s="123">
        <v>81095</v>
      </c>
      <c r="H38" s="131">
        <v>58241031.784588441</v>
      </c>
      <c r="I38" s="125"/>
      <c r="J38" s="126">
        <v>1.0956605440594437E-2</v>
      </c>
      <c r="K38" s="126"/>
      <c r="L38" s="131">
        <v>220987.248132137</v>
      </c>
      <c r="M38" s="128">
        <v>2.725E-3</v>
      </c>
      <c r="N38" s="72"/>
      <c r="O38" s="72"/>
      <c r="P38" s="72"/>
      <c r="Q38" s="72" t="s">
        <v>379</v>
      </c>
    </row>
    <row r="39" spans="1:17">
      <c r="A39" s="108"/>
      <c r="B39" s="72"/>
      <c r="C39" s="72"/>
      <c r="D39" s="72"/>
      <c r="E39" s="109"/>
      <c r="F39" s="108"/>
      <c r="G39" s="123"/>
      <c r="H39" s="124"/>
      <c r="I39" s="125"/>
      <c r="J39" s="126"/>
      <c r="K39" s="126"/>
      <c r="L39" s="127"/>
      <c r="M39" s="72"/>
      <c r="N39" s="72"/>
      <c r="O39" s="72"/>
      <c r="P39" s="72"/>
      <c r="Q39" s="72"/>
    </row>
    <row r="40" spans="1:17">
      <c r="A40" s="108">
        <v>19</v>
      </c>
      <c r="B40" s="72"/>
      <c r="C40" s="129" t="s">
        <v>58</v>
      </c>
      <c r="D40" s="72"/>
      <c r="E40" s="72"/>
      <c r="F40" s="72"/>
      <c r="G40" s="130">
        <v>28392539</v>
      </c>
      <c r="H40" s="131">
        <v>5313797137.4978008</v>
      </c>
      <c r="I40" s="125"/>
      <c r="J40" s="126">
        <v>0.99965912077694097</v>
      </c>
      <c r="K40" s="126"/>
      <c r="L40" s="132">
        <v>20162441.67670808</v>
      </c>
      <c r="M40" s="72"/>
      <c r="N40" s="72"/>
      <c r="O40" s="72"/>
      <c r="P40" s="72"/>
      <c r="Q40" s="72"/>
    </row>
    <row r="41" spans="1:17">
      <c r="A41" s="108"/>
      <c r="B41" s="72"/>
      <c r="C41" s="72"/>
      <c r="D41" s="72"/>
      <c r="E41" s="72"/>
      <c r="F41" s="72"/>
      <c r="G41" s="133"/>
      <c r="H41" s="121"/>
      <c r="I41" s="134"/>
      <c r="J41" s="126"/>
      <c r="K41" s="126"/>
      <c r="L41" s="121"/>
      <c r="M41" s="72"/>
      <c r="N41" s="72"/>
      <c r="O41" s="72"/>
      <c r="P41" s="72"/>
      <c r="Q41" s="72"/>
    </row>
    <row r="42" spans="1:17">
      <c r="A42" s="108">
        <v>20</v>
      </c>
      <c r="B42" s="72"/>
      <c r="C42" s="72" t="s">
        <v>59</v>
      </c>
      <c r="D42" s="72"/>
      <c r="E42" s="109" t="s">
        <v>155</v>
      </c>
      <c r="F42" s="108"/>
      <c r="G42" s="123">
        <v>9786</v>
      </c>
      <c r="H42" s="131">
        <v>1811980.7062991206</v>
      </c>
      <c r="I42" s="134"/>
      <c r="J42" s="126">
        <v>3.4087922305906979E-4</v>
      </c>
      <c r="K42" s="126"/>
      <c r="L42" s="131">
        <v>6875.3011010276732</v>
      </c>
      <c r="M42" s="128">
        <v>7.0299999999999996E-4</v>
      </c>
      <c r="N42" s="72"/>
      <c r="O42" s="72"/>
      <c r="P42" s="72"/>
      <c r="Q42" s="72" t="s">
        <v>379</v>
      </c>
    </row>
    <row r="43" spans="1:17">
      <c r="A43" s="108"/>
      <c r="B43" s="72"/>
      <c r="C43" s="72"/>
      <c r="D43" s="72"/>
      <c r="E43" s="72"/>
      <c r="F43" s="72"/>
      <c r="G43" s="133"/>
      <c r="H43" s="121"/>
      <c r="I43" s="134"/>
      <c r="J43" s="126"/>
      <c r="K43" s="126"/>
      <c r="L43" s="121"/>
      <c r="M43" s="72"/>
      <c r="N43" s="72"/>
      <c r="O43" s="72"/>
      <c r="P43" s="72"/>
      <c r="Q43" s="72"/>
    </row>
    <row r="44" spans="1:17" ht="13.8" thickBot="1">
      <c r="A44" s="108">
        <v>21</v>
      </c>
      <c r="B44" s="72"/>
      <c r="C44" s="138" t="s">
        <v>60</v>
      </c>
      <c r="D44" s="72"/>
      <c r="E44" s="72"/>
      <c r="F44" s="72"/>
      <c r="G44" s="139">
        <v>28402325</v>
      </c>
      <c r="H44" s="140">
        <v>5315609118.2040997</v>
      </c>
      <c r="I44" s="141"/>
      <c r="J44" s="126">
        <v>1</v>
      </c>
      <c r="K44" s="126"/>
      <c r="L44" s="140">
        <v>20169316.977809109</v>
      </c>
      <c r="M44" s="72"/>
      <c r="N44" s="72"/>
      <c r="O44" s="72"/>
      <c r="P44" s="72"/>
      <c r="Q44" s="72"/>
    </row>
    <row r="45" spans="1:17" ht="13.8" thickTop="1">
      <c r="A45" s="826" t="s">
        <v>20</v>
      </c>
      <c r="B45" s="827"/>
      <c r="C45" s="827"/>
      <c r="D45" s="72"/>
      <c r="E45" s="72"/>
      <c r="F45" s="72"/>
      <c r="G45" s="142"/>
      <c r="H45" s="143"/>
      <c r="I45" s="144"/>
      <c r="J45" s="72"/>
      <c r="K45" s="72"/>
      <c r="L45" s="145">
        <v>20169316.977809105</v>
      </c>
      <c r="M45" s="72"/>
      <c r="N45" s="72"/>
      <c r="O45" s="72"/>
      <c r="P45" s="72"/>
      <c r="Q45" s="72"/>
    </row>
    <row r="46" spans="1:17" ht="13.8" thickBot="1">
      <c r="A46" s="72"/>
      <c r="B46" s="72"/>
      <c r="C46" s="72" t="s">
        <v>380</v>
      </c>
      <c r="D46" s="72"/>
      <c r="E46" s="72"/>
      <c r="F46" s="72"/>
      <c r="G46" s="146">
        <v>28402325</v>
      </c>
      <c r="H46" s="140">
        <v>5315609118.2040997</v>
      </c>
      <c r="I46" s="72"/>
      <c r="J46" s="72"/>
      <c r="K46" s="72"/>
      <c r="L46" s="72"/>
      <c r="M46" s="72"/>
      <c r="N46" s="72"/>
      <c r="O46" s="72"/>
      <c r="P46" s="72"/>
      <c r="Q46" s="72"/>
    </row>
    <row r="47" spans="1:17" ht="14.4" thickTop="1" thickBot="1">
      <c r="A47" s="72"/>
      <c r="B47" s="72"/>
      <c r="C47" s="72" t="s">
        <v>380</v>
      </c>
      <c r="D47" s="72"/>
      <c r="E47" s="72"/>
      <c r="F47" s="72"/>
      <c r="G47" s="146">
        <v>0</v>
      </c>
      <c r="H47" s="140">
        <v>0</v>
      </c>
      <c r="I47" s="147"/>
      <c r="J47" s="72"/>
      <c r="K47" s="72"/>
      <c r="L47" s="72"/>
      <c r="M47" s="72"/>
      <c r="N47" s="72"/>
      <c r="O47" s="72"/>
      <c r="P47" s="72"/>
      <c r="Q47" s="72"/>
    </row>
    <row r="48" spans="1:17" ht="13.8" thickTop="1"/>
  </sheetData>
  <mergeCells count="6">
    <mergeCell ref="A45:C45"/>
    <mergeCell ref="A1:Q1"/>
    <mergeCell ref="A2:Q2"/>
    <mergeCell ref="A3:Q3"/>
    <mergeCell ref="A4:Q4"/>
    <mergeCell ref="M7:O7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"/>
  <sheetViews>
    <sheetView workbookViewId="0">
      <selection activeCell="U35" sqref="U35"/>
    </sheetView>
  </sheetViews>
  <sheetFormatPr defaultRowHeight="13.2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O47"/>
  <sheetViews>
    <sheetView workbookViewId="0">
      <pane xSplit="6" ySplit="11" topLeftCell="M33" activePane="bottomRight" state="frozen"/>
      <selection activeCell="D8" sqref="D8"/>
      <selection pane="topRight" activeCell="D8" sqref="D8"/>
      <selection pane="bottomLeft" activeCell="D8" sqref="D8"/>
      <selection pane="bottomRight" activeCell="M44" sqref="M44"/>
    </sheetView>
  </sheetViews>
  <sheetFormatPr defaultColWidth="3.109375" defaultRowHeight="13.2"/>
  <cols>
    <col min="1" max="1" width="4.5546875" style="110" bestFit="1" customWidth="1"/>
    <col min="2" max="2" width="3.109375" style="110"/>
    <col min="3" max="3" width="28.6640625" style="110" bestFit="1" customWidth="1"/>
    <col min="4" max="4" width="3.109375" style="110"/>
    <col min="5" max="5" width="8.88671875" style="110" bestFit="1" customWidth="1"/>
    <col min="6" max="6" width="3.109375" style="110"/>
    <col min="7" max="7" width="11.33203125" style="110" bestFit="1" customWidth="1"/>
    <col min="8" max="8" width="15" style="110" bestFit="1" customWidth="1"/>
    <col min="9" max="9" width="3.109375" style="110"/>
    <col min="10" max="10" width="8.44140625" style="110" customWidth="1"/>
    <col min="11" max="11" width="3.109375" style="110"/>
    <col min="12" max="12" width="12.88671875" style="110" bestFit="1" customWidth="1"/>
    <col min="13" max="13" width="11.33203125" style="110" bestFit="1" customWidth="1"/>
    <col min="14" max="14" width="3.109375" style="110"/>
    <col min="15" max="15" width="8.33203125" style="110" bestFit="1" customWidth="1"/>
    <col min="16" max="16384" width="3.109375" style="110"/>
  </cols>
  <sheetData>
    <row r="1" spans="1:15">
      <c r="A1" s="73"/>
      <c r="B1" s="148"/>
      <c r="C1" s="148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>
      <c r="A2" s="833" t="s">
        <v>21</v>
      </c>
      <c r="B2" s="833"/>
      <c r="C2" s="833"/>
      <c r="D2" s="833"/>
      <c r="E2" s="833"/>
      <c r="F2" s="833"/>
      <c r="G2" s="833"/>
      <c r="H2" s="833"/>
      <c r="I2" s="833"/>
      <c r="J2" s="834"/>
      <c r="K2" s="834"/>
      <c r="L2" s="834"/>
      <c r="M2" s="834"/>
      <c r="N2" s="834"/>
      <c r="O2" s="834"/>
    </row>
    <row r="3" spans="1:15">
      <c r="A3" s="833" t="s">
        <v>22</v>
      </c>
      <c r="B3" s="833"/>
      <c r="C3" s="833"/>
      <c r="D3" s="833"/>
      <c r="E3" s="833"/>
      <c r="F3" s="833"/>
      <c r="G3" s="833"/>
      <c r="H3" s="833"/>
      <c r="I3" s="833"/>
      <c r="J3" s="834"/>
      <c r="K3" s="834"/>
      <c r="L3" s="834"/>
      <c r="M3" s="834"/>
      <c r="N3" s="834"/>
      <c r="O3" s="834"/>
    </row>
    <row r="4" spans="1:15">
      <c r="A4" s="833" t="s">
        <v>381</v>
      </c>
      <c r="B4" s="833"/>
      <c r="C4" s="833"/>
      <c r="D4" s="833"/>
      <c r="E4" s="833"/>
      <c r="F4" s="833"/>
      <c r="G4" s="833"/>
      <c r="H4" s="833"/>
      <c r="I4" s="833"/>
      <c r="J4" s="834"/>
      <c r="K4" s="834"/>
      <c r="L4" s="834"/>
      <c r="M4" s="834"/>
      <c r="N4" s="834"/>
      <c r="O4" s="834"/>
    </row>
    <row r="5" spans="1:15">
      <c r="A5" s="833" t="s">
        <v>23</v>
      </c>
      <c r="B5" s="833"/>
      <c r="C5" s="833"/>
      <c r="D5" s="833"/>
      <c r="E5" s="833"/>
      <c r="F5" s="833"/>
      <c r="G5" s="833"/>
      <c r="H5" s="833"/>
      <c r="I5" s="833"/>
      <c r="J5" s="834"/>
      <c r="K5" s="834"/>
      <c r="L5" s="834"/>
      <c r="M5" s="834"/>
      <c r="N5" s="834"/>
      <c r="O5" s="834"/>
    </row>
    <row r="6" spans="1:15">
      <c r="A6" s="833" t="s">
        <v>362</v>
      </c>
      <c r="B6" s="833"/>
      <c r="C6" s="833"/>
      <c r="D6" s="833"/>
      <c r="E6" s="833"/>
      <c r="F6" s="833"/>
      <c r="G6" s="833"/>
      <c r="H6" s="833"/>
      <c r="I6" s="833"/>
      <c r="J6" s="834"/>
      <c r="K6" s="834"/>
      <c r="L6" s="834"/>
      <c r="M6" s="834"/>
      <c r="N6" s="834"/>
      <c r="O6" s="834"/>
    </row>
    <row r="7" spans="1:15" ht="12.75" customHeight="1">
      <c r="A7" s="148"/>
      <c r="B7" s="148"/>
      <c r="C7" s="148"/>
      <c r="D7" s="148"/>
      <c r="E7" s="148"/>
      <c r="F7" s="148"/>
      <c r="G7" s="148"/>
      <c r="H7" s="148"/>
      <c r="I7" s="149"/>
      <c r="J7" s="831" t="s">
        <v>367</v>
      </c>
      <c r="K7" s="150"/>
      <c r="L7" s="831" t="s">
        <v>382</v>
      </c>
      <c r="M7" s="835" t="s">
        <v>383</v>
      </c>
      <c r="N7" s="148"/>
      <c r="O7" s="831" t="s">
        <v>384</v>
      </c>
    </row>
    <row r="8" spans="1:15">
      <c r="A8" s="148"/>
      <c r="B8" s="148"/>
      <c r="C8" s="148"/>
      <c r="D8" s="148"/>
      <c r="E8" s="151" t="s">
        <v>26</v>
      </c>
      <c r="F8" s="152"/>
      <c r="G8" s="152"/>
      <c r="H8" s="148"/>
      <c r="I8" s="153"/>
      <c r="J8" s="832"/>
      <c r="K8" s="150"/>
      <c r="L8" s="832"/>
      <c r="M8" s="836"/>
      <c r="N8" s="148"/>
      <c r="O8" s="832"/>
    </row>
    <row r="9" spans="1:15">
      <c r="A9" s="152" t="s">
        <v>28</v>
      </c>
      <c r="B9" s="148"/>
      <c r="C9" s="148"/>
      <c r="D9" s="148"/>
      <c r="E9" s="152" t="s">
        <v>29</v>
      </c>
      <c r="F9" s="152"/>
      <c r="G9" s="152" t="s">
        <v>385</v>
      </c>
      <c r="H9" s="152" t="s">
        <v>386</v>
      </c>
      <c r="I9" s="152"/>
      <c r="J9" s="832"/>
      <c r="K9" s="150"/>
      <c r="L9" s="832"/>
      <c r="M9" s="836"/>
      <c r="N9" s="148"/>
      <c r="O9" s="832"/>
    </row>
    <row r="10" spans="1:15">
      <c r="A10" s="154" t="s">
        <v>30</v>
      </c>
      <c r="B10" s="148"/>
      <c r="C10" s="154" t="s">
        <v>31</v>
      </c>
      <c r="D10" s="148"/>
      <c r="E10" s="154" t="s">
        <v>30</v>
      </c>
      <c r="F10" s="155"/>
      <c r="G10" s="156" t="s">
        <v>387</v>
      </c>
      <c r="H10" s="156" t="s">
        <v>388</v>
      </c>
      <c r="I10" s="155"/>
      <c r="J10" s="832"/>
      <c r="K10" s="150"/>
      <c r="L10" s="832"/>
      <c r="M10" s="836"/>
      <c r="N10" s="148"/>
      <c r="O10" s="832"/>
    </row>
    <row r="11" spans="1:15">
      <c r="A11" s="157"/>
      <c r="B11" s="73"/>
      <c r="C11" s="107" t="s">
        <v>33</v>
      </c>
      <c r="D11" s="73"/>
      <c r="E11" s="107" t="s">
        <v>34</v>
      </c>
      <c r="F11" s="106"/>
      <c r="G11" s="107" t="s">
        <v>35</v>
      </c>
      <c r="H11" s="107" t="s">
        <v>35</v>
      </c>
      <c r="I11" s="107"/>
      <c r="J11" s="73"/>
      <c r="K11" s="73"/>
      <c r="L11" s="158"/>
      <c r="M11" s="159"/>
      <c r="N11" s="73"/>
      <c r="O11" s="73"/>
    </row>
    <row r="12" spans="1:15">
      <c r="A12" s="73"/>
      <c r="B12" s="73"/>
      <c r="C12" s="73"/>
      <c r="D12" s="73"/>
      <c r="E12" s="73"/>
      <c r="F12" s="73"/>
      <c r="G12" s="73"/>
      <c r="H12" s="73"/>
      <c r="I12" s="107"/>
      <c r="J12" s="73"/>
      <c r="K12" s="73"/>
      <c r="L12" s="158"/>
      <c r="M12" s="159"/>
      <c r="N12" s="73"/>
      <c r="O12" s="73"/>
    </row>
    <row r="13" spans="1:15">
      <c r="A13" s="73"/>
      <c r="B13" s="73"/>
      <c r="C13" s="160" t="s">
        <v>36</v>
      </c>
      <c r="D13" s="73"/>
      <c r="E13" s="73"/>
      <c r="F13" s="73"/>
      <c r="G13" s="73"/>
      <c r="H13" s="73"/>
      <c r="I13" s="73"/>
      <c r="J13" s="73"/>
      <c r="K13" s="73"/>
      <c r="L13" s="158"/>
      <c r="M13" s="159"/>
      <c r="N13" s="73"/>
      <c r="O13" s="73"/>
    </row>
    <row r="14" spans="1:15">
      <c r="A14" s="106">
        <v>1</v>
      </c>
      <c r="B14" s="73"/>
      <c r="C14" s="73" t="s">
        <v>36</v>
      </c>
      <c r="D14" s="73"/>
      <c r="E14" s="107">
        <v>7</v>
      </c>
      <c r="F14" s="107"/>
      <c r="G14" s="161">
        <v>10658082.710537091</v>
      </c>
      <c r="H14" s="162">
        <v>3135176522.0642085</v>
      </c>
      <c r="I14" s="163"/>
      <c r="J14" s="164">
        <v>0.58980569344862599</v>
      </c>
      <c r="K14" s="164"/>
      <c r="L14" s="165">
        <v>-9426215.898720488</v>
      </c>
      <c r="M14" s="166">
        <v>-8.8441947343880899E-4</v>
      </c>
      <c r="N14" s="73"/>
      <c r="O14" s="73"/>
    </row>
    <row r="15" spans="1:15">
      <c r="A15" s="106">
        <v>2</v>
      </c>
      <c r="B15" s="73"/>
      <c r="C15" s="167" t="s">
        <v>37</v>
      </c>
      <c r="D15" s="73"/>
      <c r="E15" s="73"/>
      <c r="F15" s="73"/>
      <c r="G15" s="168">
        <v>10658082.710537091</v>
      </c>
      <c r="H15" s="169">
        <v>3135176522.0642085</v>
      </c>
      <c r="I15" s="163"/>
      <c r="J15" s="164"/>
      <c r="K15" s="164"/>
      <c r="L15" s="170">
        <v>-9426215.898720488</v>
      </c>
      <c r="M15" s="159"/>
      <c r="N15" s="73"/>
      <c r="O15" s="73"/>
    </row>
    <row r="16" spans="1:15">
      <c r="A16" s="73"/>
      <c r="B16" s="73"/>
      <c r="C16" s="73"/>
      <c r="D16" s="73"/>
      <c r="E16" s="73"/>
      <c r="F16" s="73"/>
      <c r="G16" s="171" t="s">
        <v>20</v>
      </c>
      <c r="H16" s="73" t="s">
        <v>20</v>
      </c>
      <c r="I16" s="172"/>
      <c r="J16" s="164"/>
      <c r="K16" s="164"/>
      <c r="L16" s="158"/>
      <c r="M16" s="159"/>
      <c r="N16" s="73"/>
      <c r="O16" s="73"/>
    </row>
    <row r="17" spans="1:15">
      <c r="A17" s="73"/>
      <c r="B17" s="73"/>
      <c r="C17" s="148" t="s">
        <v>38</v>
      </c>
      <c r="D17" s="73"/>
      <c r="E17" s="73"/>
      <c r="F17" s="73"/>
      <c r="G17" s="171"/>
      <c r="H17" s="73"/>
      <c r="I17" s="172"/>
      <c r="J17" s="164"/>
      <c r="K17" s="164"/>
      <c r="L17" s="158"/>
      <c r="M17" s="159"/>
      <c r="N17" s="73"/>
      <c r="O17" s="73"/>
    </row>
    <row r="18" spans="1:15">
      <c r="A18" s="106">
        <v>3</v>
      </c>
      <c r="B18" s="73"/>
      <c r="C18" s="2" t="s">
        <v>39</v>
      </c>
      <c r="D18" s="73"/>
      <c r="E18" s="107" t="s">
        <v>40</v>
      </c>
      <c r="F18" s="106"/>
      <c r="G18" s="161">
        <v>2700716.8408001168</v>
      </c>
      <c r="H18" s="162">
        <v>640743542.90350974</v>
      </c>
      <c r="I18" s="163"/>
      <c r="J18" s="164">
        <v>0.12054000372397351</v>
      </c>
      <c r="K18" s="164"/>
      <c r="L18" s="165">
        <v>-1926458.3440880533</v>
      </c>
      <c r="M18" s="166">
        <v>-7.1331370804401657E-4</v>
      </c>
      <c r="N18" s="73"/>
      <c r="O18" s="73"/>
    </row>
    <row r="19" spans="1:15">
      <c r="A19" s="106">
        <v>4</v>
      </c>
      <c r="B19" s="73"/>
      <c r="C19" s="2" t="s">
        <v>41</v>
      </c>
      <c r="D19" s="73"/>
      <c r="E19" s="107" t="s">
        <v>42</v>
      </c>
      <c r="F19" s="106"/>
      <c r="G19" s="161">
        <v>2988049.5563074257</v>
      </c>
      <c r="H19" s="162">
        <v>668610677.28831375</v>
      </c>
      <c r="I19" s="163"/>
      <c r="J19" s="164">
        <v>0.12578251380421415</v>
      </c>
      <c r="K19" s="164"/>
      <c r="L19" s="165">
        <v>-2010243.6184868519</v>
      </c>
      <c r="M19" s="166">
        <v>-6.6907200327344287E-4</v>
      </c>
      <c r="N19" s="73"/>
      <c r="O19" s="73"/>
    </row>
    <row r="20" spans="1:15">
      <c r="A20" s="106">
        <v>5</v>
      </c>
      <c r="B20" s="73"/>
      <c r="C20" s="2" t="s">
        <v>43</v>
      </c>
      <c r="D20" s="73"/>
      <c r="E20" s="107" t="s">
        <v>44</v>
      </c>
      <c r="F20" s="106"/>
      <c r="G20" s="161">
        <v>1939505.2731896485</v>
      </c>
      <c r="H20" s="162">
        <v>372376863.04224324</v>
      </c>
      <c r="I20" s="163"/>
      <c r="J20" s="164">
        <v>7.0053469839793686E-2</v>
      </c>
      <c r="K20" s="164"/>
      <c r="L20" s="165">
        <v>-1119587.5836724476</v>
      </c>
      <c r="M20" s="166">
        <v>-5.7725420969400589E-4</v>
      </c>
      <c r="N20" s="73"/>
      <c r="O20" s="73"/>
    </row>
    <row r="21" spans="1:15">
      <c r="A21" s="106">
        <v>6</v>
      </c>
      <c r="B21" s="73"/>
      <c r="C21" s="2" t="s">
        <v>45</v>
      </c>
      <c r="D21" s="73"/>
      <c r="E21" s="106">
        <v>29</v>
      </c>
      <c r="F21" s="106"/>
      <c r="G21" s="161">
        <v>16475.530158172358</v>
      </c>
      <c r="H21" s="162">
        <v>0</v>
      </c>
      <c r="I21" s="163"/>
      <c r="J21" s="164">
        <v>0</v>
      </c>
      <c r="K21" s="164"/>
      <c r="L21" s="165">
        <v>0</v>
      </c>
      <c r="M21" s="166">
        <v>-6.6907200327344287E-4</v>
      </c>
      <c r="N21" s="73"/>
      <c r="O21" s="73"/>
    </row>
    <row r="22" spans="1:15">
      <c r="A22" s="106">
        <v>7</v>
      </c>
      <c r="B22" s="73"/>
      <c r="C22" s="167" t="s">
        <v>46</v>
      </c>
      <c r="D22" s="73"/>
      <c r="E22" s="106"/>
      <c r="F22" s="106"/>
      <c r="G22" s="168">
        <v>7644747.2004553629</v>
      </c>
      <c r="H22" s="169">
        <v>1681731083.2340667</v>
      </c>
      <c r="I22" s="163"/>
      <c r="J22" s="164"/>
      <c r="K22" s="164"/>
      <c r="L22" s="170">
        <v>-5056289.5462473528</v>
      </c>
      <c r="M22" s="159"/>
      <c r="N22" s="73"/>
      <c r="O22" s="73"/>
    </row>
    <row r="23" spans="1:15">
      <c r="A23" s="106"/>
      <c r="B23" s="73"/>
      <c r="C23" s="2"/>
      <c r="D23" s="73"/>
      <c r="E23" s="106"/>
      <c r="F23" s="106"/>
      <c r="G23" s="173"/>
      <c r="H23" s="174"/>
      <c r="I23" s="163"/>
      <c r="J23" s="164"/>
      <c r="K23" s="164"/>
      <c r="L23" s="165"/>
      <c r="M23" s="159"/>
      <c r="N23" s="73"/>
      <c r="O23" s="73"/>
    </row>
    <row r="24" spans="1:15">
      <c r="A24" s="106"/>
      <c r="B24" s="73"/>
      <c r="C24" s="148" t="s">
        <v>47</v>
      </c>
      <c r="D24" s="73"/>
      <c r="E24" s="106"/>
      <c r="F24" s="106"/>
      <c r="G24" s="173"/>
      <c r="H24" s="174"/>
      <c r="I24" s="163"/>
      <c r="J24" s="164"/>
      <c r="K24" s="164"/>
      <c r="L24" s="165"/>
      <c r="M24" s="159"/>
      <c r="N24" s="73"/>
      <c r="O24" s="73"/>
    </row>
    <row r="25" spans="1:15">
      <c r="A25" s="106">
        <v>8</v>
      </c>
      <c r="B25" s="73"/>
      <c r="C25" s="2" t="s">
        <v>48</v>
      </c>
      <c r="D25" s="73"/>
      <c r="E25" s="107" t="s">
        <v>49</v>
      </c>
      <c r="F25" s="106"/>
      <c r="G25" s="161">
        <v>1407595.3481703061</v>
      </c>
      <c r="H25" s="162">
        <v>276424800.11833674</v>
      </c>
      <c r="I25" s="163"/>
      <c r="J25" s="164">
        <v>5.2002469325985352E-2</v>
      </c>
      <c r="K25" s="164"/>
      <c r="L25" s="165">
        <v>-831098.28978960938</v>
      </c>
      <c r="M25" s="166">
        <v>-5.9043836061971279E-4</v>
      </c>
      <c r="N25" s="73"/>
      <c r="O25" s="73"/>
    </row>
    <row r="26" spans="1:15">
      <c r="A26" s="106">
        <v>9</v>
      </c>
      <c r="B26" s="73"/>
      <c r="C26" s="2" t="s">
        <v>50</v>
      </c>
      <c r="D26" s="73"/>
      <c r="E26" s="106">
        <v>35</v>
      </c>
      <c r="F26" s="106"/>
      <c r="G26" s="161">
        <v>4443.66</v>
      </c>
      <c r="H26" s="162">
        <v>1445449.435610598</v>
      </c>
      <c r="I26" s="163"/>
      <c r="J26" s="164">
        <v>2.7192545641861434E-4</v>
      </c>
      <c r="K26" s="164"/>
      <c r="L26" s="165">
        <v>-4345.8855840686001</v>
      </c>
      <c r="M26" s="166">
        <v>-9.7799687286349553E-4</v>
      </c>
      <c r="N26" s="73"/>
      <c r="O26" s="73"/>
    </row>
    <row r="27" spans="1:15">
      <c r="A27" s="106">
        <v>10</v>
      </c>
      <c r="B27" s="73"/>
      <c r="C27" s="73" t="s">
        <v>51</v>
      </c>
      <c r="D27" s="73"/>
      <c r="E27" s="107">
        <v>43</v>
      </c>
      <c r="F27" s="106"/>
      <c r="G27" s="161">
        <v>123102.08801083639</v>
      </c>
      <c r="H27" s="162">
        <v>33296297.462748501</v>
      </c>
      <c r="I27" s="163"/>
      <c r="J27" s="164">
        <v>6.2638724410191008E-3</v>
      </c>
      <c r="K27" s="164"/>
      <c r="L27" s="165">
        <v>-100108.58600881639</v>
      </c>
      <c r="M27" s="166">
        <v>-8.1321598704324212E-4</v>
      </c>
      <c r="N27" s="73"/>
      <c r="O27" s="73"/>
    </row>
    <row r="28" spans="1:15">
      <c r="A28" s="106">
        <v>11</v>
      </c>
      <c r="B28" s="73"/>
      <c r="C28" s="167" t="s">
        <v>52</v>
      </c>
      <c r="D28" s="73"/>
      <c r="E28" s="106"/>
      <c r="F28" s="106"/>
      <c r="G28" s="168">
        <v>1535141.0961811424</v>
      </c>
      <c r="H28" s="169">
        <v>311166547.01669586</v>
      </c>
      <c r="I28" s="163"/>
      <c r="J28" s="164"/>
      <c r="K28" s="164"/>
      <c r="L28" s="170">
        <v>-935552.76138249435</v>
      </c>
      <c r="M28" s="159"/>
      <c r="N28" s="73"/>
      <c r="O28" s="73"/>
    </row>
    <row r="29" spans="1:15">
      <c r="A29" s="106"/>
      <c r="B29" s="73"/>
      <c r="C29" s="73"/>
      <c r="D29" s="73"/>
      <c r="E29" s="107"/>
      <c r="F29" s="106"/>
      <c r="G29" s="173"/>
      <c r="H29" s="174"/>
      <c r="I29" s="163"/>
      <c r="J29" s="164"/>
      <c r="K29" s="164"/>
      <c r="L29" s="165"/>
      <c r="M29" s="159"/>
      <c r="N29" s="73"/>
      <c r="O29" s="73"/>
    </row>
    <row r="30" spans="1:15">
      <c r="A30" s="106"/>
      <c r="B30" s="73"/>
      <c r="C30" s="148" t="s">
        <v>53</v>
      </c>
      <c r="D30" s="73"/>
      <c r="E30" s="107"/>
      <c r="F30" s="106"/>
      <c r="G30" s="173"/>
      <c r="H30" s="174"/>
      <c r="I30" s="163"/>
      <c r="J30" s="164"/>
      <c r="K30" s="164"/>
      <c r="L30" s="165"/>
      <c r="M30" s="159"/>
      <c r="N30" s="73"/>
      <c r="O30" s="73"/>
    </row>
    <row r="31" spans="1:15">
      <c r="A31" s="106">
        <v>12</v>
      </c>
      <c r="B31" s="73"/>
      <c r="C31" s="2" t="s">
        <v>54</v>
      </c>
      <c r="D31" s="73"/>
      <c r="E31" s="107">
        <v>46</v>
      </c>
      <c r="F31" s="106"/>
      <c r="G31" s="161">
        <v>78351.491999999998</v>
      </c>
      <c r="H31" s="162"/>
      <c r="I31" s="163"/>
      <c r="J31" s="164">
        <v>0</v>
      </c>
      <c r="K31" s="164"/>
      <c r="L31" s="165">
        <v>-35259.524953710272</v>
      </c>
      <c r="M31" s="166">
        <v>-4.5001727540440803E-4</v>
      </c>
      <c r="N31" s="73"/>
      <c r="O31" s="73"/>
    </row>
    <row r="32" spans="1:15">
      <c r="A32" s="106">
        <v>13</v>
      </c>
      <c r="B32" s="73"/>
      <c r="C32" s="73" t="s">
        <v>55</v>
      </c>
      <c r="D32" s="73"/>
      <c r="E32" s="107">
        <v>49</v>
      </c>
      <c r="F32" s="106"/>
      <c r="G32" s="161">
        <v>542259.32140199991</v>
      </c>
      <c r="H32" s="162"/>
      <c r="I32" s="163"/>
      <c r="J32" s="164">
        <v>0</v>
      </c>
      <c r="K32" s="164"/>
      <c r="L32" s="165">
        <v>-244026.0623799712</v>
      </c>
      <c r="M32" s="166">
        <v>-4.5001727540440803E-4</v>
      </c>
      <c r="N32" s="73"/>
      <c r="O32" s="73"/>
    </row>
    <row r="33" spans="1:15">
      <c r="A33" s="106">
        <v>14</v>
      </c>
      <c r="B33" s="73"/>
      <c r="C33" s="167" t="s">
        <v>53</v>
      </c>
      <c r="D33" s="73"/>
      <c r="E33" s="106"/>
      <c r="F33" s="106"/>
      <c r="G33" s="168">
        <v>620610.81340199988</v>
      </c>
      <c r="H33" s="169">
        <v>92890893.415493071</v>
      </c>
      <c r="I33" s="163"/>
      <c r="J33" s="164">
        <v>1.74751174042076E-2</v>
      </c>
      <c r="K33" s="164"/>
      <c r="L33" s="165">
        <v>-279285.58733368147</v>
      </c>
      <c r="M33" s="166">
        <v>-4.5001727540440803E-4</v>
      </c>
      <c r="N33" s="73"/>
      <c r="O33" s="73"/>
    </row>
    <row r="34" spans="1:15">
      <c r="A34" s="106"/>
      <c r="B34" s="73"/>
      <c r="C34" s="73"/>
      <c r="D34" s="73"/>
      <c r="E34" s="107"/>
      <c r="F34" s="106"/>
      <c r="G34" s="173"/>
      <c r="H34" s="174"/>
      <c r="I34" s="163"/>
      <c r="J34" s="164"/>
      <c r="K34" s="164"/>
      <c r="L34" s="165"/>
      <c r="M34" s="159"/>
      <c r="N34" s="73"/>
      <c r="O34" s="73"/>
    </row>
    <row r="35" spans="1:15">
      <c r="A35" s="106"/>
      <c r="B35" s="73"/>
      <c r="C35" s="175" t="s">
        <v>376</v>
      </c>
      <c r="D35" s="73"/>
      <c r="E35" s="107"/>
      <c r="F35" s="106"/>
      <c r="G35" s="173"/>
      <c r="H35" s="174"/>
      <c r="I35" s="163"/>
      <c r="J35" s="164"/>
      <c r="K35" s="164"/>
      <c r="L35" s="165"/>
      <c r="M35" s="159"/>
      <c r="N35" s="73"/>
      <c r="O35" s="73"/>
    </row>
    <row r="36" spans="1:15">
      <c r="A36" s="106">
        <v>15</v>
      </c>
      <c r="B36" s="73"/>
      <c r="C36" s="2" t="s">
        <v>377</v>
      </c>
      <c r="D36" s="73"/>
      <c r="E36" s="107" t="s">
        <v>56</v>
      </c>
      <c r="F36" s="106"/>
      <c r="G36" s="161">
        <v>2028727.0061700002</v>
      </c>
      <c r="H36" s="162">
        <v>3234251.523277767</v>
      </c>
      <c r="I36" s="163"/>
      <c r="J36" s="164">
        <v>6.0844419733602835E-4</v>
      </c>
      <c r="K36" s="164"/>
      <c r="L36" s="165">
        <v>-9724.0946130552438</v>
      </c>
      <c r="M36" s="166">
        <f>ROUND(L36/G36/1000,6)</f>
        <v>-5.0000000000000004E-6</v>
      </c>
      <c r="N36" s="73"/>
      <c r="O36" s="176">
        <v>-40.520000000000003</v>
      </c>
    </row>
    <row r="37" spans="1:15">
      <c r="A37" s="106">
        <v>16</v>
      </c>
      <c r="B37" s="73"/>
      <c r="C37" s="2" t="s">
        <v>378</v>
      </c>
      <c r="D37" s="73"/>
      <c r="E37" s="107" t="s">
        <v>268</v>
      </c>
      <c r="F37" s="106"/>
      <c r="G37" s="161">
        <v>335987.76400000002</v>
      </c>
      <c r="H37" s="162">
        <v>31356808.459470671</v>
      </c>
      <c r="I37" s="163"/>
      <c r="J37" s="164">
        <v>5.8990056947725109E-3</v>
      </c>
      <c r="K37" s="164"/>
      <c r="L37" s="165">
        <v>-94277.321979684741</v>
      </c>
      <c r="M37" s="166">
        <f>ROUND(L37/G37/1000,6)</f>
        <v>-2.81E-4</v>
      </c>
      <c r="N37" s="73"/>
      <c r="O37" s="73"/>
    </row>
    <row r="38" spans="1:15">
      <c r="A38" s="106">
        <v>17</v>
      </c>
      <c r="B38" s="73"/>
      <c r="C38" s="167" t="s">
        <v>376</v>
      </c>
      <c r="D38" s="73"/>
      <c r="E38" s="107"/>
      <c r="F38" s="106"/>
      <c r="G38" s="168">
        <v>2364714.7701700004</v>
      </c>
      <c r="H38" s="169">
        <v>34591059.982748434</v>
      </c>
      <c r="I38" s="163"/>
      <c r="J38" s="164"/>
      <c r="K38" s="164"/>
      <c r="L38" s="170">
        <v>-104001.41659273999</v>
      </c>
      <c r="M38" s="159"/>
      <c r="N38" s="73"/>
      <c r="O38" s="73"/>
    </row>
    <row r="39" spans="1:15">
      <c r="A39" s="106"/>
      <c r="B39" s="73"/>
      <c r="C39" s="73"/>
      <c r="D39" s="73"/>
      <c r="E39" s="107"/>
      <c r="F39" s="106"/>
      <c r="G39" s="173"/>
      <c r="H39" s="174"/>
      <c r="I39" s="163"/>
      <c r="J39" s="164"/>
      <c r="K39" s="164"/>
      <c r="L39" s="165"/>
      <c r="M39" s="159"/>
      <c r="N39" s="73"/>
      <c r="O39" s="73"/>
    </row>
    <row r="40" spans="1:15">
      <c r="A40" s="106">
        <v>18</v>
      </c>
      <c r="B40" s="73"/>
      <c r="C40" s="73" t="s">
        <v>57</v>
      </c>
      <c r="D40" s="73"/>
      <c r="E40" s="107" t="s">
        <v>16</v>
      </c>
      <c r="F40" s="106"/>
      <c r="G40" s="161">
        <v>69969.105296000009</v>
      </c>
      <c r="H40" s="162">
        <v>58241031.784588441</v>
      </c>
      <c r="I40" s="163"/>
      <c r="J40" s="164">
        <v>1.0956605440594437E-2</v>
      </c>
      <c r="K40" s="164"/>
      <c r="L40" s="165">
        <v>-175107.37781498654</v>
      </c>
      <c r="M40" s="166">
        <v>-2.5026385155877801E-3</v>
      </c>
      <c r="N40" s="73"/>
      <c r="O40" s="73"/>
    </row>
    <row r="41" spans="1:15">
      <c r="A41" s="106"/>
      <c r="B41" s="73"/>
      <c r="C41" s="73"/>
      <c r="D41" s="73"/>
      <c r="E41" s="107"/>
      <c r="F41" s="106"/>
      <c r="G41" s="173"/>
      <c r="H41" s="174"/>
      <c r="I41" s="163"/>
      <c r="J41" s="164"/>
      <c r="K41" s="164"/>
      <c r="L41" s="165"/>
      <c r="M41" s="159"/>
      <c r="N41" s="73"/>
      <c r="O41" s="73"/>
    </row>
    <row r="42" spans="1:15">
      <c r="A42" s="106">
        <v>19</v>
      </c>
      <c r="B42" s="73"/>
      <c r="C42" s="167" t="s">
        <v>58</v>
      </c>
      <c r="D42" s="73"/>
      <c r="E42" s="73"/>
      <c r="F42" s="73"/>
      <c r="G42" s="168">
        <v>22893265.696041595</v>
      </c>
      <c r="H42" s="169">
        <v>5313797137.4978008</v>
      </c>
      <c r="I42" s="163"/>
      <c r="J42" s="164">
        <v>0.99965912077694097</v>
      </c>
      <c r="K42" s="164"/>
      <c r="L42" s="170">
        <v>-15976452.588091742</v>
      </c>
      <c r="M42" s="159"/>
      <c r="N42" s="73"/>
      <c r="O42" s="73"/>
    </row>
    <row r="43" spans="1:15">
      <c r="A43" s="106"/>
      <c r="B43" s="73"/>
      <c r="C43" s="73"/>
      <c r="D43" s="73"/>
      <c r="E43" s="73"/>
      <c r="F43" s="73"/>
      <c r="G43" s="171"/>
      <c r="H43" s="73"/>
      <c r="I43" s="172"/>
      <c r="J43" s="164"/>
      <c r="K43" s="164"/>
      <c r="L43" s="158"/>
      <c r="M43" s="159"/>
      <c r="N43" s="73"/>
      <c r="O43" s="73"/>
    </row>
    <row r="44" spans="1:15">
      <c r="A44" s="106">
        <v>20</v>
      </c>
      <c r="B44" s="73"/>
      <c r="C44" s="73" t="s">
        <v>59</v>
      </c>
      <c r="D44" s="73"/>
      <c r="E44" s="107" t="s">
        <v>155</v>
      </c>
      <c r="F44" s="106"/>
      <c r="G44" s="161">
        <v>7197.5754843382783</v>
      </c>
      <c r="H44" s="162">
        <v>1811980.7062991206</v>
      </c>
      <c r="I44" s="172"/>
      <c r="J44" s="164">
        <v>3.4087922305906979E-4</v>
      </c>
      <c r="K44" s="164"/>
      <c r="L44" s="165">
        <v>-5447.8978206451848</v>
      </c>
      <c r="M44" s="166">
        <v>-7.5690735477518191E-4</v>
      </c>
      <c r="N44" s="73"/>
      <c r="O44" s="73"/>
    </row>
    <row r="45" spans="1:15">
      <c r="A45" s="106"/>
      <c r="B45" s="73"/>
      <c r="C45" s="73"/>
      <c r="D45" s="73"/>
      <c r="E45" s="73"/>
      <c r="F45" s="73"/>
      <c r="G45" s="171"/>
      <c r="H45" s="73"/>
      <c r="I45" s="172"/>
      <c r="J45" s="164"/>
      <c r="K45" s="164"/>
      <c r="L45" s="158"/>
      <c r="M45" s="159"/>
      <c r="N45" s="73"/>
      <c r="O45" s="73"/>
    </row>
    <row r="46" spans="1:15" ht="13.8" thickBot="1">
      <c r="A46" s="106">
        <v>21</v>
      </c>
      <c r="B46" s="73"/>
      <c r="C46" s="175" t="s">
        <v>60</v>
      </c>
      <c r="D46" s="73"/>
      <c r="E46" s="73"/>
      <c r="F46" s="73"/>
      <c r="G46" s="177">
        <v>22900463.271525934</v>
      </c>
      <c r="H46" s="178">
        <v>5315609118.2040997</v>
      </c>
      <c r="I46" s="179"/>
      <c r="J46" s="164">
        <v>1</v>
      </c>
      <c r="K46" s="164"/>
      <c r="L46" s="180">
        <v>-15981900.485912388</v>
      </c>
      <c r="M46" s="159"/>
      <c r="N46" s="73"/>
      <c r="O46" s="73"/>
    </row>
    <row r="47" spans="1:15" ht="13.8" thickTop="1"/>
  </sheetData>
  <mergeCells count="9">
    <mergeCell ref="O7:O10"/>
    <mergeCell ref="A2:O2"/>
    <mergeCell ref="A3:O3"/>
    <mergeCell ref="A4:O4"/>
    <mergeCell ref="A5:O5"/>
    <mergeCell ref="A6:O6"/>
    <mergeCell ref="J7:J10"/>
    <mergeCell ref="L7:L10"/>
    <mergeCell ref="M7:M10"/>
  </mergeCells>
  <pageMargins left="0.7" right="0.7" top="0.75" bottom="0.75" header="0.3" footer="0.3"/>
  <customProperties>
    <customPr name="_pios_id" r:id="rId1"/>
  </customPropertie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H29"/>
  <sheetViews>
    <sheetView workbookViewId="0">
      <pane xSplit="4" ySplit="11" topLeftCell="E12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09375" defaultRowHeight="13.2"/>
  <cols>
    <col min="1" max="1" width="5" style="110" bestFit="1" customWidth="1"/>
    <col min="2" max="2" width="31" style="110" bestFit="1" customWidth="1"/>
    <col min="3" max="3" width="14.44140625" style="110" bestFit="1" customWidth="1"/>
    <col min="4" max="4" width="6.44140625" style="110" bestFit="1" customWidth="1"/>
    <col min="5" max="5" width="9.109375" style="110"/>
    <col min="6" max="6" width="14.33203125" style="110" bestFit="1" customWidth="1"/>
    <col min="7" max="7" width="13.6640625" style="110" bestFit="1" customWidth="1"/>
    <col min="8" max="8" width="15.88671875" style="110" bestFit="1" customWidth="1"/>
    <col min="9" max="16384" width="9.109375" style="110"/>
  </cols>
  <sheetData>
    <row r="1" spans="1:8">
      <c r="A1" s="839" t="s">
        <v>0</v>
      </c>
      <c r="B1" s="839"/>
      <c r="C1" s="839"/>
      <c r="D1" s="839"/>
      <c r="E1" s="839"/>
      <c r="F1" s="839"/>
      <c r="G1" s="839"/>
      <c r="H1" s="839"/>
    </row>
    <row r="2" spans="1:8">
      <c r="A2" s="839" t="s">
        <v>418</v>
      </c>
      <c r="B2" s="839"/>
      <c r="C2" s="839"/>
      <c r="D2" s="839"/>
      <c r="E2" s="839"/>
      <c r="F2" s="839"/>
      <c r="G2" s="839"/>
      <c r="H2" s="839"/>
    </row>
    <row r="3" spans="1:8">
      <c r="A3" s="839" t="s">
        <v>390</v>
      </c>
      <c r="B3" s="839"/>
      <c r="C3" s="839"/>
      <c r="D3" s="839"/>
      <c r="E3" s="839"/>
      <c r="F3" s="839"/>
      <c r="G3" s="839"/>
      <c r="H3" s="839"/>
    </row>
    <row r="4" spans="1:8">
      <c r="A4" s="839" t="s">
        <v>419</v>
      </c>
      <c r="B4" s="839"/>
      <c r="C4" s="839"/>
      <c r="D4" s="839"/>
      <c r="E4" s="839"/>
      <c r="F4" s="839"/>
      <c r="G4" s="839"/>
      <c r="H4" s="839"/>
    </row>
    <row r="5" spans="1:8">
      <c r="A5" s="73"/>
      <c r="B5" s="181"/>
      <c r="C5" s="181"/>
      <c r="D5" s="181"/>
      <c r="E5" s="181"/>
      <c r="F5" s="181"/>
      <c r="G5" s="182"/>
      <c r="H5" s="182"/>
    </row>
    <row r="6" spans="1:8" ht="12.75" customHeight="1">
      <c r="A6" s="73"/>
      <c r="B6" s="181"/>
      <c r="C6" s="181"/>
      <c r="D6" s="181"/>
      <c r="E6" s="181"/>
      <c r="F6" s="840" t="s">
        <v>420</v>
      </c>
      <c r="G6" s="841"/>
      <c r="H6" s="842"/>
    </row>
    <row r="7" spans="1:8">
      <c r="A7" s="73"/>
      <c r="B7" s="181"/>
      <c r="C7" s="181"/>
      <c r="D7" s="181"/>
      <c r="E7" s="183"/>
      <c r="F7" s="184" t="s">
        <v>394</v>
      </c>
      <c r="G7" s="837" t="s">
        <v>421</v>
      </c>
      <c r="H7" s="838"/>
    </row>
    <row r="8" spans="1:8">
      <c r="A8" s="152" t="s">
        <v>28</v>
      </c>
      <c r="B8" s="73"/>
      <c r="C8" s="74"/>
      <c r="D8" s="74"/>
      <c r="E8" s="73"/>
      <c r="F8" s="184" t="s">
        <v>396</v>
      </c>
      <c r="G8" s="185" t="s">
        <v>397</v>
      </c>
      <c r="H8" s="159" t="s">
        <v>398</v>
      </c>
    </row>
    <row r="9" spans="1:8">
      <c r="A9" s="186" t="s">
        <v>30</v>
      </c>
      <c r="B9" s="187"/>
      <c r="C9" s="188"/>
      <c r="D9" s="188" t="s">
        <v>399</v>
      </c>
      <c r="E9" s="188"/>
      <c r="F9" s="189" t="s">
        <v>400</v>
      </c>
      <c r="G9" s="189" t="s">
        <v>401</v>
      </c>
      <c r="H9" s="189" t="s">
        <v>401</v>
      </c>
    </row>
    <row r="10" spans="1:8">
      <c r="A10" s="190"/>
      <c r="B10" s="52"/>
      <c r="C10" s="74" t="s">
        <v>117</v>
      </c>
      <c r="D10" s="74" t="s">
        <v>118</v>
      </c>
      <c r="E10" s="191"/>
      <c r="F10" s="192" t="s">
        <v>119</v>
      </c>
      <c r="G10" s="192" t="s">
        <v>120</v>
      </c>
      <c r="H10" s="192" t="s">
        <v>121</v>
      </c>
    </row>
    <row r="11" spans="1:8">
      <c r="A11" s="191">
        <v>1</v>
      </c>
      <c r="B11" s="193" t="s">
        <v>402</v>
      </c>
      <c r="D11" s="74"/>
      <c r="E11" s="191"/>
      <c r="F11" s="192"/>
      <c r="G11" s="194"/>
      <c r="H11" s="194"/>
    </row>
    <row r="12" spans="1:8">
      <c r="A12" s="191">
        <v>2</v>
      </c>
      <c r="C12" s="195" t="s">
        <v>403</v>
      </c>
      <c r="D12" s="52" t="s">
        <v>404</v>
      </c>
      <c r="E12" s="196"/>
      <c r="F12" s="198">
        <v>-4.17E-4</v>
      </c>
      <c r="G12" s="199">
        <v>6.3999999999999997E-5</v>
      </c>
      <c r="H12" s="199">
        <v>-4.8099999999999998E-4</v>
      </c>
    </row>
    <row r="13" spans="1:8">
      <c r="A13" s="191">
        <v>3</v>
      </c>
      <c r="C13" s="73"/>
      <c r="D13" s="52"/>
      <c r="E13" s="197"/>
      <c r="F13" s="199"/>
      <c r="G13" s="199"/>
      <c r="H13" s="199"/>
    </row>
    <row r="14" spans="1:8">
      <c r="A14" s="191">
        <v>4</v>
      </c>
      <c r="B14" s="193" t="s">
        <v>405</v>
      </c>
      <c r="D14" s="74"/>
      <c r="E14" s="197"/>
      <c r="F14" s="199"/>
      <c r="G14" s="199"/>
      <c r="H14" s="199"/>
    </row>
    <row r="15" spans="1:8">
      <c r="A15" s="191">
        <v>5</v>
      </c>
      <c r="C15" s="195" t="s">
        <v>403</v>
      </c>
      <c r="D15" s="52" t="s">
        <v>404</v>
      </c>
      <c r="E15" s="196"/>
      <c r="F15" s="198">
        <v>3.2799999999999999E-3</v>
      </c>
      <c r="G15" s="199">
        <v>1.7640000000000002E-3</v>
      </c>
      <c r="H15" s="199">
        <v>1.516E-3</v>
      </c>
    </row>
    <row r="16" spans="1:8">
      <c r="A16" s="191">
        <v>6</v>
      </c>
      <c r="C16" s="73"/>
      <c r="D16" s="52"/>
      <c r="E16" s="197"/>
      <c r="F16" s="199"/>
      <c r="G16" s="199"/>
      <c r="H16" s="199"/>
    </row>
    <row r="17" spans="1:8">
      <c r="A17" s="191">
        <v>7</v>
      </c>
      <c r="B17" s="193" t="s">
        <v>406</v>
      </c>
      <c r="D17" s="74"/>
      <c r="E17" s="197"/>
      <c r="F17" s="199"/>
      <c r="G17" s="199"/>
      <c r="H17" s="199"/>
    </row>
    <row r="18" spans="1:8">
      <c r="A18" s="191">
        <v>8</v>
      </c>
      <c r="C18" s="195" t="s">
        <v>403</v>
      </c>
      <c r="D18" s="52" t="s">
        <v>404</v>
      </c>
      <c r="E18" s="196"/>
      <c r="F18" s="198">
        <v>2.9560000000000003E-3</v>
      </c>
      <c r="G18" s="199">
        <v>1.8350000000000003E-3</v>
      </c>
      <c r="H18" s="199">
        <v>1.1209999999999998E-3</v>
      </c>
    </row>
    <row r="19" spans="1:8">
      <c r="A19" s="191">
        <v>8</v>
      </c>
      <c r="C19" s="73"/>
      <c r="D19" s="52"/>
      <c r="E19" s="197"/>
      <c r="F19" s="199"/>
      <c r="G19" s="199"/>
      <c r="H19" s="199"/>
    </row>
    <row r="20" spans="1:8">
      <c r="A20" s="191">
        <v>8</v>
      </c>
      <c r="B20" s="193" t="s">
        <v>408</v>
      </c>
      <c r="D20" s="73"/>
      <c r="E20" s="197"/>
      <c r="F20" s="199"/>
      <c r="G20" s="200"/>
      <c r="H20" s="199"/>
    </row>
    <row r="21" spans="1:8">
      <c r="A21" s="191">
        <v>8</v>
      </c>
      <c r="C21" s="195" t="s">
        <v>403</v>
      </c>
      <c r="D21" s="52" t="s">
        <v>404</v>
      </c>
      <c r="E21" s="196"/>
      <c r="F21" s="198">
        <v>6.2799999999999998E-4</v>
      </c>
      <c r="G21" s="199">
        <v>2.1400000000000002E-4</v>
      </c>
      <c r="H21" s="199">
        <v>4.1399999999999998E-4</v>
      </c>
    </row>
    <row r="22" spans="1:8">
      <c r="A22" s="191">
        <v>8</v>
      </c>
      <c r="B22" s="73"/>
      <c r="C22" s="52"/>
      <c r="D22" s="52"/>
      <c r="E22" s="57"/>
      <c r="F22" s="201"/>
      <c r="G22" s="200"/>
      <c r="H22" s="202"/>
    </row>
    <row r="23" spans="1:8">
      <c r="A23" s="191">
        <v>8</v>
      </c>
      <c r="B23" s="203" t="s">
        <v>409</v>
      </c>
      <c r="C23" s="73"/>
      <c r="D23" s="204"/>
      <c r="E23" s="197"/>
      <c r="F23" s="199"/>
      <c r="G23" s="199"/>
      <c r="H23" s="199"/>
    </row>
    <row r="24" spans="1:8">
      <c r="A24" s="191">
        <v>8</v>
      </c>
      <c r="B24" s="73"/>
      <c r="C24" s="52" t="s">
        <v>410</v>
      </c>
      <c r="D24" s="52" t="s">
        <v>411</v>
      </c>
      <c r="E24" s="205"/>
      <c r="F24" s="206">
        <v>0.47999999999999993</v>
      </c>
      <c r="G24" s="207">
        <v>0.47999999999999993</v>
      </c>
      <c r="H24" s="199"/>
    </row>
    <row r="25" spans="1:8">
      <c r="A25" s="191">
        <v>8</v>
      </c>
      <c r="B25" s="73"/>
      <c r="C25" s="52" t="s">
        <v>403</v>
      </c>
      <c r="D25" s="52" t="s">
        <v>412</v>
      </c>
      <c r="E25" s="197"/>
      <c r="F25" s="198">
        <v>1.5579999999999999E-3</v>
      </c>
      <c r="G25" s="199"/>
      <c r="H25" s="199">
        <v>1.5579999999999999E-3</v>
      </c>
    </row>
    <row r="26" spans="1:8">
      <c r="A26" s="191">
        <v>8</v>
      </c>
      <c r="B26" s="73"/>
      <c r="C26" s="52"/>
      <c r="D26" s="52"/>
      <c r="E26" s="197"/>
      <c r="F26" s="199"/>
      <c r="G26" s="199"/>
      <c r="H26" s="199"/>
    </row>
    <row r="27" spans="1:8">
      <c r="A27" s="191">
        <v>8</v>
      </c>
      <c r="B27" s="203" t="s">
        <v>413</v>
      </c>
      <c r="C27" s="73"/>
      <c r="D27" s="204"/>
      <c r="E27" s="197"/>
      <c r="F27" s="199"/>
      <c r="G27" s="200"/>
      <c r="H27" s="199"/>
    </row>
    <row r="28" spans="1:8">
      <c r="A28" s="191">
        <v>21</v>
      </c>
      <c r="B28" s="52"/>
      <c r="C28" s="52" t="s">
        <v>410</v>
      </c>
      <c r="D28" s="52" t="s">
        <v>414</v>
      </c>
      <c r="E28" s="205"/>
      <c r="F28" s="206">
        <v>0.4</v>
      </c>
      <c r="G28" s="207">
        <v>0.4</v>
      </c>
      <c r="H28" s="199"/>
    </row>
    <row r="29" spans="1:8">
      <c r="A29" s="191">
        <v>22</v>
      </c>
      <c r="B29" s="52"/>
      <c r="C29" s="204" t="s">
        <v>403</v>
      </c>
      <c r="D29" s="52" t="s">
        <v>412</v>
      </c>
      <c r="E29" s="196"/>
      <c r="F29" s="198">
        <v>1.7290000000000003E-3</v>
      </c>
      <c r="G29" s="202"/>
      <c r="H29" s="199">
        <v>1.7290000000000003E-3</v>
      </c>
    </row>
  </sheetData>
  <mergeCells count="6">
    <mergeCell ref="G7:H7"/>
    <mergeCell ref="A1:H1"/>
    <mergeCell ref="A2:H2"/>
    <mergeCell ref="A3:H3"/>
    <mergeCell ref="A4:H4"/>
    <mergeCell ref="F6:H6"/>
  </mergeCells>
  <pageMargins left="0.7" right="0.7" top="0.75" bottom="0.75" header="0.3" footer="0.3"/>
  <customProperties>
    <customPr name="_pios_id" r:id="rId1"/>
  </customPropertie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39"/>
  <sheetViews>
    <sheetView workbookViewId="0">
      <pane xSplit="4" ySplit="10" topLeftCell="E11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3.44140625" defaultRowHeight="13.2"/>
  <cols>
    <col min="1" max="1" width="5" style="110" bestFit="1" customWidth="1"/>
    <col min="2" max="2" width="36.88671875" style="110" customWidth="1"/>
    <col min="3" max="3" width="14.44140625" style="110" bestFit="1" customWidth="1"/>
    <col min="4" max="4" width="6.44140625" style="110" bestFit="1" customWidth="1"/>
    <col min="5" max="5" width="14.33203125" style="110" bestFit="1" customWidth="1"/>
    <col min="6" max="6" width="13.6640625" style="110" bestFit="1" customWidth="1"/>
    <col min="7" max="7" width="15.88671875" style="110" bestFit="1" customWidth="1"/>
    <col min="8" max="16384" width="3.44140625" style="110"/>
  </cols>
  <sheetData>
    <row r="1" spans="1:7">
      <c r="A1" s="839" t="s">
        <v>0</v>
      </c>
      <c r="B1" s="839"/>
      <c r="C1" s="839"/>
      <c r="D1" s="839"/>
      <c r="E1" s="839"/>
      <c r="F1" s="839"/>
      <c r="G1" s="839"/>
    </row>
    <row r="2" spans="1:7">
      <c r="A2" s="839" t="s">
        <v>389</v>
      </c>
      <c r="B2" s="839"/>
      <c r="C2" s="839"/>
      <c r="D2" s="839"/>
      <c r="E2" s="839"/>
      <c r="F2" s="839"/>
      <c r="G2" s="839"/>
    </row>
    <row r="3" spans="1:7">
      <c r="A3" s="839" t="s">
        <v>390</v>
      </c>
      <c r="B3" s="839"/>
      <c r="C3" s="839"/>
      <c r="D3" s="839"/>
      <c r="E3" s="839"/>
      <c r="F3" s="839"/>
      <c r="G3" s="839"/>
    </row>
    <row r="4" spans="1:7">
      <c r="A4" s="839" t="s">
        <v>391</v>
      </c>
      <c r="B4" s="839"/>
      <c r="C4" s="839"/>
      <c r="D4" s="839"/>
      <c r="E4" s="839"/>
      <c r="F4" s="839"/>
      <c r="G4" s="839"/>
    </row>
    <row r="5" spans="1:7" ht="12.75" customHeight="1">
      <c r="A5" s="73"/>
      <c r="B5" s="181"/>
      <c r="C5" s="181"/>
      <c r="D5" s="181"/>
      <c r="E5" s="843" t="s">
        <v>392</v>
      </c>
      <c r="F5" s="847"/>
      <c r="G5" s="848"/>
    </row>
    <row r="6" spans="1:7" ht="12.75" customHeight="1">
      <c r="A6" s="73"/>
      <c r="B6" s="181"/>
      <c r="C6" s="181"/>
      <c r="D6" s="181"/>
      <c r="E6" s="843" t="s">
        <v>393</v>
      </c>
      <c r="F6" s="844"/>
      <c r="G6" s="845"/>
    </row>
    <row r="7" spans="1:7">
      <c r="A7" s="73"/>
      <c r="B7" s="181"/>
      <c r="C7" s="181"/>
      <c r="D7" s="181"/>
      <c r="E7" s="74" t="s">
        <v>394</v>
      </c>
      <c r="F7" s="846" t="s">
        <v>395</v>
      </c>
      <c r="G7" s="846"/>
    </row>
    <row r="8" spans="1:7">
      <c r="A8" s="152" t="s">
        <v>28</v>
      </c>
      <c r="B8" s="73"/>
      <c r="C8" s="74"/>
      <c r="D8" s="74"/>
      <c r="E8" s="74" t="s">
        <v>396</v>
      </c>
      <c r="F8" s="106" t="s">
        <v>397</v>
      </c>
      <c r="G8" s="73" t="s">
        <v>398</v>
      </c>
    </row>
    <row r="9" spans="1:7">
      <c r="A9" s="186" t="s">
        <v>30</v>
      </c>
      <c r="B9" s="187"/>
      <c r="C9" s="188"/>
      <c r="D9" s="188" t="s">
        <v>399</v>
      </c>
      <c r="E9" s="188" t="s">
        <v>400</v>
      </c>
      <c r="F9" s="188" t="s">
        <v>401</v>
      </c>
      <c r="G9" s="188" t="s">
        <v>401</v>
      </c>
    </row>
    <row r="10" spans="1:7">
      <c r="A10" s="190"/>
      <c r="B10" s="52"/>
      <c r="C10" s="74" t="s">
        <v>117</v>
      </c>
      <c r="D10" s="74" t="s">
        <v>118</v>
      </c>
      <c r="E10" s="74"/>
      <c r="F10" s="74"/>
      <c r="G10" s="74"/>
    </row>
    <row r="11" spans="1:7">
      <c r="A11" s="191">
        <v>1</v>
      </c>
      <c r="B11" s="193" t="s">
        <v>402</v>
      </c>
      <c r="D11" s="74"/>
      <c r="E11" s="74"/>
      <c r="F11" s="74"/>
      <c r="G11" s="74"/>
    </row>
    <row r="12" spans="1:7">
      <c r="A12" s="191">
        <v>2</v>
      </c>
      <c r="C12" s="195" t="s">
        <v>403</v>
      </c>
      <c r="D12" s="52" t="s">
        <v>404</v>
      </c>
      <c r="E12" s="198">
        <f>SUM(F12:G12)</f>
        <v>3.1400000000000004E-4</v>
      </c>
      <c r="F12" s="197">
        <v>2.5300000000000002E-4</v>
      </c>
      <c r="G12" s="197">
        <v>6.0999999999999999E-5</v>
      </c>
    </row>
    <row r="13" spans="1:7">
      <c r="A13" s="191">
        <v>3</v>
      </c>
      <c r="C13" s="73"/>
      <c r="D13" s="52"/>
      <c r="E13" s="199"/>
      <c r="F13" s="208"/>
      <c r="G13" s="197"/>
    </row>
    <row r="14" spans="1:7">
      <c r="A14" s="191">
        <v>4</v>
      </c>
      <c r="B14" s="193" t="s">
        <v>405</v>
      </c>
      <c r="D14" s="74"/>
      <c r="E14" s="199"/>
      <c r="F14" s="208"/>
      <c r="G14" s="208"/>
    </row>
    <row r="15" spans="1:7">
      <c r="A15" s="191">
        <v>5</v>
      </c>
      <c r="C15" s="195" t="s">
        <v>403</v>
      </c>
      <c r="D15" s="52" t="s">
        <v>404</v>
      </c>
      <c r="E15" s="198">
        <f>SUM(F15:G15)</f>
        <v>1.201E-3</v>
      </c>
      <c r="F15" s="197">
        <v>7.1299999999999998E-4</v>
      </c>
      <c r="G15" s="197">
        <v>4.8799999999999999E-4</v>
      </c>
    </row>
    <row r="16" spans="1:7">
      <c r="A16" s="191">
        <v>6</v>
      </c>
      <c r="C16" s="73"/>
      <c r="D16" s="52"/>
      <c r="E16" s="199"/>
      <c r="F16" s="208"/>
      <c r="G16" s="208"/>
    </row>
    <row r="17" spans="1:7">
      <c r="A17" s="191">
        <v>7</v>
      </c>
      <c r="B17" s="193" t="s">
        <v>406</v>
      </c>
      <c r="D17" s="74"/>
      <c r="E17" s="199"/>
      <c r="F17" s="208"/>
      <c r="G17" s="208"/>
    </row>
    <row r="18" spans="1:7">
      <c r="A18" s="191">
        <v>8</v>
      </c>
      <c r="C18" s="195" t="s">
        <v>403</v>
      </c>
      <c r="D18" s="52" t="s">
        <v>404</v>
      </c>
      <c r="E18" s="198">
        <f>SUM(F18:G18)</f>
        <v>-6.1000000000000019E-5</v>
      </c>
      <c r="F18" s="197">
        <v>2.8299999999999999E-4</v>
      </c>
      <c r="G18" s="197">
        <v>-3.4400000000000001E-4</v>
      </c>
    </row>
    <row r="19" spans="1:7">
      <c r="A19" s="191">
        <v>9</v>
      </c>
      <c r="C19" s="73"/>
      <c r="D19" s="52"/>
      <c r="E19" s="199"/>
      <c r="F19" s="208"/>
      <c r="G19" s="208"/>
    </row>
    <row r="20" spans="1:7">
      <c r="A20" s="191">
        <v>10</v>
      </c>
      <c r="B20" s="193" t="s">
        <v>407</v>
      </c>
      <c r="D20" s="73"/>
      <c r="E20" s="199"/>
      <c r="F20" s="208"/>
      <c r="G20" s="208"/>
    </row>
    <row r="21" spans="1:7">
      <c r="A21" s="191">
        <v>11</v>
      </c>
      <c r="C21" s="195" t="s">
        <v>403</v>
      </c>
      <c r="D21" s="52" t="s">
        <v>404</v>
      </c>
      <c r="E21" s="198">
        <f>SUM(F21:G21)</f>
        <v>0</v>
      </c>
      <c r="F21" s="197">
        <v>0</v>
      </c>
      <c r="G21" s="197">
        <v>0</v>
      </c>
    </row>
    <row r="22" spans="1:7">
      <c r="A22" s="191">
        <v>12</v>
      </c>
      <c r="B22" s="73"/>
      <c r="C22" s="52"/>
      <c r="D22" s="52"/>
      <c r="E22" s="201"/>
      <c r="F22" s="104"/>
      <c r="G22" s="104"/>
    </row>
    <row r="23" spans="1:7">
      <c r="A23" s="191">
        <v>13</v>
      </c>
      <c r="B23" s="193" t="s">
        <v>408</v>
      </c>
      <c r="D23" s="73"/>
      <c r="E23" s="199"/>
      <c r="F23" s="208"/>
      <c r="G23" s="208"/>
    </row>
    <row r="24" spans="1:7">
      <c r="A24" s="191">
        <v>14</v>
      </c>
      <c r="C24" s="195" t="s">
        <v>403</v>
      </c>
      <c r="D24" s="52" t="s">
        <v>404</v>
      </c>
      <c r="E24" s="198">
        <f>SUM(F24:G24)</f>
        <v>2.5769999999999999E-3</v>
      </c>
      <c r="F24" s="197">
        <v>9.5699999999999995E-4</v>
      </c>
      <c r="G24" s="197">
        <v>1.6199999999999999E-3</v>
      </c>
    </row>
    <row r="25" spans="1:7">
      <c r="A25" s="191">
        <v>15</v>
      </c>
      <c r="B25" s="73"/>
      <c r="C25" s="52"/>
      <c r="D25" s="52"/>
      <c r="E25" s="201"/>
      <c r="F25" s="104"/>
      <c r="G25" s="104"/>
    </row>
    <row r="26" spans="1:7">
      <c r="A26" s="191">
        <v>16</v>
      </c>
      <c r="B26" s="203" t="s">
        <v>409</v>
      </c>
      <c r="C26" s="73"/>
      <c r="D26" s="204"/>
      <c r="E26" s="199"/>
      <c r="F26" s="208"/>
      <c r="G26" s="208"/>
    </row>
    <row r="27" spans="1:7">
      <c r="A27" s="191">
        <v>17</v>
      </c>
      <c r="B27" s="73"/>
      <c r="C27" s="52" t="s">
        <v>410</v>
      </c>
      <c r="D27" s="52" t="s">
        <v>411</v>
      </c>
      <c r="E27" s="209">
        <f t="shared" ref="E27:E28" si="0">SUM(F27:G27)</f>
        <v>0.1</v>
      </c>
      <c r="F27" s="210">
        <v>0.1</v>
      </c>
      <c r="G27" s="197"/>
    </row>
    <row r="28" spans="1:7">
      <c r="A28" s="191">
        <v>18</v>
      </c>
      <c r="B28" s="73"/>
      <c r="C28" s="52" t="s">
        <v>403</v>
      </c>
      <c r="D28" s="52" t="s">
        <v>412</v>
      </c>
      <c r="E28" s="198">
        <f t="shared" si="0"/>
        <v>5.5999999999999999E-5</v>
      </c>
      <c r="F28" s="197"/>
      <c r="G28" s="197">
        <v>5.5999999999999999E-5</v>
      </c>
    </row>
    <row r="29" spans="1:7">
      <c r="A29" s="191">
        <v>19</v>
      </c>
      <c r="B29" s="73"/>
      <c r="C29" s="52"/>
      <c r="D29" s="52"/>
      <c r="E29" s="199"/>
      <c r="F29" s="208"/>
      <c r="G29" s="208"/>
    </row>
    <row r="30" spans="1:7">
      <c r="A30" s="191">
        <v>20</v>
      </c>
      <c r="B30" s="203" t="s">
        <v>413</v>
      </c>
      <c r="C30" s="73"/>
      <c r="D30" s="204"/>
      <c r="E30" s="199"/>
      <c r="F30" s="208"/>
      <c r="G30" s="208"/>
    </row>
    <row r="31" spans="1:7">
      <c r="A31" s="191">
        <v>21</v>
      </c>
      <c r="B31" s="52"/>
      <c r="C31" s="52" t="s">
        <v>410</v>
      </c>
      <c r="D31" s="52" t="s">
        <v>414</v>
      </c>
      <c r="E31" s="209">
        <f t="shared" ref="E31:E32" si="1">SUM(F31:G31)</f>
        <v>0.21</v>
      </c>
      <c r="F31" s="210">
        <v>0.21</v>
      </c>
      <c r="G31" s="197"/>
    </row>
    <row r="32" spans="1:7">
      <c r="A32" s="191">
        <v>22</v>
      </c>
      <c r="B32" s="52"/>
      <c r="C32" s="204" t="s">
        <v>403</v>
      </c>
      <c r="D32" s="52" t="s">
        <v>412</v>
      </c>
      <c r="E32" s="198">
        <f t="shared" si="1"/>
        <v>3.4600000000000001E-4</v>
      </c>
      <c r="F32" s="197"/>
      <c r="G32" s="197">
        <v>3.4600000000000001E-4</v>
      </c>
    </row>
    <row r="33" spans="1:7">
      <c r="A33" s="191">
        <v>23</v>
      </c>
      <c r="B33" s="73"/>
      <c r="C33" s="52"/>
      <c r="D33" s="52"/>
      <c r="E33" s="201"/>
      <c r="F33" s="52"/>
      <c r="G33" s="52"/>
    </row>
    <row r="34" spans="1:7">
      <c r="A34" s="191">
        <v>24</v>
      </c>
      <c r="B34" s="193" t="s">
        <v>415</v>
      </c>
      <c r="D34" s="73"/>
      <c r="E34" s="199"/>
      <c r="F34" s="73"/>
      <c r="G34" s="73"/>
    </row>
    <row r="35" spans="1:7">
      <c r="A35" s="191">
        <v>25</v>
      </c>
      <c r="C35" s="195" t="s">
        <v>403</v>
      </c>
      <c r="D35" s="52" t="s">
        <v>404</v>
      </c>
      <c r="E35" s="198">
        <f>SUM(F35:G35)</f>
        <v>0</v>
      </c>
      <c r="F35" s="208">
        <v>0</v>
      </c>
      <c r="G35" s="208">
        <v>0</v>
      </c>
    </row>
    <row r="36" spans="1:7">
      <c r="A36" s="191">
        <v>26</v>
      </c>
      <c r="B36" s="73"/>
      <c r="C36" s="52"/>
      <c r="D36" s="52"/>
      <c r="E36" s="52"/>
      <c r="F36" s="52"/>
      <c r="G36" s="52"/>
    </row>
    <row r="37" spans="1:7">
      <c r="A37" s="191">
        <v>27</v>
      </c>
      <c r="B37" s="211" t="s">
        <v>416</v>
      </c>
      <c r="C37" s="52"/>
      <c r="D37" s="52"/>
      <c r="E37" s="52"/>
      <c r="F37" s="52"/>
      <c r="G37" s="52"/>
    </row>
    <row r="38" spans="1:7">
      <c r="A38" s="191">
        <v>28</v>
      </c>
      <c r="B38" s="211" t="s">
        <v>417</v>
      </c>
      <c r="C38" s="52"/>
      <c r="D38" s="52"/>
      <c r="E38" s="52"/>
      <c r="F38" s="52"/>
      <c r="G38" s="52"/>
    </row>
    <row r="39" spans="1:7">
      <c r="A39" s="73"/>
      <c r="B39" s="211"/>
      <c r="C39" s="52"/>
      <c r="D39" s="52"/>
      <c r="E39" s="52"/>
      <c r="F39" s="52"/>
      <c r="G39" s="52"/>
    </row>
  </sheetData>
  <mergeCells count="7">
    <mergeCell ref="E6:G6"/>
    <mergeCell ref="F7:G7"/>
    <mergeCell ref="A1:G1"/>
    <mergeCell ref="A2:G2"/>
    <mergeCell ref="A3:G3"/>
    <mergeCell ref="A4:G4"/>
    <mergeCell ref="E5:G5"/>
  </mergeCells>
  <pageMargins left="0.7" right="0.7" top="0.75" bottom="0.75" header="0.3" footer="0.3"/>
  <customProperties>
    <customPr name="_pios_id" r:id="rId1"/>
  </customPropertie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28"/>
  <sheetViews>
    <sheetView workbookViewId="0">
      <pane xSplit="3" ySplit="7" topLeftCell="D8" activePane="bottomRight" state="frozen"/>
      <selection activeCell="D8" sqref="D8"/>
      <selection pane="topRight" activeCell="D8" sqref="D8"/>
      <selection pane="bottomLeft" activeCell="D8" sqref="D8"/>
      <selection pane="bottomRight" activeCell="H24" sqref="H24"/>
    </sheetView>
  </sheetViews>
  <sheetFormatPr defaultColWidth="8.88671875" defaultRowHeight="13.2"/>
  <cols>
    <col min="1" max="1" width="7.6640625" style="73" bestFit="1" customWidth="1"/>
    <col min="2" max="2" width="8.44140625" style="73" bestFit="1" customWidth="1"/>
    <col min="3" max="3" width="75.109375" style="73" bestFit="1" customWidth="1"/>
    <col min="4" max="4" width="12.44140625" style="73" bestFit="1" customWidth="1"/>
    <col min="5" max="16384" width="8.88671875" style="73"/>
  </cols>
  <sheetData>
    <row r="1" spans="1:4">
      <c r="A1" s="849" t="s">
        <v>0</v>
      </c>
      <c r="B1" s="849"/>
      <c r="C1" s="849"/>
      <c r="D1" s="849"/>
    </row>
    <row r="2" spans="1:4">
      <c r="A2" s="849" t="s">
        <v>140</v>
      </c>
      <c r="B2" s="849"/>
      <c r="C2" s="849"/>
      <c r="D2" s="849"/>
    </row>
    <row r="3" spans="1:4">
      <c r="A3" s="849" t="s">
        <v>141</v>
      </c>
      <c r="B3" s="849"/>
      <c r="C3" s="849"/>
      <c r="D3" s="849"/>
    </row>
    <row r="4" spans="1:4">
      <c r="A4" s="850" t="s">
        <v>450</v>
      </c>
      <c r="B4" s="849"/>
      <c r="C4" s="849"/>
      <c r="D4" s="849"/>
    </row>
    <row r="5" spans="1:4">
      <c r="A5" s="851" t="s">
        <v>423</v>
      </c>
      <c r="B5" s="849"/>
      <c r="C5" s="849"/>
      <c r="D5" s="849"/>
    </row>
    <row r="6" spans="1:4">
      <c r="A6" s="75"/>
      <c r="B6" s="75"/>
      <c r="C6" s="52"/>
      <c r="D6" s="52"/>
    </row>
    <row r="7" spans="1:4">
      <c r="A7" s="187" t="s">
        <v>2</v>
      </c>
      <c r="B7" s="187"/>
      <c r="C7" s="187" t="s">
        <v>31</v>
      </c>
      <c r="D7" s="212" t="s">
        <v>142</v>
      </c>
    </row>
    <row r="8" spans="1:4">
      <c r="A8" s="74">
        <f t="shared" ref="A8:A26" si="0">ROW()-7</f>
        <v>1</v>
      </c>
      <c r="B8" s="75"/>
      <c r="C8" s="213" t="s">
        <v>424</v>
      </c>
      <c r="D8" s="214">
        <v>10860654.970711239</v>
      </c>
    </row>
    <row r="9" spans="1:4">
      <c r="A9" s="74">
        <f t="shared" si="0"/>
        <v>2</v>
      </c>
      <c r="B9" s="61"/>
      <c r="C9" s="75"/>
      <c r="D9" s="214"/>
    </row>
    <row r="10" spans="1:4">
      <c r="A10" s="74">
        <f t="shared" si="0"/>
        <v>3</v>
      </c>
      <c r="B10" s="213"/>
      <c r="C10" s="213" t="s">
        <v>425</v>
      </c>
      <c r="D10" s="215">
        <v>72670846.387199968</v>
      </c>
    </row>
    <row r="11" spans="1:4">
      <c r="A11" s="74">
        <f t="shared" si="0"/>
        <v>4</v>
      </c>
      <c r="B11" s="61"/>
      <c r="C11" s="75"/>
      <c r="D11" s="216"/>
    </row>
    <row r="12" spans="1:4">
      <c r="A12" s="74">
        <f t="shared" si="0"/>
        <v>5</v>
      </c>
      <c r="B12" s="61"/>
      <c r="C12" s="59" t="s">
        <v>451</v>
      </c>
      <c r="D12" s="217">
        <v>-3573868.4350000001</v>
      </c>
    </row>
    <row r="13" spans="1:4">
      <c r="A13" s="74">
        <f t="shared" si="0"/>
        <v>6</v>
      </c>
      <c r="B13" s="75" t="str">
        <f>"= "&amp;A10&amp;" + "&amp;A12</f>
        <v>= 3 + 5</v>
      </c>
      <c r="C13" s="218" t="s">
        <v>143</v>
      </c>
      <c r="D13" s="219">
        <f>SUM(D10:D12)</f>
        <v>69096977.952199966</v>
      </c>
    </row>
    <row r="14" spans="1:4">
      <c r="A14" s="74">
        <f t="shared" si="0"/>
        <v>7</v>
      </c>
      <c r="B14" s="75"/>
      <c r="C14" s="218"/>
      <c r="D14" s="216"/>
    </row>
    <row r="15" spans="1:4">
      <c r="A15" s="74">
        <f t="shared" si="0"/>
        <v>8</v>
      </c>
      <c r="B15" s="61"/>
      <c r="C15" s="220" t="s">
        <v>144</v>
      </c>
      <c r="D15" s="221">
        <v>0.95111500000000004</v>
      </c>
    </row>
    <row r="16" spans="1:4" ht="13.8" thickBot="1">
      <c r="A16" s="74">
        <f t="shared" si="0"/>
        <v>9</v>
      </c>
      <c r="B16" s="75" t="str">
        <f>"= "&amp;A13&amp;" / "&amp;A15</f>
        <v>= 6 / 8</v>
      </c>
      <c r="C16" s="222" t="s">
        <v>145</v>
      </c>
      <c r="D16" s="223">
        <f>+D13/D15</f>
        <v>72648394.728502825</v>
      </c>
    </row>
    <row r="17" spans="1:4" ht="13.8" thickTop="1">
      <c r="A17" s="74">
        <f t="shared" si="0"/>
        <v>10</v>
      </c>
      <c r="B17" s="61"/>
      <c r="C17" s="52"/>
      <c r="D17" s="52"/>
    </row>
    <row r="18" spans="1:4" ht="13.8" thickBot="1">
      <c r="A18" s="74">
        <f t="shared" si="0"/>
        <v>11</v>
      </c>
      <c r="B18" s="75" t="str">
        <f>"= "&amp;A16&amp;" / "&amp;A8</f>
        <v>= 9 / 1</v>
      </c>
      <c r="C18" s="213" t="s">
        <v>452</v>
      </c>
      <c r="D18" s="224">
        <f>-ROUND(D16/D8,6)/1000</f>
        <v>-6.689136E-3</v>
      </c>
    </row>
    <row r="19" spans="1:4" ht="13.8" thickTop="1">
      <c r="A19" s="74">
        <f t="shared" si="0"/>
        <v>12</v>
      </c>
      <c r="B19" s="61"/>
      <c r="C19" s="52"/>
      <c r="D19" s="52"/>
    </row>
    <row r="20" spans="1:4">
      <c r="A20" s="74">
        <f t="shared" si="0"/>
        <v>13</v>
      </c>
      <c r="B20" s="61"/>
      <c r="C20" s="225" t="s">
        <v>146</v>
      </c>
      <c r="D20" s="52"/>
    </row>
    <row r="21" spans="1:4">
      <c r="A21" s="74">
        <f t="shared" si="0"/>
        <v>14</v>
      </c>
      <c r="B21" s="61"/>
      <c r="C21" s="75" t="s">
        <v>453</v>
      </c>
      <c r="D21" s="52"/>
    </row>
    <row r="22" spans="1:4">
      <c r="A22" s="74">
        <f t="shared" si="0"/>
        <v>15</v>
      </c>
      <c r="B22" s="61"/>
      <c r="C22" s="75" t="s">
        <v>282</v>
      </c>
      <c r="D22" s="52"/>
    </row>
    <row r="23" spans="1:4">
      <c r="A23" s="74">
        <f t="shared" si="0"/>
        <v>16</v>
      </c>
      <c r="B23" s="61"/>
      <c r="C23" s="59" t="s">
        <v>454</v>
      </c>
      <c r="D23" s="226">
        <v>98.06</v>
      </c>
    </row>
    <row r="24" spans="1:4">
      <c r="A24" s="74">
        <f t="shared" si="0"/>
        <v>17</v>
      </c>
      <c r="B24" s="61"/>
      <c r="C24" s="59" t="s">
        <v>455</v>
      </c>
      <c r="D24" s="226">
        <v>98.69</v>
      </c>
    </row>
    <row r="25" spans="1:4">
      <c r="A25" s="74">
        <f t="shared" si="0"/>
        <v>18</v>
      </c>
      <c r="B25" s="75" t="str">
        <f>"= "&amp;A24&amp;" - "&amp;A23</f>
        <v>= 17 - 16</v>
      </c>
      <c r="C25" s="59" t="s">
        <v>147</v>
      </c>
      <c r="D25" s="227">
        <f>+D24-D23</f>
        <v>0.62999999999999545</v>
      </c>
    </row>
    <row r="26" spans="1:4" ht="13.8" thickBot="1">
      <c r="A26" s="74">
        <f t="shared" si="0"/>
        <v>19</v>
      </c>
      <c r="B26" s="75" t="str">
        <f>"= "&amp;A25&amp;" / "&amp;A23</f>
        <v>= 18 / 16</v>
      </c>
      <c r="C26" s="228" t="s">
        <v>148</v>
      </c>
      <c r="D26" s="229">
        <f>+D25/D23</f>
        <v>6.4246379767488827E-3</v>
      </c>
    </row>
    <row r="27" spans="1:4" ht="13.8" thickTop="1">
      <c r="A27" s="52"/>
      <c r="B27" s="61"/>
      <c r="C27" s="52"/>
      <c r="D27" s="52"/>
    </row>
    <row r="28" spans="1:4">
      <c r="A28" s="52"/>
      <c r="B28" s="52"/>
      <c r="C28" s="52"/>
      <c r="D28" s="52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" right="0.7" top="0.75" bottom="0.71" header="0.3" footer="0.3"/>
  <pageSetup scale="75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S37"/>
  <sheetViews>
    <sheetView zoomScaleNormal="100" zoomScaleSheetLayoutView="75" workbookViewId="0">
      <pane xSplit="3" ySplit="7" topLeftCell="D8" activePane="bottomRight" state="frozen"/>
      <selection activeCell="F7" sqref="F7:F62"/>
      <selection pane="topRight" activeCell="F7" sqref="F7:F62"/>
      <selection pane="bottomLeft" activeCell="F7" sqref="F7:F62"/>
      <selection pane="bottomRight" activeCell="A35" sqref="A35"/>
    </sheetView>
  </sheetViews>
  <sheetFormatPr defaultColWidth="9.44140625" defaultRowHeight="10.199999999999999"/>
  <cols>
    <col min="1" max="1" width="1.5546875" style="387" customWidth="1"/>
    <col min="2" max="2" width="6.88671875" style="387" bestFit="1" customWidth="1"/>
    <col min="3" max="3" width="1.5546875" style="387" customWidth="1"/>
    <col min="4" max="4" width="7.109375" style="387" bestFit="1" customWidth="1"/>
    <col min="5" max="5" width="10" style="387" bestFit="1" customWidth="1"/>
    <col min="6" max="6" width="9.6640625" style="387" bestFit="1" customWidth="1"/>
    <col min="7" max="7" width="1.5546875" style="387" customWidth="1"/>
    <col min="8" max="8" width="9.109375" style="387" bestFit="1" customWidth="1"/>
    <col min="9" max="11" width="11.109375" style="387" bestFit="1" customWidth="1"/>
    <col min="12" max="12" width="1.5546875" style="387" customWidth="1"/>
    <col min="13" max="15" width="11.109375" style="387" bestFit="1" customWidth="1"/>
    <col min="16" max="16" width="1.5546875" style="387" customWidth="1"/>
    <col min="17" max="19" width="11.109375" style="387" bestFit="1" customWidth="1"/>
    <col min="20" max="16384" width="9.44140625" style="387"/>
  </cols>
  <sheetData>
    <row r="1" spans="1:19">
      <c r="A1" s="772" t="s">
        <v>0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  <c r="O1" s="772"/>
      <c r="P1" s="772"/>
      <c r="Q1" s="772"/>
      <c r="R1" s="772"/>
      <c r="S1" s="772"/>
    </row>
    <row r="2" spans="1:19">
      <c r="A2" s="772" t="s">
        <v>604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772"/>
      <c r="P2" s="772"/>
      <c r="Q2" s="772"/>
      <c r="R2" s="772"/>
      <c r="S2" s="772"/>
    </row>
    <row r="3" spans="1:19">
      <c r="A3" s="773" t="s">
        <v>612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  <c r="O3" s="772"/>
      <c r="P3" s="772"/>
      <c r="Q3" s="772"/>
      <c r="R3" s="772"/>
      <c r="S3" s="772"/>
    </row>
    <row r="4" spans="1:19">
      <c r="A4" s="773"/>
      <c r="B4" s="772"/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2"/>
      <c r="N4" s="772"/>
      <c r="O4" s="772"/>
      <c r="P4" s="772"/>
      <c r="Q4" s="772"/>
      <c r="R4" s="772"/>
      <c r="S4" s="772"/>
    </row>
    <row r="6" spans="1:19" ht="11.4">
      <c r="D6" s="774" t="s">
        <v>483</v>
      </c>
      <c r="E6" s="774"/>
      <c r="F6" s="774"/>
      <c r="H6" s="775" t="s">
        <v>850</v>
      </c>
      <c r="I6" s="775"/>
      <c r="J6" s="775"/>
      <c r="K6" s="775"/>
      <c r="M6" s="775" t="s">
        <v>610</v>
      </c>
      <c r="N6" s="775"/>
      <c r="O6" s="775"/>
      <c r="Q6" s="775" t="s">
        <v>611</v>
      </c>
      <c r="R6" s="775"/>
      <c r="S6" s="775"/>
    </row>
    <row r="7" spans="1:19" ht="40.799999999999997">
      <c r="B7" s="459" t="s">
        <v>191</v>
      </c>
      <c r="D7" s="657" t="s">
        <v>484</v>
      </c>
      <c r="E7" s="658" t="s">
        <v>609</v>
      </c>
      <c r="F7" s="658" t="s">
        <v>485</v>
      </c>
      <c r="H7" s="659" t="s">
        <v>851</v>
      </c>
      <c r="I7" s="659" t="s">
        <v>613</v>
      </c>
      <c r="J7" s="659" t="s">
        <v>614</v>
      </c>
      <c r="K7" s="659" t="s">
        <v>615</v>
      </c>
      <c r="L7" s="657"/>
      <c r="M7" s="660" t="str">
        <f>+I7</f>
        <v>Proposed
Bill
Effective
Jan. 1, 2023</v>
      </c>
      <c r="N7" s="660" t="str">
        <f t="shared" ref="N7:O7" si="0">+J7</f>
        <v>Proposed
Bill
Effective
Jan. 1, 2024</v>
      </c>
      <c r="O7" s="660" t="str">
        <f t="shared" si="0"/>
        <v>Proposed
Bill
Effective
Jan. 1, 2025</v>
      </c>
      <c r="P7" s="573"/>
      <c r="Q7" s="657" t="str">
        <f>+M7</f>
        <v>Proposed
Bill
Effective
Jan. 1, 2023</v>
      </c>
      <c r="R7" s="657" t="str">
        <f t="shared" ref="R7:S7" si="1">+N7</f>
        <v>Proposed
Bill
Effective
Jan. 1, 2024</v>
      </c>
      <c r="S7" s="657" t="str">
        <f t="shared" si="1"/>
        <v>Proposed
Bill
Effective
Jan. 1, 2025</v>
      </c>
    </row>
    <row r="8" spans="1:19">
      <c r="B8" s="525">
        <f>+'Res Bill RY#1'!B9</f>
        <v>0</v>
      </c>
      <c r="D8" s="600">
        <f>+'Res Bill RY#1'!D9</f>
        <v>7.5359358627560668E-3</v>
      </c>
      <c r="E8" s="600">
        <f>+'Res Bill RY#1'!E9</f>
        <v>5.9446959245949491E-3</v>
      </c>
      <c r="F8" s="600">
        <f>+'Res Bill RY#1'!F9</f>
        <v>9.1285877834498055E-3</v>
      </c>
      <c r="H8" s="591">
        <f>+'Res Bill RY#1'!H9</f>
        <v>7.49</v>
      </c>
      <c r="I8" s="591">
        <f>+'Res Bill RY#1'!J9</f>
        <v>7.49</v>
      </c>
      <c r="J8" s="591">
        <f>+'Res Bill RY#2'!J9</f>
        <v>7.49</v>
      </c>
      <c r="K8" s="591">
        <f>+'Res Bill RY#3'!J9</f>
        <v>0</v>
      </c>
      <c r="L8" s="591"/>
      <c r="M8" s="591">
        <f>+I8-H8</f>
        <v>0</v>
      </c>
      <c r="N8" s="591">
        <f t="shared" ref="N8:O8" si="2">+J8-I8</f>
        <v>0</v>
      </c>
      <c r="O8" s="591">
        <f t="shared" si="2"/>
        <v>-7.49</v>
      </c>
      <c r="Q8" s="453">
        <f>+M8/H8</f>
        <v>0</v>
      </c>
      <c r="R8" s="453">
        <f t="shared" ref="R8:S8" si="3">+N8/I8</f>
        <v>0</v>
      </c>
      <c r="S8" s="453">
        <f t="shared" si="3"/>
        <v>-1</v>
      </c>
    </row>
    <row r="9" spans="1:19">
      <c r="B9" s="525">
        <f>+'Res Bill RY#1'!B10</f>
        <v>50</v>
      </c>
      <c r="D9" s="600">
        <f>+'Res Bill RY#1'!D10</f>
        <v>7.8933022933853902E-3</v>
      </c>
      <c r="E9" s="600">
        <f>+'Res Bill RY#1'!E10</f>
        <v>6.4115153656511877E-3</v>
      </c>
      <c r="F9" s="600">
        <f>+'Res Bill RY#1'!F10</f>
        <v>9.3764040808141328E-3</v>
      </c>
      <c r="H9" s="591">
        <f>+'Res Bill RY#1'!H10</f>
        <v>12.33</v>
      </c>
      <c r="I9" s="591">
        <f>+'Res Bill RY#1'!J10</f>
        <v>12.88</v>
      </c>
      <c r="J9" s="591">
        <f>+'Res Bill RY#2'!J10</f>
        <v>12.97</v>
      </c>
      <c r="K9" s="591">
        <f>+'Res Bill RY#3'!J10</f>
        <v>0</v>
      </c>
      <c r="L9" s="591"/>
      <c r="M9" s="591">
        <f t="shared" ref="M9:M30" si="4">+I9-H9</f>
        <v>0.55000000000000071</v>
      </c>
      <c r="N9" s="591">
        <f t="shared" ref="N9:N30" si="5">+J9-I9</f>
        <v>8.9999999999999858E-2</v>
      </c>
      <c r="O9" s="591">
        <f t="shared" ref="O9:O30" si="6">+K9-J9</f>
        <v>-12.97</v>
      </c>
      <c r="Q9" s="453">
        <f t="shared" ref="Q9:Q30" si="7">+M9/H9</f>
        <v>4.4606650446066563E-2</v>
      </c>
      <c r="R9" s="453">
        <f t="shared" ref="R9:R30" si="8">+N9/I9</f>
        <v>6.9875776397515417E-3</v>
      </c>
      <c r="S9" s="453">
        <f t="shared" ref="S9:S30" si="9">+O9/J9</f>
        <v>-1</v>
      </c>
    </row>
    <row r="10" spans="1:19">
      <c r="B10" s="525">
        <f>+'Res Bill RY#1'!B11</f>
        <v>100</v>
      </c>
      <c r="D10" s="600">
        <f>+'Res Bill RY#1'!D11</f>
        <v>1.2025178197555365E-2</v>
      </c>
      <c r="E10" s="600">
        <f>+'Res Bill RY#1'!E11</f>
        <v>8.7286517287615776E-3</v>
      </c>
      <c r="F10" s="600">
        <f>+'Res Bill RY#1'!F11</f>
        <v>1.5324629830355306E-2</v>
      </c>
      <c r="H10" s="591">
        <f>+'Res Bill RY#1'!H11</f>
        <v>17.170000000000002</v>
      </c>
      <c r="I10" s="591">
        <f>+'Res Bill RY#1'!J11</f>
        <v>18.27</v>
      </c>
      <c r="J10" s="591">
        <f>+'Res Bill RY#2'!J11</f>
        <v>18.45</v>
      </c>
      <c r="K10" s="591">
        <f>+'Res Bill RY#3'!J11</f>
        <v>0</v>
      </c>
      <c r="L10" s="591"/>
      <c r="M10" s="591">
        <f t="shared" si="4"/>
        <v>1.0999999999999979</v>
      </c>
      <c r="N10" s="591">
        <f t="shared" si="5"/>
        <v>0.17999999999999972</v>
      </c>
      <c r="O10" s="591">
        <f t="shared" si="6"/>
        <v>-18.45</v>
      </c>
      <c r="Q10" s="453">
        <f t="shared" si="7"/>
        <v>6.4065230052416877E-2</v>
      </c>
      <c r="R10" s="453">
        <f t="shared" si="8"/>
        <v>9.8522167487684574E-3</v>
      </c>
      <c r="S10" s="453">
        <f t="shared" si="9"/>
        <v>-1</v>
      </c>
    </row>
    <row r="11" spans="1:19">
      <c r="B11" s="525">
        <f>+'Res Bill RY#1'!B12</f>
        <v>150</v>
      </c>
      <c r="D11" s="600">
        <f>+'Res Bill RY#1'!D12</f>
        <v>1.4632121509343898E-2</v>
      </c>
      <c r="E11" s="600">
        <f>+'Res Bill RY#1'!E12</f>
        <v>9.8047933876175396E-3</v>
      </c>
      <c r="F11" s="600">
        <f>+'Res Bill RY#1'!F12</f>
        <v>1.9463733147857168E-2</v>
      </c>
      <c r="H11" s="591">
        <f>+'Res Bill RY#1'!H12</f>
        <v>22.01</v>
      </c>
      <c r="I11" s="591">
        <f>+'Res Bill RY#1'!J12</f>
        <v>23.66</v>
      </c>
      <c r="J11" s="591">
        <f>+'Res Bill RY#2'!J12</f>
        <v>23.93</v>
      </c>
      <c r="K11" s="591">
        <f>+'Res Bill RY#3'!J12</f>
        <v>0</v>
      </c>
      <c r="M11" s="591">
        <f t="shared" si="4"/>
        <v>1.6499999999999986</v>
      </c>
      <c r="N11" s="591">
        <f t="shared" si="5"/>
        <v>0.26999999999999957</v>
      </c>
      <c r="O11" s="591">
        <f t="shared" si="6"/>
        <v>-23.93</v>
      </c>
      <c r="Q11" s="453">
        <f t="shared" si="7"/>
        <v>7.4965924579736415E-2</v>
      </c>
      <c r="R11" s="453">
        <f t="shared" si="8"/>
        <v>1.1411665257819085E-2</v>
      </c>
      <c r="S11" s="453">
        <f t="shared" si="9"/>
        <v>-1</v>
      </c>
    </row>
    <row r="12" spans="1:19">
      <c r="B12" s="525">
        <f>+'Res Bill RY#1'!B13</f>
        <v>200</v>
      </c>
      <c r="D12" s="600">
        <f>+'Res Bill RY#1'!D13</f>
        <v>1.9470008218555698E-2</v>
      </c>
      <c r="E12" s="600">
        <f>+'Res Bill RY#1'!E13</f>
        <v>1.2564655285149008E-2</v>
      </c>
      <c r="F12" s="600">
        <f>+'Res Bill RY#1'!F13</f>
        <v>2.6381488598546481E-2</v>
      </c>
      <c r="H12" s="591">
        <f>+'Res Bill RY#1'!H13</f>
        <v>26.85</v>
      </c>
      <c r="I12" s="591">
        <f>+'Res Bill RY#1'!J13</f>
        <v>29.05</v>
      </c>
      <c r="J12" s="591">
        <f>+'Res Bill RY#2'!J13</f>
        <v>29.41</v>
      </c>
      <c r="K12" s="591">
        <f>+'Res Bill RY#3'!J13</f>
        <v>0</v>
      </c>
      <c r="L12" s="591"/>
      <c r="M12" s="591">
        <f t="shared" si="4"/>
        <v>2.1999999999999993</v>
      </c>
      <c r="N12" s="591">
        <f t="shared" si="5"/>
        <v>0.35999999999999943</v>
      </c>
      <c r="O12" s="591">
        <f t="shared" si="6"/>
        <v>-29.41</v>
      </c>
      <c r="Q12" s="453">
        <f t="shared" si="7"/>
        <v>8.1936685288640565E-2</v>
      </c>
      <c r="R12" s="453">
        <f t="shared" si="8"/>
        <v>1.2392426850258155E-2</v>
      </c>
      <c r="S12" s="453">
        <f t="shared" si="9"/>
        <v>-1</v>
      </c>
    </row>
    <row r="13" spans="1:19">
      <c r="B13" s="525">
        <f>+'Res Bill RY#1'!B14</f>
        <v>300</v>
      </c>
      <c r="D13" s="600">
        <f>+'Res Bill RY#1'!D14</f>
        <v>5.9231245894191153E-2</v>
      </c>
      <c r="E13" s="600">
        <f>+'Res Bill RY#1'!E14</f>
        <v>3.9079523999512415E-2</v>
      </c>
      <c r="F13" s="600">
        <f>+'Res Bill RY#1'!F14</f>
        <v>7.9400849365767967E-2</v>
      </c>
      <c r="H13" s="591">
        <f>+'Res Bill RY#1'!H14</f>
        <v>36.53</v>
      </c>
      <c r="I13" s="591">
        <f>+'Res Bill RY#1'!J14</f>
        <v>39.840000000000003</v>
      </c>
      <c r="J13" s="591">
        <f>+'Res Bill RY#2'!J14</f>
        <v>40.369999999999997</v>
      </c>
      <c r="K13" s="591">
        <f>+'Res Bill RY#3'!J14</f>
        <v>0</v>
      </c>
      <c r="L13" s="591"/>
      <c r="M13" s="591">
        <f t="shared" si="4"/>
        <v>3.3100000000000023</v>
      </c>
      <c r="N13" s="591">
        <f t="shared" si="5"/>
        <v>0.52999999999999403</v>
      </c>
      <c r="O13" s="591">
        <f t="shared" si="6"/>
        <v>-40.369999999999997</v>
      </c>
      <c r="Q13" s="453">
        <f t="shared" si="7"/>
        <v>9.0610457158499927E-2</v>
      </c>
      <c r="R13" s="453">
        <f t="shared" si="8"/>
        <v>1.3303212851405472E-2</v>
      </c>
      <c r="S13" s="453">
        <f t="shared" si="9"/>
        <v>-1</v>
      </c>
    </row>
    <row r="14" spans="1:19">
      <c r="B14" s="525">
        <f>+'Res Bill RY#1'!B15</f>
        <v>400</v>
      </c>
      <c r="D14" s="600">
        <f>+'Res Bill RY#1'!D15</f>
        <v>8.3788115881238898E-2</v>
      </c>
      <c r="E14" s="600">
        <f>+'Res Bill RY#1'!E15</f>
        <v>6.2044821323868231E-2</v>
      </c>
      <c r="F14" s="600">
        <f>+'Res Bill RY#1'!F15</f>
        <v>0.10555070429328249</v>
      </c>
      <c r="H14" s="591">
        <f>+'Res Bill RY#1'!H15</f>
        <v>46.21</v>
      </c>
      <c r="I14" s="591">
        <f>+'Res Bill RY#1'!J15</f>
        <v>50.62</v>
      </c>
      <c r="J14" s="591">
        <f>+'Res Bill RY#2'!J15</f>
        <v>51.33</v>
      </c>
      <c r="K14" s="591">
        <f>+'Res Bill RY#3'!J15</f>
        <v>0</v>
      </c>
      <c r="L14" s="591"/>
      <c r="M14" s="591">
        <f t="shared" si="4"/>
        <v>4.4099999999999966</v>
      </c>
      <c r="N14" s="591">
        <f t="shared" si="5"/>
        <v>0.71000000000000085</v>
      </c>
      <c r="O14" s="591">
        <f t="shared" si="6"/>
        <v>-51.33</v>
      </c>
      <c r="Q14" s="453">
        <f t="shared" si="7"/>
        <v>9.543388876866471E-2</v>
      </c>
      <c r="R14" s="453">
        <f t="shared" si="8"/>
        <v>1.4026076649545652E-2</v>
      </c>
      <c r="S14" s="453">
        <f t="shared" si="9"/>
        <v>-1</v>
      </c>
    </row>
    <row r="15" spans="1:19">
      <c r="B15" s="525">
        <f>+'Res Bill RY#1'!B16</f>
        <v>500</v>
      </c>
      <c r="D15" s="600">
        <f>+'Res Bill RY#1'!D16</f>
        <v>9.6756306938673237E-2</v>
      </c>
      <c r="E15" s="600">
        <f>+'Res Bill RY#1'!E16</f>
        <v>7.9512269584185141E-2</v>
      </c>
      <c r="F15" s="600">
        <f>+'Res Bill RY#1'!F16</f>
        <v>0.11401564574390581</v>
      </c>
      <c r="H15" s="591">
        <f>+'Res Bill RY#1'!H16</f>
        <v>55.89</v>
      </c>
      <c r="I15" s="591">
        <f>+'Res Bill RY#1'!J16</f>
        <v>61.4</v>
      </c>
      <c r="J15" s="591">
        <f>+'Res Bill RY#2'!J16</f>
        <v>62.29</v>
      </c>
      <c r="K15" s="591">
        <f>+'Res Bill RY#3'!J16</f>
        <v>0</v>
      </c>
      <c r="L15" s="661"/>
      <c r="M15" s="591">
        <f t="shared" si="4"/>
        <v>5.509999999999998</v>
      </c>
      <c r="N15" s="591">
        <f t="shared" si="5"/>
        <v>0.89000000000000057</v>
      </c>
      <c r="O15" s="591">
        <f t="shared" si="6"/>
        <v>-62.29</v>
      </c>
      <c r="Q15" s="453">
        <f t="shared" si="7"/>
        <v>9.8586509214528495E-2</v>
      </c>
      <c r="R15" s="453">
        <f t="shared" si="8"/>
        <v>1.4495114006514667E-2</v>
      </c>
      <c r="S15" s="453">
        <f t="shared" si="9"/>
        <v>-1</v>
      </c>
    </row>
    <row r="16" spans="1:19">
      <c r="B16" s="525">
        <f>+'Res Bill RY#1'!B17</f>
        <v>600</v>
      </c>
      <c r="D16" s="600">
        <f>+'Res Bill RY#1'!D17</f>
        <v>9.7298660252519389E-2</v>
      </c>
      <c r="E16" s="600">
        <f>+'Res Bill RY#1'!E17</f>
        <v>8.5504202246788494E-2</v>
      </c>
      <c r="F16" s="600">
        <f>+'Res Bill RY#1'!F17</f>
        <v>0.1091035840392343</v>
      </c>
      <c r="H16" s="591">
        <f>+'Res Bill RY#1'!H17</f>
        <v>65.569999999999993</v>
      </c>
      <c r="I16" s="591">
        <f>+'Res Bill RY#1'!J17</f>
        <v>72.180000000000007</v>
      </c>
      <c r="J16" s="591">
        <f>+'Res Bill RY#2'!J17</f>
        <v>73.25</v>
      </c>
      <c r="K16" s="591">
        <f>+'Res Bill RY#3'!J17</f>
        <v>0</v>
      </c>
      <c r="L16" s="591"/>
      <c r="M16" s="591">
        <f t="shared" si="4"/>
        <v>6.6100000000000136</v>
      </c>
      <c r="N16" s="591">
        <f t="shared" si="5"/>
        <v>1.0699999999999932</v>
      </c>
      <c r="O16" s="591">
        <f t="shared" si="6"/>
        <v>-73.25</v>
      </c>
      <c r="Q16" s="453">
        <f t="shared" si="7"/>
        <v>0.10080829647704764</v>
      </c>
      <c r="R16" s="453">
        <f t="shared" si="8"/>
        <v>1.4824050983651886E-2</v>
      </c>
      <c r="S16" s="453">
        <f t="shared" si="9"/>
        <v>-1</v>
      </c>
    </row>
    <row r="17" spans="1:19">
      <c r="B17" s="525">
        <f>+'Res Bill RY#1'!B18</f>
        <v>700</v>
      </c>
      <c r="D17" s="600">
        <f>+'Res Bill RY#1'!D18</f>
        <v>8.9579402626369709E-2</v>
      </c>
      <c r="E17" s="600">
        <f>+'Res Bill RY#1'!E18</f>
        <v>8.2524800476298496E-2</v>
      </c>
      <c r="F17" s="600">
        <f>+'Res Bill RY#1'!F18</f>
        <v>9.6640264658921005E-2</v>
      </c>
      <c r="H17" s="591">
        <f>+'Res Bill RY#1'!H18</f>
        <v>77.239999999999995</v>
      </c>
      <c r="I17" s="591">
        <f>+'Res Bill RY#1'!J18</f>
        <v>84.9</v>
      </c>
      <c r="J17" s="591">
        <f>+'Res Bill RY#2'!J18</f>
        <v>86.16</v>
      </c>
      <c r="K17" s="591">
        <f>+'Res Bill RY#3'!J18</f>
        <v>0</v>
      </c>
      <c r="L17" s="591"/>
      <c r="M17" s="591">
        <f t="shared" si="4"/>
        <v>7.6600000000000108</v>
      </c>
      <c r="N17" s="591">
        <f t="shared" si="5"/>
        <v>1.2599999999999909</v>
      </c>
      <c r="O17" s="591">
        <f t="shared" si="6"/>
        <v>-86.16</v>
      </c>
      <c r="Q17" s="453">
        <f t="shared" si="7"/>
        <v>9.9171413775246131E-2</v>
      </c>
      <c r="R17" s="453">
        <f t="shared" si="8"/>
        <v>1.4840989399293177E-2</v>
      </c>
      <c r="S17" s="453">
        <f t="shared" si="9"/>
        <v>-1</v>
      </c>
    </row>
    <row r="18" spans="1:19">
      <c r="B18" s="525">
        <f>+'Res Bill RY#1'!B19</f>
        <v>800</v>
      </c>
      <c r="C18" s="387" t="s">
        <v>181</v>
      </c>
      <c r="D18" s="600">
        <f>+'Res Bill RY#1'!D19</f>
        <v>7.886594239240452E-2</v>
      </c>
      <c r="E18" s="600">
        <f>+'Res Bill RY#1'!E19</f>
        <v>7.5491440401899049E-2</v>
      </c>
      <c r="F18" s="600">
        <f>+'Res Bill RY#1'!F19</f>
        <v>8.2243438738288224E-2</v>
      </c>
      <c r="H18" s="591">
        <f>+'Res Bill RY#1'!H19</f>
        <v>88.9</v>
      </c>
      <c r="I18" s="591">
        <f>+'Res Bill RY#1'!J19</f>
        <v>97.63</v>
      </c>
      <c r="J18" s="591">
        <f>+'Res Bill RY#2'!J19</f>
        <v>99.06</v>
      </c>
      <c r="K18" s="591">
        <f>+'Res Bill RY#3'!J19</f>
        <v>0</v>
      </c>
      <c r="L18" s="591"/>
      <c r="M18" s="591">
        <f t="shared" si="4"/>
        <v>8.7299999999999898</v>
      </c>
      <c r="N18" s="591">
        <f t="shared" si="5"/>
        <v>1.4300000000000068</v>
      </c>
      <c r="O18" s="591">
        <f t="shared" si="6"/>
        <v>-99.06</v>
      </c>
      <c r="Q18" s="453">
        <f t="shared" si="7"/>
        <v>9.82002249718784E-2</v>
      </c>
      <c r="R18" s="453">
        <f t="shared" si="8"/>
        <v>1.4647137150466116E-2</v>
      </c>
      <c r="S18" s="453">
        <f t="shared" si="9"/>
        <v>-1</v>
      </c>
    </row>
    <row r="19" spans="1:19">
      <c r="B19" s="525">
        <f>+'Res Bill RY#1'!B20</f>
        <v>900</v>
      </c>
      <c r="D19" s="600">
        <f>+'Res Bill RY#1'!D20</f>
        <v>6.7448374347481174E-2</v>
      </c>
      <c r="E19" s="600">
        <f>+'Res Bill RY#1'!E20</f>
        <v>6.7289050318063343E-2</v>
      </c>
      <c r="F19" s="600">
        <f>+'Res Bill RY#1'!F20</f>
        <v>6.7607839752653318E-2</v>
      </c>
      <c r="H19" s="591">
        <f>+'Res Bill RY#1'!H20</f>
        <v>100.56</v>
      </c>
      <c r="I19" s="591">
        <f>+'Res Bill RY#1'!J20</f>
        <v>110.35</v>
      </c>
      <c r="J19" s="591">
        <f>+'Res Bill RY#2'!J20</f>
        <v>111.96</v>
      </c>
      <c r="K19" s="591">
        <f>+'Res Bill RY#3'!J20</f>
        <v>0</v>
      </c>
      <c r="L19" s="591"/>
      <c r="M19" s="591">
        <f t="shared" si="4"/>
        <v>9.789999999999992</v>
      </c>
      <c r="N19" s="591">
        <f t="shared" si="5"/>
        <v>1.6099999999999994</v>
      </c>
      <c r="O19" s="591">
        <f t="shared" si="6"/>
        <v>-111.96</v>
      </c>
      <c r="Q19" s="453">
        <f t="shared" si="7"/>
        <v>9.7354813046937064E-2</v>
      </c>
      <c r="R19" s="453">
        <f t="shared" si="8"/>
        <v>1.4589941096511096E-2</v>
      </c>
      <c r="S19" s="453">
        <f t="shared" si="9"/>
        <v>-1</v>
      </c>
    </row>
    <row r="20" spans="1:19">
      <c r="B20" s="525">
        <f>+'Res Bill RY#1'!B21</f>
        <v>1000</v>
      </c>
      <c r="D20" s="600">
        <f>+'Res Bill RY#1'!D21</f>
        <v>5.7105680794151147E-2</v>
      </c>
      <c r="E20" s="600">
        <f>+'Res Bill RY#1'!E21</f>
        <v>5.9308894820428275E-2</v>
      </c>
      <c r="F20" s="600">
        <f>+'Res Bill RY#1'!F21</f>
        <v>5.4900511751759778E-2</v>
      </c>
      <c r="H20" s="591">
        <f>+'Res Bill RY#1'!H21</f>
        <v>112.23</v>
      </c>
      <c r="I20" s="591">
        <f>+'Res Bill RY#1'!J21</f>
        <v>123.07</v>
      </c>
      <c r="J20" s="591">
        <f>+'Res Bill RY#2'!J21</f>
        <v>124.86</v>
      </c>
      <c r="K20" s="591">
        <f>+'Res Bill RY#3'!J21</f>
        <v>0</v>
      </c>
      <c r="L20" s="661"/>
      <c r="M20" s="591">
        <f t="shared" si="4"/>
        <v>10.839999999999989</v>
      </c>
      <c r="N20" s="591">
        <f t="shared" si="5"/>
        <v>1.7900000000000063</v>
      </c>
      <c r="O20" s="591">
        <f t="shared" si="6"/>
        <v>-124.86</v>
      </c>
      <c r="Q20" s="453">
        <f t="shared" si="7"/>
        <v>9.6587365232112532E-2</v>
      </c>
      <c r="R20" s="453">
        <f t="shared" si="8"/>
        <v>1.4544568131957474E-2</v>
      </c>
      <c r="S20" s="453">
        <f t="shared" si="9"/>
        <v>-1</v>
      </c>
    </row>
    <row r="21" spans="1:19">
      <c r="B21" s="525">
        <f>+'Res Bill RY#1'!B22</f>
        <v>1100</v>
      </c>
      <c r="D21" s="600">
        <f>+'Res Bill RY#1'!D22</f>
        <v>4.7810902649562448E-2</v>
      </c>
      <c r="E21" s="600">
        <f>+'Res Bill RY#1'!E22</f>
        <v>5.1692208585388089E-2</v>
      </c>
      <c r="F21" s="600">
        <f>+'Res Bill RY#1'!F22</f>
        <v>4.3926152647223826E-2</v>
      </c>
      <c r="H21" s="591">
        <f>+'Res Bill RY#1'!H22</f>
        <v>123.89</v>
      </c>
      <c r="I21" s="591">
        <f>+'Res Bill RY#1'!J22</f>
        <v>135.80000000000001</v>
      </c>
      <c r="J21" s="591">
        <f>+'Res Bill RY#2'!J22</f>
        <v>137.77000000000001</v>
      </c>
      <c r="K21" s="591">
        <f>+'Res Bill RY#3'!J22</f>
        <v>0</v>
      </c>
      <c r="L21" s="591"/>
      <c r="M21" s="591">
        <f t="shared" si="4"/>
        <v>11.910000000000011</v>
      </c>
      <c r="N21" s="591">
        <f t="shared" si="5"/>
        <v>1.9699999999999989</v>
      </c>
      <c r="O21" s="591">
        <f t="shared" si="6"/>
        <v>-137.77000000000001</v>
      </c>
      <c r="Q21" s="453">
        <f t="shared" si="7"/>
        <v>9.613366696262822E-2</v>
      </c>
      <c r="R21" s="453">
        <f t="shared" si="8"/>
        <v>1.4506627393225321E-2</v>
      </c>
      <c r="S21" s="453">
        <f t="shared" si="9"/>
        <v>-1</v>
      </c>
    </row>
    <row r="22" spans="1:19">
      <c r="B22" s="525">
        <f>+'Res Bill RY#1'!B23</f>
        <v>1200</v>
      </c>
      <c r="D22" s="600">
        <f>+'Res Bill RY#1'!D23</f>
        <v>3.9855515174197303E-2</v>
      </c>
      <c r="E22" s="600">
        <f>+'Res Bill RY#1'!E23</f>
        <v>4.5103951733564511E-2</v>
      </c>
      <c r="F22" s="600">
        <f>+'Res Bill RY#1'!F23</f>
        <v>3.4602421428589561E-2</v>
      </c>
      <c r="H22" s="591">
        <f>+'Res Bill RY#1'!H23</f>
        <v>135.55000000000001</v>
      </c>
      <c r="I22" s="591">
        <f>+'Res Bill RY#1'!J23</f>
        <v>148.52000000000001</v>
      </c>
      <c r="J22" s="591">
        <f>+'Res Bill RY#2'!J23</f>
        <v>150.66999999999999</v>
      </c>
      <c r="K22" s="591">
        <f>+'Res Bill RY#3'!J23</f>
        <v>0</v>
      </c>
      <c r="L22" s="591"/>
      <c r="M22" s="591">
        <f t="shared" si="4"/>
        <v>12.969999999999999</v>
      </c>
      <c r="N22" s="591">
        <f t="shared" si="5"/>
        <v>2.1499999999999773</v>
      </c>
      <c r="O22" s="591">
        <f t="shared" si="6"/>
        <v>-150.66999999999999</v>
      </c>
      <c r="Q22" s="453">
        <f t="shared" si="7"/>
        <v>9.5684249354481721E-2</v>
      </c>
      <c r="R22" s="453">
        <f t="shared" si="8"/>
        <v>1.4476164826285868E-2</v>
      </c>
      <c r="S22" s="453">
        <f t="shared" si="9"/>
        <v>-1</v>
      </c>
    </row>
    <row r="23" spans="1:19">
      <c r="B23" s="525">
        <f>+'Res Bill RY#1'!B24</f>
        <v>1300</v>
      </c>
      <c r="D23" s="600">
        <f>+'Res Bill RY#1'!D24</f>
        <v>3.3341169968691783E-2</v>
      </c>
      <c r="E23" s="600">
        <f>+'Res Bill RY#1'!E24</f>
        <v>3.9494985376425283E-2</v>
      </c>
      <c r="F23" s="600">
        <f>+'Res Bill RY#1'!F24</f>
        <v>2.7181893989201428E-2</v>
      </c>
      <c r="H23" s="591">
        <f>+'Res Bill RY#1'!H24</f>
        <v>147.22</v>
      </c>
      <c r="I23" s="591">
        <f>+'Res Bill RY#1'!J24</f>
        <v>161.24</v>
      </c>
      <c r="J23" s="591">
        <f>+'Res Bill RY#2'!J24</f>
        <v>163.57</v>
      </c>
      <c r="K23" s="591">
        <f>+'Res Bill RY#3'!J24</f>
        <v>0</v>
      </c>
      <c r="L23" s="591"/>
      <c r="M23" s="591">
        <f t="shared" si="4"/>
        <v>14.02000000000001</v>
      </c>
      <c r="N23" s="591">
        <f t="shared" si="5"/>
        <v>2.3299999999999841</v>
      </c>
      <c r="O23" s="591">
        <f t="shared" si="6"/>
        <v>-163.57</v>
      </c>
      <c r="Q23" s="453">
        <f t="shared" si="7"/>
        <v>9.5231626137753086E-2</v>
      </c>
      <c r="R23" s="453">
        <f t="shared" si="8"/>
        <v>1.4450508558670206E-2</v>
      </c>
      <c r="S23" s="453">
        <f t="shared" si="9"/>
        <v>-1</v>
      </c>
    </row>
    <row r="24" spans="1:19">
      <c r="B24" s="525">
        <f>+'Res Bill RY#1'!B25</f>
        <v>1400</v>
      </c>
      <c r="D24" s="600">
        <f>+'Res Bill RY#1'!D25</f>
        <v>2.7930957788816026E-2</v>
      </c>
      <c r="E24" s="600">
        <f>+'Res Bill RY#1'!E25</f>
        <v>3.4446043836009896E-2</v>
      </c>
      <c r="F24" s="600">
        <f>+'Res Bill RY#1'!F25</f>
        <v>2.1410090597322948E-2</v>
      </c>
      <c r="H24" s="591">
        <f>+'Res Bill RY#1'!H25</f>
        <v>158.88</v>
      </c>
      <c r="I24" s="591">
        <f>+'Res Bill RY#1'!J25</f>
        <v>173.97</v>
      </c>
      <c r="J24" s="591">
        <f>+'Res Bill RY#2'!J25</f>
        <v>176.47</v>
      </c>
      <c r="K24" s="591">
        <f>+'Res Bill RY#3'!J25</f>
        <v>0</v>
      </c>
      <c r="L24" s="591"/>
      <c r="M24" s="591">
        <f t="shared" si="4"/>
        <v>15.090000000000003</v>
      </c>
      <c r="N24" s="591">
        <f t="shared" si="5"/>
        <v>2.5</v>
      </c>
      <c r="O24" s="591">
        <f t="shared" si="6"/>
        <v>-176.47</v>
      </c>
      <c r="Q24" s="453">
        <f t="shared" si="7"/>
        <v>9.4977341389728118E-2</v>
      </c>
      <c r="R24" s="453">
        <f t="shared" si="8"/>
        <v>1.4370293728803817E-2</v>
      </c>
      <c r="S24" s="453">
        <f t="shared" si="9"/>
        <v>-1</v>
      </c>
    </row>
    <row r="25" spans="1:19">
      <c r="B25" s="525">
        <f>+'Res Bill RY#1'!B26</f>
        <v>1600</v>
      </c>
      <c r="D25" s="600">
        <f>+'Res Bill RY#1'!D26</f>
        <v>4.2917670529083893E-2</v>
      </c>
      <c r="E25" s="600">
        <f>+'Res Bill RY#1'!E26</f>
        <v>5.5946685257017785E-2</v>
      </c>
      <c r="F25" s="600">
        <f>+'Res Bill RY#1'!F26</f>
        <v>2.9877094539537647E-2</v>
      </c>
      <c r="H25" s="591">
        <f>+'Res Bill RY#1'!H26</f>
        <v>182.21</v>
      </c>
      <c r="I25" s="591">
        <f>+'Res Bill RY#1'!J26</f>
        <v>199.41</v>
      </c>
      <c r="J25" s="591">
        <f>+'Res Bill RY#2'!J26</f>
        <v>202.28</v>
      </c>
      <c r="K25" s="591">
        <f>+'Res Bill RY#3'!J26</f>
        <v>0</v>
      </c>
      <c r="L25" s="591"/>
      <c r="M25" s="591">
        <f t="shared" si="4"/>
        <v>17.199999999999989</v>
      </c>
      <c r="N25" s="591">
        <f t="shared" si="5"/>
        <v>2.8700000000000045</v>
      </c>
      <c r="O25" s="591">
        <f t="shared" si="6"/>
        <v>-202.28</v>
      </c>
      <c r="Q25" s="453">
        <f t="shared" si="7"/>
        <v>9.4396575380055914E-2</v>
      </c>
      <c r="R25" s="453">
        <f t="shared" si="8"/>
        <v>1.4392457750363595E-2</v>
      </c>
      <c r="S25" s="453">
        <f t="shared" si="9"/>
        <v>-1</v>
      </c>
    </row>
    <row r="26" spans="1:19">
      <c r="B26" s="525">
        <f>+'Res Bill RY#1'!B27</f>
        <v>2000</v>
      </c>
      <c r="D26" s="600">
        <f>+'Res Bill RY#1'!D27</f>
        <v>5.238284593558127E-2</v>
      </c>
      <c r="E26" s="600">
        <f>+'Res Bill RY#1'!E27</f>
        <v>7.5129397752197027E-2</v>
      </c>
      <c r="F26" s="600">
        <f>+'Res Bill RY#1'!F27</f>
        <v>2.9616110026628353E-2</v>
      </c>
      <c r="H26" s="591">
        <f>+'Res Bill RY#1'!H27</f>
        <v>228.86</v>
      </c>
      <c r="I26" s="591">
        <f>+'Res Bill RY#1'!J27</f>
        <v>250.31</v>
      </c>
      <c r="J26" s="591">
        <f>+'Res Bill RY#2'!J27</f>
        <v>253.89</v>
      </c>
      <c r="K26" s="591">
        <f>+'Res Bill RY#3'!J27</f>
        <v>0</v>
      </c>
      <c r="L26" s="661"/>
      <c r="M26" s="591">
        <f t="shared" si="4"/>
        <v>21.449999999999989</v>
      </c>
      <c r="N26" s="591">
        <f t="shared" si="5"/>
        <v>3.5799999999999841</v>
      </c>
      <c r="O26" s="591">
        <f t="shared" si="6"/>
        <v>-253.89</v>
      </c>
      <c r="Q26" s="453">
        <f t="shared" si="7"/>
        <v>9.3725421655160304E-2</v>
      </c>
      <c r="R26" s="453">
        <f t="shared" si="8"/>
        <v>1.4302265191162894E-2</v>
      </c>
      <c r="S26" s="453">
        <f t="shared" si="9"/>
        <v>-1</v>
      </c>
    </row>
    <row r="27" spans="1:19">
      <c r="B27" s="525">
        <f>+'Res Bill RY#1'!B28</f>
        <v>2500</v>
      </c>
      <c r="D27" s="600">
        <f>+'Res Bill RY#1'!D28</f>
        <v>3.2286911246338222E-2</v>
      </c>
      <c r="E27" s="600">
        <f>+'Res Bill RY#1'!E28</f>
        <v>5.0830375885550137E-2</v>
      </c>
      <c r="F27" s="600">
        <f>+'Res Bill RY#1'!F28</f>
        <v>1.3726992113032155E-2</v>
      </c>
      <c r="H27" s="591">
        <f>+'Res Bill RY#1'!H28</f>
        <v>287.18</v>
      </c>
      <c r="I27" s="591">
        <f>+'Res Bill RY#1'!J28</f>
        <v>313.92</v>
      </c>
      <c r="J27" s="591">
        <f>+'Res Bill RY#2'!J28</f>
        <v>318.39999999999998</v>
      </c>
      <c r="K27" s="591">
        <f>+'Res Bill RY#3'!J28</f>
        <v>0</v>
      </c>
      <c r="L27" s="591"/>
      <c r="M27" s="591">
        <f t="shared" si="4"/>
        <v>26.740000000000009</v>
      </c>
      <c r="N27" s="591">
        <f t="shared" si="5"/>
        <v>4.4799999999999613</v>
      </c>
      <c r="O27" s="591">
        <f t="shared" si="6"/>
        <v>-318.39999999999998</v>
      </c>
      <c r="Q27" s="453">
        <f t="shared" si="7"/>
        <v>9.3112333727975519E-2</v>
      </c>
      <c r="R27" s="453">
        <f t="shared" si="8"/>
        <v>1.4271151885830662E-2</v>
      </c>
      <c r="S27" s="453">
        <f t="shared" si="9"/>
        <v>-1</v>
      </c>
    </row>
    <row r="28" spans="1:19">
      <c r="B28" s="525">
        <f>+'Res Bill RY#1'!B29</f>
        <v>3000</v>
      </c>
      <c r="D28" s="600">
        <f>+'Res Bill RY#1'!D29</f>
        <v>1.5207222179713211E-2</v>
      </c>
      <c r="E28" s="600">
        <f>+'Res Bill RY#1'!E29</f>
        <v>2.5348850443256552E-2</v>
      </c>
      <c r="F28" s="600">
        <f>+'Res Bill RY#1'!F29</f>
        <v>5.0565947692674789E-3</v>
      </c>
      <c r="H28" s="591">
        <f>+'Res Bill RY#1'!H29</f>
        <v>345.5</v>
      </c>
      <c r="I28" s="591">
        <f>+'Res Bill RY#1'!J29</f>
        <v>377.54</v>
      </c>
      <c r="J28" s="591">
        <f>+'Res Bill RY#2'!J29</f>
        <v>382.91</v>
      </c>
      <c r="K28" s="591">
        <f>+'Res Bill RY#3'!J29</f>
        <v>0</v>
      </c>
      <c r="L28" s="591"/>
      <c r="M28" s="591">
        <f t="shared" si="4"/>
        <v>32.04000000000002</v>
      </c>
      <c r="N28" s="591">
        <f t="shared" si="5"/>
        <v>5.3700000000000045</v>
      </c>
      <c r="O28" s="591">
        <f t="shared" si="6"/>
        <v>-382.91</v>
      </c>
      <c r="Q28" s="453">
        <f t="shared" si="7"/>
        <v>9.2735166425470389E-2</v>
      </c>
      <c r="R28" s="453">
        <f t="shared" si="8"/>
        <v>1.4223658420299847E-2</v>
      </c>
      <c r="S28" s="453">
        <f t="shared" si="9"/>
        <v>-1</v>
      </c>
    </row>
    <row r="29" spans="1:19">
      <c r="B29" s="525">
        <f>+'Res Bill RY#1'!B30</f>
        <v>4000</v>
      </c>
      <c r="D29" s="600">
        <f>+'Res Bill RY#1'!D30</f>
        <v>1.1190080960504547E-2</v>
      </c>
      <c r="E29" s="600">
        <f>+'Res Bill RY#1'!E30</f>
        <v>1.9212829878473187E-2</v>
      </c>
      <c r="F29" s="600">
        <f>+'Res Bill RY#1'!F30</f>
        <v>3.1602130775928374E-3</v>
      </c>
      <c r="H29" s="591">
        <f>+'Res Bill RY#1'!H30</f>
        <v>462.13</v>
      </c>
      <c r="I29" s="591">
        <f>+'Res Bill RY#1'!J30</f>
        <v>504.78</v>
      </c>
      <c r="J29" s="591">
        <f>+'Res Bill RY#2'!J30</f>
        <v>511.94</v>
      </c>
      <c r="K29" s="591">
        <f>+'Res Bill RY#3'!J30</f>
        <v>0</v>
      </c>
      <c r="L29" s="591"/>
      <c r="M29" s="591">
        <f t="shared" si="4"/>
        <v>42.649999999999977</v>
      </c>
      <c r="N29" s="591">
        <f t="shared" si="5"/>
        <v>7.160000000000025</v>
      </c>
      <c r="O29" s="591">
        <f t="shared" si="6"/>
        <v>-511.94</v>
      </c>
      <c r="Q29" s="453">
        <f t="shared" si="7"/>
        <v>9.2290048254820026E-2</v>
      </c>
      <c r="R29" s="453">
        <f t="shared" si="8"/>
        <v>1.4184397163120617E-2</v>
      </c>
      <c r="S29" s="453">
        <f t="shared" si="9"/>
        <v>-1</v>
      </c>
    </row>
    <row r="30" spans="1:19">
      <c r="B30" s="525">
        <f>+'Res Bill RY#1'!B31</f>
        <v>5000</v>
      </c>
      <c r="D30" s="600">
        <f>+'Res Bill RY#1'!D31</f>
        <v>3.0145805027948242E-3</v>
      </c>
      <c r="E30" s="600">
        <f>+'Res Bill RY#1'!E31</f>
        <v>5.1053720059556331E-3</v>
      </c>
      <c r="F30" s="600">
        <f>+'Res Bill RY#1'!F31</f>
        <v>9.2193374134705449E-4</v>
      </c>
      <c r="H30" s="591">
        <f>+'Res Bill RY#1'!H31</f>
        <v>578.77</v>
      </c>
      <c r="I30" s="591">
        <f>+'Res Bill RY#1'!J31</f>
        <v>632.01</v>
      </c>
      <c r="J30" s="591">
        <f>+'Res Bill RY#2'!J31</f>
        <v>640.96</v>
      </c>
      <c r="K30" s="591">
        <f>+'Res Bill RY#3'!J31</f>
        <v>0</v>
      </c>
      <c r="L30" s="591"/>
      <c r="M30" s="591">
        <f t="shared" si="4"/>
        <v>53.240000000000009</v>
      </c>
      <c r="N30" s="591">
        <f t="shared" si="5"/>
        <v>8.9500000000000455</v>
      </c>
      <c r="O30" s="591">
        <f t="shared" si="6"/>
        <v>-640.96</v>
      </c>
      <c r="Q30" s="453">
        <f t="shared" si="7"/>
        <v>9.1988181833889127E-2</v>
      </c>
      <c r="R30" s="453">
        <f t="shared" si="8"/>
        <v>1.4161168335944123E-2</v>
      </c>
      <c r="S30" s="453">
        <f t="shared" si="9"/>
        <v>-1</v>
      </c>
    </row>
    <row r="31" spans="1:19">
      <c r="A31" s="591"/>
      <c r="B31" s="525" t="str">
        <f>+'Res Bill RY#1'!B32</f>
        <v>&gt;5000</v>
      </c>
      <c r="D31" s="600">
        <f>+'Res Bill RY#1'!D32</f>
        <v>2.4318678560908301E-3</v>
      </c>
      <c r="E31" s="600">
        <f>+'Res Bill RY#1'!E32</f>
        <v>3.4799843833441995E-3</v>
      </c>
      <c r="F31" s="600">
        <f>+'Res Bill RY#1'!F32</f>
        <v>1.3828212854209133E-3</v>
      </c>
      <c r="H31" s="591"/>
      <c r="I31" s="591"/>
      <c r="J31" s="591"/>
      <c r="K31" s="591"/>
      <c r="L31" s="591"/>
      <c r="M31" s="591"/>
      <c r="N31" s="591"/>
      <c r="O31" s="591"/>
      <c r="Q31" s="591"/>
      <c r="S31" s="591"/>
    </row>
    <row r="33" spans="1:19">
      <c r="A33" s="429" t="s">
        <v>177</v>
      </c>
      <c r="C33" s="429"/>
      <c r="D33" s="429"/>
      <c r="E33" s="429"/>
      <c r="F33" s="429"/>
      <c r="G33" s="429"/>
      <c r="H33" s="429"/>
      <c r="I33" s="429"/>
      <c r="J33" s="429"/>
      <c r="K33" s="429"/>
      <c r="L33" s="429"/>
      <c r="M33" s="429"/>
      <c r="N33" s="429"/>
      <c r="O33" s="429"/>
      <c r="P33" s="429"/>
      <c r="Q33" s="429"/>
      <c r="R33" s="429"/>
      <c r="S33" s="429"/>
    </row>
    <row r="34" spans="1:19">
      <c r="A34" s="596" t="s">
        <v>176</v>
      </c>
      <c r="C34" s="429"/>
      <c r="D34" s="429"/>
      <c r="E34" s="429"/>
      <c r="F34" s="429"/>
      <c r="G34" s="429"/>
      <c r="H34" s="429"/>
      <c r="I34" s="429"/>
      <c r="J34" s="429"/>
      <c r="K34" s="429"/>
      <c r="L34" s="429"/>
      <c r="M34" s="429"/>
      <c r="N34" s="429"/>
      <c r="O34" s="429"/>
      <c r="P34" s="429"/>
      <c r="Q34" s="429"/>
      <c r="R34" s="429"/>
      <c r="S34" s="429"/>
    </row>
    <row r="35" spans="1:19">
      <c r="A35" s="729" t="s">
        <v>889</v>
      </c>
      <c r="C35" s="598"/>
      <c r="D35" s="598"/>
      <c r="E35" s="598"/>
      <c r="F35" s="598"/>
      <c r="G35" s="598"/>
      <c r="H35" s="598"/>
      <c r="I35" s="598"/>
      <c r="J35" s="598"/>
      <c r="K35" s="598"/>
      <c r="L35" s="598"/>
      <c r="M35" s="598"/>
      <c r="N35" s="598"/>
      <c r="O35" s="598"/>
      <c r="P35" s="598"/>
      <c r="Q35" s="598"/>
      <c r="R35" s="598"/>
      <c r="S35" s="598"/>
    </row>
    <row r="36" spans="1:19" ht="11.4">
      <c r="A36" s="598" t="s">
        <v>848</v>
      </c>
      <c r="C36" s="598"/>
      <c r="D36" s="598"/>
      <c r="E36" s="598"/>
      <c r="F36" s="598"/>
      <c r="G36" s="598"/>
      <c r="H36" s="598"/>
      <c r="I36" s="598"/>
      <c r="J36" s="598"/>
      <c r="K36" s="598"/>
      <c r="L36" s="598"/>
      <c r="M36" s="598"/>
      <c r="N36" s="598"/>
      <c r="O36" s="598"/>
      <c r="P36" s="598"/>
      <c r="Q36" s="598"/>
      <c r="R36" s="598"/>
      <c r="S36" s="598"/>
    </row>
    <row r="37" spans="1:19">
      <c r="A37" s="597"/>
      <c r="C37" s="598"/>
      <c r="D37" s="598"/>
      <c r="E37" s="598"/>
      <c r="F37" s="598"/>
      <c r="G37" s="598"/>
      <c r="H37" s="598"/>
      <c r="I37" s="598"/>
      <c r="J37" s="598"/>
      <c r="K37" s="598"/>
      <c r="L37" s="598"/>
      <c r="M37" s="598"/>
      <c r="N37" s="598"/>
      <c r="O37" s="598"/>
      <c r="P37" s="598"/>
      <c r="Q37" s="598"/>
      <c r="R37" s="598"/>
      <c r="S37" s="598"/>
    </row>
  </sheetData>
  <mergeCells count="8">
    <mergeCell ref="D6:F6"/>
    <mergeCell ref="A1:S1"/>
    <mergeCell ref="A2:S2"/>
    <mergeCell ref="A3:S3"/>
    <mergeCell ref="A4:S4"/>
    <mergeCell ref="H6:K6"/>
    <mergeCell ref="M6:O6"/>
    <mergeCell ref="Q6:S6"/>
  </mergeCells>
  <printOptions horizontalCentered="1"/>
  <pageMargins left="0.7" right="0.7" top="0.75" bottom="0.71" header="0.3" footer="0.3"/>
  <pageSetup scale="84" orientation="landscape" r:id="rId1"/>
  <headerFooter alignWithMargins="0">
    <oddFooter>&amp;L&amp;"Times New Roman,Regular"&amp;A&amp;R&amp;"Times New Roman,Regular"Exhibit No.___(BDJ-7)
Page &amp;P of &amp;N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V42"/>
  <sheetViews>
    <sheetView zoomScaleNormal="100" zoomScaleSheetLayoutView="75" workbookViewId="0">
      <pane xSplit="3" ySplit="8" topLeftCell="D9" activePane="bottomRight" state="frozen"/>
      <selection activeCell="F7" sqref="F7:F62"/>
      <selection pane="topRight" activeCell="F7" sqref="F7:F62"/>
      <selection pane="bottomLeft" activeCell="F7" sqref="F7:F62"/>
      <selection pane="bottomRight" activeCell="A37" sqref="A37"/>
    </sheetView>
  </sheetViews>
  <sheetFormatPr defaultColWidth="9.44140625" defaultRowHeight="10.199999999999999"/>
  <cols>
    <col min="1" max="1" width="3.33203125" style="387" customWidth="1"/>
    <col min="2" max="2" width="6.88671875" style="387" bestFit="1" customWidth="1"/>
    <col min="3" max="3" width="2" style="387" bestFit="1" customWidth="1"/>
    <col min="4" max="4" width="7.109375" style="387" bestFit="1" customWidth="1"/>
    <col min="5" max="5" width="16.44140625" style="387" bestFit="1" customWidth="1"/>
    <col min="6" max="6" width="17.5546875" style="387" bestFit="1" customWidth="1"/>
    <col min="7" max="7" width="1.33203125" style="387" customWidth="1"/>
    <col min="8" max="8" width="9.6640625" style="387" bestFit="1" customWidth="1"/>
    <col min="9" max="9" width="1.33203125" style="387" bestFit="1" customWidth="1"/>
    <col min="10" max="10" width="10.44140625" style="387" bestFit="1" customWidth="1"/>
    <col min="11" max="11" width="1.44140625" style="387" bestFit="1" customWidth="1"/>
    <col min="12" max="12" width="8.5546875" style="387" bestFit="1" customWidth="1"/>
    <col min="13" max="13" width="2" style="387" customWidth="1"/>
    <col min="14" max="14" width="7.88671875" style="387" bestFit="1" customWidth="1"/>
    <col min="15" max="15" width="9.44140625" style="387"/>
    <col min="16" max="16" width="51.5546875" style="387" customWidth="1"/>
    <col min="17" max="17" width="14.44140625" style="387" bestFit="1" customWidth="1"/>
    <col min="18" max="18" width="1.5546875" style="387" bestFit="1" customWidth="1"/>
    <col min="19" max="19" width="16" style="387" bestFit="1" customWidth="1"/>
    <col min="20" max="20" width="1.5546875" style="387" bestFit="1" customWidth="1"/>
    <col min="21" max="21" width="7.44140625" style="387" bestFit="1" customWidth="1"/>
    <col min="22" max="22" width="5.109375" style="387" customWidth="1"/>
    <col min="23" max="16384" width="9.44140625" style="387"/>
  </cols>
  <sheetData>
    <row r="1" spans="1:22">
      <c r="A1" s="772" t="s">
        <v>0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</row>
    <row r="2" spans="1:22">
      <c r="A2" s="772" t="s">
        <v>604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</row>
    <row r="3" spans="1:22">
      <c r="A3" s="773" t="s">
        <v>605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  <c r="V3" s="508"/>
    </row>
    <row r="4" spans="1:22">
      <c r="A4" s="773" t="s">
        <v>606</v>
      </c>
      <c r="B4" s="772"/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2"/>
      <c r="N4" s="772"/>
      <c r="V4" s="508"/>
    </row>
    <row r="6" spans="1:22" ht="11.4">
      <c r="H6" s="775" t="s">
        <v>842</v>
      </c>
      <c r="I6" s="774"/>
      <c r="J6" s="774"/>
      <c r="K6" s="774"/>
      <c r="L6" s="774"/>
      <c r="M6" s="774"/>
      <c r="N6" s="774"/>
      <c r="O6" s="508"/>
    </row>
    <row r="7" spans="1:22" ht="10.8" thickBot="1">
      <c r="D7" s="517" t="s">
        <v>483</v>
      </c>
      <c r="E7" s="517"/>
      <c r="F7" s="517"/>
      <c r="H7" s="452" t="s">
        <v>20</v>
      </c>
      <c r="I7" s="572"/>
      <c r="J7" s="572" t="s">
        <v>20</v>
      </c>
      <c r="L7" s="774" t="s">
        <v>192</v>
      </c>
      <c r="M7" s="774"/>
      <c r="N7" s="774"/>
      <c r="O7" s="572"/>
    </row>
    <row r="8" spans="1:22" ht="11.4">
      <c r="B8" s="459" t="s">
        <v>191</v>
      </c>
      <c r="D8" s="573" t="s">
        <v>484</v>
      </c>
      <c r="E8" s="572" t="s">
        <v>486</v>
      </c>
      <c r="F8" s="572" t="s">
        <v>485</v>
      </c>
      <c r="H8" s="573" t="s">
        <v>843</v>
      </c>
      <c r="I8" s="573"/>
      <c r="J8" s="573" t="s">
        <v>847</v>
      </c>
      <c r="K8" s="574" t="s">
        <v>20</v>
      </c>
      <c r="L8" s="459" t="s">
        <v>190</v>
      </c>
      <c r="N8" s="575" t="s">
        <v>32</v>
      </c>
      <c r="P8" s="576"/>
      <c r="Q8" s="577" t="s">
        <v>189</v>
      </c>
      <c r="R8" s="578"/>
      <c r="S8" s="579" t="s">
        <v>188</v>
      </c>
      <c r="U8" s="435"/>
    </row>
    <row r="9" spans="1:22">
      <c r="B9" s="525">
        <v>0</v>
      </c>
      <c r="D9" s="580">
        <v>7.5359358627560668E-3</v>
      </c>
      <c r="E9" s="580">
        <v>5.9446959245949491E-3</v>
      </c>
      <c r="F9" s="580">
        <v>9.1285877834498055E-3</v>
      </c>
      <c r="H9" s="591">
        <f t="shared" ref="H9:H17" si="0">ROUND((($B9*Q$11+$Q$9)),2)</f>
        <v>7.49</v>
      </c>
      <c r="J9" s="591">
        <f t="shared" ref="J9:J17" si="1">ROUND((($B9*S$11+$S$9)),2)</f>
        <v>7.49</v>
      </c>
      <c r="L9" s="591">
        <f t="shared" ref="L9:L31" si="2">J9-H9</f>
        <v>0</v>
      </c>
      <c r="N9" s="592">
        <f t="shared" ref="N9:N31" si="3">(J9-H9)/H9</f>
        <v>0</v>
      </c>
      <c r="P9" s="581" t="s">
        <v>187</v>
      </c>
      <c r="Q9" s="528">
        <f>SUM(Q17)</f>
        <v>7.49</v>
      </c>
      <c r="R9" s="582"/>
      <c r="S9" s="530">
        <f>SUM(S17)</f>
        <v>7.49</v>
      </c>
      <c r="T9" s="583"/>
      <c r="U9" s="435">
        <f>(S9-Q9)/Q9</f>
        <v>0</v>
      </c>
    </row>
    <row r="10" spans="1:22">
      <c r="B10" s="525">
        <v>50</v>
      </c>
      <c r="D10" s="580">
        <v>7.8933022933853902E-3</v>
      </c>
      <c r="E10" s="580">
        <v>6.4115153656511877E-3</v>
      </c>
      <c r="F10" s="580">
        <v>9.3764040808141328E-3</v>
      </c>
      <c r="H10" s="591">
        <f t="shared" si="0"/>
        <v>12.33</v>
      </c>
      <c r="J10" s="591">
        <f t="shared" si="1"/>
        <v>12.88</v>
      </c>
      <c r="L10" s="591">
        <f t="shared" si="2"/>
        <v>0.55000000000000071</v>
      </c>
      <c r="N10" s="592">
        <f t="shared" si="3"/>
        <v>4.4606650446066563E-2</v>
      </c>
      <c r="P10" s="581"/>
      <c r="Q10" s="531"/>
      <c r="R10" s="582"/>
      <c r="S10" s="584"/>
      <c r="U10" s="435"/>
    </row>
    <row r="11" spans="1:22">
      <c r="B11" s="525">
        <v>100</v>
      </c>
      <c r="D11" s="580">
        <v>1.2025178197555365E-2</v>
      </c>
      <c r="E11" s="580">
        <v>8.7286517287615776E-3</v>
      </c>
      <c r="F11" s="580">
        <v>1.5324629830355306E-2</v>
      </c>
      <c r="H11" s="591">
        <f t="shared" si="0"/>
        <v>17.170000000000002</v>
      </c>
      <c r="J11" s="591">
        <f t="shared" si="1"/>
        <v>18.27</v>
      </c>
      <c r="L11" s="591">
        <f t="shared" si="2"/>
        <v>1.0999999999999979</v>
      </c>
      <c r="N11" s="592">
        <f t="shared" si="3"/>
        <v>6.4065230052416877E-2</v>
      </c>
      <c r="P11" s="581" t="s">
        <v>186</v>
      </c>
      <c r="Q11" s="531">
        <f>SUM(Q18,Q23:Q38)</f>
        <v>9.6803737056077949E-2</v>
      </c>
      <c r="R11" s="582"/>
      <c r="S11" s="663">
        <f>SUM(S18,S23:S38)</f>
        <v>0.10781686400000001</v>
      </c>
      <c r="T11" s="662"/>
      <c r="U11" s="664">
        <f>(S11-Q11)/Q11</f>
        <v>0.11376758045551703</v>
      </c>
    </row>
    <row r="12" spans="1:22">
      <c r="B12" s="525">
        <v>150</v>
      </c>
      <c r="D12" s="580">
        <v>1.4632121509343898E-2</v>
      </c>
      <c r="E12" s="580">
        <v>9.8047933876175396E-3</v>
      </c>
      <c r="F12" s="580">
        <v>1.9463733147857168E-2</v>
      </c>
      <c r="H12" s="591">
        <f t="shared" si="0"/>
        <v>22.01</v>
      </c>
      <c r="J12" s="591">
        <f t="shared" si="1"/>
        <v>23.66</v>
      </c>
      <c r="L12" s="591">
        <f t="shared" si="2"/>
        <v>1.6499999999999986</v>
      </c>
      <c r="N12" s="592">
        <f t="shared" si="3"/>
        <v>7.4965924579736415E-2</v>
      </c>
      <c r="P12" s="581" t="s">
        <v>185</v>
      </c>
      <c r="Q12" s="531">
        <f>SUM(Q19,Q23:Q38)</f>
        <v>0.11663473705607795</v>
      </c>
      <c r="R12" s="582"/>
      <c r="S12" s="663">
        <f>SUM(S19,S23:S38)</f>
        <v>0.12723386400000003</v>
      </c>
      <c r="T12" s="662"/>
      <c r="U12" s="664">
        <f>(S12-Q12)/Q12</f>
        <v>9.0874530276739279E-2</v>
      </c>
    </row>
    <row r="13" spans="1:22" ht="10.8" thickBot="1">
      <c r="B13" s="525">
        <v>200</v>
      </c>
      <c r="D13" s="580">
        <v>1.9470008218555698E-2</v>
      </c>
      <c r="E13" s="580">
        <v>1.2564655285149008E-2</v>
      </c>
      <c r="F13" s="580">
        <v>2.6381488598546481E-2</v>
      </c>
      <c r="H13" s="591">
        <f t="shared" si="0"/>
        <v>26.85</v>
      </c>
      <c r="J13" s="591">
        <f t="shared" si="1"/>
        <v>29.05</v>
      </c>
      <c r="L13" s="591">
        <f t="shared" si="2"/>
        <v>2.1999999999999993</v>
      </c>
      <c r="N13" s="592">
        <f t="shared" si="3"/>
        <v>8.1936685288640565E-2</v>
      </c>
      <c r="P13" s="585"/>
      <c r="Q13" s="586"/>
      <c r="R13" s="534"/>
      <c r="S13" s="587"/>
      <c r="U13" s="435"/>
    </row>
    <row r="14" spans="1:22">
      <c r="B14" s="525">
        <v>300</v>
      </c>
      <c r="D14" s="580">
        <v>5.9231245894191153E-2</v>
      </c>
      <c r="E14" s="580">
        <v>3.9079523999512415E-2</v>
      </c>
      <c r="F14" s="580">
        <v>7.9400849365767967E-2</v>
      </c>
      <c r="H14" s="591">
        <f t="shared" si="0"/>
        <v>36.53</v>
      </c>
      <c r="J14" s="591">
        <f t="shared" si="1"/>
        <v>39.840000000000003</v>
      </c>
      <c r="L14" s="591">
        <f t="shared" si="2"/>
        <v>3.3100000000000023</v>
      </c>
      <c r="N14" s="592">
        <f t="shared" si="3"/>
        <v>9.0610457158499927E-2</v>
      </c>
      <c r="T14" s="523"/>
      <c r="U14" s="435"/>
    </row>
    <row r="15" spans="1:22">
      <c r="B15" s="525">
        <v>400</v>
      </c>
      <c r="D15" s="580">
        <v>8.3788115881238898E-2</v>
      </c>
      <c r="E15" s="580">
        <v>6.2044821323868231E-2</v>
      </c>
      <c r="F15" s="580">
        <v>0.10555070429328249</v>
      </c>
      <c r="H15" s="591">
        <f t="shared" si="0"/>
        <v>46.21</v>
      </c>
      <c r="J15" s="591">
        <f t="shared" si="1"/>
        <v>50.62</v>
      </c>
      <c r="L15" s="591">
        <f t="shared" si="2"/>
        <v>4.4099999999999966</v>
      </c>
      <c r="N15" s="592">
        <f t="shared" si="3"/>
        <v>9.543388876866471E-2</v>
      </c>
    </row>
    <row r="16" spans="1:22">
      <c r="B16" s="525">
        <v>500</v>
      </c>
      <c r="D16" s="580">
        <v>9.6756306938673237E-2</v>
      </c>
      <c r="E16" s="580">
        <v>7.9512269584185141E-2</v>
      </c>
      <c r="F16" s="580">
        <v>0.11401564574390581</v>
      </c>
      <c r="H16" s="591">
        <f t="shared" si="0"/>
        <v>55.89</v>
      </c>
      <c r="J16" s="591">
        <f t="shared" si="1"/>
        <v>61.4</v>
      </c>
      <c r="L16" s="591">
        <f t="shared" si="2"/>
        <v>5.509999999999998</v>
      </c>
      <c r="N16" s="592">
        <f t="shared" si="3"/>
        <v>9.8586509214528495E-2</v>
      </c>
      <c r="U16" s="387" t="s">
        <v>20</v>
      </c>
    </row>
    <row r="17" spans="2:21">
      <c r="B17" s="525">
        <v>600</v>
      </c>
      <c r="D17" s="580">
        <v>9.7298660252519389E-2</v>
      </c>
      <c r="E17" s="580">
        <v>8.5504202246788494E-2</v>
      </c>
      <c r="F17" s="580">
        <v>0.1091035840392343</v>
      </c>
      <c r="H17" s="591">
        <f t="shared" si="0"/>
        <v>65.569999999999993</v>
      </c>
      <c r="J17" s="591">
        <f t="shared" si="1"/>
        <v>72.180000000000007</v>
      </c>
      <c r="L17" s="591">
        <f t="shared" si="2"/>
        <v>6.6100000000000136</v>
      </c>
      <c r="N17" s="592">
        <f t="shared" si="3"/>
        <v>0.10080829647704764</v>
      </c>
      <c r="P17" s="387" t="str">
        <f>+P9</f>
        <v>Basic 1 Phase</v>
      </c>
      <c r="Q17" s="588">
        <f>+'[1]Exhibit No.__(BDJ-Tariff)'!$D$8</f>
        <v>7.49</v>
      </c>
      <c r="R17" s="589"/>
      <c r="S17" s="606">
        <f>+'[1]Exhibit No.__(BDJ-Tariff)'!$E$8</f>
        <v>7.49</v>
      </c>
      <c r="U17" s="435">
        <f t="shared" ref="U17:U19" si="4">(S17-Q17)/Q17</f>
        <v>0</v>
      </c>
    </row>
    <row r="18" spans="2:21">
      <c r="B18" s="525">
        <v>700</v>
      </c>
      <c r="D18" s="580">
        <v>8.9579402626369709E-2</v>
      </c>
      <c r="E18" s="580">
        <v>8.2524800476298496E-2</v>
      </c>
      <c r="F18" s="580">
        <v>9.6640264658921005E-2</v>
      </c>
      <c r="H18" s="591">
        <f t="shared" ref="H18:H31" si="5">ROUND((((600*Q$11)+(($B18-600)*Q$12)+$Q$9)),2)</f>
        <v>77.239999999999995</v>
      </c>
      <c r="J18" s="591">
        <f t="shared" ref="J18:J31" si="6">ROUND((((600*S$11)+(($B18-600)*S$12)+$S$9)),2)</f>
        <v>84.9</v>
      </c>
      <c r="L18" s="591">
        <f t="shared" si="2"/>
        <v>7.6600000000000108</v>
      </c>
      <c r="N18" s="592">
        <f t="shared" si="3"/>
        <v>9.9171413775246131E-2</v>
      </c>
      <c r="P18" s="387" t="str">
        <f>+P11</f>
        <v>Energy - First 600</v>
      </c>
      <c r="Q18" s="550">
        <f>+'[1]Exhibit No.__(BDJ-Tariff)'!$D$11</f>
        <v>9.1343999999999995E-2</v>
      </c>
      <c r="R18" s="537"/>
      <c r="S18" s="607">
        <f>+'[1]Exhibit No.__(BDJ-Tariff)'!$E$11</f>
        <v>8.9437000000000003E-2</v>
      </c>
      <c r="T18" s="387" t="s">
        <v>20</v>
      </c>
      <c r="U18" s="435">
        <f t="shared" si="4"/>
        <v>-2.0877123839551499E-2</v>
      </c>
    </row>
    <row r="19" spans="2:21">
      <c r="B19" s="525">
        <v>800</v>
      </c>
      <c r="C19" s="387" t="s">
        <v>181</v>
      </c>
      <c r="D19" s="580">
        <v>7.886594239240452E-2</v>
      </c>
      <c r="E19" s="580">
        <v>7.5491440401899049E-2</v>
      </c>
      <c r="F19" s="580">
        <v>8.2243438738288224E-2</v>
      </c>
      <c r="H19" s="591">
        <f t="shared" si="5"/>
        <v>88.9</v>
      </c>
      <c r="J19" s="591">
        <f t="shared" si="6"/>
        <v>97.63</v>
      </c>
      <c r="L19" s="591">
        <f t="shared" si="2"/>
        <v>8.7299999999999898</v>
      </c>
      <c r="N19" s="592">
        <f t="shared" si="3"/>
        <v>9.82002249718784E-2</v>
      </c>
      <c r="P19" s="387" t="str">
        <f>+P12</f>
        <v>Energy - Over 600</v>
      </c>
      <c r="Q19" s="550">
        <f>+'[1]Exhibit No.__(BDJ-Tariff)'!$D$12</f>
        <v>0.111175</v>
      </c>
      <c r="R19" s="537"/>
      <c r="S19" s="607">
        <f>+'[1]Exhibit No.__(BDJ-Tariff)'!$E$12</f>
        <v>0.10885400000000001</v>
      </c>
      <c r="U19" s="435">
        <f t="shared" si="4"/>
        <v>-2.0876995727456622E-2</v>
      </c>
    </row>
    <row r="20" spans="2:21">
      <c r="B20" s="525">
        <v>900</v>
      </c>
      <c r="D20" s="580">
        <v>6.7448374347481174E-2</v>
      </c>
      <c r="E20" s="580">
        <v>6.7289050318063343E-2</v>
      </c>
      <c r="F20" s="580">
        <v>6.7607839752653318E-2</v>
      </c>
      <c r="H20" s="591">
        <f t="shared" si="5"/>
        <v>100.56</v>
      </c>
      <c r="J20" s="591">
        <f t="shared" si="6"/>
        <v>110.35</v>
      </c>
      <c r="L20" s="591">
        <f t="shared" si="2"/>
        <v>9.789999999999992</v>
      </c>
      <c r="N20" s="592">
        <f t="shared" si="3"/>
        <v>9.7354813046937064E-2</v>
      </c>
      <c r="P20" s="423"/>
      <c r="Q20" s="589"/>
      <c r="R20" s="423"/>
      <c r="S20" s="590"/>
    </row>
    <row r="21" spans="2:21">
      <c r="B21" s="525">
        <v>1000</v>
      </c>
      <c r="D21" s="580">
        <v>5.7105680794151147E-2</v>
      </c>
      <c r="E21" s="580">
        <v>5.9308894820428275E-2</v>
      </c>
      <c r="F21" s="580">
        <v>5.4900511751759778E-2</v>
      </c>
      <c r="H21" s="591">
        <f t="shared" si="5"/>
        <v>112.23</v>
      </c>
      <c r="J21" s="591">
        <f t="shared" si="6"/>
        <v>123.07</v>
      </c>
      <c r="L21" s="591">
        <f t="shared" si="2"/>
        <v>10.839999999999989</v>
      </c>
      <c r="N21" s="592">
        <f t="shared" si="3"/>
        <v>9.6587365232112532E-2</v>
      </c>
    </row>
    <row r="22" spans="2:21">
      <c r="B22" s="525">
        <v>1100</v>
      </c>
      <c r="D22" s="580">
        <v>4.7810902649562448E-2</v>
      </c>
      <c r="E22" s="580">
        <v>5.1692208585388089E-2</v>
      </c>
      <c r="F22" s="580">
        <v>4.3926152647223826E-2</v>
      </c>
      <c r="H22" s="591">
        <f t="shared" si="5"/>
        <v>123.89</v>
      </c>
      <c r="J22" s="591">
        <f t="shared" si="6"/>
        <v>135.80000000000001</v>
      </c>
      <c r="L22" s="591">
        <f t="shared" si="2"/>
        <v>11.910000000000011</v>
      </c>
      <c r="N22" s="592">
        <f t="shared" si="3"/>
        <v>9.613366696262822E-2</v>
      </c>
    </row>
    <row r="23" spans="2:21">
      <c r="B23" s="525">
        <v>1200</v>
      </c>
      <c r="D23" s="580">
        <v>3.9855515174197303E-2</v>
      </c>
      <c r="E23" s="580">
        <v>4.5103951733564511E-2</v>
      </c>
      <c r="F23" s="580">
        <v>3.4602421428589561E-2</v>
      </c>
      <c r="H23" s="591">
        <f t="shared" si="5"/>
        <v>135.55000000000001</v>
      </c>
      <c r="J23" s="591">
        <f t="shared" si="6"/>
        <v>148.52000000000001</v>
      </c>
      <c r="L23" s="591">
        <f t="shared" si="2"/>
        <v>12.969999999999999</v>
      </c>
      <c r="N23" s="592">
        <f t="shared" si="3"/>
        <v>9.5684249354481721E-2</v>
      </c>
      <c r="P23" s="539" t="s">
        <v>474</v>
      </c>
      <c r="Q23" s="537">
        <f>+'Sch 95 PCORC'!E7</f>
        <v>3.3142467321893932E-3</v>
      </c>
      <c r="R23" s="423"/>
      <c r="S23" s="540">
        <v>0</v>
      </c>
    </row>
    <row r="24" spans="2:21">
      <c r="B24" s="525">
        <v>1300</v>
      </c>
      <c r="D24" s="580">
        <v>3.3341169968691783E-2</v>
      </c>
      <c r="E24" s="580">
        <v>3.9494985376425283E-2</v>
      </c>
      <c r="F24" s="580">
        <v>2.7181893989201428E-2</v>
      </c>
      <c r="H24" s="591">
        <f t="shared" si="5"/>
        <v>147.22</v>
      </c>
      <c r="J24" s="591">
        <f t="shared" si="6"/>
        <v>161.24</v>
      </c>
      <c r="L24" s="591">
        <f t="shared" si="2"/>
        <v>14.02000000000001</v>
      </c>
      <c r="N24" s="592">
        <f t="shared" si="3"/>
        <v>9.5231626137753086E-2</v>
      </c>
      <c r="P24" s="539" t="s">
        <v>184</v>
      </c>
      <c r="Q24" s="537">
        <f>+'Sch 95 Imbalance'!E7</f>
        <v>2.1346263238885407E-3</v>
      </c>
      <c r="R24" s="423"/>
      <c r="S24" s="540">
        <v>0</v>
      </c>
    </row>
    <row r="25" spans="2:21">
      <c r="B25" s="525">
        <v>1400</v>
      </c>
      <c r="D25" s="580">
        <v>2.7930957788816026E-2</v>
      </c>
      <c r="E25" s="580">
        <v>3.4446043836009896E-2</v>
      </c>
      <c r="F25" s="580">
        <v>2.1410090597322948E-2</v>
      </c>
      <c r="H25" s="591">
        <f t="shared" si="5"/>
        <v>158.88</v>
      </c>
      <c r="J25" s="591">
        <f t="shared" si="6"/>
        <v>173.97</v>
      </c>
      <c r="L25" s="591">
        <f t="shared" si="2"/>
        <v>15.090000000000003</v>
      </c>
      <c r="N25" s="592">
        <f t="shared" si="3"/>
        <v>9.4977341389728118E-2</v>
      </c>
      <c r="P25" s="539" t="s">
        <v>183</v>
      </c>
      <c r="Q25" s="537">
        <f>+'Sch 95a'!E7</f>
        <v>-1.3910000000000001E-3</v>
      </c>
      <c r="R25" s="423"/>
      <c r="S25" s="537">
        <f t="shared" ref="S25:S29" si="7">+Q25</f>
        <v>-1.3910000000000001E-3</v>
      </c>
    </row>
    <row r="26" spans="2:21">
      <c r="B26" s="525">
        <v>1600</v>
      </c>
      <c r="C26" s="387" t="s">
        <v>20</v>
      </c>
      <c r="D26" s="580">
        <v>4.2917670529083893E-2</v>
      </c>
      <c r="E26" s="580">
        <v>5.5946685257017785E-2</v>
      </c>
      <c r="F26" s="580">
        <v>2.9877094539537647E-2</v>
      </c>
      <c r="H26" s="591">
        <f t="shared" si="5"/>
        <v>182.21</v>
      </c>
      <c r="J26" s="591">
        <f t="shared" si="6"/>
        <v>199.41</v>
      </c>
      <c r="L26" s="591">
        <f t="shared" si="2"/>
        <v>17.199999999999989</v>
      </c>
      <c r="N26" s="592">
        <f t="shared" si="3"/>
        <v>9.4396575380055914E-2</v>
      </c>
      <c r="P26" s="539" t="s">
        <v>182</v>
      </c>
      <c r="Q26" s="537">
        <f>+'Sch 120'!E7</f>
        <v>3.8249999999999998E-3</v>
      </c>
      <c r="R26" s="423"/>
      <c r="S26" s="537">
        <f t="shared" si="7"/>
        <v>3.8249999999999998E-3</v>
      </c>
    </row>
    <row r="27" spans="2:21">
      <c r="B27" s="525">
        <v>2000</v>
      </c>
      <c r="D27" s="580">
        <v>5.238284593558127E-2</v>
      </c>
      <c r="E27" s="580">
        <v>7.5129397752197027E-2</v>
      </c>
      <c r="F27" s="580">
        <v>2.9616110026628353E-2</v>
      </c>
      <c r="H27" s="591">
        <f t="shared" si="5"/>
        <v>228.86</v>
      </c>
      <c r="J27" s="591">
        <f t="shared" si="6"/>
        <v>250.31</v>
      </c>
      <c r="L27" s="591">
        <f t="shared" si="2"/>
        <v>21.449999999999989</v>
      </c>
      <c r="N27" s="592">
        <f t="shared" si="3"/>
        <v>9.3725421655160304E-2</v>
      </c>
      <c r="P27" s="539" t="s">
        <v>158</v>
      </c>
      <c r="Q27" s="537">
        <f>+'Sch 129'!E7</f>
        <v>1.3519999999999999E-3</v>
      </c>
      <c r="R27" s="387" t="s">
        <v>20</v>
      </c>
      <c r="S27" s="537">
        <f t="shared" si="7"/>
        <v>1.3519999999999999E-3</v>
      </c>
    </row>
    <row r="28" spans="2:21">
      <c r="B28" s="525">
        <v>2500</v>
      </c>
      <c r="D28" s="580">
        <v>3.2286911246338222E-2</v>
      </c>
      <c r="E28" s="580">
        <v>5.0830375885550137E-2</v>
      </c>
      <c r="F28" s="580">
        <v>1.3726992113032155E-2</v>
      </c>
      <c r="H28" s="591">
        <f t="shared" si="5"/>
        <v>287.18</v>
      </c>
      <c r="J28" s="591">
        <f t="shared" si="6"/>
        <v>313.92</v>
      </c>
      <c r="L28" s="591">
        <f t="shared" si="2"/>
        <v>26.740000000000009</v>
      </c>
      <c r="N28" s="592">
        <f t="shared" si="3"/>
        <v>9.3112333727975519E-2</v>
      </c>
      <c r="P28" s="423" t="s">
        <v>180</v>
      </c>
      <c r="Q28" s="402">
        <f>+'Sch 137'!E7</f>
        <v>-2.0999999999999999E-5</v>
      </c>
      <c r="S28" s="537">
        <f t="shared" si="7"/>
        <v>-2.0999999999999999E-5</v>
      </c>
    </row>
    <row r="29" spans="2:21">
      <c r="B29" s="525">
        <v>3000</v>
      </c>
      <c r="D29" s="580">
        <v>1.5207222179713211E-2</v>
      </c>
      <c r="E29" s="580">
        <v>2.5348850443256552E-2</v>
      </c>
      <c r="F29" s="580">
        <v>5.0565947692674789E-3</v>
      </c>
      <c r="H29" s="591">
        <f t="shared" si="5"/>
        <v>345.5</v>
      </c>
      <c r="J29" s="591">
        <f t="shared" si="6"/>
        <v>377.54</v>
      </c>
      <c r="L29" s="591">
        <f t="shared" si="2"/>
        <v>32.04000000000002</v>
      </c>
      <c r="N29" s="592">
        <f t="shared" si="3"/>
        <v>9.2735166425470389E-2</v>
      </c>
      <c r="P29" s="539" t="s">
        <v>165</v>
      </c>
      <c r="Q29" s="402">
        <f>+'Sch 140'!E7</f>
        <v>3.0720000000000001E-3</v>
      </c>
      <c r="S29" s="537">
        <f t="shared" si="7"/>
        <v>3.0720000000000001E-3</v>
      </c>
    </row>
    <row r="30" spans="2:21">
      <c r="B30" s="525">
        <v>4000</v>
      </c>
      <c r="D30" s="580">
        <v>1.1190080960504547E-2</v>
      </c>
      <c r="E30" s="580">
        <v>1.9212829878473187E-2</v>
      </c>
      <c r="F30" s="580">
        <v>3.1602130775928374E-3</v>
      </c>
      <c r="H30" s="591">
        <f t="shared" si="5"/>
        <v>462.13</v>
      </c>
      <c r="J30" s="591">
        <f t="shared" si="6"/>
        <v>504.78</v>
      </c>
      <c r="L30" s="591">
        <f t="shared" si="2"/>
        <v>42.649999999999977</v>
      </c>
      <c r="N30" s="592">
        <f t="shared" si="3"/>
        <v>9.2290048254820026E-2</v>
      </c>
      <c r="P30" s="387" t="s">
        <v>825</v>
      </c>
      <c r="Q30" s="402">
        <v>0</v>
      </c>
      <c r="S30" s="540">
        <f>+'Sch 141A'!F7</f>
        <v>1.828E-3</v>
      </c>
    </row>
    <row r="31" spans="2:21">
      <c r="B31" s="525">
        <v>5000</v>
      </c>
      <c r="D31" s="580">
        <v>3.0145805027948242E-3</v>
      </c>
      <c r="E31" s="580">
        <v>5.1053720059556331E-3</v>
      </c>
      <c r="F31" s="580">
        <v>9.2193374134705449E-4</v>
      </c>
      <c r="H31" s="591">
        <f t="shared" si="5"/>
        <v>578.77</v>
      </c>
      <c r="J31" s="591">
        <f t="shared" si="6"/>
        <v>632.01</v>
      </c>
      <c r="L31" s="591">
        <f t="shared" si="2"/>
        <v>53.240000000000009</v>
      </c>
      <c r="N31" s="592">
        <f t="shared" si="3"/>
        <v>9.1988181833889127E-2</v>
      </c>
      <c r="P31" s="387" t="s">
        <v>890</v>
      </c>
      <c r="Q31" s="402">
        <v>0</v>
      </c>
      <c r="S31" s="540">
        <f>+'Sch 141C'!F7</f>
        <v>2.6689999999999999E-3</v>
      </c>
    </row>
    <row r="32" spans="2:21">
      <c r="B32" s="525" t="s">
        <v>178</v>
      </c>
      <c r="D32" s="580">
        <v>2.4318678560908301E-3</v>
      </c>
      <c r="E32" s="580">
        <v>3.4799843833441995E-3</v>
      </c>
      <c r="F32" s="580">
        <v>1.3828212854209133E-3</v>
      </c>
      <c r="H32" s="591"/>
      <c r="J32" s="591"/>
      <c r="L32" s="591"/>
      <c r="N32" s="592"/>
      <c r="P32" s="387" t="s">
        <v>501</v>
      </c>
      <c r="Q32" s="402">
        <v>0</v>
      </c>
      <c r="S32" s="540">
        <f>+'Sch 141N'!G7</f>
        <v>1.2668E-2</v>
      </c>
    </row>
    <row r="33" spans="1:19">
      <c r="B33" s="593"/>
      <c r="C33" s="541"/>
      <c r="D33" s="594"/>
      <c r="E33" s="594"/>
      <c r="F33" s="594"/>
      <c r="G33" s="541"/>
      <c r="H33" s="594"/>
      <c r="I33" s="541"/>
      <c r="J33" s="594"/>
      <c r="K33" s="541"/>
      <c r="L33" s="541"/>
      <c r="M33" s="541"/>
      <c r="N33" s="595"/>
      <c r="P33" s="391" t="s">
        <v>502</v>
      </c>
      <c r="Q33" s="402">
        <v>0</v>
      </c>
      <c r="S33" s="540">
        <f>+'Sch 141R'!G7</f>
        <v>2.3679999999999999E-3</v>
      </c>
    </row>
    <row r="34" spans="1:19">
      <c r="P34" s="539" t="s">
        <v>503</v>
      </c>
      <c r="Q34" s="402">
        <f>+'Sch 141X'!E7</f>
        <v>8.4999999999999995E-4</v>
      </c>
      <c r="S34" s="540">
        <v>0</v>
      </c>
    </row>
    <row r="35" spans="1:19">
      <c r="A35" s="429" t="s">
        <v>177</v>
      </c>
      <c r="C35" s="429"/>
      <c r="D35" s="429"/>
      <c r="E35" s="429"/>
      <c r="F35" s="429"/>
      <c r="G35" s="429"/>
      <c r="H35" s="429"/>
      <c r="I35" s="429"/>
      <c r="J35" s="429"/>
      <c r="K35" s="429"/>
      <c r="L35" s="429"/>
      <c r="M35" s="429"/>
      <c r="N35" s="429"/>
      <c r="P35" s="539" t="s">
        <v>504</v>
      </c>
      <c r="Q35" s="402">
        <f>+'Sch 141Z'!E7</f>
        <v>-8.8400000000000002E-4</v>
      </c>
      <c r="S35" s="537">
        <f t="shared" ref="S35:S36" si="8">+Q35</f>
        <v>-8.8400000000000002E-4</v>
      </c>
    </row>
    <row r="36" spans="1:19">
      <c r="A36" s="596" t="s">
        <v>176</v>
      </c>
      <c r="C36" s="429"/>
      <c r="D36" s="429"/>
      <c r="E36" s="429"/>
      <c r="F36" s="429"/>
      <c r="G36" s="429"/>
      <c r="H36" s="429"/>
      <c r="I36" s="429"/>
      <c r="J36" s="429"/>
      <c r="K36" s="429"/>
      <c r="L36" s="429"/>
      <c r="M36" s="429"/>
      <c r="N36" s="429"/>
      <c r="P36" s="539" t="s">
        <v>168</v>
      </c>
      <c r="Q36" s="402">
        <f>+'Sch 142'!F7</f>
        <v>-4.17E-4</v>
      </c>
      <c r="S36" s="537">
        <f t="shared" si="8"/>
        <v>-4.17E-4</v>
      </c>
    </row>
    <row r="37" spans="1:19">
      <c r="A37" s="729" t="s">
        <v>891</v>
      </c>
      <c r="C37" s="598"/>
      <c r="D37" s="598"/>
      <c r="E37" s="598"/>
      <c r="F37" s="598"/>
      <c r="G37" s="598"/>
      <c r="H37" s="598"/>
      <c r="I37" s="598"/>
      <c r="J37" s="598"/>
      <c r="K37" s="598"/>
      <c r="L37" s="598"/>
      <c r="M37" s="598"/>
      <c r="N37" s="598"/>
      <c r="P37" s="539" t="s">
        <v>475</v>
      </c>
      <c r="Q37" s="402">
        <f>+'Sch 142'!I7</f>
        <v>3.1400000000000004E-4</v>
      </c>
      <c r="S37" s="540">
        <v>0</v>
      </c>
    </row>
    <row r="38" spans="1:19" ht="11.4">
      <c r="A38" s="598" t="s">
        <v>848</v>
      </c>
      <c r="C38" s="598"/>
      <c r="D38" s="598"/>
      <c r="E38" s="598"/>
      <c r="F38" s="598"/>
      <c r="G38" s="598"/>
      <c r="H38" s="598"/>
      <c r="I38" s="598"/>
      <c r="J38" s="598"/>
      <c r="K38" s="598"/>
      <c r="L38" s="598"/>
      <c r="M38" s="598"/>
      <c r="N38" s="598"/>
      <c r="P38" s="539" t="s">
        <v>179</v>
      </c>
      <c r="Q38" s="402">
        <f>+'Sch 194'!$E$7</f>
        <v>-6.689136E-3</v>
      </c>
      <c r="S38" s="537">
        <f>+Q38</f>
        <v>-6.689136E-3</v>
      </c>
    </row>
    <row r="39" spans="1:19" ht="11.4">
      <c r="A39" s="597" t="s">
        <v>849</v>
      </c>
      <c r="C39" s="598"/>
      <c r="D39" s="598"/>
      <c r="E39" s="598"/>
      <c r="F39" s="598"/>
      <c r="G39" s="598"/>
      <c r="H39" s="598"/>
      <c r="I39" s="598"/>
      <c r="J39" s="598"/>
      <c r="K39" s="598"/>
      <c r="L39" s="598"/>
      <c r="M39" s="598"/>
      <c r="N39" s="598"/>
    </row>
    <row r="40" spans="1:19">
      <c r="P40" s="542" t="s">
        <v>283</v>
      </c>
      <c r="Q40" s="667">
        <f>+'Rate Impacts_RY#1'!H9</f>
        <v>-1.8300171733060557E-2</v>
      </c>
    </row>
    <row r="41" spans="1:19">
      <c r="P41" s="542" t="s">
        <v>285</v>
      </c>
      <c r="Q41" s="667">
        <f>+'Rate Impacts_RY#1'!AP9</f>
        <v>9.4748607359548945E-2</v>
      </c>
    </row>
    <row r="42" spans="1:19">
      <c r="B42" s="397"/>
    </row>
  </sheetData>
  <mergeCells count="6">
    <mergeCell ref="L7:N7"/>
    <mergeCell ref="H6:N6"/>
    <mergeCell ref="A1:N1"/>
    <mergeCell ref="A2:N2"/>
    <mergeCell ref="A3:N3"/>
    <mergeCell ref="A4:N4"/>
  </mergeCells>
  <printOptions horizontalCentered="1"/>
  <pageMargins left="0.7" right="0.7" top="0.75" bottom="0.71" header="0.3" footer="0.3"/>
  <pageSetup scale="70" orientation="landscape" r:id="rId1"/>
  <headerFooter alignWithMargins="0">
    <oddFooter>&amp;L&amp;"Times New Roman,Regular"&amp;A&amp;R&amp;"Times New Roman,Regular"Exhibit No.___(BDJ-7)
Page &amp;P of &amp;N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V41"/>
  <sheetViews>
    <sheetView zoomScaleNormal="100" zoomScaleSheetLayoutView="75" workbookViewId="0">
      <pane xSplit="3" ySplit="8" topLeftCell="D9" activePane="bottomRight" state="frozen"/>
      <selection activeCell="F7" sqref="F7:F62"/>
      <selection pane="topRight" activeCell="F7" sqref="F7:F62"/>
      <selection pane="bottomLeft" activeCell="F7" sqref="F7:F62"/>
      <selection pane="bottomRight" activeCell="A37" sqref="A37"/>
    </sheetView>
  </sheetViews>
  <sheetFormatPr defaultColWidth="9.44140625" defaultRowHeight="10.199999999999999"/>
  <cols>
    <col min="1" max="1" width="3.33203125" style="387" customWidth="1"/>
    <col min="2" max="2" width="6.88671875" style="387" bestFit="1" customWidth="1"/>
    <col min="3" max="3" width="2" style="387" bestFit="1" customWidth="1"/>
    <col min="4" max="4" width="7.109375" style="387" bestFit="1" customWidth="1"/>
    <col min="5" max="5" width="16.44140625" style="387" bestFit="1" customWidth="1"/>
    <col min="6" max="6" width="17.5546875" style="387" bestFit="1" customWidth="1"/>
    <col min="7" max="7" width="1.33203125" style="387" customWidth="1"/>
    <col min="8" max="8" width="9.6640625" style="387" bestFit="1" customWidth="1"/>
    <col min="9" max="9" width="1.33203125" style="387" bestFit="1" customWidth="1"/>
    <col min="10" max="10" width="10.44140625" style="387" bestFit="1" customWidth="1"/>
    <col min="11" max="11" width="1.44140625" style="387" bestFit="1" customWidth="1"/>
    <col min="12" max="12" width="8.5546875" style="387" bestFit="1" customWidth="1"/>
    <col min="13" max="13" width="2" style="387" customWidth="1"/>
    <col min="14" max="14" width="7.44140625" style="387" bestFit="1" customWidth="1"/>
    <col min="15" max="15" width="9.44140625" style="387"/>
    <col min="16" max="16" width="51.6640625" style="387" customWidth="1"/>
    <col min="17" max="17" width="14.44140625" style="387" bestFit="1" customWidth="1"/>
    <col min="18" max="18" width="1.5546875" style="387" bestFit="1" customWidth="1"/>
    <col min="19" max="19" width="15.88671875" style="387" bestFit="1" customWidth="1"/>
    <col min="20" max="20" width="1.5546875" style="387" bestFit="1" customWidth="1"/>
    <col min="21" max="21" width="6.33203125" style="387" bestFit="1" customWidth="1"/>
    <col min="22" max="22" width="5.109375" style="387" customWidth="1"/>
    <col min="23" max="16384" width="9.44140625" style="387"/>
  </cols>
  <sheetData>
    <row r="1" spans="1:22">
      <c r="A1" s="772" t="s">
        <v>0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</row>
    <row r="2" spans="1:22">
      <c r="A2" s="772" t="s">
        <v>604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</row>
    <row r="3" spans="1:22">
      <c r="A3" s="773" t="s">
        <v>605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  <c r="V3" s="508"/>
    </row>
    <row r="4" spans="1:22">
      <c r="A4" s="773" t="s">
        <v>606</v>
      </c>
      <c r="B4" s="772"/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72"/>
      <c r="N4" s="772"/>
      <c r="V4" s="508"/>
    </row>
    <row r="6" spans="1:22" ht="11.4">
      <c r="H6" s="775" t="s">
        <v>842</v>
      </c>
      <c r="I6" s="774"/>
      <c r="J6" s="774"/>
      <c r="K6" s="774"/>
      <c r="L6" s="774"/>
      <c r="M6" s="774"/>
      <c r="N6" s="774"/>
      <c r="O6" s="508"/>
    </row>
    <row r="7" spans="1:22" ht="10.8" thickBot="1">
      <c r="D7" s="517" t="s">
        <v>483</v>
      </c>
      <c r="E7" s="517"/>
      <c r="F7" s="517"/>
      <c r="H7" s="452" t="s">
        <v>20</v>
      </c>
      <c r="I7" s="572"/>
      <c r="J7" s="572" t="s">
        <v>20</v>
      </c>
      <c r="L7" s="774" t="s">
        <v>192</v>
      </c>
      <c r="M7" s="774"/>
      <c r="N7" s="774"/>
      <c r="O7" s="572"/>
    </row>
    <row r="8" spans="1:22" ht="11.4">
      <c r="B8" s="459" t="s">
        <v>191</v>
      </c>
      <c r="D8" s="573" t="s">
        <v>484</v>
      </c>
      <c r="E8" s="572" t="s">
        <v>486</v>
      </c>
      <c r="F8" s="572" t="s">
        <v>485</v>
      </c>
      <c r="H8" s="573" t="s">
        <v>843</v>
      </c>
      <c r="I8" s="573"/>
      <c r="J8" s="573" t="s">
        <v>847</v>
      </c>
      <c r="K8" s="574" t="s">
        <v>20</v>
      </c>
      <c r="L8" s="459" t="s">
        <v>190</v>
      </c>
      <c r="N8" s="575" t="s">
        <v>32</v>
      </c>
      <c r="P8" s="576"/>
      <c r="Q8" s="577" t="s">
        <v>189</v>
      </c>
      <c r="R8" s="578"/>
      <c r="S8" s="579" t="s">
        <v>188</v>
      </c>
      <c r="U8" s="435"/>
    </row>
    <row r="9" spans="1:22">
      <c r="B9" s="525">
        <v>0</v>
      </c>
      <c r="D9" s="580">
        <v>7.5359358627560668E-3</v>
      </c>
      <c r="E9" s="580">
        <v>5.9446959245949491E-3</v>
      </c>
      <c r="F9" s="580">
        <v>9.1285877834498055E-3</v>
      </c>
      <c r="H9" s="591">
        <f t="shared" ref="H9:H17" si="0">ROUND((($B9*Q$11+$Q$9)),2)</f>
        <v>7.49</v>
      </c>
      <c r="J9" s="591">
        <f t="shared" ref="J9:J17" si="1">ROUND((($B9*S$11+$S$9)),2)</f>
        <v>7.49</v>
      </c>
      <c r="L9" s="591">
        <f t="shared" ref="L9:L31" si="2">J9-H9</f>
        <v>0</v>
      </c>
      <c r="N9" s="592">
        <f t="shared" ref="N9:N31" si="3">(J9-H9)/H9</f>
        <v>0</v>
      </c>
      <c r="P9" s="581" t="s">
        <v>187</v>
      </c>
      <c r="Q9" s="528">
        <f>SUM(Q17)</f>
        <v>7.49</v>
      </c>
      <c r="R9" s="582"/>
      <c r="S9" s="530">
        <f>SUM(S17)</f>
        <v>7.49</v>
      </c>
      <c r="T9" s="583"/>
      <c r="U9" s="435">
        <f>(S9-Q9)/Q9</f>
        <v>0</v>
      </c>
    </row>
    <row r="10" spans="1:22">
      <c r="B10" s="525">
        <v>50</v>
      </c>
      <c r="D10" s="580">
        <v>7.8933022933853902E-3</v>
      </c>
      <c r="E10" s="580">
        <v>6.4115153656511877E-3</v>
      </c>
      <c r="F10" s="580">
        <v>9.3764040808141328E-3</v>
      </c>
      <c r="H10" s="591">
        <f t="shared" si="0"/>
        <v>12.88</v>
      </c>
      <c r="J10" s="591">
        <f t="shared" si="1"/>
        <v>12.97</v>
      </c>
      <c r="L10" s="591">
        <f t="shared" si="2"/>
        <v>8.9999999999999858E-2</v>
      </c>
      <c r="N10" s="592">
        <f t="shared" si="3"/>
        <v>6.9875776397515417E-3</v>
      </c>
      <c r="P10" s="581"/>
      <c r="Q10" s="531"/>
      <c r="R10" s="582"/>
      <c r="S10" s="584"/>
      <c r="U10" s="435"/>
    </row>
    <row r="11" spans="1:22">
      <c r="B11" s="525">
        <v>100</v>
      </c>
      <c r="D11" s="580">
        <v>1.2025178197555365E-2</v>
      </c>
      <c r="E11" s="580">
        <v>8.7286517287615776E-3</v>
      </c>
      <c r="F11" s="580">
        <v>1.5324629830355306E-2</v>
      </c>
      <c r="H11" s="591">
        <f t="shared" si="0"/>
        <v>18.27</v>
      </c>
      <c r="J11" s="591">
        <f t="shared" si="1"/>
        <v>18.45</v>
      </c>
      <c r="L11" s="591">
        <f t="shared" si="2"/>
        <v>0.17999999999999972</v>
      </c>
      <c r="N11" s="592">
        <f t="shared" si="3"/>
        <v>9.8522167487684574E-3</v>
      </c>
      <c r="P11" s="581" t="s">
        <v>186</v>
      </c>
      <c r="Q11" s="665">
        <f>SUM(Q18,Q23:Q38)</f>
        <v>0.10781686400000001</v>
      </c>
      <c r="R11" s="666"/>
      <c r="S11" s="663">
        <f>SUM(S18,S23:S38)</f>
        <v>0.10960794047986992</v>
      </c>
      <c r="T11" s="662"/>
      <c r="U11" s="664">
        <f>(S11-Q11)/Q11</f>
        <v>1.6612210867772134E-2</v>
      </c>
    </row>
    <row r="12" spans="1:22">
      <c r="B12" s="525">
        <v>150</v>
      </c>
      <c r="D12" s="580">
        <v>1.4632121509343898E-2</v>
      </c>
      <c r="E12" s="580">
        <v>9.8047933876175396E-3</v>
      </c>
      <c r="F12" s="580">
        <v>1.9463733147857168E-2</v>
      </c>
      <c r="H12" s="591">
        <f t="shared" si="0"/>
        <v>23.66</v>
      </c>
      <c r="J12" s="591">
        <f t="shared" si="1"/>
        <v>23.93</v>
      </c>
      <c r="L12" s="591">
        <f t="shared" si="2"/>
        <v>0.26999999999999957</v>
      </c>
      <c r="N12" s="592">
        <f t="shared" si="3"/>
        <v>1.1411665257819085E-2</v>
      </c>
      <c r="P12" s="581" t="s">
        <v>185</v>
      </c>
      <c r="Q12" s="665">
        <f>SUM(Q19,Q23:Q38)</f>
        <v>0.12723386400000003</v>
      </c>
      <c r="R12" s="666"/>
      <c r="S12" s="663">
        <f>SUM(S19,S23:S38)</f>
        <v>0.1290249404798699</v>
      </c>
      <c r="T12" s="662"/>
      <c r="U12" s="664">
        <f>(S12-Q12)/Q12</f>
        <v>1.4077042255589032E-2</v>
      </c>
    </row>
    <row r="13" spans="1:22" ht="10.8" thickBot="1">
      <c r="B13" s="525">
        <v>200</v>
      </c>
      <c r="D13" s="580">
        <v>1.9470008218555698E-2</v>
      </c>
      <c r="E13" s="580">
        <v>1.2564655285149008E-2</v>
      </c>
      <c r="F13" s="580">
        <v>2.6381488598546481E-2</v>
      </c>
      <c r="H13" s="591">
        <f t="shared" si="0"/>
        <v>29.05</v>
      </c>
      <c r="J13" s="591">
        <f t="shared" si="1"/>
        <v>29.41</v>
      </c>
      <c r="L13" s="591">
        <f t="shared" si="2"/>
        <v>0.35999999999999943</v>
      </c>
      <c r="N13" s="592">
        <f t="shared" si="3"/>
        <v>1.2392426850258155E-2</v>
      </c>
      <c r="P13" s="585"/>
      <c r="Q13" s="586"/>
      <c r="R13" s="534"/>
      <c r="S13" s="587"/>
      <c r="U13" s="435"/>
    </row>
    <row r="14" spans="1:22">
      <c r="B14" s="525">
        <v>300</v>
      </c>
      <c r="D14" s="580">
        <v>5.9231245894191153E-2</v>
      </c>
      <c r="E14" s="580">
        <v>3.9079523999512415E-2</v>
      </c>
      <c r="F14" s="580">
        <v>7.9400849365767967E-2</v>
      </c>
      <c r="H14" s="591">
        <f t="shared" si="0"/>
        <v>39.840000000000003</v>
      </c>
      <c r="J14" s="591">
        <f t="shared" si="1"/>
        <v>40.369999999999997</v>
      </c>
      <c r="L14" s="591">
        <f t="shared" si="2"/>
        <v>0.52999999999999403</v>
      </c>
      <c r="N14" s="592">
        <f t="shared" si="3"/>
        <v>1.3303212851405472E-2</v>
      </c>
      <c r="T14" s="523"/>
      <c r="U14" s="435"/>
    </row>
    <row r="15" spans="1:22">
      <c r="B15" s="525">
        <v>400</v>
      </c>
      <c r="D15" s="580">
        <v>8.3788115881238898E-2</v>
      </c>
      <c r="E15" s="580">
        <v>6.2044821323868231E-2</v>
      </c>
      <c r="F15" s="580">
        <v>0.10555070429328249</v>
      </c>
      <c r="H15" s="591">
        <f t="shared" si="0"/>
        <v>50.62</v>
      </c>
      <c r="J15" s="591">
        <f t="shared" si="1"/>
        <v>51.33</v>
      </c>
      <c r="L15" s="591">
        <f t="shared" si="2"/>
        <v>0.71000000000000085</v>
      </c>
      <c r="N15" s="592">
        <f t="shared" si="3"/>
        <v>1.4026076649545652E-2</v>
      </c>
    </row>
    <row r="16" spans="1:22">
      <c r="B16" s="525">
        <v>500</v>
      </c>
      <c r="D16" s="580">
        <v>9.6756306938673237E-2</v>
      </c>
      <c r="E16" s="580">
        <v>7.9512269584185141E-2</v>
      </c>
      <c r="F16" s="580">
        <v>0.11401564574390581</v>
      </c>
      <c r="H16" s="591">
        <f t="shared" si="0"/>
        <v>61.4</v>
      </c>
      <c r="J16" s="591">
        <f t="shared" si="1"/>
        <v>62.29</v>
      </c>
      <c r="L16" s="591">
        <f t="shared" si="2"/>
        <v>0.89000000000000057</v>
      </c>
      <c r="N16" s="592">
        <f t="shared" si="3"/>
        <v>1.4495114006514667E-2</v>
      </c>
      <c r="U16" s="387" t="s">
        <v>20</v>
      </c>
    </row>
    <row r="17" spans="2:21">
      <c r="B17" s="525">
        <v>600</v>
      </c>
      <c r="D17" s="580">
        <v>9.7298660252519389E-2</v>
      </c>
      <c r="E17" s="580">
        <v>8.5504202246788494E-2</v>
      </c>
      <c r="F17" s="580">
        <v>0.1091035840392343</v>
      </c>
      <c r="H17" s="591">
        <f t="shared" si="0"/>
        <v>72.180000000000007</v>
      </c>
      <c r="J17" s="591">
        <f t="shared" si="1"/>
        <v>73.25</v>
      </c>
      <c r="L17" s="591">
        <f t="shared" si="2"/>
        <v>1.0699999999999932</v>
      </c>
      <c r="N17" s="592">
        <f t="shared" si="3"/>
        <v>1.4824050983651886E-2</v>
      </c>
      <c r="P17" s="387" t="str">
        <f>+P9</f>
        <v>Basic 1 Phase</v>
      </c>
      <c r="Q17" s="588">
        <f>+'Res Bill RY#1'!S17</f>
        <v>7.49</v>
      </c>
      <c r="R17" s="589"/>
      <c r="S17" s="588">
        <f>+Q17</f>
        <v>7.49</v>
      </c>
      <c r="U17" s="435">
        <f t="shared" ref="U17:U19" si="4">(S17-Q17)/Q17</f>
        <v>0</v>
      </c>
    </row>
    <row r="18" spans="2:21">
      <c r="B18" s="525">
        <v>700</v>
      </c>
      <c r="D18" s="580">
        <v>8.9579402626369709E-2</v>
      </c>
      <c r="E18" s="580">
        <v>8.2524800476298496E-2</v>
      </c>
      <c r="F18" s="580">
        <v>9.6640264658921005E-2</v>
      </c>
      <c r="H18" s="591">
        <f t="shared" ref="H18:H31" si="5">ROUND((((600*Q$11)+(($B18-600)*Q$12)+$Q$9)),2)</f>
        <v>84.9</v>
      </c>
      <c r="J18" s="591">
        <f t="shared" ref="J18:J31" si="6">ROUND((((600*S$11)+(($B18-600)*S$12)+$S$9)),2)</f>
        <v>86.16</v>
      </c>
      <c r="L18" s="591">
        <f t="shared" si="2"/>
        <v>1.2599999999999909</v>
      </c>
      <c r="N18" s="592">
        <f t="shared" si="3"/>
        <v>1.4840989399293177E-2</v>
      </c>
      <c r="P18" s="387" t="str">
        <f>+P11</f>
        <v>Energy - First 600</v>
      </c>
      <c r="Q18" s="550">
        <f>+'Res Bill RY#1'!S18</f>
        <v>8.9437000000000003E-2</v>
      </c>
      <c r="R18" s="537"/>
      <c r="S18" s="550">
        <f t="shared" ref="S18:S19" si="7">+Q18</f>
        <v>8.9437000000000003E-2</v>
      </c>
      <c r="T18" s="387" t="s">
        <v>20</v>
      </c>
      <c r="U18" s="435">
        <f t="shared" si="4"/>
        <v>0</v>
      </c>
    </row>
    <row r="19" spans="2:21">
      <c r="B19" s="525">
        <v>800</v>
      </c>
      <c r="C19" s="387" t="s">
        <v>181</v>
      </c>
      <c r="D19" s="580">
        <v>7.886594239240452E-2</v>
      </c>
      <c r="E19" s="580">
        <v>7.5491440401899049E-2</v>
      </c>
      <c r="F19" s="580">
        <v>8.2243438738288224E-2</v>
      </c>
      <c r="H19" s="591">
        <f t="shared" si="5"/>
        <v>97.63</v>
      </c>
      <c r="J19" s="591">
        <f t="shared" si="6"/>
        <v>99.06</v>
      </c>
      <c r="L19" s="591">
        <f t="shared" si="2"/>
        <v>1.4300000000000068</v>
      </c>
      <c r="N19" s="592">
        <f t="shared" si="3"/>
        <v>1.4647137150466116E-2</v>
      </c>
      <c r="P19" s="387" t="str">
        <f>+P12</f>
        <v>Energy - Over 600</v>
      </c>
      <c r="Q19" s="550">
        <f>+'Res Bill RY#1'!S19</f>
        <v>0.10885400000000001</v>
      </c>
      <c r="R19" s="537"/>
      <c r="S19" s="550">
        <f t="shared" si="7"/>
        <v>0.10885400000000001</v>
      </c>
      <c r="U19" s="435">
        <f t="shared" si="4"/>
        <v>0</v>
      </c>
    </row>
    <row r="20" spans="2:21">
      <c r="B20" s="525">
        <v>900</v>
      </c>
      <c r="D20" s="580">
        <v>6.7448374347481174E-2</v>
      </c>
      <c r="E20" s="580">
        <v>6.7289050318063343E-2</v>
      </c>
      <c r="F20" s="580">
        <v>6.7607839752653318E-2</v>
      </c>
      <c r="H20" s="591">
        <f t="shared" si="5"/>
        <v>110.35</v>
      </c>
      <c r="J20" s="591">
        <f t="shared" si="6"/>
        <v>111.96</v>
      </c>
      <c r="L20" s="591">
        <f t="shared" si="2"/>
        <v>1.6099999999999994</v>
      </c>
      <c r="N20" s="592">
        <f t="shared" si="3"/>
        <v>1.4589941096511096E-2</v>
      </c>
      <c r="P20" s="423"/>
      <c r="Q20" s="423"/>
      <c r="R20" s="423"/>
      <c r="S20" s="590"/>
    </row>
    <row r="21" spans="2:21">
      <c r="B21" s="525">
        <v>1000</v>
      </c>
      <c r="D21" s="580">
        <v>5.7105680794151147E-2</v>
      </c>
      <c r="E21" s="580">
        <v>5.9308894820428275E-2</v>
      </c>
      <c r="F21" s="580">
        <v>5.4900511751759778E-2</v>
      </c>
      <c r="H21" s="591">
        <f t="shared" si="5"/>
        <v>123.07</v>
      </c>
      <c r="J21" s="591">
        <f t="shared" si="6"/>
        <v>124.86</v>
      </c>
      <c r="L21" s="591">
        <f t="shared" si="2"/>
        <v>1.7900000000000063</v>
      </c>
      <c r="N21" s="592">
        <f t="shared" si="3"/>
        <v>1.4544568131957474E-2</v>
      </c>
    </row>
    <row r="22" spans="2:21">
      <c r="B22" s="525">
        <v>1100</v>
      </c>
      <c r="D22" s="580">
        <v>4.7810902649562448E-2</v>
      </c>
      <c r="E22" s="580">
        <v>5.1692208585388089E-2</v>
      </c>
      <c r="F22" s="580">
        <v>4.3926152647223826E-2</v>
      </c>
      <c r="H22" s="591">
        <f t="shared" si="5"/>
        <v>135.80000000000001</v>
      </c>
      <c r="J22" s="591">
        <f t="shared" si="6"/>
        <v>137.77000000000001</v>
      </c>
      <c r="L22" s="591">
        <f t="shared" si="2"/>
        <v>1.9699999999999989</v>
      </c>
      <c r="N22" s="592">
        <f t="shared" si="3"/>
        <v>1.4506627393225321E-2</v>
      </c>
    </row>
    <row r="23" spans="2:21">
      <c r="B23" s="525">
        <v>1200</v>
      </c>
      <c r="D23" s="580">
        <v>3.9855515174197303E-2</v>
      </c>
      <c r="E23" s="580">
        <v>4.5103951733564511E-2</v>
      </c>
      <c r="F23" s="580">
        <v>3.4602421428589561E-2</v>
      </c>
      <c r="H23" s="591">
        <f t="shared" si="5"/>
        <v>148.52000000000001</v>
      </c>
      <c r="J23" s="591">
        <f t="shared" si="6"/>
        <v>150.66999999999999</v>
      </c>
      <c r="L23" s="591">
        <f t="shared" si="2"/>
        <v>2.1499999999999773</v>
      </c>
      <c r="N23" s="592">
        <f t="shared" si="3"/>
        <v>1.4476164826285868E-2</v>
      </c>
      <c r="P23" s="539" t="s">
        <v>474</v>
      </c>
      <c r="Q23" s="537">
        <f>+'Res Bill RY#1'!S23</f>
        <v>0</v>
      </c>
      <c r="R23" s="423"/>
      <c r="S23" s="537">
        <f t="shared" ref="S23:S29" si="8">+Q23</f>
        <v>0</v>
      </c>
    </row>
    <row r="24" spans="2:21">
      <c r="B24" s="525">
        <v>1300</v>
      </c>
      <c r="D24" s="580">
        <v>3.3341169968691783E-2</v>
      </c>
      <c r="E24" s="580">
        <v>3.9494985376425283E-2</v>
      </c>
      <c r="F24" s="580">
        <v>2.7181893989201428E-2</v>
      </c>
      <c r="H24" s="591">
        <f t="shared" si="5"/>
        <v>161.24</v>
      </c>
      <c r="J24" s="591">
        <f t="shared" si="6"/>
        <v>163.57</v>
      </c>
      <c r="L24" s="591">
        <f t="shared" si="2"/>
        <v>2.3299999999999841</v>
      </c>
      <c r="N24" s="592">
        <f t="shared" si="3"/>
        <v>1.4450508558670206E-2</v>
      </c>
      <c r="P24" s="539" t="s">
        <v>184</v>
      </c>
      <c r="Q24" s="537">
        <f>+'Res Bill RY#1'!S24</f>
        <v>0</v>
      </c>
      <c r="R24" s="423"/>
      <c r="S24" s="537">
        <f t="shared" si="8"/>
        <v>0</v>
      </c>
    </row>
    <row r="25" spans="2:21">
      <c r="B25" s="525">
        <v>1400</v>
      </c>
      <c r="D25" s="580">
        <v>2.7930957788816026E-2</v>
      </c>
      <c r="E25" s="580">
        <v>3.4446043836009896E-2</v>
      </c>
      <c r="F25" s="580">
        <v>2.1410090597322948E-2</v>
      </c>
      <c r="H25" s="591">
        <f t="shared" si="5"/>
        <v>173.97</v>
      </c>
      <c r="J25" s="591">
        <f t="shared" si="6"/>
        <v>176.47</v>
      </c>
      <c r="L25" s="591">
        <f t="shared" si="2"/>
        <v>2.5</v>
      </c>
      <c r="N25" s="592">
        <f t="shared" si="3"/>
        <v>1.4370293728803817E-2</v>
      </c>
      <c r="P25" s="539" t="s">
        <v>183</v>
      </c>
      <c r="Q25" s="537">
        <f>+'Res Bill RY#1'!S25</f>
        <v>-1.3910000000000001E-3</v>
      </c>
      <c r="R25" s="423"/>
      <c r="S25" s="537">
        <f t="shared" si="8"/>
        <v>-1.3910000000000001E-3</v>
      </c>
    </row>
    <row r="26" spans="2:21">
      <c r="B26" s="525">
        <v>1600</v>
      </c>
      <c r="C26" s="387" t="s">
        <v>20</v>
      </c>
      <c r="D26" s="580">
        <v>4.2917670529083893E-2</v>
      </c>
      <c r="E26" s="580">
        <v>5.5946685257017785E-2</v>
      </c>
      <c r="F26" s="580">
        <v>2.9877094539537647E-2</v>
      </c>
      <c r="H26" s="591">
        <f t="shared" si="5"/>
        <v>199.41</v>
      </c>
      <c r="J26" s="591">
        <f t="shared" si="6"/>
        <v>202.28</v>
      </c>
      <c r="L26" s="591">
        <f t="shared" si="2"/>
        <v>2.8700000000000045</v>
      </c>
      <c r="N26" s="592">
        <f t="shared" si="3"/>
        <v>1.4392457750363595E-2</v>
      </c>
      <c r="P26" s="539" t="s">
        <v>182</v>
      </c>
      <c r="Q26" s="537">
        <f>+'Res Bill RY#1'!S26</f>
        <v>3.8249999999999998E-3</v>
      </c>
      <c r="R26" s="423"/>
      <c r="S26" s="537">
        <f t="shared" si="8"/>
        <v>3.8249999999999998E-3</v>
      </c>
    </row>
    <row r="27" spans="2:21">
      <c r="B27" s="525">
        <v>2000</v>
      </c>
      <c r="D27" s="580">
        <v>5.238284593558127E-2</v>
      </c>
      <c r="E27" s="580">
        <v>7.5129397752197027E-2</v>
      </c>
      <c r="F27" s="580">
        <v>2.9616110026628353E-2</v>
      </c>
      <c r="H27" s="591">
        <f t="shared" si="5"/>
        <v>250.31</v>
      </c>
      <c r="J27" s="591">
        <f t="shared" si="6"/>
        <v>253.89</v>
      </c>
      <c r="L27" s="591">
        <f t="shared" si="2"/>
        <v>3.5799999999999841</v>
      </c>
      <c r="N27" s="592">
        <f t="shared" si="3"/>
        <v>1.4302265191162894E-2</v>
      </c>
      <c r="P27" s="539" t="s">
        <v>158</v>
      </c>
      <c r="Q27" s="537">
        <f>+'Res Bill RY#1'!S27</f>
        <v>1.3519999999999999E-3</v>
      </c>
      <c r="R27" s="387" t="s">
        <v>20</v>
      </c>
      <c r="S27" s="537">
        <f t="shared" si="8"/>
        <v>1.3519999999999999E-3</v>
      </c>
    </row>
    <row r="28" spans="2:21">
      <c r="B28" s="525">
        <v>2500</v>
      </c>
      <c r="D28" s="580">
        <v>3.2286911246338222E-2</v>
      </c>
      <c r="E28" s="580">
        <v>5.0830375885550137E-2</v>
      </c>
      <c r="F28" s="580">
        <v>1.3726992113032155E-2</v>
      </c>
      <c r="H28" s="591">
        <f t="shared" si="5"/>
        <v>313.92</v>
      </c>
      <c r="J28" s="591">
        <f t="shared" si="6"/>
        <v>318.39999999999998</v>
      </c>
      <c r="L28" s="591">
        <f t="shared" si="2"/>
        <v>4.4799999999999613</v>
      </c>
      <c r="N28" s="592">
        <f t="shared" si="3"/>
        <v>1.4271151885830662E-2</v>
      </c>
      <c r="P28" s="423" t="s">
        <v>180</v>
      </c>
      <c r="Q28" s="537">
        <f>+'Res Bill RY#1'!S28</f>
        <v>-2.0999999999999999E-5</v>
      </c>
      <c r="S28" s="537">
        <f t="shared" si="8"/>
        <v>-2.0999999999999999E-5</v>
      </c>
    </row>
    <row r="29" spans="2:21">
      <c r="B29" s="525">
        <v>3000</v>
      </c>
      <c r="D29" s="580">
        <v>1.5207222179713211E-2</v>
      </c>
      <c r="E29" s="580">
        <v>2.5348850443256552E-2</v>
      </c>
      <c r="F29" s="580">
        <v>5.0565947692674789E-3</v>
      </c>
      <c r="H29" s="591">
        <f t="shared" si="5"/>
        <v>377.54</v>
      </c>
      <c r="J29" s="591">
        <f t="shared" si="6"/>
        <v>382.91</v>
      </c>
      <c r="L29" s="591">
        <f t="shared" si="2"/>
        <v>5.3700000000000045</v>
      </c>
      <c r="N29" s="592">
        <f t="shared" si="3"/>
        <v>1.4223658420299847E-2</v>
      </c>
      <c r="P29" s="539" t="s">
        <v>165</v>
      </c>
      <c r="Q29" s="537">
        <f>+'Res Bill RY#1'!S29</f>
        <v>3.0720000000000001E-3</v>
      </c>
      <c r="S29" s="537">
        <f t="shared" si="8"/>
        <v>3.0720000000000001E-3</v>
      </c>
    </row>
    <row r="30" spans="2:21">
      <c r="B30" s="525">
        <v>4000</v>
      </c>
      <c r="D30" s="580">
        <v>1.1190080960504547E-2</v>
      </c>
      <c r="E30" s="580">
        <v>1.9212829878473187E-2</v>
      </c>
      <c r="F30" s="580">
        <v>3.1602130775928374E-3</v>
      </c>
      <c r="H30" s="591">
        <f t="shared" si="5"/>
        <v>504.78</v>
      </c>
      <c r="J30" s="591">
        <f t="shared" si="6"/>
        <v>511.94</v>
      </c>
      <c r="L30" s="591">
        <f t="shared" si="2"/>
        <v>7.160000000000025</v>
      </c>
      <c r="N30" s="592">
        <f t="shared" si="3"/>
        <v>1.4184397163120617E-2</v>
      </c>
      <c r="P30" s="387" t="str">
        <f>'Res Bill RY#1'!P30</f>
        <v>Schedule 141A -  Sch 139 Energy Charge Credit Recovery</v>
      </c>
      <c r="Q30" s="537">
        <f>+'Res Bill RY#1'!S30</f>
        <v>1.828E-3</v>
      </c>
      <c r="S30" s="540">
        <f>+'Sch 141A'!P7</f>
        <v>1.848E-3</v>
      </c>
    </row>
    <row r="31" spans="2:21">
      <c r="B31" s="525">
        <v>5000</v>
      </c>
      <c r="D31" s="580">
        <v>3.0145805027948242E-3</v>
      </c>
      <c r="E31" s="580">
        <v>5.1053720059556331E-3</v>
      </c>
      <c r="F31" s="580">
        <v>9.2193374134705449E-4</v>
      </c>
      <c r="H31" s="591">
        <f t="shared" si="5"/>
        <v>632.01</v>
      </c>
      <c r="J31" s="591">
        <f t="shared" si="6"/>
        <v>640.96</v>
      </c>
      <c r="L31" s="591">
        <f t="shared" si="2"/>
        <v>8.9500000000000455</v>
      </c>
      <c r="N31" s="592">
        <f t="shared" si="3"/>
        <v>1.4161168335944123E-2</v>
      </c>
      <c r="P31" s="387" t="s">
        <v>890</v>
      </c>
      <c r="Q31" s="537">
        <f>+'Res Bill RY#1'!S31</f>
        <v>2.6689999999999999E-3</v>
      </c>
      <c r="S31" s="540">
        <f>+'Sch 141C'!P7</f>
        <v>2.8430764798698877E-3</v>
      </c>
    </row>
    <row r="32" spans="2:21">
      <c r="B32" s="525" t="s">
        <v>178</v>
      </c>
      <c r="D32" s="580">
        <v>2.4318678560908301E-3</v>
      </c>
      <c r="E32" s="580">
        <v>3.4799843833441995E-3</v>
      </c>
      <c r="F32" s="580">
        <v>1.3828212854209133E-3</v>
      </c>
      <c r="H32" s="591"/>
      <c r="J32" s="591"/>
      <c r="L32" s="591"/>
      <c r="N32" s="592"/>
      <c r="P32" s="387" t="s">
        <v>501</v>
      </c>
      <c r="Q32" s="537">
        <f>+'Res Bill RY#1'!S32</f>
        <v>1.2668E-2</v>
      </c>
      <c r="S32" s="540">
        <f>+'Sch 141N'!S7</f>
        <v>8.5280000000000009E-3</v>
      </c>
    </row>
    <row r="33" spans="1:19">
      <c r="B33" s="593"/>
      <c r="C33" s="541"/>
      <c r="D33" s="594"/>
      <c r="E33" s="594"/>
      <c r="F33" s="594"/>
      <c r="G33" s="541"/>
      <c r="H33" s="594"/>
      <c r="I33" s="541"/>
      <c r="J33" s="594"/>
      <c r="K33" s="541"/>
      <c r="L33" s="541"/>
      <c r="M33" s="541"/>
      <c r="N33" s="595"/>
      <c r="P33" s="391" t="s">
        <v>502</v>
      </c>
      <c r="Q33" s="537">
        <f>+'Res Bill RY#1'!S33</f>
        <v>2.3679999999999999E-3</v>
      </c>
      <c r="S33" s="540">
        <f>+'Sch 141R'!S7</f>
        <v>8.1049999999999994E-3</v>
      </c>
    </row>
    <row r="34" spans="1:19">
      <c r="P34" s="539" t="s">
        <v>503</v>
      </c>
      <c r="Q34" s="537">
        <f>+'Res Bill RY#1'!S34</f>
        <v>0</v>
      </c>
      <c r="S34" s="537">
        <f t="shared" ref="S34:S38" si="9">+Q34</f>
        <v>0</v>
      </c>
    </row>
    <row r="35" spans="1:19">
      <c r="A35" s="429" t="s">
        <v>177</v>
      </c>
      <c r="C35" s="429"/>
      <c r="D35" s="429"/>
      <c r="E35" s="429"/>
      <c r="F35" s="429"/>
      <c r="G35" s="429"/>
      <c r="H35" s="429"/>
      <c r="I35" s="429"/>
      <c r="J35" s="429"/>
      <c r="K35" s="429"/>
      <c r="L35" s="429"/>
      <c r="M35" s="429"/>
      <c r="N35" s="429"/>
      <c r="P35" s="539" t="s">
        <v>504</v>
      </c>
      <c r="Q35" s="537">
        <f>+'Res Bill RY#1'!S35</f>
        <v>-8.8400000000000002E-4</v>
      </c>
      <c r="S35" s="537">
        <f t="shared" si="9"/>
        <v>-8.8400000000000002E-4</v>
      </c>
    </row>
    <row r="36" spans="1:19">
      <c r="A36" s="596" t="s">
        <v>176</v>
      </c>
      <c r="C36" s="429"/>
      <c r="D36" s="429"/>
      <c r="E36" s="429"/>
      <c r="F36" s="429"/>
      <c r="G36" s="429"/>
      <c r="H36" s="429"/>
      <c r="I36" s="429"/>
      <c r="J36" s="429"/>
      <c r="K36" s="429"/>
      <c r="L36" s="429"/>
      <c r="M36" s="429"/>
      <c r="N36" s="429"/>
      <c r="P36" s="539" t="s">
        <v>168</v>
      </c>
      <c r="Q36" s="537">
        <f>+'Res Bill RY#1'!S36</f>
        <v>-4.17E-4</v>
      </c>
      <c r="S36" s="537">
        <f t="shared" si="9"/>
        <v>-4.17E-4</v>
      </c>
    </row>
    <row r="37" spans="1:19">
      <c r="A37" s="729" t="s">
        <v>891</v>
      </c>
      <c r="C37" s="598"/>
      <c r="D37" s="598"/>
      <c r="E37" s="598"/>
      <c r="F37" s="598"/>
      <c r="G37" s="598"/>
      <c r="H37" s="598"/>
      <c r="I37" s="598"/>
      <c r="J37" s="598"/>
      <c r="K37" s="598"/>
      <c r="L37" s="598"/>
      <c r="M37" s="598"/>
      <c r="N37" s="598"/>
      <c r="P37" s="539" t="s">
        <v>475</v>
      </c>
      <c r="Q37" s="537">
        <f>+'Res Bill RY#1'!S37</f>
        <v>0</v>
      </c>
      <c r="S37" s="537">
        <f t="shared" si="9"/>
        <v>0</v>
      </c>
    </row>
    <row r="38" spans="1:19" ht="11.4">
      <c r="A38" s="598" t="s">
        <v>848</v>
      </c>
      <c r="C38" s="598"/>
      <c r="D38" s="598"/>
      <c r="E38" s="598"/>
      <c r="F38" s="598"/>
      <c r="G38" s="598"/>
      <c r="H38" s="598"/>
      <c r="I38" s="598"/>
      <c r="J38" s="598"/>
      <c r="K38" s="598"/>
      <c r="L38" s="598"/>
      <c r="M38" s="598"/>
      <c r="N38" s="598"/>
      <c r="P38" s="539" t="s">
        <v>179</v>
      </c>
      <c r="Q38" s="537">
        <f>+'Res Bill RY#1'!S38</f>
        <v>-6.689136E-3</v>
      </c>
      <c r="S38" s="537">
        <f t="shared" si="9"/>
        <v>-6.689136E-3</v>
      </c>
    </row>
    <row r="39" spans="1:19" ht="11.4">
      <c r="A39" s="597" t="s">
        <v>849</v>
      </c>
      <c r="C39" s="598"/>
      <c r="D39" s="598"/>
      <c r="E39" s="598"/>
      <c r="F39" s="598"/>
      <c r="G39" s="598"/>
      <c r="H39" s="598"/>
      <c r="I39" s="598"/>
      <c r="J39" s="598"/>
      <c r="K39" s="598"/>
      <c r="L39" s="598"/>
      <c r="M39" s="598"/>
      <c r="N39" s="598"/>
    </row>
    <row r="40" spans="1:19">
      <c r="P40" s="542" t="s">
        <v>285</v>
      </c>
      <c r="Q40" s="667">
        <f>+'Rate Impacts_RY#1'!H9</f>
        <v>-1.8300171733060557E-2</v>
      </c>
    </row>
    <row r="41" spans="1:19">
      <c r="B41" s="397"/>
      <c r="P41" s="542"/>
      <c r="Q41" s="599"/>
    </row>
  </sheetData>
  <mergeCells count="6">
    <mergeCell ref="L7:N7"/>
    <mergeCell ref="A1:N1"/>
    <mergeCell ref="A2:N2"/>
    <mergeCell ref="A3:N3"/>
    <mergeCell ref="A4:N4"/>
    <mergeCell ref="H6:N6"/>
  </mergeCells>
  <printOptions horizontalCentered="1"/>
  <pageMargins left="0.7" right="0.7" top="0.75" bottom="0.71" header="0.3" footer="0.3"/>
  <pageSetup scale="70" orientation="landscape" r:id="rId1"/>
  <headerFooter alignWithMargins="0">
    <oddFooter>&amp;L&amp;"Times New Roman,Regular"&amp;A&amp;R&amp;"Times New Roman,Regular"Exhibit No.___(BDJ-7)
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73087081EB85A46BBCECD7F8E5C5160" ma:contentTypeVersion="24" ma:contentTypeDescription="" ma:contentTypeScope="" ma:versionID="d3b71e265778342d20145ae57e19161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2023-04-28T07:00:00+00:00</OpenedDate>
    <SignificantOrder xmlns="dc463f71-b30c-4ab2-9473-d307f9d35888">false</SignificantOrder>
    <Date1 xmlns="dc463f71-b30c-4ab2-9473-d307f9d35888">2023-04-28T07:00:00+00:00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BFA6BFE-7118-4A7E-84AF-1A1C84B0DB1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F18031CD-2D07-486D-A001-92442B63869F}"/>
</file>

<file path=customXml/itemProps3.xml><?xml version="1.0" encoding="utf-8"?>
<ds:datastoreItem xmlns:ds="http://schemas.openxmlformats.org/officeDocument/2006/customXml" ds:itemID="{3A546539-609E-4FA2-BA01-2765DF0413AF}"/>
</file>

<file path=customXml/itemProps4.xml><?xml version="1.0" encoding="utf-8"?>
<ds:datastoreItem xmlns:ds="http://schemas.openxmlformats.org/officeDocument/2006/customXml" ds:itemID="{CF1D110B-63A4-4DFE-A391-73B7D985DA09}"/>
</file>

<file path=customXml/itemProps5.xml><?xml version="1.0" encoding="utf-8"?>
<ds:datastoreItem xmlns:ds="http://schemas.openxmlformats.org/officeDocument/2006/customXml" ds:itemID="{A2F3EF3E-742B-4BB7-90CB-722E725FAF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63</vt:i4>
      </vt:variant>
      <vt:variant>
        <vt:lpstr>Named Ranges</vt:lpstr>
      </vt:variant>
      <vt:variant>
        <vt:i4>54</vt:i4>
      </vt:variant>
    </vt:vector>
  </HeadingPairs>
  <TitlesOfParts>
    <vt:vector size="117" baseType="lpstr">
      <vt:lpstr>Table of Contents</vt:lpstr>
      <vt:lpstr>Overall Rate Impacts --&gt;</vt:lpstr>
      <vt:lpstr>Rate Impacts_RY#1</vt:lpstr>
      <vt:lpstr>Rate Impacts_RY#2</vt:lpstr>
      <vt:lpstr>Rate Impacts_RY#3</vt:lpstr>
      <vt:lpstr>Residential Bill Impacts--&gt;</vt:lpstr>
      <vt:lpstr>Res Bill Summary</vt:lpstr>
      <vt:lpstr>Res Bill RY#1</vt:lpstr>
      <vt:lpstr>Res Bill RY#2</vt:lpstr>
      <vt:lpstr>Res Bill RY#3</vt:lpstr>
      <vt:lpstr>Typical Res Bill Impacts--&gt;</vt:lpstr>
      <vt:lpstr>Typical Res Bill RY#1</vt:lpstr>
      <vt:lpstr>Typical Res Bill RY#2</vt:lpstr>
      <vt:lpstr>Typical Res Bill RY#3</vt:lpstr>
      <vt:lpstr>OTHER BILL IMPACTS--&gt;</vt:lpstr>
      <vt:lpstr>Schedule 24 Impacts</vt:lpstr>
      <vt:lpstr>Schedule 25 Impacts</vt:lpstr>
      <vt:lpstr>Schedule 26 Impacts</vt:lpstr>
      <vt:lpstr>Schedule 29 Impacts</vt:lpstr>
      <vt:lpstr>Schedule 31 Impacts</vt:lpstr>
      <vt:lpstr>Schedule 46 Impacts</vt:lpstr>
      <vt:lpstr>Schedule 49 Impacts</vt:lpstr>
      <vt:lpstr>Workpapers --&gt;</vt:lpstr>
      <vt:lpstr>Avg Per kWh Impacts===&gt;</vt:lpstr>
      <vt:lpstr>Avg Per kWh RY#1</vt:lpstr>
      <vt:lpstr>Avg Per kWh RY#2</vt:lpstr>
      <vt:lpstr>Avg Per kWh RY#3</vt:lpstr>
      <vt:lpstr>Revenue Calculations --&gt;</vt:lpstr>
      <vt:lpstr>Revenue By Sch TY</vt:lpstr>
      <vt:lpstr>Revenue by Sch RY#1</vt:lpstr>
      <vt:lpstr>Revenue by Sch RY#2</vt:lpstr>
      <vt:lpstr>Revenue by Sch RY#3</vt:lpstr>
      <vt:lpstr>Revenue &amp; Rider Impacts--&gt;</vt:lpstr>
      <vt:lpstr>Sch 95 PCORC</vt:lpstr>
      <vt:lpstr>Sch 95 Imbalance</vt:lpstr>
      <vt:lpstr>Sch 95a</vt:lpstr>
      <vt:lpstr>Sch 120</vt:lpstr>
      <vt:lpstr>Sch 129</vt:lpstr>
      <vt:lpstr>Sch 137</vt:lpstr>
      <vt:lpstr>Sch 139</vt:lpstr>
      <vt:lpstr>Sch 140</vt:lpstr>
      <vt:lpstr>Sch 141</vt:lpstr>
      <vt:lpstr>Sch 141A</vt:lpstr>
      <vt:lpstr>Sch 141C</vt:lpstr>
      <vt:lpstr>Sch 141N</vt:lpstr>
      <vt:lpstr>Sch 141R</vt:lpstr>
      <vt:lpstr>Sch 141X</vt:lpstr>
      <vt:lpstr>Sch 141Z</vt:lpstr>
      <vt:lpstr>Sch 142</vt:lpstr>
      <vt:lpstr>Sch 194</vt:lpstr>
      <vt:lpstr>Final Rider-Tracker Filings --&gt;</vt:lpstr>
      <vt:lpstr>UE-200890 Sch 95 PCORC</vt:lpstr>
      <vt:lpstr>UE-200893 Sch 95 Imb</vt:lpstr>
      <vt:lpstr>UE-210821 Sch 95A</vt:lpstr>
      <vt:lpstr>UE-210140 Sch 120</vt:lpstr>
      <vt:lpstr>UE-210674 Sch 129</vt:lpstr>
      <vt:lpstr>UE-210924 Sch 137</vt:lpstr>
      <vt:lpstr>UE-210217 Sch 140</vt:lpstr>
      <vt:lpstr>UE-190529 (PLR) 141x</vt:lpstr>
      <vt:lpstr>UE-190529 Sch 141Z</vt:lpstr>
      <vt:lpstr>UE-210214 Sch 142</vt:lpstr>
      <vt:lpstr>UE-200965 Sch 142 Supplemental</vt:lpstr>
      <vt:lpstr>UE-210757 Sch 194</vt:lpstr>
      <vt:lpstr>'Avg Per kWh RY#1'!Print_Area</vt:lpstr>
      <vt:lpstr>'Avg Per kWh RY#2'!Print_Area</vt:lpstr>
      <vt:lpstr>'Avg Per kWh RY#3'!Print_Area</vt:lpstr>
      <vt:lpstr>'Rate Impacts_RY#1'!Print_Area</vt:lpstr>
      <vt:lpstr>'Rate Impacts_RY#2'!Print_Area</vt:lpstr>
      <vt:lpstr>'Rate Impacts_RY#3'!Print_Area</vt:lpstr>
      <vt:lpstr>'Res Bill RY#1'!Print_Area</vt:lpstr>
      <vt:lpstr>'Res Bill RY#2'!Print_Area</vt:lpstr>
      <vt:lpstr>'Res Bill RY#3'!Print_Area</vt:lpstr>
      <vt:lpstr>'Res Bill Summary'!Print_Area</vt:lpstr>
      <vt:lpstr>'Revenue by Sch RY#1'!Print_Area</vt:lpstr>
      <vt:lpstr>'Revenue by Sch RY#2'!Print_Area</vt:lpstr>
      <vt:lpstr>'Revenue by Sch RY#3'!Print_Area</vt:lpstr>
      <vt:lpstr>'Revenue By Sch TY'!Print_Area</vt:lpstr>
      <vt:lpstr>'Sch 120'!Print_Area</vt:lpstr>
      <vt:lpstr>'Sch 129'!Print_Area</vt:lpstr>
      <vt:lpstr>'Sch 137'!Print_Area</vt:lpstr>
      <vt:lpstr>'Sch 139'!Print_Area</vt:lpstr>
      <vt:lpstr>'Sch 140'!Print_Area</vt:lpstr>
      <vt:lpstr>'Sch 141'!Print_Area</vt:lpstr>
      <vt:lpstr>'Sch 141A'!Print_Area</vt:lpstr>
      <vt:lpstr>'Sch 141C'!Print_Area</vt:lpstr>
      <vt:lpstr>'Sch 141N'!Print_Area</vt:lpstr>
      <vt:lpstr>'Sch 141R'!Print_Area</vt:lpstr>
      <vt:lpstr>'Sch 141X'!Print_Area</vt:lpstr>
      <vt:lpstr>'Sch 141Z'!Print_Area</vt:lpstr>
      <vt:lpstr>'Sch 142'!Print_Area</vt:lpstr>
      <vt:lpstr>'Sch 194'!Print_Area</vt:lpstr>
      <vt:lpstr>'Sch 95 Imbalance'!Print_Area</vt:lpstr>
      <vt:lpstr>'Sch 95 PCORC'!Print_Area</vt:lpstr>
      <vt:lpstr>'Sch 95a'!Print_Area</vt:lpstr>
      <vt:lpstr>'Schedule 24 Impacts'!Print_Area</vt:lpstr>
      <vt:lpstr>'Schedule 25 Impacts'!Print_Area</vt:lpstr>
      <vt:lpstr>'Schedule 26 Impacts'!Print_Area</vt:lpstr>
      <vt:lpstr>'Schedule 29 Impacts'!Print_Area</vt:lpstr>
      <vt:lpstr>'Schedule 31 Impacts'!Print_Area</vt:lpstr>
      <vt:lpstr>'Schedule 46 Impacts'!Print_Area</vt:lpstr>
      <vt:lpstr>'Schedule 49 Impacts'!Print_Area</vt:lpstr>
      <vt:lpstr>'Typical Res Bill RY#1'!Print_Area</vt:lpstr>
      <vt:lpstr>'Typical Res Bill RY#2'!Print_Area</vt:lpstr>
      <vt:lpstr>'Typical Res Bill RY#3'!Print_Area</vt:lpstr>
      <vt:lpstr>'UE-210140 Sch 120'!Print_Area</vt:lpstr>
      <vt:lpstr>'UE-210217 Sch 140'!Print_Area</vt:lpstr>
      <vt:lpstr>'UE-210674 Sch 129'!Print_Area</vt:lpstr>
      <vt:lpstr>'UE-210757 Sch 194'!Print_Area</vt:lpstr>
      <vt:lpstr>'UE-210821 Sch 95A'!Print_Area</vt:lpstr>
      <vt:lpstr>'UE-210924 Sch 137'!Print_Area</vt:lpstr>
      <vt:lpstr>'Rate Impacts_RY#1'!Print_Titles</vt:lpstr>
      <vt:lpstr>'Rate Impacts_RY#2'!Print_Titles</vt:lpstr>
      <vt:lpstr>'Rate Impacts_RY#3'!Print_Titles</vt:lpstr>
      <vt:lpstr>'Revenue by Sch RY#1'!Print_Titles</vt:lpstr>
      <vt:lpstr>'Revenue by Sch RY#2'!Print_Titles</vt:lpstr>
      <vt:lpstr>'Revenue by Sch RY#3'!Print_Titles</vt:lpstr>
      <vt:lpstr>'Revenue By Sch TY'!Print_Titles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Regan, Jared</cp:lastModifiedBy>
  <cp:lastPrinted>2022-01-21T06:52:12Z</cp:lastPrinted>
  <dcterms:created xsi:type="dcterms:W3CDTF">2016-12-27T22:31:24Z</dcterms:created>
  <dcterms:modified xsi:type="dcterms:W3CDTF">2023-04-28T02:18:24Z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0x0101006E56B4D1795A2E4DB2F0B01679ED314A00173087081EB85A46BBCECD7F8E5C5160</vt:lpwstr>
  </property>
  <property fmtid="{D5CDD505-2E9C-101B-9397-08002B2CF9AE}" pid="3" name="_docset_NoMedatataSyncRequired">
    <vt:lpwstr>False</vt:lpwstr>
  </property>
</Properties>
</file>