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customProperty3.bin" ContentType="application/vnd.openxmlformats-officedocument.spreadsheetml.customProperty"/>
  <Override PartName="/docProps/app.xml" ContentType="application/vnd.openxmlformats-officedocument.extended-properties+xml"/>
  <Override PartName="/docProps/core.xml" ContentType="application/vnd.openxmlformats-package.core-properties+xml"/>
  <Override PartName="/xl/customProperty1.bin" ContentType="application/vnd.openxmlformats-officedocument.spreadsheetml.customProperty"/>
  <Override PartName="/customXml/itemProps1.xml" ContentType="application/vnd.openxmlformats-officedocument.customXmlProperties+xml"/>
  <Override PartName="/xl/customProperty5.bin" ContentType="application/vnd.openxmlformats-officedocument.spreadsheetml.customProperty"/>
  <Override PartName="/xl/customProperty4.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xl/customProperty9.bin" ContentType="application/vnd.openxmlformats-officedocument.spreadsheetml.customProperty"/>
  <Override PartName="/xl/customProperty8.bin" ContentType="application/vnd.openxmlformats-officedocument.spreadsheetml.customProperty"/>
  <Override PartName="/xl/customProperty2.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tdpt2\RPL\GrpRates\Public\RASANEN\#  Sch 62 Leases\Schedule 62 Post GRC Update\2022 GRC Update\Filed on 1-31-2023\"/>
    </mc:Choice>
  </mc:AlternateContent>
  <bookViews>
    <workbookView xWindow="480" yWindow="465" windowWidth="17490" windowHeight="10890" tabRatio="856" activeTab="1"/>
  </bookViews>
  <sheets>
    <sheet name="FCR Read Me" sheetId="1" r:id="rId1"/>
    <sheet name="Sch 62 FCR Table" sheetId="5" r:id="rId2"/>
    <sheet name="Workpapers -&gt;" sheetId="9" r:id="rId3"/>
    <sheet name="FCR Rates Feeder" sheetId="7" r:id="rId4"/>
    <sheet name="FCR Rates Sub" sheetId="2" r:id="rId5"/>
    <sheet name="Lvl FCR Sub Equip" sheetId="3" r:id="rId6"/>
    <sheet name="Lvl FCR Feeder" sheetId="6" r:id="rId7"/>
    <sheet name="LvlFCR Land" sheetId="4" r:id="rId8"/>
    <sheet name="Sub &amp; Feeder Depr Life" sheetId="8" r:id="rId9"/>
  </sheets>
  <definedNames>
    <definedName name="_Regression_Int" localSheetId="6" hidden="1">1</definedName>
    <definedName name="_Regression_Int" localSheetId="5" hidden="1">1</definedName>
    <definedName name="_xlnm.Print_Area" localSheetId="3">'FCR Rates Feeder'!$A$1:$D$40</definedName>
    <definedName name="_xlnm.Print_Area" localSheetId="4">'FCR Rates Sub'!$A$1:$H$55</definedName>
    <definedName name="_xlnm.Print_Area" localSheetId="0">'FCR Read Me'!$A$1:$C$22</definedName>
    <definedName name="_xlnm.Print_Area" localSheetId="6">'Lvl FCR Feeder'!$A$1:$M$56</definedName>
    <definedName name="_xlnm.Print_Area" localSheetId="5">'Lvl FCR Sub Equip'!$A$1:$M$70</definedName>
    <definedName name="_xlnm.Print_Area" localSheetId="7">'LvlFCR Land'!$A$1:$R$68</definedName>
    <definedName name="_xlnm.Print_Area" localSheetId="1">'Sch 62 FCR Table'!$A$1:$E$57</definedName>
    <definedName name="_xlnm.Print_Area" localSheetId="8">'Sub &amp; Feeder Depr Life'!$P$2:$AC$23</definedName>
  </definedNames>
  <calcPr calcId="162913"/>
</workbook>
</file>

<file path=xl/calcChain.xml><?xml version="1.0" encoding="utf-8"?>
<calcChain xmlns="http://schemas.openxmlformats.org/spreadsheetml/2006/main">
  <c r="C66" i="4" l="1"/>
  <c r="C54" i="6" l="1"/>
  <c r="A52" i="6" l="1"/>
  <c r="I66" i="4"/>
  <c r="A64" i="4"/>
  <c r="AA12" i="8" l="1"/>
  <c r="C68" i="3" l="1"/>
  <c r="E12" i="4" l="1"/>
  <c r="E11" i="4"/>
  <c r="E64" i="4" s="1"/>
  <c r="S13" i="3"/>
  <c r="S14" i="3" s="1"/>
  <c r="S15" i="3" l="1"/>
  <c r="S16" i="3" s="1"/>
  <c r="H13" i="3" s="1"/>
  <c r="H14" i="3"/>
  <c r="B15" i="4" l="1"/>
  <c r="B16" i="4" s="1"/>
  <c r="AA17" i="8" l="1"/>
  <c r="AB17" i="8" s="1"/>
  <c r="AA16" i="8"/>
  <c r="AB16" i="8" s="1"/>
  <c r="AA15" i="8"/>
  <c r="AB15" i="8" s="1"/>
  <c r="AA14" i="8"/>
  <c r="AB14" i="8" s="1"/>
  <c r="AB18" i="8" s="1"/>
  <c r="AB12" i="8"/>
  <c r="H12" i="3" l="1"/>
  <c r="I10" i="4"/>
  <c r="L29" i="8"/>
  <c r="N29" i="8"/>
  <c r="P29" i="8"/>
  <c r="R29" i="8"/>
  <c r="T29" i="8" l="1"/>
  <c r="L6" i="4"/>
  <c r="L5" i="4"/>
  <c r="L3" i="4"/>
  <c r="L2" i="4"/>
  <c r="L4" i="4" l="1"/>
  <c r="L8" i="4" s="1"/>
  <c r="I68" i="4" l="1"/>
  <c r="H12" i="6"/>
  <c r="I52" i="6" s="1"/>
  <c r="I51" i="6" l="1"/>
  <c r="H14" i="6" l="1"/>
  <c r="I12" i="4" l="1"/>
  <c r="F64" i="4" s="1"/>
  <c r="H11" i="6"/>
  <c r="H13" i="6"/>
  <c r="I11" i="4" l="1"/>
  <c r="I49" i="6"/>
  <c r="I47" i="6"/>
  <c r="I45" i="6"/>
  <c r="I43" i="6"/>
  <c r="I41" i="6"/>
  <c r="I39" i="6"/>
  <c r="I37" i="6"/>
  <c r="I35" i="6"/>
  <c r="I33" i="6"/>
  <c r="I31" i="6"/>
  <c r="I29" i="6"/>
  <c r="I27" i="6"/>
  <c r="I25" i="6"/>
  <c r="I23" i="6"/>
  <c r="I21" i="6"/>
  <c r="I19" i="6"/>
  <c r="I17" i="6"/>
  <c r="I50" i="6"/>
  <c r="I48" i="6"/>
  <c r="I46" i="6"/>
  <c r="I44" i="6"/>
  <c r="I42" i="6"/>
  <c r="I40" i="6"/>
  <c r="I38" i="6"/>
  <c r="I36" i="6"/>
  <c r="I34" i="6"/>
  <c r="I32" i="6"/>
  <c r="I30" i="6"/>
  <c r="I28" i="6"/>
  <c r="I26" i="6"/>
  <c r="I24" i="6"/>
  <c r="I22" i="6"/>
  <c r="I20" i="6"/>
  <c r="I18" i="6"/>
  <c r="I54" i="6" l="1"/>
  <c r="I17" i="3"/>
  <c r="A7" i="7"/>
  <c r="A18" i="6"/>
  <c r="A19" i="6" s="1"/>
  <c r="D17" i="6"/>
  <c r="B17" i="6"/>
  <c r="J17" i="6" s="1"/>
  <c r="D13" i="6"/>
  <c r="E52" i="6" s="1"/>
  <c r="F52" i="6" s="1"/>
  <c r="D14" i="6"/>
  <c r="A8" i="7" l="1"/>
  <c r="A9" i="7" s="1"/>
  <c r="E51" i="6"/>
  <c r="F51" i="6" s="1"/>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E17" i="6"/>
  <c r="B18" i="6"/>
  <c r="J18"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E54" i="6" l="1"/>
  <c r="F17" i="6"/>
  <c r="F54" i="6" s="1"/>
  <c r="A10" i="7"/>
  <c r="B19" i="6"/>
  <c r="J19" i="6" s="1"/>
  <c r="A21" i="6"/>
  <c r="A11" i="7" l="1"/>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J7" i="6"/>
  <c r="K7" i="6"/>
  <c r="K6" i="6"/>
  <c r="J6" i="6"/>
  <c r="J4" i="6"/>
  <c r="K4" i="6"/>
  <c r="K3" i="6"/>
  <c r="J3" i="6" l="1"/>
  <c r="J5" i="6" s="1"/>
  <c r="J4" i="4"/>
  <c r="A27" i="7"/>
  <c r="D34" i="6"/>
  <c r="B36" i="6"/>
  <c r="J36" i="6" s="1"/>
  <c r="A38" i="6"/>
  <c r="A12" i="5"/>
  <c r="K4" i="3"/>
  <c r="K3" i="3"/>
  <c r="J4" i="3"/>
  <c r="J3" i="3"/>
  <c r="A28" i="7" l="1"/>
  <c r="A39" i="6"/>
  <c r="D35" i="6"/>
  <c r="B37" i="6"/>
  <c r="J37" i="6" s="1"/>
  <c r="A13" i="5"/>
  <c r="J5" i="3"/>
  <c r="L6" i="6"/>
  <c r="B17" i="4"/>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E30" i="4"/>
  <c r="F30" i="4" s="1"/>
  <c r="E32" i="4"/>
  <c r="F32" i="4" s="1"/>
  <c r="E34" i="4"/>
  <c r="F34" i="4" s="1"/>
  <c r="E36" i="4"/>
  <c r="F36" i="4" s="1"/>
  <c r="E38" i="4"/>
  <c r="F38" i="4" s="1"/>
  <c r="E40" i="4"/>
  <c r="F40" i="4" s="1"/>
  <c r="E42" i="4"/>
  <c r="F42" i="4" s="1"/>
  <c r="E44" i="4"/>
  <c r="F44" i="4" s="1"/>
  <c r="E46" i="4"/>
  <c r="F46" i="4" s="1"/>
  <c r="E48" i="4"/>
  <c r="F48" i="4" s="1"/>
  <c r="E50" i="4"/>
  <c r="F50" i="4" s="1"/>
  <c r="E52" i="4"/>
  <c r="F52" i="4" s="1"/>
  <c r="J6" i="3"/>
  <c r="K6" i="3"/>
  <c r="J7" i="3"/>
  <c r="K7" i="3"/>
  <c r="D14" i="3"/>
  <c r="D13" i="3"/>
  <c r="B17" i="3"/>
  <c r="D17" i="3"/>
  <c r="A18" i="3"/>
  <c r="E23"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E27" i="3" l="1"/>
  <c r="E55" i="3"/>
  <c r="E59" i="3"/>
  <c r="E63" i="3"/>
  <c r="E58" i="3"/>
  <c r="E64" i="3"/>
  <c r="E65" i="3"/>
  <c r="E52" i="3"/>
  <c r="E53" i="3"/>
  <c r="E61" i="3"/>
  <c r="E66" i="3"/>
  <c r="E54" i="3"/>
  <c r="E62" i="3"/>
  <c r="E57" i="3"/>
  <c r="E56" i="3"/>
  <c r="E60" i="3"/>
  <c r="E5" i="2"/>
  <c r="J17" i="3"/>
  <c r="E24" i="3"/>
  <c r="E35" i="3"/>
  <c r="E31" i="3"/>
  <c r="E60" i="4"/>
  <c r="F60" i="4" s="1"/>
  <c r="E61" i="4"/>
  <c r="F61" i="4" s="1"/>
  <c r="E62" i="4"/>
  <c r="F62" i="4" s="1"/>
  <c r="E59" i="4"/>
  <c r="F59" i="4" s="1"/>
  <c r="E63" i="4"/>
  <c r="F63" i="4" s="1"/>
  <c r="E33" i="3"/>
  <c r="E29" i="3"/>
  <c r="E25" i="3"/>
  <c r="E29" i="4"/>
  <c r="F29" i="4" s="1"/>
  <c r="E15" i="4"/>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38" i="3"/>
  <c r="E40" i="3"/>
  <c r="E42" i="3"/>
  <c r="E44" i="3"/>
  <c r="E46" i="3"/>
  <c r="E48" i="3"/>
  <c r="E50" i="3"/>
  <c r="E37" i="3"/>
  <c r="E39" i="3"/>
  <c r="E41" i="3"/>
  <c r="E43" i="3"/>
  <c r="E45" i="3"/>
  <c r="E47" i="3"/>
  <c r="E49" i="3"/>
  <c r="E51" i="3"/>
  <c r="E57" i="4"/>
  <c r="F57" i="4" s="1"/>
  <c r="E55" i="4"/>
  <c r="F55" i="4" s="1"/>
  <c r="E58" i="4"/>
  <c r="F58" i="4" s="1"/>
  <c r="E56" i="4"/>
  <c r="F56" i="4" s="1"/>
  <c r="E54" i="4"/>
  <c r="F54" i="4" s="1"/>
  <c r="L7" i="3"/>
  <c r="L7" i="6"/>
  <c r="H18" i="6" s="1"/>
  <c r="A29" i="7"/>
  <c r="D36" i="6"/>
  <c r="A40" i="6"/>
  <c r="B38" i="6"/>
  <c r="J38" i="6" s="1"/>
  <c r="A14" i="5"/>
  <c r="H15" i="4"/>
  <c r="L6" i="3"/>
  <c r="B19" i="4"/>
  <c r="B20" i="4" s="1"/>
  <c r="B21" i="4" s="1"/>
  <c r="B22" i="4" s="1"/>
  <c r="E17" i="3"/>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5" i="4" l="1"/>
  <c r="E66" i="4"/>
  <c r="E68" i="4"/>
  <c r="E68" i="3"/>
  <c r="F66" i="4"/>
  <c r="F68" i="4"/>
  <c r="F17" i="3"/>
  <c r="J15" i="4"/>
  <c r="K18" i="6"/>
  <c r="F19" i="3"/>
  <c r="A20" i="3"/>
  <c r="I20" i="3" s="1"/>
  <c r="F20" i="3" s="1"/>
  <c r="F18" i="3"/>
  <c r="H35" i="6"/>
  <c r="K35" i="6" s="1"/>
  <c r="D16" i="4"/>
  <c r="H17" i="3"/>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A30" i="7"/>
  <c r="B39" i="6"/>
  <c r="J39" i="6" s="1"/>
  <c r="A41" i="6"/>
  <c r="D37" i="6"/>
  <c r="H36" i="6"/>
  <c r="K36" i="6" s="1"/>
  <c r="A15" i="5"/>
  <c r="A21" i="3"/>
  <c r="I21" i="3" s="1"/>
  <c r="F21" i="3" s="1"/>
  <c r="B23" i="4"/>
  <c r="B18" i="3"/>
  <c r="E6" i="2" s="1"/>
  <c r="K17" i="6" l="1"/>
  <c r="K17" i="3"/>
  <c r="J18" i="3"/>
  <c r="A31" i="7"/>
  <c r="A42" i="6"/>
  <c r="B40" i="6"/>
  <c r="J40" i="6" s="1"/>
  <c r="D38" i="6"/>
  <c r="H37" i="6"/>
  <c r="K37" i="6" s="1"/>
  <c r="A16" i="5"/>
  <c r="B24" i="4"/>
  <c r="A22" i="3"/>
  <c r="I22" i="3" s="1"/>
  <c r="F22" i="3" s="1"/>
  <c r="B19" i="3"/>
  <c r="E7" i="2" s="1"/>
  <c r="H16" i="4"/>
  <c r="D17" i="4"/>
  <c r="D18" i="3"/>
  <c r="J19" i="3" l="1"/>
  <c r="A32" i="7"/>
  <c r="B41" i="6"/>
  <c r="J41" i="6" s="1"/>
  <c r="D39" i="6"/>
  <c r="H38" i="6"/>
  <c r="A43" i="6"/>
  <c r="A17" i="5"/>
  <c r="A23" i="3"/>
  <c r="I23" i="3" s="1"/>
  <c r="F23" i="3" s="1"/>
  <c r="B25" i="4"/>
  <c r="J16" i="4"/>
  <c r="B20" i="3"/>
  <c r="E8" i="2" s="1"/>
  <c r="H18" i="3"/>
  <c r="D19" i="3"/>
  <c r="H17" i="4"/>
  <c r="J17" i="4" s="1"/>
  <c r="D18" i="4"/>
  <c r="K18" i="3" l="1"/>
  <c r="K38" i="6"/>
  <c r="J20" i="3"/>
  <c r="A33" i="7"/>
  <c r="A44" i="6"/>
  <c r="D40" i="6"/>
  <c r="H39" i="6"/>
  <c r="K39" i="6" s="1"/>
  <c r="B42" i="6"/>
  <c r="J42" i="6" s="1"/>
  <c r="A18" i="5"/>
  <c r="B26" i="4"/>
  <c r="A24" i="3"/>
  <c r="I24" i="3" s="1"/>
  <c r="F24" i="3" s="1"/>
  <c r="H18" i="4"/>
  <c r="D19" i="4"/>
  <c r="B21" i="3"/>
  <c r="E9" i="2" s="1"/>
  <c r="H19" i="3"/>
  <c r="K19" i="3" s="1"/>
  <c r="D20" i="3"/>
  <c r="J18" i="4" l="1"/>
  <c r="J21" i="3"/>
  <c r="A34" i="7"/>
  <c r="D41" i="6"/>
  <c r="H40" i="6"/>
  <c r="A45" i="6"/>
  <c r="B43" i="6"/>
  <c r="J43" i="6" s="1"/>
  <c r="A19" i="5"/>
  <c r="A25" i="3"/>
  <c r="I25" i="3" s="1"/>
  <c r="F25" i="3" s="1"/>
  <c r="B27" i="4"/>
  <c r="H20" i="3"/>
  <c r="K20" i="3" s="1"/>
  <c r="D21" i="3"/>
  <c r="H19" i="4"/>
  <c r="D20" i="4"/>
  <c r="B22" i="3"/>
  <c r="E10" i="2" s="1"/>
  <c r="K40" i="6" l="1"/>
  <c r="J22" i="3"/>
  <c r="A35" i="7"/>
  <c r="A46" i="6"/>
  <c r="D42" i="6"/>
  <c r="H41" i="6"/>
  <c r="K41" i="6" s="1"/>
  <c r="B44" i="6"/>
  <c r="J44" i="6" s="1"/>
  <c r="A20" i="5"/>
  <c r="B28" i="4"/>
  <c r="A26" i="3"/>
  <c r="I26" i="3" s="1"/>
  <c r="F26" i="3" s="1"/>
  <c r="J19" i="4"/>
  <c r="H21" i="3"/>
  <c r="K21" i="3" s="1"/>
  <c r="D22" i="3"/>
  <c r="B23" i="3"/>
  <c r="E11" i="2" s="1"/>
  <c r="H20" i="4"/>
  <c r="D21" i="4"/>
  <c r="J23" i="3" l="1"/>
  <c r="A36" i="7"/>
  <c r="D43" i="6"/>
  <c r="H42" i="6"/>
  <c r="K42" i="6" s="1"/>
  <c r="B45" i="6"/>
  <c r="J45" i="6" s="1"/>
  <c r="A47" i="6"/>
  <c r="A21" i="5"/>
  <c r="A27" i="3"/>
  <c r="I27" i="3" s="1"/>
  <c r="F27" i="3" s="1"/>
  <c r="B29" i="4"/>
  <c r="J20" i="4"/>
  <c r="B24" i="3"/>
  <c r="E12" i="2" s="1"/>
  <c r="H21" i="4"/>
  <c r="J21" i="4" s="1"/>
  <c r="D22" i="4"/>
  <c r="H22" i="3"/>
  <c r="K22" i="3" s="1"/>
  <c r="D23" i="3"/>
  <c r="J24" i="3" l="1"/>
  <c r="A37" i="7"/>
  <c r="A48" i="6"/>
  <c r="B46" i="6"/>
  <c r="J46" i="6" s="1"/>
  <c r="D44" i="6"/>
  <c r="D45" i="6" s="1"/>
  <c r="H43" i="6"/>
  <c r="K43" i="6" s="1"/>
  <c r="A22" i="5"/>
  <c r="B30" i="4"/>
  <c r="A28" i="3"/>
  <c r="I28" i="3" s="1"/>
  <c r="F28" i="3" s="1"/>
  <c r="H23" i="3"/>
  <c r="K23" i="3" s="1"/>
  <c r="D24" i="3"/>
  <c r="B25" i="3"/>
  <c r="E13" i="2" s="1"/>
  <c r="H22" i="4"/>
  <c r="D23" i="4"/>
  <c r="A38" i="7" l="1"/>
  <c r="J25" i="3"/>
  <c r="H44" i="6"/>
  <c r="K44" i="6" s="1"/>
  <c r="B47" i="6"/>
  <c r="J47" i="6" s="1"/>
  <c r="A49" i="6"/>
  <c r="A23" i="5"/>
  <c r="A29" i="3"/>
  <c r="I29" i="3" s="1"/>
  <c r="F29" i="3" s="1"/>
  <c r="B31" i="4"/>
  <c r="H23" i="4"/>
  <c r="D24" i="4"/>
  <c r="H24" i="3"/>
  <c r="K24" i="3" s="1"/>
  <c r="D25" i="3"/>
  <c r="J22" i="4"/>
  <c r="B26" i="3"/>
  <c r="E14" i="2" s="1"/>
  <c r="A39" i="7" l="1"/>
  <c r="J26" i="3"/>
  <c r="A50" i="6"/>
  <c r="A51" i="6" s="1"/>
  <c r="D46" i="6"/>
  <c r="H45" i="6"/>
  <c r="K45" i="6" s="1"/>
  <c r="B48" i="6"/>
  <c r="J48" i="6" s="1"/>
  <c r="A24" i="5"/>
  <c r="B32" i="4"/>
  <c r="A30" i="3"/>
  <c r="I30" i="3" s="1"/>
  <c r="F30" i="3" s="1"/>
  <c r="B27" i="3"/>
  <c r="E15" i="2" s="1"/>
  <c r="H24" i="4"/>
  <c r="J24" i="4" s="1"/>
  <c r="D25" i="4"/>
  <c r="H25" i="3"/>
  <c r="K25" i="3" s="1"/>
  <c r="D26" i="3"/>
  <c r="J23" i="4"/>
  <c r="A40" i="7" l="1"/>
  <c r="J27" i="3"/>
  <c r="D47" i="6"/>
  <c r="H46" i="6"/>
  <c r="K46" i="6" s="1"/>
  <c r="B49" i="6"/>
  <c r="J49" i="6" s="1"/>
  <c r="A25" i="5"/>
  <c r="A31" i="3"/>
  <c r="I31" i="3" s="1"/>
  <c r="F31" i="3" s="1"/>
  <c r="B33" i="4"/>
  <c r="H25" i="4"/>
  <c r="J25" i="4" s="1"/>
  <c r="D26" i="4"/>
  <c r="H26" i="3"/>
  <c r="K26" i="3" s="1"/>
  <c r="D27" i="3"/>
  <c r="B28" i="3"/>
  <c r="E16" i="2" s="1"/>
  <c r="J28" i="3" l="1"/>
  <c r="D48" i="6"/>
  <c r="H47" i="6"/>
  <c r="K47" i="6" s="1"/>
  <c r="B50" i="6"/>
  <c r="A26" i="5"/>
  <c r="B34" i="4"/>
  <c r="A32" i="3"/>
  <c r="I32" i="3" s="1"/>
  <c r="F32" i="3" s="1"/>
  <c r="H26" i="4"/>
  <c r="J26" i="4" s="1"/>
  <c r="D27" i="4"/>
  <c r="H27" i="3"/>
  <c r="K27" i="3" s="1"/>
  <c r="D28" i="3"/>
  <c r="B29" i="3"/>
  <c r="E17" i="2" s="1"/>
  <c r="J50" i="6" l="1"/>
  <c r="B51" i="6"/>
  <c r="B52" i="6" s="1"/>
  <c r="J52" i="6" s="1"/>
  <c r="J29" i="3"/>
  <c r="D49" i="6"/>
  <c r="H48" i="6"/>
  <c r="K48" i="6" s="1"/>
  <c r="A27" i="5"/>
  <c r="A33" i="3"/>
  <c r="I33" i="3" s="1"/>
  <c r="F33" i="3" s="1"/>
  <c r="B35" i="4"/>
  <c r="H27" i="4"/>
  <c r="J27" i="4" s="1"/>
  <c r="D28" i="4"/>
  <c r="H28" i="3"/>
  <c r="K28" i="3" s="1"/>
  <c r="D29" i="3"/>
  <c r="B30" i="3"/>
  <c r="E18" i="2" s="1"/>
  <c r="J51" i="6" l="1"/>
  <c r="J54" i="6" s="1"/>
  <c r="J30" i="3"/>
  <c r="D50" i="6"/>
  <c r="D51" i="6" s="1"/>
  <c r="D52" i="6" s="1"/>
  <c r="H49" i="6"/>
  <c r="K49" i="6" s="1"/>
  <c r="A28" i="5"/>
  <c r="B36" i="4"/>
  <c r="A34" i="3"/>
  <c r="I34" i="3" s="1"/>
  <c r="F34" i="3" s="1"/>
  <c r="H29" i="3"/>
  <c r="K29" i="3" s="1"/>
  <c r="D30" i="3"/>
  <c r="B31" i="3"/>
  <c r="E19" i="2" s="1"/>
  <c r="H28" i="4"/>
  <c r="J28" i="4" s="1"/>
  <c r="D29" i="4"/>
  <c r="H52" i="6" l="1"/>
  <c r="H51" i="6"/>
  <c r="J31" i="3"/>
  <c r="H50" i="6"/>
  <c r="K50" i="6" s="1"/>
  <c r="A29" i="5"/>
  <c r="A35" i="3"/>
  <c r="I35" i="3" s="1"/>
  <c r="F35" i="3" s="1"/>
  <c r="B37" i="4"/>
  <c r="H30" i="3"/>
  <c r="K30" i="3" s="1"/>
  <c r="D31" i="3"/>
  <c r="B32" i="3"/>
  <c r="E20" i="2" s="1"/>
  <c r="H29" i="4"/>
  <c r="J29" i="4" s="1"/>
  <c r="D30" i="4"/>
  <c r="K52" i="6" l="1"/>
  <c r="H54" i="6"/>
  <c r="K51" i="6"/>
  <c r="J32" i="3"/>
  <c r="A30" i="5"/>
  <c r="B38" i="4"/>
  <c r="A36" i="3"/>
  <c r="I36" i="3" s="1"/>
  <c r="F36" i="3" s="1"/>
  <c r="H31" i="3"/>
  <c r="K31" i="3" s="1"/>
  <c r="D32" i="3"/>
  <c r="H30" i="4"/>
  <c r="J30" i="4" s="1"/>
  <c r="D31" i="4"/>
  <c r="B33" i="3"/>
  <c r="E21" i="2" s="1"/>
  <c r="K54" i="6" l="1"/>
  <c r="J33" i="3"/>
  <c r="A31" i="5"/>
  <c r="A37" i="3"/>
  <c r="I37" i="3" s="1"/>
  <c r="F37" i="3" s="1"/>
  <c r="B39" i="4"/>
  <c r="B34" i="3"/>
  <c r="E22" i="2" s="1"/>
  <c r="H32" i="3"/>
  <c r="K32" i="3" s="1"/>
  <c r="D33" i="3"/>
  <c r="H31" i="4"/>
  <c r="J31" i="4" s="1"/>
  <c r="D32" i="4"/>
  <c r="J34" i="3" l="1"/>
  <c r="A32" i="5"/>
  <c r="B40" i="4"/>
  <c r="A38" i="3"/>
  <c r="I38" i="3" s="1"/>
  <c r="F38" i="3" s="1"/>
  <c r="H32" i="4"/>
  <c r="J32" i="4" s="1"/>
  <c r="D33" i="4"/>
  <c r="B35" i="3"/>
  <c r="E23" i="2" s="1"/>
  <c r="H33" i="3"/>
  <c r="K33" i="3" s="1"/>
  <c r="D34" i="3"/>
  <c r="J35" i="3" l="1"/>
  <c r="A33" i="5"/>
  <c r="B41" i="4"/>
  <c r="A39" i="3"/>
  <c r="I39" i="3" s="1"/>
  <c r="F39" i="3" s="1"/>
  <c r="H33" i="4"/>
  <c r="J33" i="4" s="1"/>
  <c r="D34" i="4"/>
  <c r="H34" i="3"/>
  <c r="K34" i="3" s="1"/>
  <c r="D35" i="3"/>
  <c r="B36" i="3"/>
  <c r="E24" i="2" s="1"/>
  <c r="J36" i="3" l="1"/>
  <c r="B37" i="3"/>
  <c r="E25" i="2" s="1"/>
  <c r="A34" i="5"/>
  <c r="B42" i="4"/>
  <c r="A40" i="3"/>
  <c r="I40" i="3" s="1"/>
  <c r="F40" i="3" s="1"/>
  <c r="H34" i="4"/>
  <c r="J34" i="4" s="1"/>
  <c r="D35" i="4"/>
  <c r="H35" i="3"/>
  <c r="K35" i="3" s="1"/>
  <c r="D36" i="3"/>
  <c r="J37" i="3" l="1"/>
  <c r="D37" i="3"/>
  <c r="H37" i="3" s="1"/>
  <c r="B38" i="3"/>
  <c r="E26" i="2" s="1"/>
  <c r="A35" i="5"/>
  <c r="A41" i="3"/>
  <c r="I41" i="3" s="1"/>
  <c r="F41" i="3" s="1"/>
  <c r="B43" i="4"/>
  <c r="H35" i="4"/>
  <c r="J35" i="4" s="1"/>
  <c r="D36" i="4"/>
  <c r="H36" i="3"/>
  <c r="K36" i="3" s="1"/>
  <c r="K37" i="3" l="1"/>
  <c r="B39" i="3"/>
  <c r="E27" i="2" s="1"/>
  <c r="J38" i="3"/>
  <c r="D38" i="3"/>
  <c r="A36" i="5"/>
  <c r="B44" i="4"/>
  <c r="A42" i="3"/>
  <c r="I42" i="3" s="1"/>
  <c r="F42" i="3" s="1"/>
  <c r="H36" i="4"/>
  <c r="J36" i="4" s="1"/>
  <c r="D37" i="4"/>
  <c r="B40" i="3" l="1"/>
  <c r="E28" i="2" s="1"/>
  <c r="J39" i="3"/>
  <c r="H38" i="3"/>
  <c r="K38" i="3" s="1"/>
  <c r="D39" i="3"/>
  <c r="D40" i="3" s="1"/>
  <c r="A37" i="5"/>
  <c r="A43" i="3"/>
  <c r="I43" i="3" s="1"/>
  <c r="F43" i="3" s="1"/>
  <c r="B45" i="4"/>
  <c r="H37" i="4"/>
  <c r="J37" i="4" s="1"/>
  <c r="D38" i="4"/>
  <c r="B41" i="3" l="1"/>
  <c r="E29" i="2" s="1"/>
  <c r="J40" i="3"/>
  <c r="H39" i="3"/>
  <c r="K39" i="3" s="1"/>
  <c r="A38" i="5"/>
  <c r="D41" i="3"/>
  <c r="H40" i="3"/>
  <c r="B46" i="4"/>
  <c r="A44" i="3"/>
  <c r="I44" i="3" s="1"/>
  <c r="F44" i="3" s="1"/>
  <c r="H38" i="4"/>
  <c r="J38" i="4" s="1"/>
  <c r="D39" i="4"/>
  <c r="B42" i="3" l="1"/>
  <c r="E30" i="2" s="1"/>
  <c r="J41" i="3"/>
  <c r="K40" i="3"/>
  <c r="A39" i="5"/>
  <c r="D42" i="3"/>
  <c r="H41" i="3"/>
  <c r="K41" i="3" s="1"/>
  <c r="A45" i="3"/>
  <c r="I45" i="3" s="1"/>
  <c r="F45" i="3" s="1"/>
  <c r="B47" i="4"/>
  <c r="H39" i="4"/>
  <c r="J39" i="4" s="1"/>
  <c r="D40" i="4"/>
  <c r="B43" i="3" l="1"/>
  <c r="E31" i="2" s="1"/>
  <c r="J42" i="3"/>
  <c r="A40" i="5"/>
  <c r="D43" i="3"/>
  <c r="H42" i="3"/>
  <c r="K42" i="3" s="1"/>
  <c r="B48" i="4"/>
  <c r="A46" i="3"/>
  <c r="I46" i="3" s="1"/>
  <c r="F46" i="3" s="1"/>
  <c r="H40" i="4"/>
  <c r="J40" i="4" s="1"/>
  <c r="D41" i="4"/>
  <c r="B44" i="3" l="1"/>
  <c r="E32" i="2" s="1"/>
  <c r="J43" i="3"/>
  <c r="A41" i="5"/>
  <c r="D44" i="3"/>
  <c r="H43" i="3"/>
  <c r="K43" i="3" s="1"/>
  <c r="A47" i="3"/>
  <c r="I47" i="3" s="1"/>
  <c r="F47" i="3" s="1"/>
  <c r="B49" i="4"/>
  <c r="H41" i="4"/>
  <c r="J41" i="4" s="1"/>
  <c r="D42" i="4"/>
  <c r="B45" i="3" l="1"/>
  <c r="E33" i="2" s="1"/>
  <c r="J44" i="3"/>
  <c r="J45" i="3"/>
  <c r="A42" i="5"/>
  <c r="D45" i="3"/>
  <c r="H44" i="3"/>
  <c r="K44" i="3" s="1"/>
  <c r="B46" i="3"/>
  <c r="E34" i="2" s="1"/>
  <c r="B50" i="4"/>
  <c r="A48" i="3"/>
  <c r="I48" i="3" s="1"/>
  <c r="F48" i="3" s="1"/>
  <c r="H42" i="4"/>
  <c r="J42" i="4" s="1"/>
  <c r="D43" i="4"/>
  <c r="J46" i="3" l="1"/>
  <c r="A43" i="5"/>
  <c r="D46" i="3"/>
  <c r="H45" i="3"/>
  <c r="K45" i="3" s="1"/>
  <c r="B47" i="3"/>
  <c r="E35" i="2" s="1"/>
  <c r="A49" i="3"/>
  <c r="I49" i="3" s="1"/>
  <c r="F49" i="3" s="1"/>
  <c r="B51" i="4"/>
  <c r="H43" i="4"/>
  <c r="J43" i="4" s="1"/>
  <c r="D44" i="4"/>
  <c r="J47" i="3" l="1"/>
  <c r="A44" i="5"/>
  <c r="D47" i="3"/>
  <c r="H46" i="3"/>
  <c r="K46" i="3" s="1"/>
  <c r="B48" i="3"/>
  <c r="E36" i="2" s="1"/>
  <c r="B52" i="4"/>
  <c r="A50" i="3"/>
  <c r="I50" i="3" s="1"/>
  <c r="F50" i="3" s="1"/>
  <c r="H44" i="4"/>
  <c r="J44" i="4" s="1"/>
  <c r="D45" i="4"/>
  <c r="J48" i="3" l="1"/>
  <c r="A45" i="5"/>
  <c r="A46" i="5" s="1"/>
  <c r="A47" i="5" s="1"/>
  <c r="A48" i="5" s="1"/>
  <c r="A49" i="5" s="1"/>
  <c r="A50" i="5" s="1"/>
  <c r="A51" i="5" s="1"/>
  <c r="A52" i="5" s="1"/>
  <c r="A53" i="5" s="1"/>
  <c r="A54" i="5" s="1"/>
  <c r="A55" i="5" s="1"/>
  <c r="A56" i="5" s="1"/>
  <c r="B49" i="3"/>
  <c r="E37" i="2" s="1"/>
  <c r="D48" i="3"/>
  <c r="H47" i="3"/>
  <c r="K47" i="3" s="1"/>
  <c r="A51" i="3"/>
  <c r="B53" i="4"/>
  <c r="B54" i="4" s="1"/>
  <c r="H45" i="4"/>
  <c r="J45" i="4" s="1"/>
  <c r="D46" i="4"/>
  <c r="I51" i="3" l="1"/>
  <c r="F51" i="3" s="1"/>
  <c r="A52" i="3"/>
  <c r="J49" i="3"/>
  <c r="B55" i="4"/>
  <c r="D49" i="3"/>
  <c r="H48" i="3"/>
  <c r="K48" i="3" s="1"/>
  <c r="B50" i="3"/>
  <c r="E38" i="2" s="1"/>
  <c r="H46" i="4"/>
  <c r="J46" i="4" s="1"/>
  <c r="D47" i="4"/>
  <c r="A53" i="3" l="1"/>
  <c r="I52" i="3"/>
  <c r="J50" i="3"/>
  <c r="B56" i="4"/>
  <c r="B51" i="3"/>
  <c r="E39" i="2" s="1"/>
  <c r="H49" i="3"/>
  <c r="K49" i="3" s="1"/>
  <c r="D50" i="3"/>
  <c r="H47" i="4"/>
  <c r="J47" i="4" s="1"/>
  <c r="D48" i="4"/>
  <c r="F52" i="3" l="1"/>
  <c r="B52" i="3"/>
  <c r="A54" i="3"/>
  <c r="I53" i="3"/>
  <c r="F53" i="3" s="1"/>
  <c r="J51" i="3"/>
  <c r="B57" i="4"/>
  <c r="H50" i="3"/>
  <c r="K50" i="3" s="1"/>
  <c r="D51" i="3"/>
  <c r="D52" i="3" s="1"/>
  <c r="H48" i="4"/>
  <c r="J48" i="4" s="1"/>
  <c r="D49" i="4"/>
  <c r="J52" i="3" l="1"/>
  <c r="E40" i="2"/>
  <c r="H52" i="3"/>
  <c r="D53" i="3"/>
  <c r="I54" i="3"/>
  <c r="F54" i="3" s="1"/>
  <c r="A55" i="3"/>
  <c r="B53" i="3"/>
  <c r="E41" i="2" s="1"/>
  <c r="B58" i="4"/>
  <c r="B59" i="4" s="1"/>
  <c r="B60" i="4" s="1"/>
  <c r="B61" i="4" s="1"/>
  <c r="B62" i="4" s="1"/>
  <c r="B63" i="4" s="1"/>
  <c r="B64" i="4" s="1"/>
  <c r="H51" i="3"/>
  <c r="K51" i="3" s="1"/>
  <c r="H49" i="4"/>
  <c r="J49" i="4" s="1"/>
  <c r="D50" i="4"/>
  <c r="K52" i="3" l="1"/>
  <c r="J53" i="3"/>
  <c r="B54" i="3"/>
  <c r="E42" i="2" s="1"/>
  <c r="A56" i="3"/>
  <c r="I55" i="3"/>
  <c r="F55" i="3" s="1"/>
  <c r="H53" i="3"/>
  <c r="K53" i="3" s="1"/>
  <c r="D54" i="3"/>
  <c r="H50" i="4"/>
  <c r="J50" i="4" s="1"/>
  <c r="D51" i="4"/>
  <c r="I56" i="3" l="1"/>
  <c r="F56" i="3" s="1"/>
  <c r="A57" i="3"/>
  <c r="H54" i="3"/>
  <c r="D55" i="3"/>
  <c r="J54" i="3"/>
  <c r="B55" i="3"/>
  <c r="E43" i="2" s="1"/>
  <c r="H51" i="4"/>
  <c r="J51" i="4" s="1"/>
  <c r="D52" i="4"/>
  <c r="K54" i="3" l="1"/>
  <c r="J55" i="3"/>
  <c r="B56" i="3"/>
  <c r="E44" i="2" s="1"/>
  <c r="A58" i="3"/>
  <c r="I57" i="3"/>
  <c r="F57" i="3" s="1"/>
  <c r="D56" i="3"/>
  <c r="H55" i="3"/>
  <c r="K55" i="3" s="1"/>
  <c r="H52" i="4"/>
  <c r="J52" i="4" s="1"/>
  <c r="D53" i="4"/>
  <c r="D54" i="4" s="1"/>
  <c r="I58" i="3" l="1"/>
  <c r="F58" i="3" s="1"/>
  <c r="A59" i="3"/>
  <c r="H56" i="3"/>
  <c r="D57" i="3"/>
  <c r="J56" i="3"/>
  <c r="B57" i="3"/>
  <c r="E45" i="2" s="1"/>
  <c r="H54" i="4"/>
  <c r="J54" i="4" s="1"/>
  <c r="D55" i="4"/>
  <c r="H53" i="4"/>
  <c r="J53" i="4" s="1"/>
  <c r="K56" i="3" l="1"/>
  <c r="H57" i="3"/>
  <c r="D58" i="3"/>
  <c r="J57" i="3"/>
  <c r="B58" i="3"/>
  <c r="E46" i="2" s="1"/>
  <c r="I59" i="3"/>
  <c r="F59" i="3" s="1"/>
  <c r="A60" i="3"/>
  <c r="H55" i="4"/>
  <c r="J55" i="4" s="1"/>
  <c r="D56" i="4"/>
  <c r="J58" i="3" l="1"/>
  <c r="B59" i="3"/>
  <c r="E47" i="2" s="1"/>
  <c r="H58" i="3"/>
  <c r="D59" i="3"/>
  <c r="I60" i="3"/>
  <c r="F60" i="3" s="1"/>
  <c r="A61" i="3"/>
  <c r="K57" i="3"/>
  <c r="D57" i="4"/>
  <c r="H56" i="4"/>
  <c r="J56" i="4" s="1"/>
  <c r="K58" i="3" l="1"/>
  <c r="H59" i="3"/>
  <c r="D60" i="3"/>
  <c r="A62" i="3"/>
  <c r="I61" i="3"/>
  <c r="F61" i="3" s="1"/>
  <c r="B60" i="3"/>
  <c r="E48" i="2" s="1"/>
  <c r="J59" i="3"/>
  <c r="H57" i="4"/>
  <c r="D58" i="4"/>
  <c r="D59" i="4" s="1"/>
  <c r="I62" i="3" l="1"/>
  <c r="F62" i="3" s="1"/>
  <c r="A63" i="3"/>
  <c r="H60" i="3"/>
  <c r="D61" i="3"/>
  <c r="B61" i="3"/>
  <c r="E49" i="2" s="1"/>
  <c r="J60" i="3"/>
  <c r="K59" i="3"/>
  <c r="D60" i="4"/>
  <c r="H59" i="4"/>
  <c r="J59" i="4" s="1"/>
  <c r="J57" i="4"/>
  <c r="H58" i="4"/>
  <c r="J58" i="4" s="1"/>
  <c r="K60" i="3" l="1"/>
  <c r="A64" i="3"/>
  <c r="I63" i="3"/>
  <c r="F63" i="3" s="1"/>
  <c r="B62" i="3"/>
  <c r="E50" i="2" s="1"/>
  <c r="J61" i="3"/>
  <c r="H61" i="3"/>
  <c r="D62" i="3"/>
  <c r="H60" i="4"/>
  <c r="J60" i="4" s="1"/>
  <c r="D61" i="4"/>
  <c r="L3" i="6"/>
  <c r="L4" i="3"/>
  <c r="L4" i="6"/>
  <c r="L3" i="3"/>
  <c r="K61" i="3" l="1"/>
  <c r="B63" i="3"/>
  <c r="E51" i="2" s="1"/>
  <c r="J62" i="3"/>
  <c r="D63" i="3"/>
  <c r="H62" i="3"/>
  <c r="A65" i="3"/>
  <c r="I64" i="3"/>
  <c r="F64" i="3" s="1"/>
  <c r="G15" i="4"/>
  <c r="G59" i="4"/>
  <c r="K59" i="4" s="1"/>
  <c r="G60" i="4"/>
  <c r="K60" i="4" s="1"/>
  <c r="G61" i="4"/>
  <c r="H61" i="4"/>
  <c r="J61" i="4" s="1"/>
  <c r="D62"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L5" i="3"/>
  <c r="L5" i="6"/>
  <c r="G52" i="6" s="1"/>
  <c r="L52" i="6" s="1"/>
  <c r="K16" i="4" l="1"/>
  <c r="K62" i="3"/>
  <c r="K15" i="4"/>
  <c r="D64" i="3"/>
  <c r="G64" i="3" s="1"/>
  <c r="H63" i="3"/>
  <c r="G52" i="3"/>
  <c r="L52" i="3" s="1"/>
  <c r="G53" i="3"/>
  <c r="L53" i="3" s="1"/>
  <c r="G54" i="3"/>
  <c r="L54" i="3" s="1"/>
  <c r="G55" i="3"/>
  <c r="L55" i="3" s="1"/>
  <c r="G56" i="3"/>
  <c r="L56" i="3" s="1"/>
  <c r="G57" i="3"/>
  <c r="L57" i="3" s="1"/>
  <c r="G58" i="3"/>
  <c r="L58" i="3" s="1"/>
  <c r="G59" i="3"/>
  <c r="L59" i="3" s="1"/>
  <c r="G60" i="3"/>
  <c r="L60" i="3" s="1"/>
  <c r="G61" i="3"/>
  <c r="L61" i="3" s="1"/>
  <c r="G62" i="3"/>
  <c r="G63" i="3"/>
  <c r="A66" i="3"/>
  <c r="I66" i="3" s="1"/>
  <c r="I65" i="3"/>
  <c r="F65" i="3" s="1"/>
  <c r="J63" i="3"/>
  <c r="B64" i="3"/>
  <c r="E52" i="2" s="1"/>
  <c r="K61" i="4"/>
  <c r="G17" i="6"/>
  <c r="G51" i="6"/>
  <c r="L51" i="6" s="1"/>
  <c r="G37" i="3"/>
  <c r="L37" i="3" s="1"/>
  <c r="D63" i="4"/>
  <c r="D64" i="4" s="1"/>
  <c r="G62" i="4"/>
  <c r="H62" i="4"/>
  <c r="G50" i="6"/>
  <c r="L50" i="6" s="1"/>
  <c r="G42" i="6"/>
  <c r="L42" i="6" s="1"/>
  <c r="G27" i="6"/>
  <c r="L27" i="6" s="1"/>
  <c r="G35" i="6"/>
  <c r="L35" i="6" s="1"/>
  <c r="L9" i="3"/>
  <c r="G29" i="3"/>
  <c r="G24" i="3"/>
  <c r="G28" i="3"/>
  <c r="G18" i="3"/>
  <c r="G45" i="3"/>
  <c r="G46" i="6"/>
  <c r="G38" i="6"/>
  <c r="G31" i="6"/>
  <c r="G23" i="6"/>
  <c r="G32" i="3"/>
  <c r="G23" i="3"/>
  <c r="G21" i="3"/>
  <c r="G34" i="3"/>
  <c r="G25" i="3"/>
  <c r="G49" i="3"/>
  <c r="G41" i="3"/>
  <c r="G35" i="3"/>
  <c r="G30" i="3"/>
  <c r="G26" i="3"/>
  <c r="G33" i="3"/>
  <c r="G22" i="3"/>
  <c r="G20" i="3"/>
  <c r="G36" i="3"/>
  <c r="G31" i="3"/>
  <c r="G27" i="3"/>
  <c r="G19"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0" i="3"/>
  <c r="G48" i="3"/>
  <c r="G46" i="3"/>
  <c r="G44" i="3"/>
  <c r="G42" i="3"/>
  <c r="G40" i="3"/>
  <c r="G38" i="3"/>
  <c r="G17" i="3"/>
  <c r="L17" i="6" l="1"/>
  <c r="G54" i="6"/>
  <c r="K56" i="6"/>
  <c r="F56" i="6"/>
  <c r="J56" i="6"/>
  <c r="I56" i="6"/>
  <c r="H56" i="6"/>
  <c r="G56" i="6"/>
  <c r="E56" i="6"/>
  <c r="A2" i="5"/>
  <c r="A2" i="2"/>
  <c r="A2" i="7"/>
  <c r="B19" i="1"/>
  <c r="M52" i="6"/>
  <c r="H64" i="4"/>
  <c r="G64" i="4"/>
  <c r="F66" i="3"/>
  <c r="F68" i="3" s="1"/>
  <c r="I68" i="3"/>
  <c r="M51" i="6"/>
  <c r="M50" i="6"/>
  <c r="B38" i="7"/>
  <c r="C38" i="7" s="1"/>
  <c r="B39" i="7"/>
  <c r="C39" i="7" s="1"/>
  <c r="D39" i="7" s="1"/>
  <c r="D41" i="5" s="1"/>
  <c r="M52" i="3"/>
  <c r="F40" i="2" s="1"/>
  <c r="G40" i="2" s="1"/>
  <c r="H40" i="2" s="1"/>
  <c r="E42" i="5" s="1"/>
  <c r="I70" i="3"/>
  <c r="E70" i="3"/>
  <c r="L62" i="3"/>
  <c r="M53" i="3" s="1"/>
  <c r="F41" i="2" s="1"/>
  <c r="G41" i="2" s="1"/>
  <c r="H41" i="2" s="1"/>
  <c r="E43" i="5" s="1"/>
  <c r="K63" i="3"/>
  <c r="L63" i="3" s="1"/>
  <c r="J64" i="3"/>
  <c r="B65" i="3"/>
  <c r="E53" i="2" s="1"/>
  <c r="H64" i="3"/>
  <c r="D65" i="3"/>
  <c r="L17" i="3"/>
  <c r="J62" i="4"/>
  <c r="K62" i="4" s="1"/>
  <c r="G63" i="4"/>
  <c r="H63" i="4"/>
  <c r="L18" i="6"/>
  <c r="L22" i="6"/>
  <c r="L26" i="6"/>
  <c r="L30" i="6"/>
  <c r="L34" i="6"/>
  <c r="L37" i="6"/>
  <c r="L41" i="6"/>
  <c r="L45" i="6"/>
  <c r="L49" i="6"/>
  <c r="M49" i="6" s="1"/>
  <c r="L19" i="6"/>
  <c r="L25" i="6"/>
  <c r="L33" i="6"/>
  <c r="L40" i="6"/>
  <c r="L48" i="6"/>
  <c r="L31" i="6"/>
  <c r="L46" i="6"/>
  <c r="L20" i="6"/>
  <c r="L24" i="6"/>
  <c r="L28" i="6"/>
  <c r="L32" i="6"/>
  <c r="L39" i="6"/>
  <c r="L43" i="6"/>
  <c r="L47" i="6"/>
  <c r="L21" i="6"/>
  <c r="L29" i="6"/>
  <c r="L36" i="6"/>
  <c r="L44" i="6"/>
  <c r="L23" i="6"/>
  <c r="L38" i="6"/>
  <c r="L38" i="3"/>
  <c r="L42" i="3"/>
  <c r="L46" i="3"/>
  <c r="L50" i="3"/>
  <c r="L39" i="3"/>
  <c r="L47" i="3"/>
  <c r="L19" i="3"/>
  <c r="L31" i="3"/>
  <c r="L20" i="3"/>
  <c r="L33" i="3"/>
  <c r="L30" i="3"/>
  <c r="L41" i="3"/>
  <c r="L34" i="3"/>
  <c r="L23" i="3"/>
  <c r="L45" i="3"/>
  <c r="L18" i="3"/>
  <c r="L24" i="3"/>
  <c r="L40" i="3"/>
  <c r="L44" i="3"/>
  <c r="L48" i="3"/>
  <c r="L43" i="3"/>
  <c r="L51" i="3"/>
  <c r="L27" i="3"/>
  <c r="L36" i="3"/>
  <c r="L22" i="3"/>
  <c r="L26" i="3"/>
  <c r="L35" i="3"/>
  <c r="L49" i="3"/>
  <c r="L25" i="3"/>
  <c r="L21" i="3"/>
  <c r="L32" i="3"/>
  <c r="L28" i="3"/>
  <c r="L29" i="3"/>
  <c r="L56" i="6" l="1"/>
  <c r="L54" i="6"/>
  <c r="G66" i="4"/>
  <c r="F70" i="3"/>
  <c r="G68" i="4"/>
  <c r="J64" i="4"/>
  <c r="K64" i="4" s="1"/>
  <c r="H66" i="4"/>
  <c r="H68" i="4"/>
  <c r="M35" i="3"/>
  <c r="F23" i="2" s="1"/>
  <c r="B36" i="7"/>
  <c r="M50" i="3"/>
  <c r="F38" i="2" s="1"/>
  <c r="M49" i="3"/>
  <c r="F37" i="2" s="1"/>
  <c r="M45" i="3"/>
  <c r="F33" i="2" s="1"/>
  <c r="M28" i="3"/>
  <c r="F16" i="2" s="1"/>
  <c r="M18" i="3"/>
  <c r="F6" i="2" s="1"/>
  <c r="B27" i="7"/>
  <c r="B22" i="7"/>
  <c r="B18" i="7"/>
  <c r="M31" i="3"/>
  <c r="F19" i="2" s="1"/>
  <c r="B26" i="7"/>
  <c r="B5" i="7"/>
  <c r="B34" i="7"/>
  <c r="M26" i="3"/>
  <c r="F14" i="2" s="1"/>
  <c r="B32" i="7"/>
  <c r="B37" i="7"/>
  <c r="C37" i="7" s="1"/>
  <c r="M21" i="3"/>
  <c r="F9" i="2" s="1"/>
  <c r="G9" i="2" s="1"/>
  <c r="H9" i="2" s="1"/>
  <c r="E11" i="5" s="1"/>
  <c r="M20" i="3"/>
  <c r="F8" i="2" s="1"/>
  <c r="M51" i="3"/>
  <c r="F39" i="2" s="1"/>
  <c r="M48" i="3"/>
  <c r="F36" i="2" s="1"/>
  <c r="M40" i="3"/>
  <c r="F28" i="2" s="1"/>
  <c r="M36" i="3"/>
  <c r="F24" i="2" s="1"/>
  <c r="M23" i="3"/>
  <c r="F11" i="2" s="1"/>
  <c r="M33" i="3"/>
  <c r="F21" i="2" s="1"/>
  <c r="M32" i="3"/>
  <c r="F20" i="2" s="1"/>
  <c r="M44" i="3"/>
  <c r="F32" i="2" s="1"/>
  <c r="G32" i="2" s="1"/>
  <c r="H32" i="2" s="1"/>
  <c r="E34" i="5" s="1"/>
  <c r="M47" i="3"/>
  <c r="F35" i="2" s="1"/>
  <c r="M42" i="3"/>
  <c r="F30" i="2" s="1"/>
  <c r="M41" i="3"/>
  <c r="F29" i="2" s="1"/>
  <c r="B35" i="7"/>
  <c r="B33" i="7"/>
  <c r="B15" i="7"/>
  <c r="B16" i="7"/>
  <c r="B19" i="7"/>
  <c r="B17" i="7"/>
  <c r="B8" i="7"/>
  <c r="B13" i="7"/>
  <c r="B28" i="7"/>
  <c r="B21" i="7"/>
  <c r="B25" i="7"/>
  <c r="B29" i="7"/>
  <c r="B14" i="7"/>
  <c r="M34" i="3"/>
  <c r="F22" i="2" s="1"/>
  <c r="M29" i="3"/>
  <c r="F17" i="2" s="1"/>
  <c r="M27" i="3"/>
  <c r="F15" i="2" s="1"/>
  <c r="M25" i="3"/>
  <c r="F13" i="2" s="1"/>
  <c r="M22" i="3"/>
  <c r="F10" i="2" s="1"/>
  <c r="M43" i="3"/>
  <c r="F31" i="2" s="1"/>
  <c r="M24" i="3"/>
  <c r="F12" i="2" s="1"/>
  <c r="M19" i="3"/>
  <c r="F7" i="2" s="1"/>
  <c r="M39" i="3"/>
  <c r="F27" i="2" s="1"/>
  <c r="M37" i="3"/>
  <c r="F25" i="2" s="1"/>
  <c r="B23" i="7"/>
  <c r="B30" i="7"/>
  <c r="B11" i="7"/>
  <c r="B7" i="7"/>
  <c r="B10" i="7"/>
  <c r="M46" i="3"/>
  <c r="F34" i="2" s="1"/>
  <c r="M38" i="3"/>
  <c r="F26" i="2" s="1"/>
  <c r="G26" i="2" s="1"/>
  <c r="H26" i="2" s="1"/>
  <c r="E28" i="5" s="1"/>
  <c r="B24" i="7"/>
  <c r="B20" i="7"/>
  <c r="B12" i="7"/>
  <c r="B9" i="7"/>
  <c r="B6" i="7"/>
  <c r="M30" i="3"/>
  <c r="F18" i="2" s="1"/>
  <c r="B31" i="7"/>
  <c r="K64" i="3"/>
  <c r="M54" i="3"/>
  <c r="F42" i="2" s="1"/>
  <c r="G42" i="2" s="1"/>
  <c r="H42" i="2" s="1"/>
  <c r="E44" i="5" s="1"/>
  <c r="D66" i="3"/>
  <c r="H65" i="3"/>
  <c r="G65" i="3"/>
  <c r="J65" i="3"/>
  <c r="B66" i="3"/>
  <c r="J66" i="3" s="1"/>
  <c r="M36" i="6"/>
  <c r="M43" i="6"/>
  <c r="M24" i="6"/>
  <c r="M48" i="6"/>
  <c r="M19" i="6"/>
  <c r="M22" i="6"/>
  <c r="M35" i="6"/>
  <c r="M38" i="6"/>
  <c r="M29" i="6"/>
  <c r="M39" i="6"/>
  <c r="M20" i="6"/>
  <c r="M40" i="6"/>
  <c r="M34" i="6"/>
  <c r="M18" i="6"/>
  <c r="M27" i="6"/>
  <c r="M17" i="3"/>
  <c r="F5" i="2" s="1"/>
  <c r="G5" i="2" s="1"/>
  <c r="M37" i="6"/>
  <c r="M23" i="6"/>
  <c r="M21" i="6"/>
  <c r="M32" i="6"/>
  <c r="M46" i="6"/>
  <c r="M33" i="6"/>
  <c r="M45" i="6"/>
  <c r="M30" i="6"/>
  <c r="M44" i="6"/>
  <c r="M47" i="6"/>
  <c r="M28" i="6"/>
  <c r="M31" i="6"/>
  <c r="M25" i="6"/>
  <c r="M41" i="6"/>
  <c r="M26" i="6"/>
  <c r="M42" i="6"/>
  <c r="D38" i="7"/>
  <c r="D40" i="5" s="1"/>
  <c r="M17" i="6"/>
  <c r="J63" i="4"/>
  <c r="K63" i="4" s="1"/>
  <c r="K66" i="4" l="1"/>
  <c r="K68" i="4"/>
  <c r="J66" i="4"/>
  <c r="J68" i="4"/>
  <c r="J68" i="3"/>
  <c r="J70" i="3"/>
  <c r="L64" i="3"/>
  <c r="K65" i="3"/>
  <c r="L65" i="3" s="1"/>
  <c r="M65" i="3" s="1"/>
  <c r="F53" i="2" s="1"/>
  <c r="G53" i="2" s="1"/>
  <c r="H53" i="2" s="1"/>
  <c r="E55" i="5" s="1"/>
  <c r="H66" i="3"/>
  <c r="G66" i="3"/>
  <c r="G70" i="3" s="1"/>
  <c r="G12" i="2"/>
  <c r="H12" i="2" s="1"/>
  <c r="E14" i="5" s="1"/>
  <c r="G37" i="2"/>
  <c r="H37" i="2" s="1"/>
  <c r="E39" i="5" s="1"/>
  <c r="G33" i="2"/>
  <c r="H33" i="2" s="1"/>
  <c r="E35" i="5" s="1"/>
  <c r="G10" i="2"/>
  <c r="H10" i="2" s="1"/>
  <c r="E12" i="5" s="1"/>
  <c r="G13" i="2"/>
  <c r="H13" i="2" s="1"/>
  <c r="E15" i="5" s="1"/>
  <c r="G14" i="2"/>
  <c r="H14" i="2" s="1"/>
  <c r="E16" i="5" s="1"/>
  <c r="G22" i="2"/>
  <c r="H22" i="2" s="1"/>
  <c r="E24" i="5" s="1"/>
  <c r="G18" i="2"/>
  <c r="H18" i="2" s="1"/>
  <c r="E20" i="5" s="1"/>
  <c r="G36" i="2"/>
  <c r="H36" i="2" s="1"/>
  <c r="E38" i="5" s="1"/>
  <c r="G30" i="2"/>
  <c r="H30" i="2" s="1"/>
  <c r="E32" i="5" s="1"/>
  <c r="G24" i="2"/>
  <c r="H24" i="2" s="1"/>
  <c r="E26" i="5" s="1"/>
  <c r="G28" i="2"/>
  <c r="H28" i="2" s="1"/>
  <c r="E30" i="5" s="1"/>
  <c r="G8" i="2"/>
  <c r="H8" i="2" s="1"/>
  <c r="E10" i="5" s="1"/>
  <c r="G17" i="2"/>
  <c r="H17" i="2" s="1"/>
  <c r="E19" i="5" s="1"/>
  <c r="G15" i="2"/>
  <c r="H15" i="2" s="1"/>
  <c r="E17" i="5" s="1"/>
  <c r="G39" i="2"/>
  <c r="H39" i="2" s="1"/>
  <c r="E41" i="5" s="1"/>
  <c r="G27" i="2"/>
  <c r="H27" i="2" s="1"/>
  <c r="E29" i="5" s="1"/>
  <c r="G35" i="2"/>
  <c r="H35" i="2" s="1"/>
  <c r="E37" i="5" s="1"/>
  <c r="G29" i="2"/>
  <c r="H29" i="2" s="1"/>
  <c r="E31" i="5" s="1"/>
  <c r="G38" i="2"/>
  <c r="H38" i="2" s="1"/>
  <c r="E40" i="5" s="1"/>
  <c r="G19" i="2"/>
  <c r="H19" i="2" s="1"/>
  <c r="E21" i="5" s="1"/>
  <c r="G20" i="2"/>
  <c r="H20" i="2" s="1"/>
  <c r="E22" i="5" s="1"/>
  <c r="G6" i="2"/>
  <c r="H6" i="2" s="1"/>
  <c r="E8" i="5" s="1"/>
  <c r="G21" i="2"/>
  <c r="H21" i="2" s="1"/>
  <c r="E23" i="5" s="1"/>
  <c r="G23" i="2"/>
  <c r="H23" i="2" s="1"/>
  <c r="E25" i="5" s="1"/>
  <c r="G11" i="2"/>
  <c r="H11" i="2" s="1"/>
  <c r="E13" i="5" s="1"/>
  <c r="G34" i="2"/>
  <c r="H34" i="2" s="1"/>
  <c r="E36" i="5" s="1"/>
  <c r="G16" i="2"/>
  <c r="H16" i="2" s="1"/>
  <c r="E18" i="5" s="1"/>
  <c r="G25" i="2"/>
  <c r="H25" i="2" s="1"/>
  <c r="E27" i="5" s="1"/>
  <c r="G31" i="2"/>
  <c r="H31" i="2" s="1"/>
  <c r="E33" i="5" s="1"/>
  <c r="G7" i="2"/>
  <c r="H7" i="2" s="1"/>
  <c r="E9" i="5" s="1"/>
  <c r="C27" i="7"/>
  <c r="D27" i="7" s="1"/>
  <c r="D29" i="5" s="1"/>
  <c r="C32" i="7"/>
  <c r="D32" i="7" s="1"/>
  <c r="D34" i="5" s="1"/>
  <c r="C23" i="7"/>
  <c r="D23" i="7" s="1"/>
  <c r="D25" i="5" s="1"/>
  <c r="C33" i="7"/>
  <c r="D33" i="7" s="1"/>
  <c r="D35" i="5" s="1"/>
  <c r="C34" i="7"/>
  <c r="D34" i="7" s="1"/>
  <c r="D36" i="5" s="1"/>
  <c r="C35" i="7"/>
  <c r="D35" i="7" s="1"/>
  <c r="D37" i="5" s="1"/>
  <c r="C24" i="7"/>
  <c r="D24" i="7" s="1"/>
  <c r="D26" i="5" s="1"/>
  <c r="C26" i="7"/>
  <c r="D26" i="7" s="1"/>
  <c r="D28" i="5" s="1"/>
  <c r="C28" i="7"/>
  <c r="D28" i="7" s="1"/>
  <c r="D30" i="5" s="1"/>
  <c r="C31" i="7"/>
  <c r="D31" i="7" s="1"/>
  <c r="D33" i="5" s="1"/>
  <c r="C29" i="7"/>
  <c r="D29" i="7" s="1"/>
  <c r="D31" i="5" s="1"/>
  <c r="C30" i="7"/>
  <c r="D30" i="7" s="1"/>
  <c r="D32" i="5" s="1"/>
  <c r="C25" i="7"/>
  <c r="D25" i="7" s="1"/>
  <c r="D27" i="5" s="1"/>
  <c r="C36" i="7"/>
  <c r="D36" i="7" s="1"/>
  <c r="D38" i="5" s="1"/>
  <c r="C9" i="7"/>
  <c r="D9" i="7" s="1"/>
  <c r="D11" i="5" s="1"/>
  <c r="C19" i="7"/>
  <c r="D19" i="7" s="1"/>
  <c r="D21" i="5" s="1"/>
  <c r="C17" i="7"/>
  <c r="D17" i="7" s="1"/>
  <c r="D19" i="5" s="1"/>
  <c r="C8" i="7"/>
  <c r="D8" i="7" s="1"/>
  <c r="D10" i="5" s="1"/>
  <c r="C11" i="7"/>
  <c r="D11" i="7" s="1"/>
  <c r="D13" i="5" s="1"/>
  <c r="C16" i="7"/>
  <c r="D16" i="7" s="1"/>
  <c r="D18" i="5" s="1"/>
  <c r="C14" i="7"/>
  <c r="D14" i="7" s="1"/>
  <c r="D16" i="5" s="1"/>
  <c r="C13" i="7"/>
  <c r="D13" i="7" s="1"/>
  <c r="D15" i="5" s="1"/>
  <c r="C20" i="7"/>
  <c r="D20" i="7" s="1"/>
  <c r="D22" i="5" s="1"/>
  <c r="C10" i="7"/>
  <c r="D10" i="7" s="1"/>
  <c r="D12" i="5" s="1"/>
  <c r="C7" i="7"/>
  <c r="D7" i="7" s="1"/>
  <c r="D9" i="5" s="1"/>
  <c r="C15" i="7"/>
  <c r="D15" i="7" s="1"/>
  <c r="D17" i="5" s="1"/>
  <c r="C22" i="7"/>
  <c r="D22" i="7" s="1"/>
  <c r="D24" i="5" s="1"/>
  <c r="C12" i="7"/>
  <c r="D12" i="7" s="1"/>
  <c r="D14" i="5" s="1"/>
  <c r="C18" i="7"/>
  <c r="D18" i="7" s="1"/>
  <c r="D20" i="5" s="1"/>
  <c r="C21" i="7"/>
  <c r="D21" i="7" s="1"/>
  <c r="D23" i="5" s="1"/>
  <c r="H5" i="2"/>
  <c r="E7" i="5" s="1"/>
  <c r="D37" i="7"/>
  <c r="D39" i="5" s="1"/>
  <c r="C5" i="7"/>
  <c r="E7" i="6"/>
  <c r="G68" i="3" l="1"/>
  <c r="M64" i="3"/>
  <c r="F52" i="2" s="1"/>
  <c r="G52" i="2" s="1"/>
  <c r="H52" i="2" s="1"/>
  <c r="E54" i="5" s="1"/>
  <c r="M58" i="3"/>
  <c r="F46" i="2" s="1"/>
  <c r="G46" i="2" s="1"/>
  <c r="H46" i="2" s="1"/>
  <c r="E48" i="5" s="1"/>
  <c r="M61" i="3"/>
  <c r="F49" i="2" s="1"/>
  <c r="G49" i="2" s="1"/>
  <c r="H49" i="2" s="1"/>
  <c r="E51" i="5" s="1"/>
  <c r="M55" i="3"/>
  <c r="F43" i="2" s="1"/>
  <c r="G43" i="2" s="1"/>
  <c r="H43" i="2" s="1"/>
  <c r="E45" i="5" s="1"/>
  <c r="M60" i="3"/>
  <c r="F48" i="2" s="1"/>
  <c r="G48" i="2" s="1"/>
  <c r="H48" i="2" s="1"/>
  <c r="E50" i="5" s="1"/>
  <c r="M59" i="3"/>
  <c r="F47" i="2" s="1"/>
  <c r="G47" i="2" s="1"/>
  <c r="H47" i="2" s="1"/>
  <c r="E49" i="5" s="1"/>
  <c r="M57" i="3"/>
  <c r="F45" i="2" s="1"/>
  <c r="G45" i="2" s="1"/>
  <c r="H45" i="2" s="1"/>
  <c r="E47" i="5" s="1"/>
  <c r="M63" i="3"/>
  <c r="F51" i="2" s="1"/>
  <c r="G51" i="2" s="1"/>
  <c r="H51" i="2" s="1"/>
  <c r="E53" i="5" s="1"/>
  <c r="M56" i="3"/>
  <c r="F44" i="2" s="1"/>
  <c r="G44" i="2" s="1"/>
  <c r="H44" i="2" s="1"/>
  <c r="E46" i="5" s="1"/>
  <c r="M62" i="3"/>
  <c r="F50" i="2" s="1"/>
  <c r="G50" i="2" s="1"/>
  <c r="H50" i="2" s="1"/>
  <c r="E52" i="5" s="1"/>
  <c r="K66" i="3"/>
  <c r="K68" i="3" s="1"/>
  <c r="H68" i="3"/>
  <c r="H70" i="3"/>
  <c r="D5" i="7"/>
  <c r="D7" i="5" s="1"/>
  <c r="C6" i="7"/>
  <c r="D6" i="7" s="1"/>
  <c r="D8" i="5" s="1"/>
  <c r="E8" i="6"/>
  <c r="E9" i="6" s="1"/>
  <c r="K70" i="3" l="1"/>
  <c r="L66" i="3"/>
  <c r="E5" i="4"/>
  <c r="E6" i="4" l="1"/>
  <c r="E7" i="4" s="1"/>
  <c r="G7" i="4" s="1"/>
  <c r="B7" i="5" s="1"/>
  <c r="M66" i="3"/>
  <c r="L70" i="3"/>
  <c r="E7" i="3" s="1"/>
  <c r="E8" i="3" s="1"/>
  <c r="E9" i="3" s="1"/>
  <c r="L68" i="3"/>
  <c r="B5" i="2"/>
  <c r="C5" i="2" s="1"/>
  <c r="D5" i="2" s="1"/>
  <c r="C7" i="5" s="1"/>
</calcChain>
</file>

<file path=xl/sharedStrings.xml><?xml version="1.0" encoding="utf-8"?>
<sst xmlns="http://schemas.openxmlformats.org/spreadsheetml/2006/main" count="298" uniqueCount="155">
  <si>
    <t>Notes:</t>
  </si>
  <si>
    <t>Once the cost of capital and capital structure for the rate case has been determined, those numbers should be entered in the top of the tab LvlFCR.</t>
  </si>
  <si>
    <t>Inputs</t>
  </si>
  <si>
    <t>Background</t>
  </si>
  <si>
    <t>Annual</t>
  </si>
  <si>
    <t>FCR ON 10 Year  Terms</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</si>
  <si>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</si>
  <si>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</si>
  <si>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</si>
  <si>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</si>
  <si>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</si>
  <si>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</si>
  <si>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</si>
  <si>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</si>
  <si>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</si>
  <si>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</si>
  <si>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</si>
  <si>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</si>
  <si>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</si>
  <si>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</si>
  <si>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</si>
  <si>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</si>
  <si>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COMMON</t>
  </si>
  <si>
    <t>NPV Revenue Req.</t>
  </si>
  <si>
    <t>PREFERRED</t>
  </si>
  <si>
    <t>Book Life</t>
  </si>
  <si>
    <t>S.T. Debt</t>
  </si>
  <si>
    <t>L.T. Debt</t>
  </si>
  <si>
    <t>Insurance Rate</t>
  </si>
  <si>
    <t>CAPITAL STRUCTURE:</t>
  </si>
  <si>
    <t>For Substations and Feeder Lines at Primary Service Voltage</t>
  </si>
  <si>
    <t>DEBT (LT)</t>
  </si>
  <si>
    <t>DEBT (ST)</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</si>
  <si>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</si>
  <si>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</si>
  <si>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</si>
  <si>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</si>
  <si>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</si>
  <si>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</si>
  <si>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</si>
  <si>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</si>
  <si>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</si>
  <si>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</si>
  <si>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</si>
  <si>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</si>
  <si>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</si>
  <si>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</si>
  <si>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</si>
  <si>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</si>
  <si>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</si>
  <si>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</si>
  <si>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</si>
  <si>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</si>
  <si>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</si>
  <si>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</si>
  <si>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</si>
  <si>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</si>
  <si>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</si>
  <si>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</si>
  <si>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</si>
  <si>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 xml:space="preserve">362 Sub Life = </t>
  </si>
  <si>
    <t>364 OH Pole Life</t>
  </si>
  <si>
    <t>365 OH Conductor Life</t>
  </si>
  <si>
    <t>367 UG Conductor Life</t>
  </si>
  <si>
    <t>366 UG Conduit Life</t>
  </si>
  <si>
    <t>Average Life of Feeders</t>
  </si>
  <si>
    <t>Years</t>
  </si>
  <si>
    <t>Replacement Coverage FCR</t>
  </si>
  <si>
    <t>PUGET SOUND ENERGY</t>
  </si>
  <si>
    <t>TABLE 1.  SUMMARY OF ESTIMATED SURVIVOR CURVES, NET SALVAGE PERCENT, ORIGINAL COST, BOOK DEPRECIATION RESERVE</t>
  </si>
  <si>
    <t>CAPITAL</t>
  </si>
  <si>
    <t>PROBABLE</t>
  </si>
  <si>
    <t>NET</t>
  </si>
  <si>
    <t>ORIGINAL COST</t>
  </si>
  <si>
    <t>BOOK</t>
  </si>
  <si>
    <t xml:space="preserve">CALCULATED ANNUAL </t>
  </si>
  <si>
    <t xml:space="preserve">GROSS </t>
  </si>
  <si>
    <t>COST OF</t>
  </si>
  <si>
    <t>RETIREMENT</t>
  </si>
  <si>
    <t>SURVIVOR</t>
  </si>
  <si>
    <t>SALVAGE</t>
  </si>
  <si>
    <t>AS OF</t>
  </si>
  <si>
    <t>DEPRECIATION</t>
  </si>
  <si>
    <t>FUTURE</t>
  </si>
  <si>
    <t xml:space="preserve">ACCRUAL </t>
  </si>
  <si>
    <t>ACCRUAL</t>
  </si>
  <si>
    <t>REMOVAL</t>
  </si>
  <si>
    <t>ACCOUNT</t>
  </si>
  <si>
    <t>DATE</t>
  </si>
  <si>
    <t>CURVE</t>
  </si>
  <si>
    <t>PERCENT</t>
  </si>
  <si>
    <t>SEPTEMBER 30, 2016</t>
  </si>
  <si>
    <t>RESERVE</t>
  </si>
  <si>
    <t>ACCRUALS</t>
  </si>
  <si>
    <t>AMOUNT</t>
  </si>
  <si>
    <t>RATE</t>
  </si>
  <si>
    <t>(9)=(8)/(5)</t>
  </si>
  <si>
    <t xml:space="preserve">ELECTRIC PLANT </t>
  </si>
  <si>
    <t>EASEMENTS</t>
  </si>
  <si>
    <t xml:space="preserve">STRUCTURES AND IMPROVEMENTS          </t>
  </si>
  <si>
    <t xml:space="preserve">STATION EQUIPMENT                   </t>
  </si>
  <si>
    <t>BATTERY STORAGE EQUIPMENT</t>
  </si>
  <si>
    <t xml:space="preserve">POLES, TOWERS AND FIXTURES          </t>
  </si>
  <si>
    <t xml:space="preserve">OVERHEAD CONDUCTORS AND DEVICES     </t>
  </si>
  <si>
    <t xml:space="preserve">UNDERGROUND CONDUIT                 </t>
  </si>
  <si>
    <t xml:space="preserve">UNDERGROUND CONDUCTORS AND DEVICES  </t>
  </si>
  <si>
    <t xml:space="preserve">LINE TRANSFORMERS                   </t>
  </si>
  <si>
    <t xml:space="preserve">SERVICES                            </t>
  </si>
  <si>
    <t>METERS</t>
  </si>
  <si>
    <t xml:space="preserve">STREET LIGHTING AND SIGNAL SYSTEMS  </t>
  </si>
  <si>
    <t xml:space="preserve">    TOTAL DISTRIBUTION PLANT </t>
  </si>
  <si>
    <t xml:space="preserve">DISTRIBUTION PLANT </t>
  </si>
  <si>
    <t>PUGET SOUND ENERGY-ELECTRIC</t>
  </si>
  <si>
    <t>LINE</t>
  </si>
  <si>
    <t>NO.</t>
  </si>
  <si>
    <t>DESCRIPTION</t>
  </si>
  <si>
    <t>%'s</t>
  </si>
  <si>
    <t>BAD DEBTS</t>
  </si>
  <si>
    <t>ANNUAL FILING FEE</t>
  </si>
  <si>
    <t>SUM OF TAXES OTHER</t>
  </si>
  <si>
    <t>CONVERSION FACTOR EXCLUDING FEDERAL INCOME TAX ( 1 - LINE 5)</t>
  </si>
  <si>
    <t>FEDERAL INCOME TAX</t>
  </si>
  <si>
    <t xml:space="preserve">CONVERSION FACTOR INCL FEDERAL INCOME TAX ( LINE 5 + LINE 8 ) </t>
  </si>
  <si>
    <t>STATE UTILITY TAX - NET OF BAD DEBTS ( 3.8734% - ( LINE 1 * 3.8734%) )</t>
  </si>
  <si>
    <t>Rate</t>
  </si>
  <si>
    <t>Asset</t>
  </si>
  <si>
    <t>Life</t>
  </si>
  <si>
    <t>Based upon the depreciation study, gross plant, and plant in service assume all facilities under the Special Contract distribution rate have an original life of 49 years for substation equipment and 35 years for OH/UG Feeder</t>
  </si>
  <si>
    <t>Special Contract Analysis</t>
  </si>
  <si>
    <t>Special Contract Fixed Charge Rates For Land and Depreciable Plant</t>
  </si>
  <si>
    <t>Special Contract Fixed Charge Rates For Depreciable Plant</t>
  </si>
  <si>
    <t>Special Contrct Analysis</t>
  </si>
  <si>
    <r>
      <rPr>
        <b/>
        <sz val="15"/>
        <color rgb="FF0033CC"/>
        <rFont val="Arial"/>
        <family val="2"/>
      </rPr>
      <t>2022 GRC</t>
    </r>
    <r>
      <rPr>
        <b/>
        <sz val="15"/>
        <rFont val="Arial"/>
        <family val="2"/>
      </rPr>
      <t xml:space="preserve"> Compliance Filing </t>
    </r>
  </si>
  <si>
    <r>
      <rPr>
        <b/>
        <sz val="15"/>
        <color rgb="FF0033CC"/>
        <rFont val="Arial"/>
        <family val="2"/>
      </rPr>
      <t>UE-220066</t>
    </r>
    <r>
      <rPr>
        <b/>
        <sz val="15"/>
        <rFont val="Arial"/>
        <family val="2"/>
      </rPr>
      <t xml:space="preserve"> Electric Rate Design Work Paper</t>
    </r>
  </si>
  <si>
    <t>AND CALCULATED ANNUAL DEPRECIATION RATES BY COMPONENT</t>
  </si>
  <si>
    <t>CAPITAL RECOVERY/</t>
  </si>
  <si>
    <r>
      <t xml:space="preserve">SCHEDULE 62 UPDATE </t>
    </r>
    <r>
      <rPr>
        <b/>
        <sz val="22"/>
        <color rgb="FF0000FF"/>
        <rFont val="Arial"/>
        <family val="2"/>
      </rPr>
      <t>April 1, 2023</t>
    </r>
  </si>
  <si>
    <r>
      <t>Effective</t>
    </r>
    <r>
      <rPr>
        <b/>
        <sz val="15"/>
        <color rgb="FF0033CC"/>
        <rFont val="Arial"/>
        <family val="2"/>
      </rPr>
      <t xml:space="preserve"> January 11, 2023</t>
    </r>
  </si>
  <si>
    <t>In order to calculate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</si>
  <si>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CONVERSION FACTOR</t>
  </si>
  <si>
    <t>12 MONTHS ENDED JUNE 30, 2021</t>
  </si>
  <si>
    <t>2022 GENERAL RATE CASE</t>
  </si>
  <si>
    <t>DEPRECIATION RESTATEMENT - ELECTRIC</t>
  </si>
  <si>
    <t xml:space="preserve">        2019 GENERAL RATE CASE</t>
  </si>
  <si>
    <t>FOR THE TWELVE MONTHS ENDED DECEMBER 31, 2018</t>
  </si>
  <si>
    <t>65-R4</t>
  </si>
  <si>
    <t>60-R2</t>
  </si>
  <si>
    <t>52-S0</t>
  </si>
  <si>
    <t>20-S3</t>
  </si>
  <si>
    <t>46-R1.5</t>
  </si>
  <si>
    <t>38-R2.5</t>
  </si>
  <si>
    <t>55-R3</t>
  </si>
  <si>
    <t>44-R2</t>
  </si>
  <si>
    <t>20-L1</t>
  </si>
  <si>
    <t>31-S0.5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</si>
</sst>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_);\(0.00\)"/>
    <numFmt numFmtId="175" formatCode="0_);\(0\)"/>
    <numFmt numFmtId="176" formatCode="[$-409]mmmm\ d\,\ yyyy;@"/>
    <numFmt numFmtId="177" formatCode="0.000000"/>
  </numFmts>
  <fonts count="24" x14ac:knownFonts="1">
    <font>
      <sz val="11"/>
      <color theme="1"/>
      <name val="Calibri"/>
      <family val="2"/>
      <scheme val="minor"/>
    </font>
    <font>
      <sz val="10"/>
      <name val="Courier"/>
      <family val="3"/>
    </font>
    <font>
      <sz val="10"/>
      <name val="Arial"/>
      <family val="2"/>
    </font>
    <font>
      <b/>
      <sz val="15"/>
      <name val="Arial"/>
      <family val="2"/>
    </font>
    <font>
      <b/>
      <sz val="10"/>
      <name val="Arial"/>
      <family val="2"/>
    </font>
    <font>
      <sz val="10"/>
      <name val="Helv"/>
    </font>
    <font>
      <sz val="8"/>
      <name val="Arial"/>
      <family val="2"/>
    </font>
    <font>
      <sz val="10"/>
      <name val="MS Sans Serif"/>
      <family val="2"/>
    </font>
    <font>
      <sz val="12"/>
      <name val="Arial"/>
      <family val="2"/>
    </font>
    <font>
      <sz val="11"/>
      <color theme="1"/>
      <name val="Calibri"/>
      <family val="2"/>
      <scheme val="minor"/>
    </font>
    <font>
      <b/>
      <sz val="22"/>
      <name val="Arial"/>
      <family val="2"/>
    </font>
    <font>
      <b/>
      <sz val="15"/>
      <color rgb="FF0033CC"/>
      <name val="Arial"/>
      <family val="2"/>
    </font>
    <font>
      <sz val="10"/>
      <color rgb="FFFF0000"/>
      <name val="Arial"/>
      <family val="2"/>
    </font>
    <font>
      <b/>
      <sz val="8"/>
      <name val="Arial"/>
      <family val="2"/>
    </font>
    <font>
      <sz val="8"/>
      <color theme="1"/>
      <name val="Arial"/>
      <family val="2"/>
    </font>
    <font>
      <sz val="8"/>
      <color rgb="FF009999"/>
      <name val="Arial"/>
      <family val="2"/>
    </font>
    <font>
      <b/>
      <sz val="8"/>
      <color theme="1"/>
      <name val="Arial"/>
      <family val="2"/>
    </font>
    <font>
      <u/>
      <sz val="8"/>
      <color theme="1"/>
      <name val="Arial"/>
      <family val="2"/>
    </font>
    <font>
      <b/>
      <u/>
      <sz val="8"/>
      <name val="Arial"/>
      <family val="2"/>
    </font>
    <font>
      <b/>
      <sz val="8"/>
      <color rgb="FF008080"/>
      <name val="Arial"/>
      <family val="2"/>
    </font>
    <font>
      <b/>
      <sz val="8"/>
      <color rgb="FF009999"/>
      <name val="Arial"/>
      <family val="2"/>
    </font>
    <font>
      <sz val="8"/>
      <color indexed="10"/>
      <name val="Arial"/>
      <family val="2"/>
    </font>
    <font>
      <sz val="8"/>
      <color rgb="FF0033CC"/>
      <name val="Arial"/>
      <family val="2"/>
    </font>
    <font>
      <b/>
      <sz val="22"/>
      <color rgb="FF0000FF"/>
      <name val="Arial"/>
      <family val="2"/>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6" tint="0.79998168889431442"/>
        <bgColor indexed="64"/>
      </patternFill>
    </fill>
  </fills>
  <borders count="2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8"/>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s>
  <cellStyleXfs count="15">
    <xf numFmtId="0" fontId="0" fillId="0" borderId="0"/>
    <xf numFmtId="0" fontId="1" fillId="0" borderId="0"/>
    <xf numFmtId="4" fontId="5" fillId="0" borderId="0" applyFont="0" applyFill="0" applyBorder="0" applyAlignment="0" applyProtection="0"/>
    <xf numFmtId="43" fontId="2" fillId="0" borderId="0" applyFont="0" applyFill="0" applyBorder="0" applyAlignment="0" applyProtection="0"/>
    <xf numFmtId="8" fontId="5" fillId="0" borderId="0" applyFon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xf numFmtId="0" fontId="7" fillId="0" borderId="0"/>
    <xf numFmtId="0" fontId="8" fillId="0" borderId="0"/>
    <xf numFmtId="9" fontId="5" fillId="0" borderId="0" applyFont="0" applyFill="0" applyBorder="0" applyAlignment="0" applyProtection="0"/>
    <xf numFmtId="9" fontId="2"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2" fillId="0" borderId="0"/>
  </cellStyleXfs>
  <cellXfs count="289">
    <xf numFmtId="0" fontId="0" fillId="0" borderId="0" xfId="0"/>
    <xf numFmtId="0" fontId="2" fillId="2" borderId="0" xfId="1" applyFont="1" applyFill="1" applyBorder="1"/>
    <xf numFmtId="0" fontId="2" fillId="0" borderId="0" xfId="1" applyFont="1"/>
    <xf numFmtId="0" fontId="2" fillId="2" borderId="0" xfId="1" quotePrefix="1" applyFont="1" applyFill="1" applyBorder="1" applyAlignment="1">
      <alignment horizontal="left"/>
    </xf>
    <xf numFmtId="0" fontId="2" fillId="2" borderId="0" xfId="1" applyFont="1" applyFill="1" applyBorder="1" applyAlignment="1">
      <alignment wrapText="1"/>
    </xf>
    <xf numFmtId="0" fontId="2" fillId="2" borderId="0" xfId="1" applyFont="1" applyFill="1" applyBorder="1" applyAlignment="1">
      <alignment horizontal="center"/>
    </xf>
    <xf numFmtId="0" fontId="2" fillId="2" borderId="0" xfId="1" quotePrefix="1" applyFont="1" applyFill="1" applyBorder="1" applyAlignment="1">
      <alignment horizontal="left" wrapText="1"/>
    </xf>
    <xf numFmtId="0" fontId="13" fillId="0" borderId="0" xfId="0" applyFont="1" applyFill="1" applyBorder="1" applyAlignment="1">
      <alignment horizontal="center"/>
    </xf>
    <xf numFmtId="37" fontId="13" fillId="0" borderId="20" xfId="0" applyNumberFormat="1" applyFont="1" applyFill="1" applyBorder="1" applyAlignment="1">
      <alignment horizontal="center"/>
    </xf>
    <xf numFmtId="0" fontId="13" fillId="0" borderId="20" xfId="0" applyFont="1" applyFill="1" applyBorder="1" applyAlignment="1">
      <alignment horizontal="center"/>
    </xf>
    <xf numFmtId="0" fontId="13" fillId="0" borderId="20" xfId="0" applyNumberFormat="1" applyFont="1" applyFill="1" applyBorder="1" applyAlignment="1">
      <alignment horizontal="center"/>
    </xf>
    <xf numFmtId="0" fontId="13" fillId="0" borderId="6" xfId="0" applyFont="1" applyFill="1" applyBorder="1" applyAlignment="1">
      <alignment horizontal="center"/>
    </xf>
    <xf numFmtId="174" fontId="13" fillId="0" borderId="6" xfId="0" applyNumberFormat="1" applyFont="1" applyFill="1" applyBorder="1" applyAlignment="1">
      <alignment horizontal="center"/>
    </xf>
    <xf numFmtId="175" fontId="13" fillId="0" borderId="20" xfId="0" applyNumberFormat="1" applyFont="1" applyFill="1" applyBorder="1" applyAlignment="1">
      <alignment horizontal="center"/>
    </xf>
    <xf numFmtId="3" fontId="13" fillId="0" borderId="20" xfId="0" applyNumberFormat="1" applyFont="1" applyFill="1" applyBorder="1" applyAlignment="1">
      <alignment horizontal="center"/>
    </xf>
    <xf numFmtId="37" fontId="13" fillId="0" borderId="0" xfId="0" applyNumberFormat="1" applyFont="1" applyFill="1" applyBorder="1" applyAlignment="1">
      <alignment horizontal="center"/>
    </xf>
    <xf numFmtId="175" fontId="13"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0" fontId="13" fillId="0" borderId="0" xfId="0" applyFont="1" applyFill="1" applyBorder="1" applyAlignment="1"/>
    <xf numFmtId="0" fontId="14" fillId="0" borderId="0" xfId="0" applyFont="1" applyFill="1" applyBorder="1" applyAlignment="1"/>
    <xf numFmtId="0" fontId="13" fillId="0" borderId="6" xfId="0" applyNumberFormat="1" applyFont="1" applyFill="1" applyBorder="1" applyAlignment="1">
      <alignment horizontal="center"/>
    </xf>
    <xf numFmtId="0" fontId="14" fillId="0" borderId="0" xfId="0" applyFont="1"/>
    <xf numFmtId="174" fontId="13" fillId="0" borderId="0" xfId="0" applyNumberFormat="1" applyFont="1" applyFill="1" applyBorder="1" applyAlignment="1">
      <alignment horizontal="center"/>
    </xf>
    <xf numFmtId="174" fontId="14" fillId="0" borderId="0" xfId="0" applyNumberFormat="1" applyFont="1" applyFill="1" applyBorder="1"/>
    <xf numFmtId="174" fontId="14" fillId="0" borderId="4" xfId="0" applyNumberFormat="1" applyFont="1" applyFill="1" applyBorder="1"/>
    <xf numFmtId="0" fontId="13" fillId="0" borderId="11" xfId="0" applyNumberFormat="1" applyFont="1" applyFill="1" applyBorder="1" applyAlignment="1">
      <alignment horizontal="centerContinuous"/>
    </xf>
    <xf numFmtId="0" fontId="14" fillId="0" borderId="0" xfId="0" applyNumberFormat="1" applyFont="1" applyFill="1" applyBorder="1" applyAlignment="1">
      <alignment horizontal="centerContinuous"/>
    </xf>
    <xf numFmtId="0" fontId="14" fillId="0" borderId="0" xfId="0" applyNumberFormat="1" applyFont="1" applyFill="1" applyBorder="1" applyAlignment="1">
      <alignment horizontal="center"/>
    </xf>
    <xf numFmtId="175" fontId="14" fillId="0" borderId="0" xfId="0" applyNumberFormat="1" applyFont="1" applyFill="1" applyBorder="1" applyAlignment="1">
      <alignment horizontal="centerContinuous"/>
    </xf>
    <xf numFmtId="37" fontId="14" fillId="0" borderId="0" xfId="0" applyNumberFormat="1" applyFont="1" applyFill="1" applyBorder="1" applyAlignment="1">
      <alignment horizontal="centerContinuous"/>
    </xf>
    <xf numFmtId="37" fontId="14" fillId="0" borderId="0" xfId="0" applyNumberFormat="1" applyFont="1" applyFill="1" applyBorder="1" applyAlignment="1"/>
    <xf numFmtId="0" fontId="14" fillId="0" borderId="11" xfId="0" applyFont="1" applyFill="1" applyBorder="1"/>
    <xf numFmtId="0" fontId="13" fillId="0" borderId="0" xfId="0" applyNumberFormat="1" applyFont="1" applyFill="1" applyBorder="1" applyAlignment="1">
      <alignment horizontal="center"/>
    </xf>
    <xf numFmtId="37" fontId="13" fillId="0" borderId="0" xfId="0" applyNumberFormat="1" applyFont="1" applyFill="1" applyBorder="1" applyAlignment="1">
      <alignment horizontal="centerContinuous"/>
    </xf>
    <xf numFmtId="0" fontId="6" fillId="0" borderId="0" xfId="0" applyNumberFormat="1" applyFont="1" applyFill="1" applyBorder="1" applyAlignment="1">
      <alignment horizontal="centerContinuous"/>
    </xf>
    <xf numFmtId="0" fontId="6" fillId="0" borderId="0" xfId="0" applyFont="1" applyFill="1" applyBorder="1" applyAlignment="1">
      <alignment horizontal="center"/>
    </xf>
    <xf numFmtId="174" fontId="13" fillId="0" borderId="4" xfId="0" applyNumberFormat="1" applyFont="1" applyFill="1" applyBorder="1" applyAlignment="1">
      <alignment horizontal="center"/>
    </xf>
    <xf numFmtId="174" fontId="13" fillId="0" borderId="24" xfId="0" applyNumberFormat="1" applyFont="1" applyFill="1" applyBorder="1" applyAlignment="1">
      <alignment horizontal="center"/>
    </xf>
    <xf numFmtId="37" fontId="13" fillId="0" borderId="25" xfId="0" applyNumberFormat="1" applyFont="1" applyFill="1" applyBorder="1" applyAlignment="1">
      <alignment horizontal="center"/>
    </xf>
    <xf numFmtId="0" fontId="14" fillId="0" borderId="21" xfId="0" applyFont="1" applyBorder="1"/>
    <xf numFmtId="0" fontId="14" fillId="0" borderId="23" xfId="0" applyFont="1" applyBorder="1"/>
    <xf numFmtId="0" fontId="14" fillId="0" borderId="11" xfId="0" applyFont="1" applyBorder="1"/>
    <xf numFmtId="0" fontId="14" fillId="0" borderId="4" xfId="0" applyFont="1" applyBorder="1"/>
    <xf numFmtId="0" fontId="13" fillId="0" borderId="0" xfId="0" applyNumberFormat="1" applyFont="1" applyFill="1" applyBorder="1" applyAlignment="1">
      <alignment horizontal="left"/>
    </xf>
    <xf numFmtId="0" fontId="14" fillId="0" borderId="0" xfId="0" applyFont="1" applyFill="1" applyBorder="1" applyAlignment="1">
      <alignment horizontal="center"/>
    </xf>
    <xf numFmtId="175" fontId="14" fillId="0" borderId="0" xfId="0" applyNumberFormat="1" applyFont="1" applyFill="1" applyBorder="1" applyAlignment="1"/>
    <xf numFmtId="37" fontId="14" fillId="0" borderId="0" xfId="0" applyNumberFormat="1" applyFont="1" applyFill="1" applyBorder="1"/>
    <xf numFmtId="0" fontId="14" fillId="0" borderId="11" xfId="0" quotePrefix="1" applyFont="1" applyBorder="1" applyAlignment="1">
      <alignment horizontal="left"/>
    </xf>
    <xf numFmtId="2" fontId="14" fillId="0" borderId="11" xfId="0" applyNumberFormat="1" applyFont="1" applyFill="1" applyBorder="1"/>
    <xf numFmtId="0" fontId="6" fillId="0" borderId="0" xfId="0" applyNumberFormat="1" applyFont="1" applyFill="1" applyBorder="1" applyAlignment="1">
      <alignment horizontal="left"/>
    </xf>
    <xf numFmtId="0" fontId="16" fillId="0" borderId="10" xfId="0" applyFont="1" applyBorder="1" applyAlignment="1">
      <alignment horizontal="left"/>
    </xf>
    <xf numFmtId="0" fontId="16" fillId="0" borderId="9" xfId="0" applyFont="1" applyBorder="1"/>
    <xf numFmtId="164" fontId="16" fillId="0" borderId="9" xfId="0" applyNumberFormat="1" applyFont="1" applyBorder="1"/>
    <xf numFmtId="0" fontId="16" fillId="0" borderId="2" xfId="0" applyFont="1" applyBorder="1"/>
    <xf numFmtId="0" fontId="6" fillId="0" borderId="0" xfId="0" applyFont="1" applyFill="1" applyBorder="1" applyAlignment="1"/>
    <xf numFmtId="10" fontId="14" fillId="0" borderId="0" xfId="13" applyNumberFormat="1" applyFont="1"/>
    <xf numFmtId="0" fontId="16" fillId="0" borderId="0" xfId="0" applyFont="1" applyAlignment="1">
      <alignment horizontal="center"/>
    </xf>
    <xf numFmtId="164" fontId="6" fillId="0" borderId="0" xfId="12" applyNumberFormat="1" applyFont="1" applyFill="1" applyBorder="1"/>
    <xf numFmtId="9" fontId="14" fillId="0" borderId="0" xfId="13" applyFont="1" applyFill="1" applyBorder="1"/>
    <xf numFmtId="164" fontId="6" fillId="0" borderId="22" xfId="12" applyNumberFormat="1" applyFont="1" applyFill="1" applyBorder="1"/>
    <xf numFmtId="0" fontId="6" fillId="0" borderId="0" xfId="1" applyFont="1"/>
    <xf numFmtId="0" fontId="13" fillId="0" borderId="0" xfId="1" applyFont="1" applyFill="1" applyAlignment="1">
      <alignment horizontal="center"/>
    </xf>
    <xf numFmtId="0" fontId="6" fillId="0" borderId="0" xfId="1" applyFont="1" applyFill="1"/>
    <xf numFmtId="0" fontId="6" fillId="0" borderId="9" xfId="1" applyFont="1" applyBorder="1" applyAlignment="1">
      <alignment horizontal="center" wrapText="1"/>
    </xf>
    <xf numFmtId="0" fontId="6" fillId="0" borderId="8" xfId="1" quotePrefix="1" applyFont="1" applyBorder="1" applyAlignment="1">
      <alignment horizontal="center" wrapText="1"/>
    </xf>
    <xf numFmtId="0" fontId="6" fillId="0" borderId="7" xfId="1" quotePrefix="1" applyFont="1" applyBorder="1" applyAlignment="1">
      <alignment horizontal="center" wrapText="1"/>
    </xf>
    <xf numFmtId="0" fontId="6" fillId="0" borderId="0" xfId="1" applyFont="1" applyAlignment="1">
      <alignment horizontal="center"/>
    </xf>
    <xf numFmtId="164" fontId="6" fillId="0" borderId="0" xfId="1" applyNumberFormat="1" applyFont="1"/>
    <xf numFmtId="0" fontId="6" fillId="0" borderId="3" xfId="1" applyFont="1" applyBorder="1"/>
    <xf numFmtId="0" fontId="6" fillId="0" borderId="4" xfId="1" applyFont="1" applyBorder="1"/>
    <xf numFmtId="166" fontId="6" fillId="0" borderId="4" xfId="10" applyNumberFormat="1" applyFont="1" applyBorder="1"/>
    <xf numFmtId="166" fontId="6" fillId="0" borderId="3" xfId="10" applyNumberFormat="1" applyFont="1" applyBorder="1"/>
    <xf numFmtId="0" fontId="6" fillId="0" borderId="1" xfId="1" applyFont="1" applyBorder="1"/>
    <xf numFmtId="0" fontId="6" fillId="0" borderId="2" xfId="1" applyFont="1" applyBorder="1"/>
    <xf numFmtId="166" fontId="6" fillId="0" borderId="2" xfId="10" applyNumberFormat="1" applyFont="1" applyBorder="1"/>
    <xf numFmtId="166" fontId="6" fillId="0" borderId="1" xfId="10" applyNumberFormat="1" applyFont="1" applyBorder="1"/>
    <xf numFmtId="0" fontId="13" fillId="0" borderId="9" xfId="1" quotePrefix="1" applyFont="1" applyBorder="1" applyAlignment="1">
      <alignment horizontal="center" wrapText="1"/>
    </xf>
    <xf numFmtId="0" fontId="13" fillId="0" borderId="9" xfId="1" applyFont="1" applyBorder="1" applyAlignment="1">
      <alignment horizontal="center" wrapText="1"/>
    </xf>
    <xf numFmtId="0" fontId="13" fillId="0" borderId="5" xfId="1" quotePrefix="1" applyFont="1" applyBorder="1" applyAlignment="1">
      <alignment horizontal="center" wrapText="1"/>
    </xf>
    <xf numFmtId="0" fontId="13" fillId="0" borderId="0" xfId="1" applyFont="1"/>
    <xf numFmtId="165" fontId="15" fillId="0" borderId="0" xfId="5" applyNumberFormat="1" applyFont="1"/>
    <xf numFmtId="0" fontId="13" fillId="0" borderId="8" xfId="1" applyFont="1" applyBorder="1" applyAlignment="1">
      <alignment horizontal="center" wrapText="1"/>
    </xf>
    <xf numFmtId="0" fontId="13" fillId="0" borderId="6" xfId="1" applyFont="1" applyBorder="1" applyAlignment="1">
      <alignment horizontal="center"/>
    </xf>
    <xf numFmtId="0" fontId="13" fillId="0" borderId="6" xfId="1" applyFont="1" applyBorder="1" applyAlignment="1">
      <alignment horizontal="center" wrapText="1"/>
    </xf>
    <xf numFmtId="166" fontId="20" fillId="0" borderId="1" xfId="10" applyNumberFormat="1" applyFont="1" applyBorder="1"/>
    <xf numFmtId="5" fontId="15" fillId="0" borderId="0" xfId="1" applyNumberFormat="1" applyFont="1"/>
    <xf numFmtId="164" fontId="15" fillId="0" borderId="0" xfId="3" applyNumberFormat="1" applyFont="1"/>
    <xf numFmtId="166" fontId="13" fillId="0" borderId="3" xfId="10" applyNumberFormat="1" applyFont="1" applyBorder="1"/>
    <xf numFmtId="165" fontId="6" fillId="0" borderId="0" xfId="5" applyNumberFormat="1" applyFont="1"/>
    <xf numFmtId="164" fontId="6" fillId="0" borderId="0" xfId="3" applyNumberFormat="1" applyFont="1"/>
    <xf numFmtId="166" fontId="13" fillId="0" borderId="1" xfId="10" applyNumberFormat="1" applyFont="1" applyBorder="1"/>
    <xf numFmtId="0" fontId="13" fillId="0" borderId="0" xfId="1" quotePrefix="1" applyFont="1" applyAlignment="1"/>
    <xf numFmtId="5" fontId="6" fillId="0" borderId="0" xfId="1" applyNumberFormat="1" applyFont="1" applyProtection="1"/>
    <xf numFmtId="0" fontId="6" fillId="0" borderId="0" xfId="1" applyFont="1" applyAlignment="1" applyProtection="1">
      <alignment horizontal="left"/>
    </xf>
    <xf numFmtId="0" fontId="13" fillId="0" borderId="0" xfId="1" applyFont="1" applyFill="1"/>
    <xf numFmtId="0" fontId="21" fillId="0" borderId="0" xfId="1" applyFont="1"/>
    <xf numFmtId="170" fontId="6" fillId="0" borderId="9" xfId="1" applyNumberFormat="1" applyFont="1" applyBorder="1" applyProtection="1"/>
    <xf numFmtId="0" fontId="6" fillId="0" borderId="0" xfId="1" applyFont="1" applyFill="1" applyAlignment="1" applyProtection="1">
      <alignment horizontal="left"/>
    </xf>
    <xf numFmtId="0" fontId="6" fillId="0" borderId="0" xfId="1" applyFont="1" applyProtection="1"/>
    <xf numFmtId="168" fontId="6" fillId="0" borderId="0" xfId="1" applyNumberFormat="1" applyFont="1" applyAlignment="1" applyProtection="1">
      <alignment horizontal="center"/>
    </xf>
    <xf numFmtId="5" fontId="6" fillId="0" borderId="0" xfId="1" applyNumberFormat="1" applyFont="1" applyFill="1" applyAlignment="1" applyProtection="1">
      <alignment horizontal="left"/>
    </xf>
    <xf numFmtId="167" fontId="6" fillId="0" borderId="0" xfId="10" applyNumberFormat="1" applyFont="1"/>
    <xf numFmtId="10" fontId="6" fillId="0" borderId="0" xfId="10" applyNumberFormat="1" applyFont="1" applyAlignment="1">
      <alignment horizontal="center"/>
    </xf>
    <xf numFmtId="166" fontId="6" fillId="0" borderId="0" xfId="8" applyNumberFormat="1" applyFont="1" applyFill="1" applyBorder="1" applyProtection="1">
      <protection locked="0"/>
    </xf>
    <xf numFmtId="0" fontId="6" fillId="0" borderId="9" xfId="1" applyFont="1" applyBorder="1" applyAlignment="1" applyProtection="1">
      <alignment horizontal="right" wrapText="1"/>
    </xf>
    <xf numFmtId="0" fontId="6" fillId="0" borderId="0" xfId="1" applyFont="1" applyAlignment="1" applyProtection="1">
      <alignment horizontal="right"/>
    </xf>
    <xf numFmtId="171" fontId="6" fillId="0" borderId="0" xfId="1" applyNumberFormat="1" applyFont="1" applyAlignment="1" applyProtection="1">
      <alignment horizontal="right"/>
    </xf>
    <xf numFmtId="172" fontId="6" fillId="0" borderId="0" xfId="12" applyNumberFormat="1" applyFont="1" applyFill="1" applyAlignment="1" applyProtection="1">
      <alignment horizontal="right"/>
    </xf>
    <xf numFmtId="171" fontId="6" fillId="0" borderId="0" xfId="11" applyNumberFormat="1" applyFont="1" applyAlignment="1" applyProtection="1">
      <alignment horizontal="right"/>
    </xf>
    <xf numFmtId="171" fontId="6" fillId="0" borderId="0" xfId="11" applyNumberFormat="1" applyFont="1"/>
    <xf numFmtId="5" fontId="6" fillId="0" borderId="0" xfId="1" applyNumberFormat="1" applyFont="1"/>
    <xf numFmtId="8" fontId="6" fillId="0" borderId="0" xfId="1" applyNumberFormat="1" applyFont="1"/>
    <xf numFmtId="5" fontId="6" fillId="0" borderId="0" xfId="1" applyNumberFormat="1" applyFont="1" applyAlignment="1" applyProtection="1">
      <alignment horizontal="right"/>
    </xf>
    <xf numFmtId="171" fontId="6" fillId="0" borderId="0" xfId="1" applyNumberFormat="1" applyFont="1"/>
    <xf numFmtId="10" fontId="6" fillId="0" borderId="0" xfId="1" applyNumberFormat="1" applyFont="1" applyFill="1" applyAlignment="1" applyProtection="1">
      <alignment horizontal="right"/>
    </xf>
    <xf numFmtId="171" fontId="6" fillId="0" borderId="0" xfId="1" applyNumberFormat="1" applyFont="1" applyAlignment="1">
      <alignment horizontal="right"/>
    </xf>
    <xf numFmtId="0" fontId="6" fillId="0" borderId="0" xfId="1" applyFont="1" applyAlignment="1">
      <alignment horizontal="right"/>
    </xf>
    <xf numFmtId="0" fontId="6" fillId="0" borderId="0" xfId="1" applyFont="1" applyFill="1" applyAlignment="1" applyProtection="1">
      <alignment horizontal="right"/>
    </xf>
    <xf numFmtId="0" fontId="6" fillId="0" borderId="0" xfId="1" applyFont="1" applyFill="1" applyAlignment="1">
      <alignment horizontal="right"/>
    </xf>
    <xf numFmtId="0" fontId="21" fillId="0" borderId="0" xfId="1" applyFont="1" applyFill="1"/>
    <xf numFmtId="5" fontId="6" fillId="0" borderId="0" xfId="1" applyNumberFormat="1" applyFont="1" applyFill="1" applyProtection="1"/>
    <xf numFmtId="170" fontId="6" fillId="0" borderId="9" xfId="1" applyNumberFormat="1" applyFont="1" applyFill="1" applyBorder="1" applyProtection="1"/>
    <xf numFmtId="0" fontId="6" fillId="0" borderId="0" xfId="1" applyFont="1" applyFill="1" applyProtection="1"/>
    <xf numFmtId="167" fontId="6" fillId="0" borderId="0" xfId="10" applyNumberFormat="1" applyFont="1" applyFill="1"/>
    <xf numFmtId="9" fontId="6" fillId="0" borderId="0" xfId="13" applyFont="1" applyFill="1" applyBorder="1" applyProtection="1">
      <protection locked="0"/>
    </xf>
    <xf numFmtId="0" fontId="6" fillId="0" borderId="0" xfId="8" applyFont="1" applyFill="1" applyAlignment="1">
      <alignment horizontal="left"/>
    </xf>
    <xf numFmtId="0" fontId="13" fillId="0" borderId="0" xfId="1" applyFont="1" applyAlignment="1">
      <alignment horizontal="center"/>
    </xf>
    <xf numFmtId="5" fontId="6" fillId="0" borderId="0" xfId="1" applyNumberFormat="1" applyFont="1" applyFill="1" applyAlignment="1" applyProtection="1">
      <alignment horizontal="right"/>
    </xf>
    <xf numFmtId="172" fontId="22" fillId="0" borderId="0" xfId="12" applyNumberFormat="1" applyFont="1" applyFill="1" applyAlignment="1" applyProtection="1">
      <alignment horizontal="right"/>
    </xf>
    <xf numFmtId="171" fontId="6" fillId="0" borderId="0" xfId="1" applyNumberFormat="1" applyFont="1" applyFill="1" applyAlignment="1" applyProtection="1">
      <alignment horizontal="right"/>
    </xf>
    <xf numFmtId="173" fontId="6" fillId="0" borderId="0" xfId="11" applyNumberFormat="1" applyFont="1" applyFill="1" applyAlignment="1" applyProtection="1">
      <alignment horizontal="right"/>
    </xf>
    <xf numFmtId="171" fontId="6" fillId="0" borderId="0" xfId="11" applyNumberFormat="1" applyFont="1" applyFill="1"/>
    <xf numFmtId="171" fontId="6" fillId="0" borderId="0" xfId="11" applyNumberFormat="1" applyFont="1" applyFill="1" applyAlignment="1" applyProtection="1">
      <alignment horizontal="right"/>
    </xf>
    <xf numFmtId="10" fontId="6" fillId="0" borderId="0" xfId="1" applyNumberFormat="1" applyFont="1" applyAlignment="1" applyProtection="1">
      <alignment horizontal="right"/>
    </xf>
    <xf numFmtId="169" fontId="6" fillId="0" borderId="0" xfId="3" applyNumberFormat="1" applyFont="1"/>
    <xf numFmtId="0" fontId="22" fillId="0" borderId="0" xfId="1" applyFont="1" applyAlignment="1" applyProtection="1">
      <alignment horizontal="right"/>
    </xf>
    <xf numFmtId="171" fontId="22" fillId="0" borderId="0" xfId="1" applyNumberFormat="1" applyFont="1" applyAlignment="1" applyProtection="1">
      <alignment horizontal="right"/>
    </xf>
    <xf numFmtId="171" fontId="6" fillId="0" borderId="0" xfId="1" applyNumberFormat="1" applyFont="1" applyProtection="1"/>
    <xf numFmtId="0" fontId="6" fillId="0" borderId="0" xfId="1" applyFont="1" applyAlignment="1" applyProtection="1">
      <alignment horizontal="right"/>
    </xf>
    <xf numFmtId="0" fontId="6" fillId="0" borderId="0" xfId="1" applyFont="1" applyFill="1" applyAlignment="1" applyProtection="1">
      <alignment horizontal="right"/>
    </xf>
    <xf numFmtId="0" fontId="13" fillId="0" borderId="0" xfId="1" applyFont="1" applyAlignment="1" applyProtection="1">
      <alignment horizontal="right"/>
    </xf>
    <xf numFmtId="5" fontId="13" fillId="0" borderId="0" xfId="1" applyNumberFormat="1" applyFont="1" applyAlignment="1" applyProtection="1">
      <alignment horizontal="right"/>
    </xf>
    <xf numFmtId="172" fontId="13" fillId="0" borderId="0" xfId="12" applyNumberFormat="1" applyFont="1" applyFill="1" applyAlignment="1" applyProtection="1">
      <alignment horizontal="right"/>
    </xf>
    <xf numFmtId="171" fontId="13" fillId="0" borderId="0" xfId="1" applyNumberFormat="1" applyFont="1" applyAlignment="1" applyProtection="1">
      <alignment horizontal="right"/>
    </xf>
    <xf numFmtId="171" fontId="13" fillId="0" borderId="0" xfId="1" applyNumberFormat="1" applyFont="1"/>
    <xf numFmtId="10" fontId="13" fillId="0" borderId="0" xfId="1" applyNumberFormat="1" applyFont="1" applyFill="1" applyAlignment="1" applyProtection="1">
      <alignment horizontal="right"/>
    </xf>
    <xf numFmtId="171" fontId="13" fillId="0" borderId="0" xfId="1" applyNumberFormat="1" applyFont="1" applyAlignment="1">
      <alignment horizontal="right"/>
    </xf>
    <xf numFmtId="0" fontId="13" fillId="0" borderId="0" xfId="1" applyFont="1" applyAlignment="1">
      <alignment horizontal="right"/>
    </xf>
    <xf numFmtId="0" fontId="13" fillId="0" borderId="9" xfId="1" applyFont="1" applyBorder="1" applyAlignment="1" applyProtection="1">
      <alignment horizontal="center" wrapText="1"/>
    </xf>
    <xf numFmtId="0" fontId="13" fillId="0" borderId="9" xfId="1" applyFont="1" applyFill="1" applyBorder="1" applyAlignment="1" applyProtection="1">
      <alignment horizontal="center" wrapText="1"/>
    </xf>
    <xf numFmtId="0" fontId="13" fillId="0" borderId="0" xfId="1" applyFont="1" applyFill="1" applyAlignment="1" applyProtection="1">
      <alignment horizontal="right"/>
    </xf>
    <xf numFmtId="5" fontId="13" fillId="0" borderId="0" xfId="1" applyNumberFormat="1" applyFont="1" applyFill="1" applyAlignment="1" applyProtection="1">
      <alignment horizontal="right"/>
    </xf>
    <xf numFmtId="171" fontId="13" fillId="0" borderId="0" xfId="1" applyNumberFormat="1" applyFont="1" applyFill="1" applyAlignment="1" applyProtection="1">
      <alignment horizontal="right"/>
    </xf>
    <xf numFmtId="171" fontId="13" fillId="0" borderId="0" xfId="1" applyNumberFormat="1" applyFont="1" applyFill="1"/>
    <xf numFmtId="164" fontId="13" fillId="0" borderId="0" xfId="1" applyNumberFormat="1" applyFont="1"/>
    <xf numFmtId="171" fontId="13" fillId="0" borderId="0" xfId="1" applyNumberFormat="1" applyFont="1" applyFill="1" applyAlignment="1">
      <alignment horizontal="right"/>
    </xf>
    <xf numFmtId="176" fontId="13" fillId="0" borderId="0" xfId="0" quotePrefix="1" applyNumberFormat="1" applyFont="1" applyFill="1" applyBorder="1" applyAlignment="1">
      <alignment horizontal="center"/>
    </xf>
    <xf numFmtId="0" fontId="14" fillId="0" borderId="0" xfId="0" applyFont="1" applyFill="1" applyBorder="1"/>
    <xf numFmtId="0" fontId="14" fillId="0" borderId="4" xfId="0" applyFont="1" applyFill="1" applyBorder="1"/>
    <xf numFmtId="0" fontId="14" fillId="0" borderId="10" xfId="0" applyFont="1" applyFill="1" applyBorder="1"/>
    <xf numFmtId="0" fontId="14" fillId="0" borderId="9" xfId="0" applyFont="1" applyFill="1" applyBorder="1"/>
    <xf numFmtId="0" fontId="14" fillId="0" borderId="2" xfId="0" applyFont="1" applyFill="1" applyBorder="1"/>
    <xf numFmtId="0" fontId="15" fillId="3" borderId="0" xfId="0" applyFont="1" applyFill="1" applyBorder="1" applyAlignment="1">
      <alignment horizontal="center"/>
    </xf>
    <xf numFmtId="0" fontId="14" fillId="3" borderId="0" xfId="0" applyFont="1" applyFill="1" applyBorder="1" applyAlignment="1">
      <alignment horizontal="center"/>
    </xf>
    <xf numFmtId="175" fontId="15" fillId="3" borderId="0" xfId="0" applyNumberFormat="1" applyFont="1" applyFill="1" applyBorder="1" applyAlignment="1">
      <alignment horizontal="center"/>
    </xf>
    <xf numFmtId="0" fontId="14" fillId="3" borderId="0" xfId="0" applyFont="1" applyFill="1" applyBorder="1"/>
    <xf numFmtId="43" fontId="15" fillId="3" borderId="0" xfId="12" applyFont="1" applyFill="1" applyBorder="1"/>
    <xf numFmtId="43" fontId="14" fillId="3" borderId="0" xfId="12" applyFont="1" applyFill="1" applyBorder="1"/>
    <xf numFmtId="164" fontId="15" fillId="3" borderId="0" xfId="12" applyNumberFormat="1" applyFont="1" applyFill="1" applyBorder="1"/>
    <xf numFmtId="164" fontId="14" fillId="3" borderId="0" xfId="12" applyNumberFormat="1" applyFont="1" applyFill="1" applyBorder="1"/>
    <xf numFmtId="2" fontId="15" fillId="3" borderId="0" xfId="0" applyNumberFormat="1" applyFont="1" applyFill="1" applyBorder="1"/>
    <xf numFmtId="2" fontId="14" fillId="3" borderId="0" xfId="0" applyNumberFormat="1" applyFont="1" applyFill="1" applyBorder="1"/>
    <xf numFmtId="2" fontId="15" fillId="3" borderId="4" xfId="0" applyNumberFormat="1" applyFont="1" applyFill="1" applyBorder="1"/>
    <xf numFmtId="175" fontId="15" fillId="3" borderId="0" xfId="0" applyNumberFormat="1" applyFont="1" applyFill="1" applyBorder="1"/>
    <xf numFmtId="0" fontId="17" fillId="3" borderId="0" xfId="0" applyFont="1" applyFill="1" applyBorder="1"/>
    <xf numFmtId="0" fontId="14" fillId="3" borderId="4" xfId="0" applyFont="1" applyFill="1" applyBorder="1"/>
    <xf numFmtId="39" fontId="13" fillId="3" borderId="0" xfId="14" applyNumberFormat="1" applyFont="1" applyFill="1" applyBorder="1"/>
    <xf numFmtId="0" fontId="13" fillId="3" borderId="0" xfId="0" applyFont="1" applyFill="1" applyBorder="1" applyAlignment="1"/>
    <xf numFmtId="37" fontId="13" fillId="3" borderId="0" xfId="14" applyNumberFormat="1" applyFont="1" applyFill="1" applyBorder="1"/>
    <xf numFmtId="37" fontId="13" fillId="3" borderId="0" xfId="0" applyNumberFormat="1" applyFont="1" applyFill="1" applyBorder="1" applyAlignment="1"/>
    <xf numFmtId="2" fontId="13" fillId="3" borderId="0" xfId="0" applyNumberFormat="1" applyFont="1" applyFill="1" applyBorder="1"/>
    <xf numFmtId="0" fontId="14" fillId="3" borderId="0" xfId="0" applyFont="1" applyFill="1" applyBorder="1" applyAlignment="1"/>
    <xf numFmtId="10" fontId="15" fillId="3" borderId="22" xfId="13" applyNumberFormat="1" applyFont="1" applyFill="1" applyBorder="1"/>
    <xf numFmtId="10" fontId="15" fillId="3" borderId="0" xfId="13" applyNumberFormat="1" applyFont="1" applyFill="1" applyBorder="1"/>
    <xf numFmtId="0" fontId="6" fillId="4" borderId="11" xfId="1" quotePrefix="1" applyFont="1" applyFill="1" applyBorder="1" applyAlignment="1" applyProtection="1">
      <alignment horizontal="left"/>
    </xf>
    <xf numFmtId="167" fontId="15" fillId="4" borderId="0" xfId="13" applyNumberFormat="1" applyFont="1" applyFill="1" applyBorder="1" applyProtection="1"/>
    <xf numFmtId="10" fontId="15" fillId="4" borderId="0" xfId="1" applyNumberFormat="1" applyFont="1" applyFill="1" applyBorder="1" applyProtection="1"/>
    <xf numFmtId="10" fontId="6" fillId="4" borderId="4" xfId="13" applyNumberFormat="1" applyFont="1" applyFill="1" applyBorder="1" applyAlignment="1" applyProtection="1">
      <alignment horizontal="center"/>
    </xf>
    <xf numFmtId="167" fontId="22" fillId="4" borderId="0" xfId="13" applyNumberFormat="1" applyFont="1" applyFill="1" applyBorder="1" applyProtection="1"/>
    <xf numFmtId="10" fontId="22" fillId="4" borderId="0" xfId="1" applyNumberFormat="1" applyFont="1" applyFill="1" applyBorder="1" applyProtection="1"/>
    <xf numFmtId="0" fontId="6" fillId="4" borderId="11" xfId="1" applyFont="1" applyFill="1" applyBorder="1" applyAlignment="1" applyProtection="1">
      <alignment horizontal="left"/>
    </xf>
    <xf numFmtId="167" fontId="6" fillId="4" borderId="13" xfId="13" applyNumberFormat="1" applyFont="1" applyFill="1" applyBorder="1" applyProtection="1"/>
    <xf numFmtId="10" fontId="6" fillId="4" borderId="0" xfId="1" applyNumberFormat="1" applyFont="1" applyFill="1" applyBorder="1" applyProtection="1"/>
    <xf numFmtId="10" fontId="6" fillId="4" borderId="12" xfId="13" applyNumberFormat="1" applyFont="1" applyFill="1" applyBorder="1" applyAlignment="1" applyProtection="1">
      <alignment horizontal="center"/>
    </xf>
    <xf numFmtId="0" fontId="6" fillId="4" borderId="11" xfId="1" applyFont="1" applyFill="1" applyBorder="1"/>
    <xf numFmtId="10" fontId="13" fillId="4" borderId="2" xfId="13" applyNumberFormat="1" applyFont="1" applyFill="1" applyBorder="1" applyAlignment="1" applyProtection="1">
      <alignment horizontal="center"/>
    </xf>
    <xf numFmtId="1" fontId="15" fillId="4" borderId="0" xfId="1" applyNumberFormat="1" applyFont="1" applyFill="1" applyAlignment="1" applyProtection="1">
      <alignment horizontal="center"/>
    </xf>
    <xf numFmtId="166" fontId="15" fillId="4" borderId="0" xfId="1" applyNumberFormat="1" applyFont="1" applyFill="1" applyAlignment="1" applyProtection="1">
      <alignment horizontal="center"/>
    </xf>
    <xf numFmtId="5" fontId="15" fillId="4" borderId="0" xfId="1" applyNumberFormat="1" applyFont="1" applyFill="1" applyProtection="1"/>
    <xf numFmtId="0" fontId="6" fillId="4" borderId="11" xfId="1" applyFont="1" applyFill="1" applyBorder="1" applyAlignment="1" applyProtection="1">
      <alignment horizontal="left" indent="1"/>
    </xf>
    <xf numFmtId="10" fontId="15" fillId="4" borderId="0" xfId="13" applyNumberFormat="1" applyFont="1" applyFill="1" applyBorder="1" applyProtection="1"/>
    <xf numFmtId="10" fontId="15" fillId="4" borderId="4" xfId="13" applyNumberFormat="1" applyFont="1" applyFill="1" applyBorder="1" applyAlignment="1" applyProtection="1">
      <alignment horizontal="center"/>
    </xf>
    <xf numFmtId="10" fontId="6" fillId="4" borderId="0" xfId="13" applyNumberFormat="1" applyFont="1" applyFill="1" applyBorder="1" applyProtection="1"/>
    <xf numFmtId="168" fontId="6" fillId="4" borderId="0" xfId="1" applyNumberFormat="1" applyFont="1" applyFill="1" applyBorder="1" applyProtection="1"/>
    <xf numFmtId="10" fontId="6" fillId="4" borderId="2" xfId="13" applyNumberFormat="1" applyFont="1" applyFill="1" applyBorder="1" applyAlignment="1" applyProtection="1">
      <alignment horizontal="center"/>
    </xf>
    <xf numFmtId="10" fontId="15" fillId="4" borderId="0" xfId="8" applyNumberFormat="1" applyFont="1" applyFill="1" applyBorder="1" applyAlignment="1" applyProtection="1">
      <alignment horizontal="center"/>
      <protection locked="0"/>
    </xf>
    <xf numFmtId="0" fontId="15" fillId="4" borderId="0" xfId="8" applyFont="1" applyFill="1" applyBorder="1" applyAlignment="1" applyProtection="1">
      <alignment horizontal="center"/>
      <protection locked="0"/>
    </xf>
    <xf numFmtId="166" fontId="15" fillId="4" borderId="0" xfId="8" applyNumberFormat="1" applyFont="1" applyFill="1" applyBorder="1" applyAlignment="1" applyProtection="1">
      <alignment horizontal="center"/>
      <protection locked="0"/>
    </xf>
    <xf numFmtId="168" fontId="6" fillId="4" borderId="4" xfId="1" applyNumberFormat="1" applyFont="1" applyFill="1" applyBorder="1" applyAlignment="1" applyProtection="1">
      <alignment horizontal="center"/>
    </xf>
    <xf numFmtId="0" fontId="13" fillId="4" borderId="11" xfId="0" applyNumberFormat="1" applyFont="1" applyFill="1" applyBorder="1" applyAlignment="1"/>
    <xf numFmtId="0" fontId="13" fillId="4" borderId="0" xfId="0" applyNumberFormat="1" applyFont="1" applyFill="1" applyBorder="1" applyAlignment="1"/>
    <xf numFmtId="0" fontId="13" fillId="4" borderId="4" xfId="0" applyNumberFormat="1" applyFont="1" applyFill="1" applyBorder="1" applyAlignment="1"/>
    <xf numFmtId="0" fontId="13" fillId="4" borderId="11" xfId="0" applyNumberFormat="1" applyFont="1" applyFill="1" applyBorder="1" applyAlignment="1">
      <alignment horizontal="center"/>
    </xf>
    <xf numFmtId="0" fontId="13" fillId="4" borderId="0" xfId="0" applyNumberFormat="1" applyFont="1" applyFill="1" applyBorder="1" applyAlignment="1">
      <alignment horizontal="center"/>
    </xf>
    <xf numFmtId="0" fontId="13" fillId="4" borderId="4" xfId="0" applyNumberFormat="1" applyFont="1" applyFill="1" applyBorder="1" applyAlignment="1">
      <alignment horizontal="center"/>
    </xf>
    <xf numFmtId="0" fontId="13" fillId="4" borderId="26" xfId="0" applyNumberFormat="1" applyFont="1" applyFill="1" applyBorder="1" applyAlignment="1">
      <alignment horizontal="center"/>
    </xf>
    <xf numFmtId="0" fontId="13" fillId="4" borderId="6" xfId="0" applyNumberFormat="1" applyFont="1" applyFill="1" applyBorder="1" applyAlignment="1" applyProtection="1">
      <alignment horizontal="center"/>
      <protection locked="0"/>
    </xf>
    <xf numFmtId="0" fontId="13" fillId="4" borderId="6" xfId="0" applyNumberFormat="1" applyFont="1" applyFill="1" applyBorder="1" applyAlignment="1">
      <alignment horizontal="center"/>
    </xf>
    <xf numFmtId="0" fontId="13" fillId="4" borderId="24" xfId="0" applyNumberFormat="1" applyFont="1" applyFill="1" applyBorder="1" applyAlignment="1">
      <alignment horizontal="center"/>
    </xf>
    <xf numFmtId="0" fontId="6" fillId="4" borderId="11" xfId="0" applyNumberFormat="1" applyFont="1" applyFill="1" applyBorder="1" applyAlignment="1"/>
    <xf numFmtId="0" fontId="6" fillId="4" borderId="0" xfId="0" applyNumberFormat="1" applyFont="1" applyFill="1" applyBorder="1" applyAlignment="1"/>
    <xf numFmtId="0" fontId="6" fillId="4" borderId="4" xfId="0" applyNumberFormat="1" applyFont="1" applyFill="1" applyBorder="1" applyAlignment="1">
      <alignment horizontal="center"/>
    </xf>
    <xf numFmtId="0" fontId="6" fillId="4" borderId="11" xfId="0" applyNumberFormat="1" applyFont="1" applyFill="1" applyBorder="1" applyAlignment="1">
      <alignment horizontal="center"/>
    </xf>
    <xf numFmtId="0" fontId="6" fillId="4" borderId="0" xfId="0" applyNumberFormat="1" applyFont="1" applyFill="1" applyBorder="1" applyAlignment="1">
      <alignment horizontal="left"/>
    </xf>
    <xf numFmtId="0" fontId="15" fillId="4" borderId="0" xfId="0" applyNumberFormat="1" applyFont="1" applyFill="1" applyBorder="1" applyAlignment="1"/>
    <xf numFmtId="177" fontId="15" fillId="4" borderId="4" xfId="0" applyNumberFormat="1" applyFont="1" applyFill="1" applyBorder="1" applyAlignment="1"/>
    <xf numFmtId="166" fontId="15" fillId="4" borderId="0" xfId="0" applyNumberFormat="1" applyFont="1" applyFill="1" applyBorder="1" applyAlignment="1">
      <alignment horizontal="center"/>
    </xf>
    <xf numFmtId="177" fontId="15" fillId="4" borderId="24" xfId="0" applyNumberFormat="1" applyFont="1" applyFill="1" applyBorder="1" applyAlignment="1"/>
    <xf numFmtId="0" fontId="6" fillId="4" borderId="0" xfId="0" applyNumberFormat="1" applyFont="1" applyFill="1" applyBorder="1" applyAlignment="1">
      <alignment horizontal="center"/>
    </xf>
    <xf numFmtId="177" fontId="6" fillId="4" borderId="4" xfId="0" applyNumberFormat="1" applyFont="1" applyFill="1" applyBorder="1" applyAlignment="1"/>
    <xf numFmtId="9" fontId="15" fillId="4" borderId="0" xfId="0" applyNumberFormat="1" applyFont="1" applyFill="1" applyBorder="1" applyAlignment="1">
      <alignment horizontal="center"/>
    </xf>
    <xf numFmtId="0" fontId="6" fillId="4" borderId="10" xfId="0" applyNumberFormat="1" applyFont="1" applyFill="1" applyBorder="1" applyAlignment="1">
      <alignment horizontal="center"/>
    </xf>
    <xf numFmtId="0" fontId="6" fillId="4" borderId="9" xfId="0" applyNumberFormat="1" applyFont="1" applyFill="1" applyBorder="1" applyAlignment="1">
      <alignment horizontal="left"/>
    </xf>
    <xf numFmtId="0" fontId="6" fillId="4" borderId="9" xfId="0" applyNumberFormat="1" applyFont="1" applyFill="1" applyBorder="1" applyAlignment="1"/>
    <xf numFmtId="177" fontId="6" fillId="4" borderId="27" xfId="0" applyNumberFormat="1" applyFont="1" applyFill="1" applyBorder="1" applyAlignment="1" applyProtection="1">
      <protection locked="0"/>
    </xf>
    <xf numFmtId="0" fontId="2" fillId="4" borderId="0" xfId="1" applyFont="1" applyFill="1" applyBorder="1"/>
    <xf numFmtId="0" fontId="10" fillId="4" borderId="0" xfId="1" quotePrefix="1" applyFont="1" applyFill="1" applyBorder="1" applyAlignment="1">
      <alignment horizontal="center"/>
    </xf>
    <xf numFmtId="0" fontId="4" fillId="4" borderId="0" xfId="1" applyFont="1" applyFill="1" applyBorder="1"/>
    <xf numFmtId="0" fontId="3" fillId="4" borderId="0" xfId="1" quotePrefix="1" applyFont="1" applyFill="1" applyBorder="1" applyAlignment="1">
      <alignment horizontal="center"/>
    </xf>
    <xf numFmtId="14" fontId="3" fillId="4" borderId="0" xfId="1" quotePrefix="1" applyNumberFormat="1" applyFont="1" applyFill="1" applyBorder="1" applyAlignment="1">
      <alignment horizontal="center"/>
    </xf>
    <xf numFmtId="0" fontId="12" fillId="4" borderId="0" xfId="1" quotePrefix="1" applyFont="1" applyFill="1" applyBorder="1" applyAlignment="1">
      <alignment horizontal="left"/>
    </xf>
    <xf numFmtId="166" fontId="15" fillId="4" borderId="14" xfId="10" applyNumberFormat="1" applyFont="1" applyFill="1" applyBorder="1"/>
    <xf numFmtId="166" fontId="15" fillId="4" borderId="4" xfId="10" applyNumberFormat="1" applyFont="1" applyFill="1" applyBorder="1"/>
    <xf numFmtId="166" fontId="15" fillId="4" borderId="3" xfId="10" applyNumberFormat="1" applyFont="1" applyFill="1" applyBorder="1"/>
    <xf numFmtId="0" fontId="18" fillId="0" borderId="0" xfId="1" quotePrefix="1" applyFont="1" applyFill="1" applyAlignment="1">
      <alignment horizontal="center"/>
    </xf>
    <xf numFmtId="0" fontId="18" fillId="0" borderId="0" xfId="1" applyFont="1" applyFill="1" applyAlignment="1">
      <alignment horizontal="center"/>
    </xf>
    <xf numFmtId="0" fontId="19" fillId="4" borderId="0" xfId="1" applyFont="1" applyFill="1" applyAlignment="1">
      <alignment horizontal="center" wrapText="1"/>
    </xf>
    <xf numFmtId="0" fontId="13" fillId="0" borderId="0" xfId="1" applyFont="1" applyFill="1" applyAlignment="1">
      <alignment horizontal="center"/>
    </xf>
    <xf numFmtId="0" fontId="6" fillId="0" borderId="9" xfId="1" quotePrefix="1" applyFont="1" applyFill="1" applyBorder="1" applyAlignment="1">
      <alignment horizontal="center"/>
    </xf>
    <xf numFmtId="0" fontId="18" fillId="0" borderId="0" xfId="1" quotePrefix="1" applyFont="1" applyAlignment="1">
      <alignment horizontal="center"/>
    </xf>
    <xf numFmtId="0" fontId="18" fillId="0" borderId="0" xfId="1" applyFont="1" applyAlignment="1">
      <alignment horizontal="center"/>
    </xf>
    <xf numFmtId="0" fontId="4" fillId="0" borderId="0" xfId="0" quotePrefix="1" applyFont="1" applyFill="1" applyAlignment="1">
      <alignment horizontal="left"/>
    </xf>
    <xf numFmtId="0" fontId="13" fillId="0" borderId="0" xfId="1" quotePrefix="1" applyFont="1" applyAlignment="1">
      <alignment horizontal="left"/>
    </xf>
    <xf numFmtId="0" fontId="6" fillId="4" borderId="10" xfId="1" applyFont="1" applyFill="1" applyBorder="1" applyAlignment="1">
      <alignment horizontal="right"/>
    </xf>
    <xf numFmtId="0" fontId="6" fillId="4" borderId="9" xfId="1" applyFont="1" applyFill="1" applyBorder="1" applyAlignment="1">
      <alignment horizontal="right"/>
    </xf>
    <xf numFmtId="0" fontId="6" fillId="0" borderId="0" xfId="8" applyFont="1" applyAlignment="1">
      <alignment horizontal="left"/>
    </xf>
    <xf numFmtId="0" fontId="6" fillId="0" borderId="0" xfId="1" applyFont="1" applyAlignment="1" applyProtection="1">
      <alignment horizontal="left"/>
    </xf>
    <xf numFmtId="0" fontId="6" fillId="4" borderId="17" xfId="1" applyFont="1" applyFill="1" applyBorder="1" applyAlignment="1" applyProtection="1">
      <alignment horizontal="center"/>
    </xf>
    <xf numFmtId="0" fontId="6" fillId="4" borderId="18" xfId="1" applyFont="1" applyFill="1" applyBorder="1" applyAlignment="1" applyProtection="1">
      <alignment horizontal="center"/>
    </xf>
    <xf numFmtId="0" fontId="6" fillId="4" borderId="19" xfId="1" applyFont="1" applyFill="1" applyBorder="1" applyAlignment="1" applyProtection="1">
      <alignment horizontal="center"/>
    </xf>
    <xf numFmtId="0" fontId="13" fillId="4" borderId="21" xfId="0" applyNumberFormat="1" applyFont="1" applyFill="1" applyBorder="1" applyAlignment="1" applyProtection="1">
      <alignment horizontal="center" wrapText="1"/>
      <protection locked="0"/>
    </xf>
    <xf numFmtId="0" fontId="0" fillId="4" borderId="22" xfId="0" applyFill="1" applyBorder="1" applyAlignment="1">
      <alignment horizontal="center" wrapText="1"/>
    </xf>
    <xf numFmtId="0" fontId="0" fillId="4" borderId="23" xfId="0" applyFill="1" applyBorder="1" applyAlignment="1">
      <alignment horizontal="center" wrapText="1"/>
    </xf>
    <xf numFmtId="0" fontId="20" fillId="4" borderId="11" xfId="0" applyNumberFormat="1" applyFont="1" applyFill="1" applyBorder="1" applyAlignment="1">
      <alignment horizontal="center" wrapText="1"/>
    </xf>
    <xf numFmtId="0" fontId="0" fillId="4" borderId="0" xfId="0" applyFill="1" applyAlignment="1">
      <alignment horizontal="center" wrapText="1"/>
    </xf>
    <xf numFmtId="0" fontId="0" fillId="4" borderId="4" xfId="0" applyFill="1" applyBorder="1" applyAlignment="1">
      <alignment horizontal="center" wrapText="1"/>
    </xf>
    <xf numFmtId="0" fontId="13" fillId="0" borderId="0" xfId="1" applyFont="1" applyAlignment="1" applyProtection="1">
      <alignment horizontal="right"/>
    </xf>
    <xf numFmtId="0" fontId="6" fillId="0" borderId="0" xfId="8" quotePrefix="1" applyFont="1" applyAlignment="1">
      <alignment horizontal="left"/>
    </xf>
    <xf numFmtId="0" fontId="13" fillId="0" borderId="0" xfId="1" applyFont="1" applyFill="1" applyAlignment="1" applyProtection="1">
      <alignment horizontal="right"/>
    </xf>
    <xf numFmtId="0" fontId="6" fillId="0" borderId="0" xfId="1" applyFont="1" applyFill="1" applyAlignment="1" applyProtection="1">
      <alignment horizontal="left"/>
    </xf>
    <xf numFmtId="0" fontId="13" fillId="0" borderId="0" xfId="1" applyFont="1" applyAlignment="1">
      <alignment horizontal="center"/>
    </xf>
    <xf numFmtId="0" fontId="6" fillId="0" borderId="0" xfId="8" applyFont="1" applyFill="1" applyAlignment="1">
      <alignment horizontal="left"/>
    </xf>
    <xf numFmtId="0" fontId="13" fillId="0" borderId="0" xfId="1" quotePrefix="1" applyFont="1" applyFill="1" applyAlignment="1">
      <alignment horizontal="left"/>
    </xf>
    <xf numFmtId="0" fontId="6" fillId="4" borderId="17" xfId="1" quotePrefix="1" applyFont="1" applyFill="1" applyBorder="1" applyAlignment="1" applyProtection="1">
      <alignment horizontal="center"/>
    </xf>
    <xf numFmtId="0" fontId="6" fillId="4" borderId="18" xfId="1" quotePrefix="1" applyFont="1" applyFill="1" applyBorder="1" applyAlignment="1" applyProtection="1">
      <alignment horizontal="center"/>
    </xf>
    <xf numFmtId="0" fontId="6" fillId="4" borderId="19" xfId="1" quotePrefix="1" applyFont="1" applyFill="1" applyBorder="1" applyAlignment="1" applyProtection="1">
      <alignment horizontal="center"/>
    </xf>
    <xf numFmtId="0" fontId="6" fillId="0" borderId="0" xfId="1" applyFont="1" applyAlignment="1" applyProtection="1">
      <alignment horizontal="right"/>
    </xf>
    <xf numFmtId="0" fontId="6" fillId="0" borderId="0" xfId="1" quotePrefix="1" applyFont="1" applyAlignment="1">
      <alignment horizontal="left" wrapText="1"/>
    </xf>
    <xf numFmtId="0" fontId="13" fillId="4" borderId="10" xfId="1" applyFont="1" applyFill="1" applyBorder="1" applyAlignment="1">
      <alignment horizontal="right"/>
    </xf>
    <xf numFmtId="0" fontId="13" fillId="4" borderId="9" xfId="1" applyFont="1" applyFill="1" applyBorder="1" applyAlignment="1">
      <alignment horizontal="right"/>
    </xf>
    <xf numFmtId="0" fontId="6" fillId="4" borderId="15" xfId="1" quotePrefix="1" applyFont="1" applyFill="1" applyBorder="1" applyAlignment="1" applyProtection="1">
      <alignment horizontal="center"/>
    </xf>
    <xf numFmtId="0" fontId="6" fillId="4" borderId="16" xfId="1" quotePrefix="1" applyFont="1" applyFill="1" applyBorder="1" applyAlignment="1" applyProtection="1">
      <alignment horizontal="center"/>
    </xf>
    <xf numFmtId="0" fontId="6" fillId="4" borderId="7" xfId="1" quotePrefix="1" applyFont="1" applyFill="1" applyBorder="1" applyAlignment="1" applyProtection="1">
      <alignment horizontal="center"/>
    </xf>
    <xf numFmtId="0" fontId="13" fillId="3" borderId="11" xfId="0" applyFont="1" applyFill="1" applyBorder="1" applyAlignment="1">
      <alignment horizontal="center" wrapText="1"/>
    </xf>
    <xf numFmtId="0" fontId="0" fillId="3" borderId="0" xfId="0" applyFill="1" applyBorder="1" applyAlignment="1">
      <alignment horizontal="center" wrapText="1"/>
    </xf>
    <xf numFmtId="0" fontId="0" fillId="3" borderId="4" xfId="0" applyFill="1" applyBorder="1" applyAlignment="1">
      <alignment horizontal="center" wrapText="1"/>
    </xf>
    <xf numFmtId="0" fontId="13" fillId="3" borderId="21" xfId="0" applyFont="1" applyFill="1" applyBorder="1" applyAlignment="1">
      <alignment horizontal="center" wrapText="1"/>
    </xf>
    <xf numFmtId="0" fontId="0" fillId="3" borderId="22" xfId="0" applyFill="1" applyBorder="1" applyAlignment="1">
      <alignment horizontal="center" wrapText="1"/>
    </xf>
    <xf numFmtId="0" fontId="0" fillId="3" borderId="23" xfId="0" applyFill="1" applyBorder="1" applyAlignment="1">
      <alignment horizontal="center" wrapText="1"/>
    </xf>
  </cellXfs>
  <cellStyles count="15">
    <cellStyle name="Comma" xfId="12" builtinId="3"/>
    <cellStyle name="Comma 2" xfId="2"/>
    <cellStyle name="Comma 3" xfId="3"/>
    <cellStyle name="Currency" xfId="11" builtinId="4"/>
    <cellStyle name="Currency 2" xfId="4"/>
    <cellStyle name="Currency 3" xfId="5"/>
    <cellStyle name="Normal" xfId="0" builtinId="0"/>
    <cellStyle name="Normal 2" xfId="6"/>
    <cellStyle name="Normal 3" xfId="7"/>
    <cellStyle name="Normal 4" xfId="1"/>
    <cellStyle name="Normal_Iowa ASL GPAMORT" xfId="14"/>
    <cellStyle name="Normal_Nonreplacement Modelweyerhaeuser" xfId="8"/>
    <cellStyle name="Percent" xfId="13" builtinId="5"/>
    <cellStyle name="Percent 2" xfId="9"/>
    <cellStyle name="Percent 3" xfId="10"/>
  </cellStyles>
  <dxfs count="0"/>
  <tableStyles count="0" defaultTableStyle="TableStyleMedium9" defaultPivotStyle="PivotStyleLight16"/>
  <colors>
    <mruColors>
      <color rgb="FF0099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K20"/>
  <sheetViews>
    <sheetView zoomScaleNormal="100" workbookViewId="0">
      <selection activeCell="B19" sqref="B19"/>
    </sheetView>
  </sheetViews>
  <sheetFormatPr defaultColWidth="9.140625" defaultRowHeight="12.75" x14ac:dyDescent="0.2"/>
  <cols>
    <col min="1" max="1" width="19" style="1" customWidth="1"/>
    <col min="2" max="2" width="88.140625" style="1" customWidth="1"/>
    <col min="3" max="3" width="9.140625" style="1"/>
    <col min="4" max="4" width="9.140625" style="2"/>
    <col min="5" max="5" width="16.140625" style="2" customWidth="1"/>
    <col min="6" max="9" width="9.140625" style="2"/>
    <col min="10" max="16384" width="9.140625" style="1"/>
  </cols>
  <sheetData>
    <row r="1" spans="1:11" x14ac:dyDescent="0.2">
      <c r="A1" s="235"/>
      <c r="B1" s="235"/>
      <c r="C1" s="235"/>
    </row>
    <row r="2" spans="1:11" x14ac:dyDescent="0.2">
      <c r="A2" s="235"/>
      <c r="B2" s="235"/>
      <c r="C2" s="235"/>
    </row>
    <row r="3" spans="1:11" ht="27.75" x14ac:dyDescent="0.4">
      <c r="A3" s="235"/>
      <c r="B3" s="236" t="s">
        <v>136</v>
      </c>
      <c r="C3" s="235"/>
    </row>
    <row r="4" spans="1:11" x14ac:dyDescent="0.2">
      <c r="A4" s="235"/>
      <c r="B4" s="237"/>
      <c r="C4" s="237"/>
    </row>
    <row r="5" spans="1:11" x14ac:dyDescent="0.2">
      <c r="A5" s="235"/>
      <c r="B5" s="237"/>
      <c r="C5" s="237"/>
      <c r="J5" s="5"/>
      <c r="K5" s="5"/>
    </row>
    <row r="6" spans="1:11" ht="19.5" x14ac:dyDescent="0.3">
      <c r="A6" s="235"/>
      <c r="B6" s="238" t="s">
        <v>133</v>
      </c>
      <c r="C6" s="237"/>
      <c r="J6" s="5"/>
      <c r="K6" s="5"/>
    </row>
    <row r="7" spans="1:11" ht="19.5" x14ac:dyDescent="0.3">
      <c r="A7" s="235"/>
      <c r="B7" s="239" t="s">
        <v>132</v>
      </c>
      <c r="C7" s="237"/>
      <c r="J7" s="5"/>
      <c r="K7" s="5"/>
    </row>
    <row r="8" spans="1:11" ht="19.5" x14ac:dyDescent="0.3">
      <c r="A8" s="235"/>
      <c r="B8" s="239" t="s">
        <v>137</v>
      </c>
      <c r="C8" s="235"/>
    </row>
    <row r="9" spans="1:11" x14ac:dyDescent="0.2">
      <c r="A9" s="235"/>
      <c r="B9" s="235"/>
      <c r="C9" s="235"/>
    </row>
    <row r="10" spans="1:11" x14ac:dyDescent="0.2">
      <c r="A10" s="235"/>
      <c r="B10" s="235"/>
      <c r="C10" s="235"/>
    </row>
    <row r="13" spans="1:11" ht="38.25" x14ac:dyDescent="0.2">
      <c r="A13" s="1" t="s">
        <v>3</v>
      </c>
      <c r="B13" s="6" t="s">
        <v>138</v>
      </c>
    </row>
    <row r="15" spans="1:11" ht="25.5" x14ac:dyDescent="0.2">
      <c r="A15" s="1" t="s">
        <v>2</v>
      </c>
      <c r="B15" s="4" t="s">
        <v>1</v>
      </c>
    </row>
    <row r="17" spans="1:9" ht="38.25" x14ac:dyDescent="0.2">
      <c r="A17" s="1" t="s">
        <v>0</v>
      </c>
      <c r="B17" s="6" t="s">
        <v>127</v>
      </c>
      <c r="F17" s="1"/>
      <c r="G17" s="1"/>
      <c r="H17" s="1"/>
      <c r="I17" s="1"/>
    </row>
    <row r="19" spans="1:9" x14ac:dyDescent="0.2">
      <c r="B19" s="240" t="str">
        <f>CONCATENATE("Cost of Capital updated for Docket No. UE-220066 @ ",('Lvl FCR Sub Equip'!L9*100),"0%")</f>
        <v>Cost of Capital updated for Docket No. UE-220066 @ 7.160%</v>
      </c>
      <c r="F19" s="1"/>
      <c r="G19" s="1"/>
      <c r="H19" s="1"/>
      <c r="I19" s="1"/>
    </row>
    <row r="20" spans="1:9" x14ac:dyDescent="0.2">
      <c r="C20" s="3"/>
    </row>
  </sheetData>
  <printOptions horizontalCentered="1"/>
  <pageMargins left="0.25" right="0.25" top="0.75" bottom="0.75" header="0.3" footer="0.3"/>
  <pageSetup orientation="landscape" r:id="rId1"/>
  <headerFooter alignWithMargins="0">
    <oddFooter>&amp;L&amp;"Arial,Regular"&amp;8&amp;F&amp;C&amp;A&amp;R&amp;"Arial,Regular"Advice No. 18-xxxx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F57"/>
  <sheetViews>
    <sheetView tabSelected="1" workbookViewId="0">
      <pane ySplit="6" topLeftCell="A7" activePane="bottomLeft" state="frozen"/>
      <selection pane="bottomLeft" activeCell="E22" sqref="E22"/>
    </sheetView>
  </sheetViews>
  <sheetFormatPr defaultColWidth="9.140625" defaultRowHeight="11.25" x14ac:dyDescent="0.2"/>
  <cols>
    <col min="1" max="1" width="14.5703125" style="60" customWidth="1"/>
    <col min="2" max="2" width="14.5703125" style="60" bestFit="1" customWidth="1"/>
    <col min="3" max="3" width="11" style="60" bestFit="1" customWidth="1"/>
    <col min="4" max="4" width="10.5703125" style="60" bestFit="1" customWidth="1"/>
    <col min="5" max="5" width="12.42578125" style="60" bestFit="1" customWidth="1"/>
    <col min="6" max="16384" width="9.140625" style="60"/>
  </cols>
  <sheetData>
    <row r="1" spans="1:6" x14ac:dyDescent="0.2">
      <c r="A1" s="244" t="s">
        <v>129</v>
      </c>
      <c r="B1" s="244"/>
      <c r="C1" s="244"/>
      <c r="D1" s="245"/>
      <c r="E1" s="245"/>
    </row>
    <row r="2" spans="1:6" ht="25.15" customHeight="1" x14ac:dyDescent="0.2">
      <c r="A2" s="246" t="str">
        <f>CONCATENATE("Docket No. UE-220066 + Weighted Cost of Capital = ",('Lvl FCR Sub Equip'!L9*100),"0% + 49 Year Substation Plant Life + 35 Year Feeder Plant Life")</f>
        <v>Docket No. UE-220066 + Weighted Cost of Capital = 7.160% + 49 Year Substation Plant Life + 35 Year Feeder Plant Life</v>
      </c>
      <c r="B2" s="246"/>
      <c r="C2" s="246"/>
      <c r="D2" s="246"/>
      <c r="E2" s="246"/>
    </row>
    <row r="3" spans="1:6" x14ac:dyDescent="0.2">
      <c r="A3" s="247"/>
      <c r="B3" s="247"/>
      <c r="C3" s="247"/>
      <c r="D3" s="247"/>
      <c r="E3" s="247"/>
    </row>
    <row r="4" spans="1:6" x14ac:dyDescent="0.2">
      <c r="A4" s="61"/>
      <c r="B4" s="61"/>
      <c r="C4" s="61"/>
      <c r="D4" s="61"/>
      <c r="E4" s="61"/>
    </row>
    <row r="5" spans="1:6" ht="15" customHeight="1" thickBot="1" x14ac:dyDescent="0.25">
      <c r="A5" s="62"/>
      <c r="B5" s="248" t="s">
        <v>42</v>
      </c>
      <c r="C5" s="248"/>
      <c r="D5" s="248"/>
      <c r="E5" s="248"/>
    </row>
    <row r="6" spans="1:6" ht="34.5" thickBot="1" x14ac:dyDescent="0.25">
      <c r="A6" s="63" t="s">
        <v>25</v>
      </c>
      <c r="B6" s="64" t="s">
        <v>36</v>
      </c>
      <c r="C6" s="64" t="s">
        <v>67</v>
      </c>
      <c r="D6" s="65" t="s">
        <v>34</v>
      </c>
      <c r="E6" s="65" t="s">
        <v>35</v>
      </c>
    </row>
    <row r="7" spans="1:6" x14ac:dyDescent="0.2">
      <c r="A7" s="66">
        <v>0</v>
      </c>
      <c r="B7" s="241">
        <f>+'LvlFCR Land'!G7</f>
        <v>8.6976839394570127E-2</v>
      </c>
      <c r="C7" s="242">
        <f ca="1">+'FCR Rates Sub'!D5</f>
        <v>8.0433396417411693E-2</v>
      </c>
      <c r="D7" s="242">
        <f ca="1">+'FCR Rates Feeder'!D5</f>
        <v>8.6021846496552756E-2</v>
      </c>
      <c r="E7" s="243">
        <f>+'FCR Rates Sub'!H5</f>
        <v>9.7044610953678653E-2</v>
      </c>
      <c r="F7" s="67"/>
    </row>
    <row r="8" spans="1:6" x14ac:dyDescent="0.2">
      <c r="A8" s="66">
        <v>1</v>
      </c>
      <c r="B8" s="68"/>
      <c r="C8" s="69"/>
      <c r="D8" s="242">
        <f ca="1">+'FCR Rates Feeder'!D6</f>
        <v>8.6103986567305654E-2</v>
      </c>
      <c r="E8" s="243">
        <f>+'FCR Rates Sub'!H6</f>
        <v>9.6520602363610625E-2</v>
      </c>
      <c r="F8" s="67"/>
    </row>
    <row r="9" spans="1:6" x14ac:dyDescent="0.2">
      <c r="A9" s="66">
        <f t="shared" ref="A9:A56" si="0">A8+1</f>
        <v>2</v>
      </c>
      <c r="B9" s="68"/>
      <c r="C9" s="69"/>
      <c r="D9" s="242">
        <f ca="1">+'FCR Rates Feeder'!D7</f>
        <v>8.6341812322749747E-2</v>
      </c>
      <c r="E9" s="243">
        <f>+'FCR Rates Sub'!H7</f>
        <v>9.619092655159435E-2</v>
      </c>
      <c r="F9" s="67"/>
    </row>
    <row r="10" spans="1:6" x14ac:dyDescent="0.2">
      <c r="A10" s="66">
        <f t="shared" si="0"/>
        <v>3</v>
      </c>
      <c r="B10" s="68"/>
      <c r="C10" s="69"/>
      <c r="D10" s="242">
        <f ca="1">+'FCR Rates Feeder'!D8</f>
        <v>8.6646428536290995E-2</v>
      </c>
      <c r="E10" s="243">
        <f>+'FCR Rates Sub'!H8</f>
        <v>9.5880617362211637E-2</v>
      </c>
      <c r="F10" s="67"/>
    </row>
    <row r="11" spans="1:6" x14ac:dyDescent="0.2">
      <c r="A11" s="66">
        <f t="shared" si="0"/>
        <v>4</v>
      </c>
      <c r="B11" s="68"/>
      <c r="C11" s="69"/>
      <c r="D11" s="242">
        <f ca="1">+'FCR Rates Feeder'!D9</f>
        <v>8.7019757497035374E-2</v>
      </c>
      <c r="E11" s="243">
        <f>+'FCR Rates Sub'!H9</f>
        <v>9.5579202272865232E-2</v>
      </c>
      <c r="F11" s="67"/>
    </row>
    <row r="12" spans="1:6" x14ac:dyDescent="0.2">
      <c r="A12" s="66">
        <f t="shared" si="0"/>
        <v>5</v>
      </c>
      <c r="B12" s="68"/>
      <c r="C12" s="69"/>
      <c r="D12" s="242">
        <f ca="1">+'FCR Rates Feeder'!D10</f>
        <v>8.7463453199981334E-2</v>
      </c>
      <c r="E12" s="243">
        <f>+'FCR Rates Sub'!H10</f>
        <v>9.5274395294850309E-2</v>
      </c>
      <c r="F12" s="67"/>
    </row>
    <row r="13" spans="1:6" x14ac:dyDescent="0.2">
      <c r="A13" s="66">
        <f t="shared" si="0"/>
        <v>6</v>
      </c>
      <c r="B13" s="68"/>
      <c r="C13" s="69"/>
      <c r="D13" s="242">
        <f ca="1">+'FCR Rates Feeder'!D11</f>
        <v>8.7983766008514749E-2</v>
      </c>
      <c r="E13" s="243">
        <f>+'FCR Rates Sub'!H11</f>
        <v>9.4960001221348206E-2</v>
      </c>
      <c r="F13" s="67"/>
    </row>
    <row r="14" spans="1:6" x14ac:dyDescent="0.2">
      <c r="A14" s="66">
        <f t="shared" si="0"/>
        <v>7</v>
      </c>
      <c r="B14" s="68"/>
      <c r="C14" s="69"/>
      <c r="D14" s="242">
        <f ca="1">+'FCR Rates Feeder'!D12</f>
        <v>8.8584361978923873E-2</v>
      </c>
      <c r="E14" s="243">
        <f>+'FCR Rates Sub'!H12</f>
        <v>9.4623474414923608E-2</v>
      </c>
      <c r="F14" s="67"/>
    </row>
    <row r="15" spans="1:6" x14ac:dyDescent="0.2">
      <c r="A15" s="66">
        <f t="shared" si="0"/>
        <v>8</v>
      </c>
      <c r="B15" s="68"/>
      <c r="C15" s="69"/>
      <c r="D15" s="242">
        <f ca="1">+'FCR Rates Feeder'!D13</f>
        <v>8.9268850790849938E-2</v>
      </c>
      <c r="E15" s="243">
        <f>+'FCR Rates Sub'!H13</f>
        <v>9.4250175323933205E-2</v>
      </c>
      <c r="F15" s="67"/>
    </row>
    <row r="16" spans="1:6" x14ac:dyDescent="0.2">
      <c r="A16" s="66">
        <f t="shared" si="0"/>
        <v>9</v>
      </c>
      <c r="B16" s="68"/>
      <c r="C16" s="69"/>
      <c r="D16" s="242">
        <f ca="1">+'FCR Rates Feeder'!D14</f>
        <v>9.0063783793305999E-2</v>
      </c>
      <c r="E16" s="243">
        <f>+'FCR Rates Sub'!H14</f>
        <v>9.3858211278393305E-2</v>
      </c>
      <c r="F16" s="67"/>
    </row>
    <row r="17" spans="1:6" x14ac:dyDescent="0.2">
      <c r="A17" s="66">
        <f t="shared" si="0"/>
        <v>10</v>
      </c>
      <c r="B17" s="68"/>
      <c r="C17" s="69"/>
      <c r="D17" s="242">
        <f ca="1">+'FCR Rates Feeder'!D15</f>
        <v>9.0986678023474557E-2</v>
      </c>
      <c r="E17" s="243">
        <f>+'FCR Rates Sub'!H15</f>
        <v>9.3446146512569259E-2</v>
      </c>
      <c r="F17" s="67"/>
    </row>
    <row r="18" spans="1:6" x14ac:dyDescent="0.2">
      <c r="A18" s="66">
        <f t="shared" si="0"/>
        <v>11</v>
      </c>
      <c r="B18" s="68"/>
      <c r="C18" s="69"/>
      <c r="D18" s="242">
        <f ca="1">+'FCR Rates Feeder'!D16</f>
        <v>9.2058564119392575E-2</v>
      </c>
      <c r="E18" s="243">
        <f>+'FCR Rates Sub'!H16</f>
        <v>9.3142164352966961E-2</v>
      </c>
      <c r="F18" s="67"/>
    </row>
    <row r="19" spans="1:6" x14ac:dyDescent="0.2">
      <c r="A19" s="66">
        <f t="shared" si="0"/>
        <v>12</v>
      </c>
      <c r="B19" s="68"/>
      <c r="C19" s="69"/>
      <c r="D19" s="242">
        <f ca="1">+'FCR Rates Feeder'!D17</f>
        <v>9.330488449354496E-2</v>
      </c>
      <c r="E19" s="243">
        <f>+'FCR Rates Sub'!H17</f>
        <v>9.296074998602652E-2</v>
      </c>
      <c r="F19" s="67"/>
    </row>
    <row r="20" spans="1:6" x14ac:dyDescent="0.2">
      <c r="A20" s="66">
        <f t="shared" si="0"/>
        <v>13</v>
      </c>
      <c r="B20" s="68"/>
      <c r="C20" s="69"/>
      <c r="D20" s="242">
        <f ca="1">+'FCR Rates Feeder'!D18</f>
        <v>9.4756675282763006E-2</v>
      </c>
      <c r="E20" s="243">
        <f>+'FCR Rates Sub'!H18</f>
        <v>9.286946811324423E-2</v>
      </c>
      <c r="F20" s="67"/>
    </row>
    <row r="21" spans="1:6" x14ac:dyDescent="0.2">
      <c r="A21" s="66">
        <f t="shared" si="0"/>
        <v>14</v>
      </c>
      <c r="B21" s="68"/>
      <c r="C21" s="69"/>
      <c r="D21" s="242">
        <f ca="1">+'FCR Rates Feeder'!D19</f>
        <v>9.6452140246498577E-2</v>
      </c>
      <c r="E21" s="243">
        <f>+'FCR Rates Sub'!H19</f>
        <v>9.2883424492813407E-2</v>
      </c>
      <c r="F21" s="67"/>
    </row>
    <row r="22" spans="1:6" x14ac:dyDescent="0.2">
      <c r="A22" s="66">
        <f t="shared" si="0"/>
        <v>15</v>
      </c>
      <c r="B22" s="68"/>
      <c r="C22" s="69"/>
      <c r="D22" s="242">
        <f ca="1">+'FCR Rates Feeder'!D20</f>
        <v>9.8438773755058356E-2</v>
      </c>
      <c r="E22" s="243">
        <f>+'FCR Rates Sub'!H20</f>
        <v>9.3020045988899555E-2</v>
      </c>
      <c r="F22" s="67"/>
    </row>
    <row r="23" spans="1:6" x14ac:dyDescent="0.2">
      <c r="A23" s="66">
        <f t="shared" si="0"/>
        <v>16</v>
      </c>
      <c r="B23" s="68"/>
      <c r="C23" s="69"/>
      <c r="D23" s="242">
        <f ca="1">+'FCR Rates Feeder'!D21</f>
        <v>0.10077626501704742</v>
      </c>
      <c r="E23" s="243">
        <f>+'FCR Rates Sub'!H21</f>
        <v>9.329947238197682E-2</v>
      </c>
      <c r="F23" s="67"/>
    </row>
    <row r="24" spans="1:6" x14ac:dyDescent="0.2">
      <c r="A24" s="66">
        <f t="shared" si="0"/>
        <v>17</v>
      </c>
      <c r="B24" s="68"/>
      <c r="C24" s="69"/>
      <c r="D24" s="242">
        <f ca="1">+'FCR Rates Feeder'!D22</f>
        <v>0.10354053287339821</v>
      </c>
      <c r="E24" s="243">
        <f>+'FCR Rates Sub'!H22</f>
        <v>9.3745024606524688E-2</v>
      </c>
      <c r="F24" s="67"/>
    </row>
    <row r="25" spans="1:6" x14ac:dyDescent="0.2">
      <c r="A25" s="66">
        <f t="shared" si="0"/>
        <v>18</v>
      </c>
      <c r="B25" s="68"/>
      <c r="C25" s="69"/>
      <c r="D25" s="242">
        <f ca="1">+'FCR Rates Feeder'!D23</f>
        <v>0.10682942754667828</v>
      </c>
      <c r="E25" s="243">
        <f>+'FCR Rates Sub'!H23</f>
        <v>9.4383766892865387E-2</v>
      </c>
      <c r="F25" s="67"/>
    </row>
    <row r="26" spans="1:6" x14ac:dyDescent="0.2">
      <c r="A26" s="66">
        <f t="shared" si="0"/>
        <v>19</v>
      </c>
      <c r="B26" s="68"/>
      <c r="C26" s="69"/>
      <c r="D26" s="242">
        <f ca="1">+'FCR Rates Feeder'!D24</f>
        <v>0.11077094156728438</v>
      </c>
      <c r="E26" s="243">
        <f>+'FCR Rates Sub'!H24</f>
        <v>9.5247184966598161E-2</v>
      </c>
      <c r="F26" s="67"/>
    </row>
    <row r="27" spans="1:6" x14ac:dyDescent="0.2">
      <c r="A27" s="66">
        <f t="shared" si="0"/>
        <v>20</v>
      </c>
      <c r="B27" s="68"/>
      <c r="C27" s="69"/>
      <c r="D27" s="242">
        <f ca="1">+'FCR Rates Feeder'!D25</f>
        <v>0.11553528551903859</v>
      </c>
      <c r="E27" s="243">
        <f>+'FCR Rates Sub'!H25</f>
        <v>9.6372008588346936E-2</v>
      </c>
      <c r="F27" s="67"/>
    </row>
    <row r="28" spans="1:6" x14ac:dyDescent="0.2">
      <c r="A28" s="66">
        <f t="shared" si="0"/>
        <v>21</v>
      </c>
      <c r="B28" s="68"/>
      <c r="C28" s="69"/>
      <c r="D28" s="242">
        <f ca="1">+'FCR Rates Feeder'!D26</f>
        <v>0.12094872337682022</v>
      </c>
      <c r="E28" s="243">
        <f>+'FCR Rates Sub'!H26</f>
        <v>9.7449551009815033E-2</v>
      </c>
      <c r="F28" s="67"/>
    </row>
    <row r="29" spans="1:6" x14ac:dyDescent="0.2">
      <c r="A29" s="66">
        <f t="shared" si="0"/>
        <v>22</v>
      </c>
      <c r="B29" s="68"/>
      <c r="C29" s="69"/>
      <c r="D29" s="242">
        <f ca="1">+'FCR Rates Feeder'!D27</f>
        <v>0.12715762588405005</v>
      </c>
      <c r="E29" s="243">
        <f>+'FCR Rates Sub'!H27</f>
        <v>9.8475537583577799E-2</v>
      </c>
      <c r="F29" s="67"/>
    </row>
    <row r="30" spans="1:6" x14ac:dyDescent="0.2">
      <c r="A30" s="66">
        <f t="shared" si="0"/>
        <v>23</v>
      </c>
      <c r="B30" s="68"/>
      <c r="C30" s="69"/>
      <c r="D30" s="242">
        <f ca="1">+'FCR Rates Feeder'!D28</f>
        <v>0.13454039489719849</v>
      </c>
      <c r="E30" s="243">
        <f>+'FCR Rates Sub'!H28</f>
        <v>9.9580446201476214E-2</v>
      </c>
      <c r="F30" s="67"/>
    </row>
    <row r="31" spans="1:6" x14ac:dyDescent="0.2">
      <c r="A31" s="66">
        <f t="shared" si="0"/>
        <v>24</v>
      </c>
      <c r="B31" s="68"/>
      <c r="C31" s="69"/>
      <c r="D31" s="242">
        <f ca="1">+'FCR Rates Feeder'!D29</f>
        <v>0.14344102500816716</v>
      </c>
      <c r="E31" s="243">
        <f>+'FCR Rates Sub'!H29</f>
        <v>0.10077374750880647</v>
      </c>
      <c r="F31" s="67"/>
    </row>
    <row r="32" spans="1:6" x14ac:dyDescent="0.2">
      <c r="A32" s="66">
        <f t="shared" si="0"/>
        <v>25</v>
      </c>
      <c r="B32" s="68"/>
      <c r="C32" s="69"/>
      <c r="D32" s="242">
        <f ca="1">+'FCR Rates Feeder'!D30</f>
        <v>0.15435118510807069</v>
      </c>
      <c r="E32" s="243">
        <f>+'FCR Rates Sub'!H30</f>
        <v>0.10206649059174761</v>
      </c>
      <c r="F32" s="67"/>
    </row>
    <row r="33" spans="1:6" x14ac:dyDescent="0.2">
      <c r="A33" s="66">
        <f t="shared" si="0"/>
        <v>26</v>
      </c>
      <c r="B33" s="68"/>
      <c r="C33" s="69"/>
      <c r="D33" s="242">
        <f ca="1">+'FCR Rates Feeder'!D31</f>
        <v>0.16799851315210232</v>
      </c>
      <c r="E33" s="243">
        <f>+'FCR Rates Sub'!H31</f>
        <v>0.10347164611668358</v>
      </c>
      <c r="F33" s="67"/>
    </row>
    <row r="34" spans="1:6" x14ac:dyDescent="0.2">
      <c r="A34" s="66">
        <f t="shared" si="0"/>
        <v>27</v>
      </c>
      <c r="B34" s="68"/>
      <c r="C34" s="69"/>
      <c r="D34" s="242">
        <f ca="1">+'FCR Rates Feeder'!D32</f>
        <v>0.18550641105220328</v>
      </c>
      <c r="E34" s="243">
        <f>+'FCR Rates Sub'!H32</f>
        <v>0.10500454305297748</v>
      </c>
      <c r="F34" s="67"/>
    </row>
    <row r="35" spans="1:6" x14ac:dyDescent="0.2">
      <c r="A35" s="66">
        <f t="shared" si="0"/>
        <v>28</v>
      </c>
      <c r="B35" s="68"/>
      <c r="C35" s="69"/>
      <c r="D35" s="242">
        <f ca="1">+'FCR Rates Feeder'!D33</f>
        <v>0.20870287281608804</v>
      </c>
      <c r="E35" s="243">
        <f>+'FCR Rates Sub'!H33</f>
        <v>0.1066834301736802</v>
      </c>
      <c r="F35" s="67"/>
    </row>
    <row r="36" spans="1:6" x14ac:dyDescent="0.2">
      <c r="A36" s="66">
        <f t="shared" si="0"/>
        <v>29</v>
      </c>
      <c r="B36" s="68"/>
      <c r="C36" s="69"/>
      <c r="D36" s="242">
        <f ca="1">+'FCR Rates Feeder'!D34</f>
        <v>0.24076864115965652</v>
      </c>
      <c r="E36" s="243">
        <f>+'FCR Rates Sub'!H34</f>
        <v>0.1085302060064532</v>
      </c>
      <c r="F36" s="67"/>
    </row>
    <row r="37" spans="1:6" x14ac:dyDescent="0.2">
      <c r="A37" s="66">
        <f t="shared" si="0"/>
        <v>30</v>
      </c>
      <c r="B37" s="68"/>
      <c r="C37" s="69"/>
      <c r="D37" s="242">
        <f ca="1">+'FCR Rates Feeder'!D35</f>
        <v>0.28775099249940439</v>
      </c>
      <c r="E37" s="243">
        <f>+'FCR Rates Sub'!H35</f>
        <v>0.11057137929530762</v>
      </c>
      <c r="F37" s="67"/>
    </row>
    <row r="38" spans="1:6" x14ac:dyDescent="0.2">
      <c r="A38" s="66">
        <f t="shared" si="0"/>
        <v>31</v>
      </c>
      <c r="B38" s="68"/>
      <c r="C38" s="69"/>
      <c r="D38" s="242">
        <f ca="1">+'FCR Rates Feeder'!D36</f>
        <v>0.36265015008531037</v>
      </c>
      <c r="E38" s="243">
        <f>+'FCR Rates Sub'!H36</f>
        <v>0.11283934961625697</v>
      </c>
      <c r="F38" s="67"/>
    </row>
    <row r="39" spans="1:6" x14ac:dyDescent="0.2">
      <c r="A39" s="66">
        <f t="shared" si="0"/>
        <v>32</v>
      </c>
      <c r="B39" s="68"/>
      <c r="C39" s="69"/>
      <c r="D39" s="242">
        <f ca="1">+'FCR Rates Feeder'!D37</f>
        <v>0.49902052462410956</v>
      </c>
      <c r="E39" s="243">
        <f>+'FCR Rates Sub'!H37</f>
        <v>0.11537413997496503</v>
      </c>
      <c r="F39" s="67"/>
    </row>
    <row r="40" spans="1:6" x14ac:dyDescent="0.2">
      <c r="A40" s="66">
        <f t="shared" si="0"/>
        <v>33</v>
      </c>
      <c r="B40" s="68"/>
      <c r="C40" s="69"/>
      <c r="D40" s="242">
        <f ca="1">+'FCR Rates Feeder'!D38</f>
        <v>0.814434181053591</v>
      </c>
      <c r="E40" s="243">
        <f>+'FCR Rates Sub'!H38</f>
        <v>0.11822577912851165</v>
      </c>
      <c r="F40" s="67"/>
    </row>
    <row r="41" spans="1:6" x14ac:dyDescent="0.2">
      <c r="A41" s="66">
        <f t="shared" si="0"/>
        <v>34</v>
      </c>
      <c r="B41" s="68"/>
      <c r="C41" s="69"/>
      <c r="D41" s="242">
        <f ca="1">+'FCR Rates Feeder'!D39</f>
        <v>2.0996611577615822</v>
      </c>
      <c r="E41" s="243">
        <f>+'FCR Rates Sub'!H39</f>
        <v>0.12145763683586444</v>
      </c>
      <c r="F41" s="67"/>
    </row>
    <row r="42" spans="1:6" x14ac:dyDescent="0.2">
      <c r="A42" s="66">
        <f t="shared" si="0"/>
        <v>35</v>
      </c>
      <c r="B42" s="68"/>
      <c r="C42" s="69"/>
      <c r="D42" s="70"/>
      <c r="E42" s="243">
        <f>+'FCR Rates Sub'!H40</f>
        <v>0.12515118850141049</v>
      </c>
      <c r="F42" s="67"/>
    </row>
    <row r="43" spans="1:6" x14ac:dyDescent="0.2">
      <c r="A43" s="66">
        <f t="shared" si="0"/>
        <v>36</v>
      </c>
      <c r="B43" s="68"/>
      <c r="C43" s="69"/>
      <c r="D43" s="70"/>
      <c r="E43" s="243">
        <f>+'FCR Rates Sub'!H41</f>
        <v>0.12941297888473288</v>
      </c>
      <c r="F43" s="67"/>
    </row>
    <row r="44" spans="1:6" x14ac:dyDescent="0.2">
      <c r="A44" s="66">
        <f t="shared" si="0"/>
        <v>37</v>
      </c>
      <c r="B44" s="68"/>
      <c r="C44" s="69"/>
      <c r="D44" s="70"/>
      <c r="E44" s="243">
        <f>+'FCR Rates Sub'!H42</f>
        <v>0.13438506766527569</v>
      </c>
      <c r="F44" s="67"/>
    </row>
    <row r="45" spans="1:6" x14ac:dyDescent="0.2">
      <c r="A45" s="66">
        <f t="shared" si="0"/>
        <v>38</v>
      </c>
      <c r="B45" s="68"/>
      <c r="C45" s="69"/>
      <c r="D45" s="70"/>
      <c r="E45" s="243">
        <f>+'FCR Rates Sub'!H43</f>
        <v>0.14026117258773535</v>
      </c>
      <c r="F45" s="67"/>
    </row>
    <row r="46" spans="1:6" x14ac:dyDescent="0.2">
      <c r="A46" s="66">
        <f t="shared" si="0"/>
        <v>39</v>
      </c>
      <c r="B46" s="68"/>
      <c r="C46" s="69"/>
      <c r="D46" s="70"/>
      <c r="E46" s="243">
        <f>+'FCR Rates Sub'!H44</f>
        <v>0.14731249849468694</v>
      </c>
      <c r="F46" s="67"/>
    </row>
    <row r="47" spans="1:6" x14ac:dyDescent="0.2">
      <c r="A47" s="66">
        <f t="shared" si="0"/>
        <v>40</v>
      </c>
      <c r="B47" s="68"/>
      <c r="C47" s="69"/>
      <c r="D47" s="70"/>
      <c r="E47" s="243">
        <f>+'FCR Rates Sub'!H45</f>
        <v>0.14755005618662567</v>
      </c>
      <c r="F47" s="67"/>
    </row>
    <row r="48" spans="1:6" x14ac:dyDescent="0.2">
      <c r="A48" s="66">
        <f t="shared" si="0"/>
        <v>41</v>
      </c>
      <c r="B48" s="68"/>
      <c r="C48" s="69"/>
      <c r="D48" s="70"/>
      <c r="E48" s="243">
        <f>+'FCR Rates Sub'!H46</f>
        <v>0.14779820507606706</v>
      </c>
      <c r="F48" s="67"/>
    </row>
    <row r="49" spans="1:6" x14ac:dyDescent="0.2">
      <c r="A49" s="66">
        <f t="shared" si="0"/>
        <v>42</v>
      </c>
      <c r="B49" s="68"/>
      <c r="C49" s="69"/>
      <c r="D49" s="70"/>
      <c r="E49" s="243">
        <f>+'FCR Rates Sub'!H47</f>
        <v>0.1480574911585758</v>
      </c>
      <c r="F49" s="67"/>
    </row>
    <row r="50" spans="1:6" x14ac:dyDescent="0.2">
      <c r="A50" s="66">
        <f t="shared" si="0"/>
        <v>43</v>
      </c>
      <c r="B50" s="68"/>
      <c r="C50" s="69"/>
      <c r="D50" s="70"/>
      <c r="E50" s="243">
        <f>+'FCR Rates Sub'!H48</f>
        <v>0.14832849087071834</v>
      </c>
      <c r="F50" s="67"/>
    </row>
    <row r="51" spans="1:6" x14ac:dyDescent="0.2">
      <c r="A51" s="66">
        <f t="shared" si="0"/>
        <v>44</v>
      </c>
      <c r="B51" s="68"/>
      <c r="C51" s="69"/>
      <c r="D51" s="70"/>
      <c r="E51" s="243">
        <f>+'FCR Rates Sub'!H49</f>
        <v>0.14861181287193001</v>
      </c>
      <c r="F51" s="67"/>
    </row>
    <row r="52" spans="1:6" x14ac:dyDescent="0.2">
      <c r="A52" s="66">
        <f t="shared" si="0"/>
        <v>45</v>
      </c>
      <c r="B52" s="68"/>
      <c r="C52" s="69"/>
      <c r="D52" s="70"/>
      <c r="E52" s="243">
        <f>+'FCR Rates Sub'!H50</f>
        <v>0.14890809993418974</v>
      </c>
      <c r="F52" s="67"/>
    </row>
    <row r="53" spans="1:6" x14ac:dyDescent="0.2">
      <c r="A53" s="66">
        <f t="shared" si="0"/>
        <v>46</v>
      </c>
      <c r="B53" s="68"/>
      <c r="C53" s="69"/>
      <c r="D53" s="70"/>
      <c r="E53" s="243">
        <f>+'FCR Rates Sub'!H51</f>
        <v>0.14921803094618249</v>
      </c>
      <c r="F53" s="67"/>
    </row>
    <row r="54" spans="1:6" x14ac:dyDescent="0.2">
      <c r="A54" s="66">
        <f t="shared" si="0"/>
        <v>47</v>
      </c>
      <c r="B54" s="68"/>
      <c r="C54" s="69"/>
      <c r="D54" s="70"/>
      <c r="E54" s="243">
        <f>+'FCR Rates Sub'!H52</f>
        <v>0.14954232303905124</v>
      </c>
      <c r="F54" s="67"/>
    </row>
    <row r="55" spans="1:6" x14ac:dyDescent="0.2">
      <c r="A55" s="66">
        <f t="shared" si="0"/>
        <v>48</v>
      </c>
      <c r="B55" s="68"/>
      <c r="C55" s="69"/>
      <c r="D55" s="70"/>
      <c r="E55" s="243">
        <f>+'FCR Rates Sub'!H53</f>
        <v>0.14988173384128797</v>
      </c>
      <c r="F55" s="67"/>
    </row>
    <row r="56" spans="1:6" x14ac:dyDescent="0.2">
      <c r="A56" s="66">
        <f t="shared" si="0"/>
        <v>49</v>
      </c>
      <c r="B56" s="68"/>
      <c r="C56" s="69"/>
      <c r="D56" s="70"/>
      <c r="E56" s="71"/>
      <c r="F56" s="67"/>
    </row>
    <row r="57" spans="1:6" ht="12" thickBot="1" x14ac:dyDescent="0.25">
      <c r="A57" s="66"/>
      <c r="B57" s="72"/>
      <c r="C57" s="73"/>
      <c r="D57" s="74"/>
      <c r="E57" s="75"/>
      <c r="F57" s="67"/>
    </row>
  </sheetData>
  <mergeCells count="4">
    <mergeCell ref="A1:E1"/>
    <mergeCell ref="A2:E2"/>
    <mergeCell ref="A3:E3"/>
    <mergeCell ref="B5:E5"/>
  </mergeCells>
  <printOptions horizontalCentered="1"/>
  <pageMargins left="0.25" right="0.25" top="0.75" bottom="0.75" header="0.3" footer="0.3"/>
  <pageSetup scale="60" orientation="landscape" r:id="rId1"/>
  <headerFooter alignWithMargins="0">
    <oddFooter>&amp;L&amp;"Arial,Regular"&amp;8&amp;F&amp;C&amp;A&amp;R&amp;"Arial,Regular"Advice No. 18-xxxx
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workbookViewId="0">
      <selection activeCell="I28" sqref="I28"/>
    </sheetView>
  </sheetViews>
  <sheetFormatPr defaultRowHeight="15" x14ac:dyDescent="0.25"/>
  <sheetData/>
  <pageMargins left="0.7" right="0.7" top="0.75" bottom="0.75" header="0.3" footer="0.3"/>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E41"/>
  <sheetViews>
    <sheetView workbookViewId="0">
      <pane ySplit="4" topLeftCell="A5" activePane="bottomLeft" state="frozen"/>
      <selection pane="bottomLeft" activeCell="A2" sqref="A2:D2"/>
    </sheetView>
  </sheetViews>
  <sheetFormatPr defaultColWidth="9.140625" defaultRowHeight="11.25" x14ac:dyDescent="0.2"/>
  <cols>
    <col min="1" max="1" width="8" style="60" customWidth="1"/>
    <col min="2" max="2" width="16.140625" style="60" customWidth="1"/>
    <col min="3" max="3" width="9.7109375" style="60" bestFit="1" customWidth="1"/>
    <col min="4" max="4" width="14.28515625" style="60" bestFit="1" customWidth="1"/>
    <col min="5" max="16384" width="9.140625" style="60"/>
  </cols>
  <sheetData>
    <row r="1" spans="1:5" x14ac:dyDescent="0.2">
      <c r="A1" s="249" t="s">
        <v>130</v>
      </c>
      <c r="B1" s="250"/>
      <c r="C1" s="250"/>
      <c r="D1" s="250"/>
    </row>
    <row r="2" spans="1:5" ht="26.45" customHeight="1" x14ac:dyDescent="0.2">
      <c r="A2" s="246" t="str">
        <f>CONCATENATE("Docket No. UE-220066 + Weighted Cost of Capital = ",('Lvl FCR Sub Equip'!L9*100),"0% + 35 Year Feeder Plant Life")</f>
        <v>Docket No. UE-220066 + Weighted Cost of Capital = 7.160% + 35 Year Feeder Plant Life</v>
      </c>
      <c r="B2" s="246"/>
      <c r="C2" s="246"/>
      <c r="D2" s="246"/>
    </row>
    <row r="3" spans="1:5" ht="12" thickBot="1" x14ac:dyDescent="0.25"/>
    <row r="4" spans="1:5" s="79" customFormat="1" ht="23.25" thickBot="1" x14ac:dyDescent="0.25">
      <c r="A4" s="76" t="s">
        <v>58</v>
      </c>
      <c r="B4" s="77" t="s">
        <v>9</v>
      </c>
      <c r="C4" s="77" t="s">
        <v>8</v>
      </c>
      <c r="D4" s="78" t="s">
        <v>39</v>
      </c>
    </row>
    <row r="5" spans="1:5" x14ac:dyDescent="0.2">
      <c r="A5" s="66">
        <v>0</v>
      </c>
      <c r="B5" s="80">
        <f ca="1">NPV('Lvl FCR Feeder'!$L$9,OFFSET('Lvl FCR Feeder'!$L$17,A5,0,1,1):'Lvl FCR Feeder'!L$53)</f>
        <v>109462.74013266849</v>
      </c>
      <c r="C5" s="80">
        <f ca="1">-PMT('Lvl FCR Feeder'!$L$9,'Lvl FCR Feeder'!$H$12-A5,B5)</f>
        <v>8602.1846496552753</v>
      </c>
      <c r="D5" s="71">
        <f ca="1">C5/('Lvl FCR Feeder'!$D$12*('Lvl FCR Feeder'!$H$12-A5)/'Lvl FCR Feeder'!$H$12)</f>
        <v>8.6021846496552756E-2</v>
      </c>
      <c r="E5" s="67"/>
    </row>
    <row r="6" spans="1:5" x14ac:dyDescent="0.2">
      <c r="A6" s="66">
        <v>1</v>
      </c>
      <c r="B6" s="80">
        <f ca="1">NPV('Lvl FCR Feeder'!$L$9,OFFSET('Lvl FCR Feeder'!$L$17,A6,0,1,1):'Lvl FCR Feeder'!L$53)</f>
        <v>105693.25554932308</v>
      </c>
      <c r="C6" s="80">
        <f ca="1">-PMT('Lvl FCR Feeder'!$L$9,'Lvl FCR Feeder'!$H$12-A6,B6)</f>
        <v>8364.3872665382642</v>
      </c>
      <c r="D6" s="71">
        <f ca="1">C6/('Lvl FCR Feeder'!$D$12*('Lvl FCR Feeder'!$H$12-A6)/'Lvl FCR Feeder'!$H$12)</f>
        <v>8.6103986567305654E-2</v>
      </c>
      <c r="E6" s="67"/>
    </row>
    <row r="7" spans="1:5" x14ac:dyDescent="0.2">
      <c r="A7" s="66">
        <f t="shared" ref="A7:A40" si="0">A6+1</f>
        <v>2</v>
      </c>
      <c r="B7" s="80">
        <f ca="1">NPV('Lvl FCR Feeder'!$L$9,OFFSET('Lvl FCR Feeder'!$L$17,A7,0,1,1):'Lvl FCR Feeder'!L$53)</f>
        <v>102092.52463321968</v>
      </c>
      <c r="C7" s="80">
        <f ca="1">-PMT('Lvl FCR Feeder'!$L$9,'Lvl FCR Feeder'!$H$12-A7,B7)</f>
        <v>8140.7994475735477</v>
      </c>
      <c r="D7" s="71">
        <f ca="1">C7/('Lvl FCR Feeder'!$D$12*('Lvl FCR Feeder'!$H$12-A7)/'Lvl FCR Feeder'!$H$12)</f>
        <v>8.6341812322749747E-2</v>
      </c>
      <c r="E7" s="67"/>
    </row>
    <row r="8" spans="1:5" x14ac:dyDescent="0.2">
      <c r="A8" s="66">
        <f t="shared" si="0"/>
        <v>3</v>
      </c>
      <c r="B8" s="80">
        <f ca="1">NPV('Lvl FCR Feeder'!$L$9,OFFSET('Lvl FCR Feeder'!$L$17,A8,0,1,1):'Lvl FCR Feeder'!L$53)</f>
        <v>98539.445716025861</v>
      </c>
      <c r="C8" s="80">
        <f ca="1">-PMT('Lvl FCR Feeder'!$L$9,'Lvl FCR Feeder'!$H$12-A8,B8)</f>
        <v>7921.9591804608917</v>
      </c>
      <c r="D8" s="71">
        <f ca="1">C8/('Lvl FCR Feeder'!$D$12*('Lvl FCR Feeder'!$H$12-A8)/'Lvl FCR Feeder'!$H$12)</f>
        <v>8.6646428536290995E-2</v>
      </c>
      <c r="E8" s="67"/>
    </row>
    <row r="9" spans="1:5" x14ac:dyDescent="0.2">
      <c r="A9" s="66">
        <f t="shared" si="0"/>
        <v>4</v>
      </c>
      <c r="B9" s="80">
        <f ca="1">NPV('Lvl FCR Feeder'!$L$9,OFFSET('Lvl FCR Feeder'!$L$17,A9,0,1,1):'Lvl FCR Feeder'!L$53)</f>
        <v>95028.319382988906</v>
      </c>
      <c r="C9" s="80">
        <f ca="1">-PMT('Lvl FCR Feeder'!$L$9,'Lvl FCR Feeder'!$H$12-A9,B9)</f>
        <v>7707.4642354517036</v>
      </c>
      <c r="D9" s="71">
        <f ca="1">C9/('Lvl FCR Feeder'!$D$12*('Lvl FCR Feeder'!$H$12-A9)/'Lvl FCR Feeder'!$H$12)</f>
        <v>8.7019757497035374E-2</v>
      </c>
      <c r="E9" s="67"/>
    </row>
    <row r="10" spans="1:5" x14ac:dyDescent="0.2">
      <c r="A10" s="66">
        <f t="shared" si="0"/>
        <v>5</v>
      </c>
      <c r="B10" s="80">
        <f ca="1">NPV('Lvl FCR Feeder'!$L$9,OFFSET('Lvl FCR Feeder'!$L$17,A10,0,1,1):'Lvl FCR Feeder'!L$53)</f>
        <v>91553.038141259778</v>
      </c>
      <c r="C10" s="80">
        <f ca="1">-PMT('Lvl FCR Feeder'!$L$9,'Lvl FCR Feeder'!$H$12-A10,B10)</f>
        <v>7496.8674171412567</v>
      </c>
      <c r="D10" s="71">
        <f ca="1">C10/('Lvl FCR Feeder'!$D$12*('Lvl FCR Feeder'!$H$12-A10)/'Lvl FCR Feeder'!$H$12)</f>
        <v>8.7463453199981334E-2</v>
      </c>
      <c r="E10" s="67"/>
    </row>
    <row r="11" spans="1:5" x14ac:dyDescent="0.2">
      <c r="A11" s="66">
        <f t="shared" si="0"/>
        <v>6</v>
      </c>
      <c r="B11" s="80">
        <f ca="1">NPV('Lvl FCR Feeder'!$L$9,OFFSET('Lvl FCR Feeder'!$L$17,A11,0,1,1):'Lvl FCR Feeder'!L$53)</f>
        <v>88112.060823461754</v>
      </c>
      <c r="C11" s="80">
        <f ca="1">-PMT('Lvl FCR Feeder'!$L$9,'Lvl FCR Feeder'!$H$12-A11,B11)</f>
        <v>7290.0834692769367</v>
      </c>
      <c r="D11" s="71">
        <f ca="1">C11/('Lvl FCR Feeder'!$D$12*('Lvl FCR Feeder'!$H$12-A11)/'Lvl FCR Feeder'!$H$12)</f>
        <v>8.7983766008514749E-2</v>
      </c>
      <c r="E11" s="67"/>
    </row>
    <row r="12" spans="1:5" x14ac:dyDescent="0.2">
      <c r="A12" s="66">
        <f t="shared" si="0"/>
        <v>7</v>
      </c>
      <c r="B12" s="80">
        <f ca="1">NPV('Lvl FCR Feeder'!$L$9,OFFSET('Lvl FCR Feeder'!$L$17,A12,0,1,1):'Lvl FCR Feeder'!L$53)</f>
        <v>84700.554552248694</v>
      </c>
      <c r="C12" s="80">
        <f ca="1">-PMT('Lvl FCR Feeder'!$L$9,'Lvl FCR Feeder'!$H$12-A12,B12)</f>
        <v>7086.7489583139095</v>
      </c>
      <c r="D12" s="71">
        <f ca="1">C12/('Lvl FCR Feeder'!$D$12*('Lvl FCR Feeder'!$H$12-A12)/'Lvl FCR Feeder'!$H$12)</f>
        <v>8.8584361978923873E-2</v>
      </c>
      <c r="E12" s="67"/>
    </row>
    <row r="13" spans="1:5" x14ac:dyDescent="0.2">
      <c r="A13" s="66">
        <f t="shared" si="0"/>
        <v>8</v>
      </c>
      <c r="B13" s="80">
        <f ca="1">NPV('Lvl FCR Feeder'!$L$9,OFFSET('Lvl FCR Feeder'!$L$17,A13,0,1,1):'Lvl FCR Feeder'!L$53)</f>
        <v>81313.340416256236</v>
      </c>
      <c r="C13" s="80">
        <f ca="1">-PMT('Lvl FCR Feeder'!$L$9,'Lvl FCR Feeder'!$H$12-A13,B13)</f>
        <v>6886.4542038655663</v>
      </c>
      <c r="D13" s="71">
        <f ca="1">C13/('Lvl FCR Feeder'!$D$12*('Lvl FCR Feeder'!$H$12-A13)/'Lvl FCR Feeder'!$H$12)</f>
        <v>8.9268850790849938E-2</v>
      </c>
      <c r="E13" s="67"/>
    </row>
    <row r="14" spans="1:5" x14ac:dyDescent="0.2">
      <c r="A14" s="66">
        <f t="shared" si="0"/>
        <v>9</v>
      </c>
      <c r="B14" s="80">
        <f ca="1">NPV('Lvl FCR Feeder'!$L$9,OFFSET('Lvl FCR Feeder'!$L$17,A14,0,1,1):'Lvl FCR Feeder'!L$53)</f>
        <v>77964.883181907979</v>
      </c>
      <c r="C14" s="80">
        <f ca="1">-PMT('Lvl FCR Feeder'!$L$9,'Lvl FCR Feeder'!$H$12-A14,B14)</f>
        <v>6690.4525103598744</v>
      </c>
      <c r="D14" s="71">
        <f ca="1">C14/('Lvl FCR Feeder'!$D$12*('Lvl FCR Feeder'!$H$12-A14)/'Lvl FCR Feeder'!$H$12)</f>
        <v>9.0063783793305999E-2</v>
      </c>
      <c r="E14" s="67"/>
    </row>
    <row r="15" spans="1:5" x14ac:dyDescent="0.2">
      <c r="A15" s="66">
        <f t="shared" si="0"/>
        <v>10</v>
      </c>
      <c r="B15" s="80">
        <f ca="1">NPV('Lvl FCR Feeder'!$L$9,OFFSET('Lvl FCR Feeder'!$L$17,A15,0,1,1):'Lvl FCR Feeder'!L$53)</f>
        <v>74657.957843361641</v>
      </c>
      <c r="C15" s="80">
        <f ca="1">-PMT('Lvl FCR Feeder'!$L$9,'Lvl FCR Feeder'!$H$12-A15,B15)</f>
        <v>6499.0484302481836</v>
      </c>
      <c r="D15" s="71">
        <f ca="1">C15/('Lvl FCR Feeder'!$D$12*('Lvl FCR Feeder'!$H$12-A15)/'Lvl FCR Feeder'!$H$12)</f>
        <v>9.0986678023474557E-2</v>
      </c>
      <c r="E15" s="67"/>
    </row>
    <row r="16" spans="1:5" x14ac:dyDescent="0.2">
      <c r="A16" s="66">
        <f t="shared" si="0"/>
        <v>11</v>
      </c>
      <c r="B16" s="80">
        <f ca="1">NPV('Lvl FCR Feeder'!$L$9,OFFSET('Lvl FCR Feeder'!$L$17,A16,0,1,1):'Lvl FCR Feeder'!L$53)</f>
        <v>71395.538084356667</v>
      </c>
      <c r="C16" s="80">
        <f ca="1">-PMT('Lvl FCR Feeder'!$L$9,'Lvl FCR Feeder'!$H$12-A16,B16)</f>
        <v>6312.5872539012043</v>
      </c>
      <c r="D16" s="71">
        <f ca="1">C16/('Lvl FCR Feeder'!$D$12*('Lvl FCR Feeder'!$H$12-A16)/'Lvl FCR Feeder'!$H$12)</f>
        <v>9.2058564119392575E-2</v>
      </c>
      <c r="E16" s="67"/>
    </row>
    <row r="17" spans="1:5" x14ac:dyDescent="0.2">
      <c r="A17" s="66">
        <f t="shared" si="0"/>
        <v>12</v>
      </c>
      <c r="B17" s="80">
        <f ca="1">NPV('Lvl FCR Feeder'!$L$9,OFFSET('Lvl FCR Feeder'!$L$17,A17,0,1,1):'Lvl FCR Feeder'!L$53)</f>
        <v>68180.810504388195</v>
      </c>
      <c r="C17" s="80">
        <f ca="1">-PMT('Lvl FCR Feeder'!$L$9,'Lvl FCR Feeder'!$H$12-A17,B17)</f>
        <v>6131.4638381472396</v>
      </c>
      <c r="D17" s="71">
        <f ca="1">C17/('Lvl FCR Feeder'!$D$12*('Lvl FCR Feeder'!$H$12-A17)/'Lvl FCR Feeder'!$H$12)</f>
        <v>9.330488449354496E-2</v>
      </c>
      <c r="E17" s="67"/>
    </row>
    <row r="18" spans="1:5" x14ac:dyDescent="0.2">
      <c r="A18" s="66">
        <f t="shared" si="0"/>
        <v>13</v>
      </c>
      <c r="B18" s="80">
        <f ca="1">NPV('Lvl FCR Feeder'!$L$9,OFFSET('Lvl FCR Feeder'!$L$17,A18,0,1,1):'Lvl FCR Feeder'!L$53)</f>
        <v>65017.189863475229</v>
      </c>
      <c r="C18" s="80">
        <f ca="1">-PMT('Lvl FCR Feeder'!$L$9,'Lvl FCR Feeder'!$H$12-A18,B18)</f>
        <v>5956.1338749165316</v>
      </c>
      <c r="D18" s="71">
        <f ca="1">C18/('Lvl FCR Feeder'!$D$12*('Lvl FCR Feeder'!$H$12-A18)/'Lvl FCR Feeder'!$H$12)</f>
        <v>9.4756675282763006E-2</v>
      </c>
      <c r="E18" s="67"/>
    </row>
    <row r="19" spans="1:5" x14ac:dyDescent="0.2">
      <c r="A19" s="66">
        <f t="shared" si="0"/>
        <v>14</v>
      </c>
      <c r="B19" s="80">
        <f ca="1">NPV('Lvl FCR Feeder'!$L$9,OFFSET('Lvl FCR Feeder'!$L$17,A19,0,1,1):'Lvl FCR Feeder'!L$53)</f>
        <v>61908.335418454139</v>
      </c>
      <c r="C19" s="80">
        <f ca="1">-PMT('Lvl FCR Feeder'!$L$9,'Lvl FCR Feeder'!$H$12-A19,B19)</f>
        <v>5787.128414789915</v>
      </c>
      <c r="D19" s="71">
        <f ca="1">C19/('Lvl FCR Feeder'!$D$12*('Lvl FCR Feeder'!$H$12-A19)/'Lvl FCR Feeder'!$H$12)</f>
        <v>9.6452140246498577E-2</v>
      </c>
      <c r="E19" s="67"/>
    </row>
    <row r="20" spans="1:5" x14ac:dyDescent="0.2">
      <c r="A20" s="66">
        <f t="shared" si="0"/>
        <v>15</v>
      </c>
      <c r="B20" s="80">
        <f ca="1">NPV('Lvl FCR Feeder'!$L$9,OFFSET('Lvl FCR Feeder'!$L$17,A20,0,1,1):'Lvl FCR Feeder'!L$53)</f>
        <v>58858.168428950798</v>
      </c>
      <c r="C20" s="80">
        <f ca="1">-PMT('Lvl FCR Feeder'!$L$9,'Lvl FCR Feeder'!$H$12-A20,B20)</f>
        <v>5625.0727860033348</v>
      </c>
      <c r="D20" s="71">
        <f ca="1">C20/('Lvl FCR Feeder'!$D$12*('Lvl FCR Feeder'!$H$12-A20)/'Lvl FCR Feeder'!$H$12)</f>
        <v>9.8438773755058356E-2</v>
      </c>
      <c r="E20" s="67"/>
    </row>
    <row r="21" spans="1:5" x14ac:dyDescent="0.2">
      <c r="A21" s="66">
        <f t="shared" si="0"/>
        <v>16</v>
      </c>
      <c r="B21" s="80">
        <f ca="1">NPV('Lvl FCR Feeder'!$L$9,OFFSET('Lvl FCR Feeder'!$L$17,A21,0,1,1):'Lvl FCR Feeder'!L$53)</f>
        <v>55870.890916780285</v>
      </c>
      <c r="C21" s="80">
        <f ca="1">-PMT('Lvl FCR Feeder'!$L$9,'Lvl FCR Feeder'!$H$12-A21,B21)</f>
        <v>5470.7115294968598</v>
      </c>
      <c r="D21" s="71">
        <f ca="1">C21/('Lvl FCR Feeder'!$D$12*('Lvl FCR Feeder'!$H$12-A21)/'Lvl FCR Feeder'!$H$12)</f>
        <v>0.10077626501704742</v>
      </c>
      <c r="E21" s="67"/>
    </row>
    <row r="22" spans="1:5" x14ac:dyDescent="0.2">
      <c r="A22" s="66">
        <f t="shared" si="0"/>
        <v>17</v>
      </c>
      <c r="B22" s="80">
        <f ca="1">NPV('Lvl FCR Feeder'!$L$9,OFFSET('Lvl FCR Feeder'!$L$17,A22,0,1,1):'Lvl FCR Feeder'!L$53)</f>
        <v>52951.005768519623</v>
      </c>
      <c r="C22" s="80">
        <f ca="1">-PMT('Lvl FCR Feeder'!$L$9,'Lvl FCR Feeder'!$H$12-A22,B22)</f>
        <v>5324.9416906319075</v>
      </c>
      <c r="D22" s="71">
        <f ca="1">C22/('Lvl FCR Feeder'!$D$12*('Lvl FCR Feeder'!$H$12-A22)/'Lvl FCR Feeder'!$H$12)</f>
        <v>0.10354053287339821</v>
      </c>
      <c r="E22" s="67"/>
    </row>
    <row r="23" spans="1:5" x14ac:dyDescent="0.2">
      <c r="A23" s="66">
        <f t="shared" si="0"/>
        <v>18</v>
      </c>
      <c r="B23" s="80">
        <f ca="1">NPV('Lvl FCR Feeder'!$L$9,OFFSET('Lvl FCR Feeder'!$L$17,A23,0,1,1):'Lvl FCR Feeder'!L$53)</f>
        <v>50103.338277424758</v>
      </c>
      <c r="C23" s="80">
        <f ca="1">-PMT('Lvl FCR Feeder'!$L$9,'Lvl FCR Feeder'!$H$12-A23,B23)</f>
        <v>5188.8579094100878</v>
      </c>
      <c r="D23" s="71">
        <f ca="1">C23/('Lvl FCR Feeder'!$D$12*('Lvl FCR Feeder'!$H$12-A23)/'Lvl FCR Feeder'!$H$12)</f>
        <v>0.10682942754667828</v>
      </c>
      <c r="E23" s="67"/>
    </row>
    <row r="24" spans="1:5" x14ac:dyDescent="0.2">
      <c r="A24" s="66">
        <f t="shared" si="0"/>
        <v>19</v>
      </c>
      <c r="B24" s="80">
        <f ca="1">NPV('Lvl FCR Feeder'!$L$9,OFFSET('Lvl FCR Feeder'!$L$17,A24,0,1,1):'Lvl FCR Feeder'!L$53)</f>
        <v>47333.059227748774</v>
      </c>
      <c r="C24" s="80">
        <f ca="1">-PMT('Lvl FCR Feeder'!$L$9,'Lvl FCR Feeder'!$H$12-A24,B24)</f>
        <v>5063.8144716472862</v>
      </c>
      <c r="D24" s="71">
        <f ca="1">C24/('Lvl FCR Feeder'!$D$12*('Lvl FCR Feeder'!$H$12-A24)/'Lvl FCR Feeder'!$H$12)</f>
        <v>0.11077094156728438</v>
      </c>
      <c r="E24" s="67"/>
    </row>
    <row r="25" spans="1:5" x14ac:dyDescent="0.2">
      <c r="A25" s="66">
        <f t="shared" si="0"/>
        <v>20</v>
      </c>
      <c r="B25" s="80">
        <f ca="1">NPV('Lvl FCR Feeder'!$L$9,OFFSET('Lvl FCR Feeder'!$L$17,A25,0,1,1):'Lvl FCR Feeder'!L$53)</f>
        <v>44645.709631897233</v>
      </c>
      <c r="C25" s="80">
        <f ca="1">-PMT('Lvl FCR Feeder'!$L$9,'Lvl FCR Feeder'!$H$12-A25,B25)</f>
        <v>4951.512236530225</v>
      </c>
      <c r="D25" s="71">
        <f ca="1">C25/('Lvl FCR Feeder'!$D$12*('Lvl FCR Feeder'!$H$12-A25)/'Lvl FCR Feeder'!$H$12)</f>
        <v>0.11553528551903859</v>
      </c>
      <c r="E25" s="67"/>
    </row>
    <row r="26" spans="1:5" x14ac:dyDescent="0.2">
      <c r="A26" s="66">
        <f t="shared" si="0"/>
        <v>21</v>
      </c>
      <c r="B26" s="80">
        <f ca="1">NPV('Lvl FCR Feeder'!$L$9,OFFSET('Lvl FCR Feeder'!$L$17,A26,0,1,1):'Lvl FCR Feeder'!L$53)</f>
        <v>41907.125823873401</v>
      </c>
      <c r="C26" s="80">
        <f ca="1">-PMT('Lvl FCR Feeder'!$L$9,'Lvl FCR Feeder'!$H$12-A26,B26)</f>
        <v>4837.948935072809</v>
      </c>
      <c r="D26" s="71">
        <f ca="1">C26/('Lvl FCR Feeder'!$D$12*('Lvl FCR Feeder'!$H$12-A26)/'Lvl FCR Feeder'!$H$12)</f>
        <v>0.12094872337682022</v>
      </c>
      <c r="E26" s="67"/>
    </row>
    <row r="27" spans="1:5" x14ac:dyDescent="0.2">
      <c r="A27" s="66">
        <f t="shared" si="0"/>
        <v>22</v>
      </c>
      <c r="B27" s="80">
        <f ca="1">NPV('Lvl FCR Feeder'!$L$9,OFFSET('Lvl FCR Feeder'!$L$17,A27,0,1,1):'Lvl FCR Feeder'!L$53)</f>
        <v>39117.656007551748</v>
      </c>
      <c r="C27" s="80">
        <f ca="1">-PMT('Lvl FCR Feeder'!$L$9,'Lvl FCR Feeder'!$H$12-A27,B27)</f>
        <v>4722.9975328361452</v>
      </c>
      <c r="D27" s="71">
        <f ca="1">C27/('Lvl FCR Feeder'!$D$12*('Lvl FCR Feeder'!$H$12-A27)/'Lvl FCR Feeder'!$H$12)</f>
        <v>0.12715762588405005</v>
      </c>
      <c r="E27" s="67"/>
    </row>
    <row r="28" spans="1:5" x14ac:dyDescent="0.2">
      <c r="A28" s="66">
        <f t="shared" si="0"/>
        <v>23</v>
      </c>
      <c r="B28" s="80">
        <f ca="1">NPV('Lvl FCR Feeder'!$L$9,OFFSET('Lvl FCR Feeder'!$L$17,A28,0,1,1):'Lvl FCR Feeder'!L$53)</f>
        <v>36327.739905290655</v>
      </c>
      <c r="C28" s="80">
        <f ca="1">-PMT('Lvl FCR Feeder'!$L$9,'Lvl FCR Feeder'!$H$12-A28,B28)</f>
        <v>4612.8135393325192</v>
      </c>
      <c r="D28" s="71">
        <f ca="1">C28/('Lvl FCR Feeder'!$D$12*('Lvl FCR Feeder'!$H$12-A28)/'Lvl FCR Feeder'!$H$12)</f>
        <v>0.13454039489719849</v>
      </c>
      <c r="E28" s="67"/>
    </row>
    <row r="29" spans="1:5" x14ac:dyDescent="0.2">
      <c r="A29" s="66">
        <f t="shared" si="0"/>
        <v>24</v>
      </c>
      <c r="B29" s="80">
        <f ca="1">NPV('Lvl FCR Feeder'!$L$9,OFFSET('Lvl FCR Feeder'!$L$17,A29,0,1,1):'Lvl FCR Feeder'!L$53)</f>
        <v>33537.345563016861</v>
      </c>
      <c r="C29" s="80">
        <f ca="1">-PMT('Lvl FCR Feeder'!$L$9,'Lvl FCR Feeder'!$H$12-A29,B29)</f>
        <v>4508.146500256682</v>
      </c>
      <c r="D29" s="71">
        <f ca="1">C29/('Lvl FCR Feeder'!$D$12*('Lvl FCR Feeder'!$H$12-A29)/'Lvl FCR Feeder'!$H$12)</f>
        <v>0.14344102500816716</v>
      </c>
      <c r="E29" s="67"/>
    </row>
    <row r="30" spans="1:5" x14ac:dyDescent="0.2">
      <c r="A30" s="66">
        <f t="shared" si="0"/>
        <v>25</v>
      </c>
      <c r="B30" s="80">
        <f ca="1">NPV('Lvl FCR Feeder'!$L$9,OFFSET('Lvl FCR Feeder'!$L$17,A30,0,1,1):'Lvl FCR Feeder'!L$53)</f>
        <v>30746.438738745466</v>
      </c>
      <c r="C30" s="80">
        <f ca="1">-PMT('Lvl FCR Feeder'!$L$9,'Lvl FCR Feeder'!$H$12-A30,B30)</f>
        <v>4410.033860230591</v>
      </c>
      <c r="D30" s="71">
        <f ca="1">C30/('Lvl FCR Feeder'!$D$12*('Lvl FCR Feeder'!$H$12-A30)/'Lvl FCR Feeder'!$H$12)</f>
        <v>0.15435118510807069</v>
      </c>
      <c r="E30" s="67"/>
    </row>
    <row r="31" spans="1:5" x14ac:dyDescent="0.2">
      <c r="A31" s="66">
        <f t="shared" si="0"/>
        <v>26</v>
      </c>
      <c r="B31" s="80">
        <f ca="1">NPV('Lvl FCR Feeder'!$L$9,OFFSET('Lvl FCR Feeder'!$L$17,A31,0,1,1):'Lvl FCR Feeder'!L$53)</f>
        <v>27954.982738765433</v>
      </c>
      <c r="C31" s="80">
        <f ca="1">-PMT('Lvl FCR Feeder'!$L$9,'Lvl FCR Feeder'!$H$12-A31,B31)</f>
        <v>4319.9617667683451</v>
      </c>
      <c r="D31" s="71">
        <f ca="1">C31/('Lvl FCR Feeder'!$D$12*('Lvl FCR Feeder'!$H$12-A31)/'Lvl FCR Feeder'!$H$12)</f>
        <v>0.16799851315210232</v>
      </c>
      <c r="E31" s="67"/>
    </row>
    <row r="32" spans="1:5" x14ac:dyDescent="0.2">
      <c r="A32" s="66">
        <f t="shared" si="0"/>
        <v>27</v>
      </c>
      <c r="B32" s="80">
        <f ca="1">NPV('Lvl FCR Feeder'!$L$9,OFFSET('Lvl FCR Feeder'!$L$17,A32,0,1,1):'Lvl FCR Feeder'!L$53)</f>
        <v>25162.938242096025</v>
      </c>
      <c r="C32" s="80">
        <f ca="1">-PMT('Lvl FCR Feeder'!$L$9,'Lvl FCR Feeder'!$H$12-A32,B32)</f>
        <v>4240.1465383360755</v>
      </c>
      <c r="D32" s="71">
        <f ca="1">C32/('Lvl FCR Feeder'!$D$12*('Lvl FCR Feeder'!$H$12-A32)/'Lvl FCR Feeder'!$H$12)</f>
        <v>0.18550641105220328</v>
      </c>
      <c r="E32" s="67"/>
    </row>
    <row r="33" spans="1:5" x14ac:dyDescent="0.2">
      <c r="A33" s="66">
        <f t="shared" si="0"/>
        <v>28</v>
      </c>
      <c r="B33" s="80">
        <f ca="1">NPV('Lvl FCR Feeder'!$L$9,OFFSET('Lvl FCR Feeder'!$L$17,A33,0,1,1):'Lvl FCR Feeder'!L$53)</f>
        <v>22370.26311237429</v>
      </c>
      <c r="C33" s="80">
        <f ca="1">-PMT('Lvl FCR Feeder'!$L$9,'Lvl FCR Feeder'!$H$12-A33,B33)</f>
        <v>4174.0574563217606</v>
      </c>
      <c r="D33" s="71">
        <f ca="1">C33/('Lvl FCR Feeder'!$D$12*('Lvl FCR Feeder'!$H$12-A33)/'Lvl FCR Feeder'!$H$12)</f>
        <v>0.20870287281608804</v>
      </c>
      <c r="E33" s="67"/>
    </row>
    <row r="34" spans="1:5" x14ac:dyDescent="0.2">
      <c r="A34" s="66">
        <f t="shared" si="0"/>
        <v>29</v>
      </c>
      <c r="B34" s="80">
        <f ca="1">NPV('Lvl FCR Feeder'!$L$9,OFFSET('Lvl FCR Feeder'!$L$17,A34,0,1,1):'Lvl FCR Feeder'!L$53)</f>
        <v>19576.912196273686</v>
      </c>
      <c r="C34" s="80">
        <f ca="1">-PMT('Lvl FCR Feeder'!$L$9,'Lvl FCR Feeder'!$H$12-A34,B34)</f>
        <v>4127.4624198798256</v>
      </c>
      <c r="D34" s="71">
        <f ca="1">C34/('Lvl FCR Feeder'!$D$12*('Lvl FCR Feeder'!$H$12-A34)/'Lvl FCR Feeder'!$H$12)</f>
        <v>0.24076864115965652</v>
      </c>
      <c r="E34" s="67"/>
    </row>
    <row r="35" spans="1:5" x14ac:dyDescent="0.2">
      <c r="A35" s="66">
        <f t="shared" si="0"/>
        <v>30</v>
      </c>
      <c r="B35" s="80">
        <f ca="1">NPV('Lvl FCR Feeder'!$L$9,OFFSET('Lvl FCR Feeder'!$L$17,A35,0,1,1):'Lvl FCR Feeder'!L$53)</f>
        <v>16782.837107489468</v>
      </c>
      <c r="C35" s="80">
        <f ca="1">-PMT('Lvl FCR Feeder'!$L$9,'Lvl FCR Feeder'!$H$12-A35,B35)</f>
        <v>4110.7284642772056</v>
      </c>
      <c r="D35" s="71">
        <f ca="1">C35/('Lvl FCR Feeder'!$D$12*('Lvl FCR Feeder'!$H$12-A35)/'Lvl FCR Feeder'!$H$12)</f>
        <v>0.28775099249940439</v>
      </c>
      <c r="E35" s="67"/>
    </row>
    <row r="36" spans="1:5" x14ac:dyDescent="0.2">
      <c r="A36" s="66">
        <f t="shared" si="0"/>
        <v>31</v>
      </c>
      <c r="B36" s="80">
        <f ca="1">NPV('Lvl FCR Feeder'!$L$9,OFFSET('Lvl FCR Feeder'!$L$17,A36,0,1,1):'Lvl FCR Feeder'!L$53)</f>
        <v>13987.985995257499</v>
      </c>
      <c r="C36" s="80">
        <f ca="1">-PMT('Lvl FCR Feeder'!$L$9,'Lvl FCR Feeder'!$H$12-A36,B36)</f>
        <v>4144.5731438321191</v>
      </c>
      <c r="D36" s="71">
        <f ca="1">C36/('Lvl FCR Feeder'!$D$12*('Lvl FCR Feeder'!$H$12-A36)/'Lvl FCR Feeder'!$H$12)</f>
        <v>0.36265015008531037</v>
      </c>
      <c r="E36" s="67"/>
    </row>
    <row r="37" spans="1:5" x14ac:dyDescent="0.2">
      <c r="A37" s="66">
        <f t="shared" si="0"/>
        <v>32</v>
      </c>
      <c r="B37" s="80">
        <f ca="1">NPV('Lvl FCR Feeder'!$L$9,OFFSET('Lvl FCR Feeder'!$L$17,A37,0,1,1):'Lvl FCR Feeder'!L$53)</f>
        <v>11192.303296298918</v>
      </c>
      <c r="C37" s="80">
        <f ca="1">-PMT('Lvl FCR Feeder'!$L$9,'Lvl FCR Feeder'!$H$12-A37,B37)</f>
        <v>4277.3187824923671</v>
      </c>
      <c r="D37" s="71">
        <f ca="1">C37/('Lvl FCR Feeder'!$D$12*('Lvl FCR Feeder'!$H$12-A37)/'Lvl FCR Feeder'!$H$12)</f>
        <v>0.49902052462410956</v>
      </c>
      <c r="E37" s="67"/>
    </row>
    <row r="38" spans="1:5" x14ac:dyDescent="0.2">
      <c r="A38" s="66">
        <f t="shared" si="0"/>
        <v>33</v>
      </c>
      <c r="B38" s="80">
        <f ca="1">NPV('Lvl FCR Feeder'!$L$9,OFFSET('Lvl FCR Feeder'!$L$17,A38,0,1,1):'Lvl FCR Feeder'!L$53)</f>
        <v>8395.7294690041035</v>
      </c>
      <c r="C38" s="80">
        <f ca="1">-PMT('Lvl FCR Feeder'!$L$9,'Lvl FCR Feeder'!$H$12-A38,B38)</f>
        <v>4653.9096060205202</v>
      </c>
      <c r="D38" s="71">
        <f ca="1">C38/('Lvl FCR Feeder'!$D$12*('Lvl FCR Feeder'!$H$12-A38)/'Lvl FCR Feeder'!$H$12)</f>
        <v>0.814434181053591</v>
      </c>
      <c r="E38" s="67"/>
    </row>
    <row r="39" spans="1:5" x14ac:dyDescent="0.2">
      <c r="A39" s="66">
        <f t="shared" si="0"/>
        <v>34</v>
      </c>
      <c r="B39" s="80">
        <f ca="1">NPV('Lvl FCR Feeder'!$L$9,OFFSET('Lvl FCR Feeder'!$L$17,A39,0,1,1):'Lvl FCR Feeder'!L$53)</f>
        <v>5598.2007085841778</v>
      </c>
      <c r="C39" s="80">
        <f ca="1">-PMT('Lvl FCR Feeder'!$L$9,'Lvl FCR Feeder'!$H$12-A39,B39)</f>
        <v>5999.0318793188062</v>
      </c>
      <c r="D39" s="71">
        <f ca="1">C39/('Lvl FCR Feeder'!$D$12*('Lvl FCR Feeder'!$H$12-A39)/'Lvl FCR Feeder'!$H$12)</f>
        <v>2.0996611577615822</v>
      </c>
      <c r="E39" s="67"/>
    </row>
    <row r="40" spans="1:5" ht="12" thickBot="1" x14ac:dyDescent="0.25">
      <c r="A40" s="66">
        <f t="shared" si="0"/>
        <v>35</v>
      </c>
      <c r="B40" s="80"/>
      <c r="C40" s="80"/>
      <c r="D40" s="75"/>
      <c r="E40" s="67"/>
    </row>
    <row r="41" spans="1:5" x14ac:dyDescent="0.2">
      <c r="A41" s="66"/>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&amp;L&amp;"Arial,Regular"&amp;8&amp;F&amp;C&amp;A&amp;R&amp;"Arial,Regular"Advice No. 18-xxxx
Page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H55"/>
  <sheetViews>
    <sheetView workbookViewId="0">
      <pane ySplit="4" topLeftCell="A5" activePane="bottomLeft" state="frozen"/>
      <selection pane="bottomLeft" activeCell="D5" sqref="D5"/>
    </sheetView>
  </sheetViews>
  <sheetFormatPr defaultColWidth="9.140625" defaultRowHeight="11.25" x14ac:dyDescent="0.2"/>
  <cols>
    <col min="1" max="1" width="9.140625" style="60"/>
    <col min="2" max="2" width="13.28515625" style="60" customWidth="1"/>
    <col min="3" max="3" width="10.140625" style="60" bestFit="1" customWidth="1"/>
    <col min="4" max="4" width="10.7109375" style="60" bestFit="1" customWidth="1"/>
    <col min="5" max="5" width="9.140625" style="60"/>
    <col min="6" max="6" width="11.140625" style="60" bestFit="1" customWidth="1"/>
    <col min="7" max="7" width="10.5703125" style="60" customWidth="1"/>
    <col min="8" max="8" width="11.28515625" style="60" bestFit="1" customWidth="1"/>
    <col min="9" max="16384" width="9.140625" style="60"/>
  </cols>
  <sheetData>
    <row r="1" spans="1:8" x14ac:dyDescent="0.2">
      <c r="A1" s="249" t="s">
        <v>130</v>
      </c>
      <c r="B1" s="250"/>
      <c r="C1" s="250"/>
      <c r="D1" s="250"/>
      <c r="E1" s="250"/>
      <c r="F1" s="250"/>
      <c r="G1" s="250"/>
      <c r="H1" s="250"/>
    </row>
    <row r="2" spans="1:8" x14ac:dyDescent="0.2">
      <c r="A2" s="246" t="str">
        <f>CONCATENATE("Docket No. UE-220066 + Weighted Cost of Capital = ",('Lvl FCR Sub Equip'!L9*100),"0% + 49 Year Sub Plant Life")</f>
        <v>Docket No. UE-220066 + Weighted Cost of Capital = 7.160% + 49 Year Sub Plant Life</v>
      </c>
      <c r="B2" s="246"/>
      <c r="C2" s="246"/>
      <c r="D2" s="246"/>
      <c r="E2" s="246"/>
      <c r="F2" s="246"/>
      <c r="G2" s="246"/>
      <c r="H2" s="246"/>
    </row>
    <row r="3" spans="1:8" ht="12" thickBot="1" x14ac:dyDescent="0.25"/>
    <row r="4" spans="1:8" ht="34.5" thickBot="1" x14ac:dyDescent="0.25">
      <c r="A4" s="77" t="s">
        <v>25</v>
      </c>
      <c r="B4" s="77" t="s">
        <v>9</v>
      </c>
      <c r="C4" s="77" t="s">
        <v>8</v>
      </c>
      <c r="D4" s="81" t="s">
        <v>7</v>
      </c>
      <c r="E4" s="82" t="s">
        <v>6</v>
      </c>
      <c r="F4" s="83" t="s">
        <v>5</v>
      </c>
      <c r="G4" s="82" t="s">
        <v>4</v>
      </c>
      <c r="H4" s="78" t="s">
        <v>38</v>
      </c>
    </row>
    <row r="5" spans="1:8" ht="12" thickBot="1" x14ac:dyDescent="0.25">
      <c r="A5" s="66">
        <v>0</v>
      </c>
      <c r="B5" s="80">
        <f ca="1">NPV('Lvl FCR Sub Equip'!$L$9,OFFSET('Lvl FCR Sub Equip'!$L$17,A5,0,1,1):'Lvl FCR Sub Equip'!L66)</f>
        <v>108544.68727737888</v>
      </c>
      <c r="C5" s="80">
        <f ca="1">-PMT('Lvl FCR Sub Equip'!$L$9,'Lvl FCR Sub Equip'!$H$12-A5,B5)</f>
        <v>8043.3396417411686</v>
      </c>
      <c r="D5" s="84">
        <f ca="1">C5/'Lvl FCR Sub Equip'!$D$12</f>
        <v>8.0433396417411693E-2</v>
      </c>
      <c r="E5" s="85">
        <f>'Lvl FCR Sub Equip'!B17</f>
        <v>100000</v>
      </c>
      <c r="F5" s="86">
        <f>'Lvl FCR Sub Equip'!M17</f>
        <v>67658.804448650044</v>
      </c>
      <c r="G5" s="86">
        <f>-PMT('Lvl FCR Sub Equip'!$L$9,10,F5)</f>
        <v>9704.4610953678657</v>
      </c>
      <c r="H5" s="87">
        <f t="shared" ref="H5:H36" si="0">G5/E5</f>
        <v>9.7044610953678653E-2</v>
      </c>
    </row>
    <row r="6" spans="1:8" x14ac:dyDescent="0.2">
      <c r="A6" s="66">
        <v>1</v>
      </c>
      <c r="B6" s="88"/>
      <c r="C6" s="88"/>
      <c r="D6" s="71"/>
      <c r="E6" s="85">
        <f>'Lvl FCR Sub Equip'!B18</f>
        <v>97959.183673469393</v>
      </c>
      <c r="F6" s="86">
        <f>'Lvl FCR Sub Equip'!M18</f>
        <v>65920.133319464512</v>
      </c>
      <c r="G6" s="86">
        <f>-PMT('Lvl FCR Sub Equip'!$L$9,10,F6)</f>
        <v>9455.0794152108374</v>
      </c>
      <c r="H6" s="87">
        <f t="shared" si="0"/>
        <v>9.6520602363610625E-2</v>
      </c>
    </row>
    <row r="7" spans="1:8" x14ac:dyDescent="0.2">
      <c r="A7" s="66">
        <f t="shared" ref="A7:A54" si="1">A6+1</f>
        <v>2</v>
      </c>
      <c r="B7" s="88"/>
      <c r="C7" s="88"/>
      <c r="D7" s="71"/>
      <c r="E7" s="85">
        <f>'Lvl FCR Sub Equip'!B19</f>
        <v>95918.367346938787</v>
      </c>
      <c r="F7" s="86">
        <f>'Lvl FCR Sub Equip'!M19</f>
        <v>64326.331139619644</v>
      </c>
      <c r="G7" s="86">
        <f>-PMT('Lvl FCR Sub Equip'!$L$9,10,F7)</f>
        <v>9226.4766284182351</v>
      </c>
      <c r="H7" s="87">
        <f t="shared" si="0"/>
        <v>9.619092655159435E-2</v>
      </c>
    </row>
    <row r="8" spans="1:8" x14ac:dyDescent="0.2">
      <c r="A8" s="66">
        <f t="shared" si="1"/>
        <v>3</v>
      </c>
      <c r="B8" s="88"/>
      <c r="C8" s="88"/>
      <c r="D8" s="71"/>
      <c r="E8" s="85">
        <f>'Lvl FCR Sub Equip'!B20</f>
        <v>93877.55102040818</v>
      </c>
      <c r="F8" s="86">
        <f>'Lvl FCR Sub Equip'!M20</f>
        <v>62754.586094981292</v>
      </c>
      <c r="G8" s="86">
        <f>-PMT('Lvl FCR Sub Equip'!$L$9,10,F8)</f>
        <v>9001.0375482892578</v>
      </c>
      <c r="H8" s="87">
        <f t="shared" si="0"/>
        <v>9.5880617362211637E-2</v>
      </c>
    </row>
    <row r="9" spans="1:8" x14ac:dyDescent="0.2">
      <c r="A9" s="66">
        <f t="shared" si="1"/>
        <v>4</v>
      </c>
      <c r="B9" s="88"/>
      <c r="C9" s="88"/>
      <c r="D9" s="71"/>
      <c r="E9" s="85">
        <f>'Lvl FCR Sub Equip'!B21</f>
        <v>91836.734693877574</v>
      </c>
      <c r="F9" s="86">
        <f>'Lvl FCR Sub Equip'!M21</f>
        <v>61197.36617855556</v>
      </c>
      <c r="G9" s="86">
        <f>-PMT('Lvl FCR Sub Equip'!$L$9,10,F9)</f>
        <v>8777.6818413855854</v>
      </c>
      <c r="H9" s="87">
        <f t="shared" si="0"/>
        <v>9.5579202272865232E-2</v>
      </c>
    </row>
    <row r="10" spans="1:8" x14ac:dyDescent="0.2">
      <c r="A10" s="66">
        <f t="shared" si="1"/>
        <v>5</v>
      </c>
      <c r="B10" s="88"/>
      <c r="C10" s="88"/>
      <c r="D10" s="71"/>
      <c r="E10" s="85">
        <f>'Lvl FCR Sub Equip'!B22</f>
        <v>89795.918367346967</v>
      </c>
      <c r="F10" s="86">
        <f>'Lvl FCR Sub Equip'!M22</f>
        <v>59646.600091647808</v>
      </c>
      <c r="G10" s="86">
        <f>-PMT('Lvl FCR Sub Equip'!$L$9,10,F10)</f>
        <v>8555.2518223947245</v>
      </c>
      <c r="H10" s="87">
        <f t="shared" si="0"/>
        <v>9.5274395294850309E-2</v>
      </c>
    </row>
    <row r="11" spans="1:8" x14ac:dyDescent="0.2">
      <c r="A11" s="66">
        <f t="shared" si="1"/>
        <v>6</v>
      </c>
      <c r="B11" s="88"/>
      <c r="C11" s="88"/>
      <c r="D11" s="71"/>
      <c r="E11" s="85">
        <f>'Lvl FCR Sub Equip'!B23</f>
        <v>87755.10204081636</v>
      </c>
      <c r="F11" s="86">
        <f>'Lvl FCR Sub Equip'!M23</f>
        <v>58098.642252537211</v>
      </c>
      <c r="G11" s="86">
        <f>-PMT('Lvl FCR Sub Equip'!$L$9,10,F11)</f>
        <v>8333.2245969754586</v>
      </c>
      <c r="H11" s="87">
        <f t="shared" si="0"/>
        <v>9.4960001221348206E-2</v>
      </c>
    </row>
    <row r="12" spans="1:8" x14ac:dyDescent="0.2">
      <c r="A12" s="66">
        <f t="shared" si="1"/>
        <v>7</v>
      </c>
      <c r="B12" s="88"/>
      <c r="C12" s="88"/>
      <c r="D12" s="71"/>
      <c r="E12" s="85">
        <f>'Lvl FCR Sub Equip'!B24</f>
        <v>85714.285714285754</v>
      </c>
      <c r="F12" s="86">
        <f>'Lvl FCR Sub Equip'!M24</f>
        <v>56546.404693466313</v>
      </c>
      <c r="G12" s="86">
        <f>-PMT('Lvl FCR Sub Equip'!$L$9,10,F12)</f>
        <v>8110.5835212791699</v>
      </c>
      <c r="H12" s="87">
        <f t="shared" si="0"/>
        <v>9.4623474414923608E-2</v>
      </c>
    </row>
    <row r="13" spans="1:8" x14ac:dyDescent="0.2">
      <c r="A13" s="66">
        <f t="shared" si="1"/>
        <v>8</v>
      </c>
      <c r="B13" s="88"/>
      <c r="C13" s="88"/>
      <c r="D13" s="71"/>
      <c r="E13" s="85">
        <f>'Lvl FCR Sub Equip'!B25</f>
        <v>83673.469387755147</v>
      </c>
      <c r="F13" s="86">
        <f>'Lvl FCR Sub Equip'!M25</f>
        <v>54982.291948186226</v>
      </c>
      <c r="G13" s="86">
        <f>-PMT('Lvl FCR Sub Equip'!$L$9,10,F13)</f>
        <v>7886.2391597576807</v>
      </c>
      <c r="H13" s="87">
        <f t="shared" si="0"/>
        <v>9.4250175323933205E-2</v>
      </c>
    </row>
    <row r="14" spans="1:8" x14ac:dyDescent="0.2">
      <c r="A14" s="66">
        <f t="shared" si="1"/>
        <v>9</v>
      </c>
      <c r="B14" s="88"/>
      <c r="C14" s="88"/>
      <c r="D14" s="71"/>
      <c r="E14" s="85">
        <f>'Lvl FCR Sub Equip'!B26</f>
        <v>81632.653061224541</v>
      </c>
      <c r="F14" s="86">
        <f>'Lvl FCR Sub Equip'!M26</f>
        <v>53418.17920290614</v>
      </c>
      <c r="G14" s="86">
        <f>-PMT('Lvl FCR Sub Equip'!$L$9,10,F14)</f>
        <v>7661.8947982361924</v>
      </c>
      <c r="H14" s="87">
        <f t="shared" si="0"/>
        <v>9.3858211278393305E-2</v>
      </c>
    </row>
    <row r="15" spans="1:8" x14ac:dyDescent="0.2">
      <c r="A15" s="66">
        <f t="shared" si="1"/>
        <v>10</v>
      </c>
      <c r="B15" s="88"/>
      <c r="C15" s="88"/>
      <c r="D15" s="71"/>
      <c r="E15" s="85">
        <f>'Lvl FCR Sub Equip'!B27</f>
        <v>79591.836734693934</v>
      </c>
      <c r="F15" s="86">
        <f>'Lvl FCR Sub Equip'!M27</f>
        <v>51854.066457626039</v>
      </c>
      <c r="G15" s="86">
        <f>-PMT('Lvl FCR Sub Equip'!$L$9,10,F15)</f>
        <v>7437.5504367147014</v>
      </c>
      <c r="H15" s="87">
        <f t="shared" si="0"/>
        <v>9.3446146512569259E-2</v>
      </c>
    </row>
    <row r="16" spans="1:8" x14ac:dyDescent="0.2">
      <c r="A16" s="66">
        <f t="shared" si="1"/>
        <v>11</v>
      </c>
      <c r="B16" s="88"/>
      <c r="C16" s="88"/>
      <c r="D16" s="71"/>
      <c r="E16" s="85">
        <f>'Lvl FCR Sub Equip'!B28</f>
        <v>77551.020408163327</v>
      </c>
      <c r="F16" s="86">
        <f>'Lvl FCR Sub Equip'!M28</f>
        <v>50360.117895233911</v>
      </c>
      <c r="G16" s="86">
        <f>-PMT('Lvl FCR Sub Equip'!$L$9,10,F16)</f>
        <v>7223.2698885974432</v>
      </c>
      <c r="H16" s="87">
        <f t="shared" si="0"/>
        <v>9.3142164352966961E-2</v>
      </c>
    </row>
    <row r="17" spans="1:8" x14ac:dyDescent="0.2">
      <c r="A17" s="66">
        <f t="shared" si="1"/>
        <v>12</v>
      </c>
      <c r="B17" s="88"/>
      <c r="C17" s="88"/>
      <c r="D17" s="71"/>
      <c r="E17" s="85">
        <f>'Lvl FCR Sub Equip'!B29</f>
        <v>75510.204081632721</v>
      </c>
      <c r="F17" s="86">
        <f>'Lvl FCR Sub Equip'!M29</f>
        <v>48939.3457312592</v>
      </c>
      <c r="G17" s="86">
        <f>-PMT('Lvl FCR Sub Equip'!$L$9,10,F17)</f>
        <v>7019.4852030264983</v>
      </c>
      <c r="H17" s="87">
        <f t="shared" si="0"/>
        <v>9.296074998602652E-2</v>
      </c>
    </row>
    <row r="18" spans="1:8" x14ac:dyDescent="0.2">
      <c r="A18" s="66">
        <f t="shared" si="1"/>
        <v>13</v>
      </c>
      <c r="B18" s="88"/>
      <c r="C18" s="88"/>
      <c r="D18" s="71"/>
      <c r="E18" s="85">
        <f>'Lvl FCR Sub Equip'!B30</f>
        <v>73469.387755102114</v>
      </c>
      <c r="F18" s="86">
        <f>'Lvl FCR Sub Equip'!M30</f>
        <v>47569.904010779959</v>
      </c>
      <c r="G18" s="86">
        <f>-PMT('Lvl FCR Sub Equip'!$L$9,10,F18)</f>
        <v>6823.0629634220322</v>
      </c>
      <c r="H18" s="87">
        <f t="shared" si="0"/>
        <v>9.286946811324423E-2</v>
      </c>
    </row>
    <row r="19" spans="1:8" x14ac:dyDescent="0.2">
      <c r="A19" s="66">
        <f t="shared" si="1"/>
        <v>14</v>
      </c>
      <c r="B19" s="88"/>
      <c r="C19" s="88"/>
      <c r="D19" s="71"/>
      <c r="E19" s="85">
        <f>'Lvl FCR Sub Equip'!B31</f>
        <v>71428.571428571508</v>
      </c>
      <c r="F19" s="86">
        <f>'Lvl FCR Sub Equip'!M31</f>
        <v>46255.467993550497</v>
      </c>
      <c r="G19" s="86">
        <f>-PMT('Lvl FCR Sub Equip'!$L$9,10,F19)</f>
        <v>6634.5303209152507</v>
      </c>
      <c r="H19" s="87">
        <f t="shared" si="0"/>
        <v>9.2883424492813407E-2</v>
      </c>
    </row>
    <row r="20" spans="1:8" x14ac:dyDescent="0.2">
      <c r="A20" s="66">
        <f t="shared" si="1"/>
        <v>15</v>
      </c>
      <c r="B20" s="88"/>
      <c r="C20" s="88"/>
      <c r="D20" s="71"/>
      <c r="E20" s="85">
        <f>'Lvl FCR Sub Equip'!B32</f>
        <v>69387.755102040901</v>
      </c>
      <c r="F20" s="86">
        <f>'Lvl FCR Sub Equip'!M32</f>
        <v>44999.976087923482</v>
      </c>
      <c r="G20" s="86">
        <f>-PMT('Lvl FCR Sub Equip'!$L$9,10,F20)</f>
        <v>6454.4521706583446</v>
      </c>
      <c r="H20" s="87">
        <f t="shared" si="0"/>
        <v>9.3020045988899555E-2</v>
      </c>
    </row>
    <row r="21" spans="1:8" x14ac:dyDescent="0.2">
      <c r="A21" s="66">
        <f t="shared" si="1"/>
        <v>16</v>
      </c>
      <c r="B21" s="88"/>
      <c r="C21" s="88"/>
      <c r="D21" s="71"/>
      <c r="E21" s="85">
        <f>'Lvl FCR Sub Equip'!B33</f>
        <v>67346.938775510294</v>
      </c>
      <c r="F21" s="86">
        <f>'Lvl FCR Sub Equip'!M33</f>
        <v>43807.648692289658</v>
      </c>
      <c r="G21" s="86">
        <f>-PMT('Lvl FCR Sub Equip'!$L$9,10,F21)</f>
        <v>6283.433854296406</v>
      </c>
      <c r="H21" s="87">
        <f t="shared" si="0"/>
        <v>9.329947238197682E-2</v>
      </c>
    </row>
    <row r="22" spans="1:8" x14ac:dyDescent="0.2">
      <c r="A22" s="66">
        <f t="shared" si="1"/>
        <v>17</v>
      </c>
      <c r="B22" s="88"/>
      <c r="C22" s="88"/>
      <c r="D22" s="71"/>
      <c r="E22" s="85">
        <f>'Lvl FCR Sub Equip'!B34</f>
        <v>65306.12244897968</v>
      </c>
      <c r="F22" s="86">
        <f>'Lvl FCR Sub Equip'!M34</f>
        <v>42683.008385564521</v>
      </c>
      <c r="G22" s="86">
        <f>-PMT('Lvl FCR Sub Equip'!$L$9,10,F22)</f>
        <v>6122.1240559363141</v>
      </c>
      <c r="H22" s="87">
        <f t="shared" si="0"/>
        <v>9.3745024606524688E-2</v>
      </c>
    </row>
    <row r="23" spans="1:8" x14ac:dyDescent="0.2">
      <c r="A23" s="66">
        <f t="shared" si="1"/>
        <v>18</v>
      </c>
      <c r="B23" s="88"/>
      <c r="C23" s="88"/>
      <c r="D23" s="71"/>
      <c r="E23" s="85">
        <f>'Lvl FCR Sub Equip'!B35</f>
        <v>63265.306122449067</v>
      </c>
      <c r="F23" s="86">
        <f>'Lvl FCR Sub Equip'!M35</f>
        <v>41630.901563313957</v>
      </c>
      <c r="G23" s="86">
        <f>-PMT('Lvl FCR Sub Equip'!$L$9,10,F23)</f>
        <v>5971.2179054670023</v>
      </c>
      <c r="H23" s="87">
        <f t="shared" si="0"/>
        <v>9.4383766892865387E-2</v>
      </c>
    </row>
    <row r="24" spans="1:8" x14ac:dyDescent="0.2">
      <c r="A24" s="66">
        <f t="shared" si="1"/>
        <v>19</v>
      </c>
      <c r="B24" s="88"/>
      <c r="C24" s="88"/>
      <c r="D24" s="71"/>
      <c r="E24" s="85">
        <f>'Lvl FCR Sub Equip'!B36</f>
        <v>61224.489795918453</v>
      </c>
      <c r="F24" s="86">
        <f>'Lvl FCR Sub Equip'!M36</f>
        <v>40656.52162302631</v>
      </c>
      <c r="G24" s="86">
        <f>-PMT('Lvl FCR Sub Equip'!$L$9,10,F24)</f>
        <v>5831.4603040774464</v>
      </c>
      <c r="H24" s="87">
        <f t="shared" si="0"/>
        <v>9.5247184966598161E-2</v>
      </c>
    </row>
    <row r="25" spans="1:8" x14ac:dyDescent="0.2">
      <c r="A25" s="66">
        <f t="shared" si="1"/>
        <v>20</v>
      </c>
      <c r="B25" s="88"/>
      <c r="C25" s="88"/>
      <c r="D25" s="71"/>
      <c r="E25" s="85">
        <f>'Lvl FCR Sub Equip'!B37</f>
        <v>59183.673469387839</v>
      </c>
      <c r="F25" s="86">
        <f>'Lvl FCR Sub Equip'!M37</f>
        <v>39765.433809450187</v>
      </c>
      <c r="G25" s="86">
        <f>-PMT('Lvl FCR Sub Equip'!$L$9,10,F25)</f>
        <v>5703.6494878817657</v>
      </c>
      <c r="H25" s="87">
        <f t="shared" si="0"/>
        <v>9.6372008588346936E-2</v>
      </c>
    </row>
    <row r="26" spans="1:8" x14ac:dyDescent="0.2">
      <c r="A26" s="66">
        <f t="shared" si="1"/>
        <v>21</v>
      </c>
      <c r="B26" s="88"/>
      <c r="C26" s="88"/>
      <c r="D26" s="71"/>
      <c r="E26" s="85">
        <f>'Lvl FCR Sub Equip'!B38</f>
        <v>57142.857142857225</v>
      </c>
      <c r="F26" s="86">
        <f>'Lvl FCR Sub Equip'!M38</f>
        <v>38823.500423967489</v>
      </c>
      <c r="G26" s="86">
        <f>-PMT('Lvl FCR Sub Equip'!$L$9,10,F26)</f>
        <v>5568.5457719894384</v>
      </c>
      <c r="H26" s="87">
        <f t="shared" si="0"/>
        <v>9.7449551009815033E-2</v>
      </c>
    </row>
    <row r="27" spans="1:8" x14ac:dyDescent="0.2">
      <c r="A27" s="66">
        <f t="shared" si="1"/>
        <v>22</v>
      </c>
      <c r="B27" s="88"/>
      <c r="C27" s="88"/>
      <c r="D27" s="71"/>
      <c r="E27" s="85">
        <f>'Lvl FCR Sub Equip'!B39</f>
        <v>55102.040816326611</v>
      </c>
      <c r="F27" s="86">
        <f>'Lvl FCR Sub Equip'!M39</f>
        <v>37831.097497095718</v>
      </c>
      <c r="G27" s="86">
        <f>-PMT('Lvl FCR Sub Equip'!$L$9,10,F27)</f>
        <v>5426.2030913400095</v>
      </c>
      <c r="H27" s="87">
        <f t="shared" si="0"/>
        <v>9.8475537583577799E-2</v>
      </c>
    </row>
    <row r="28" spans="1:8" x14ac:dyDescent="0.2">
      <c r="A28" s="66">
        <f t="shared" si="1"/>
        <v>23</v>
      </c>
      <c r="B28" s="88"/>
      <c r="C28" s="88"/>
      <c r="D28" s="71"/>
      <c r="E28" s="85">
        <f>'Lvl FCR Sub Equip'!B40</f>
        <v>53061.224489795997</v>
      </c>
      <c r="F28" s="86">
        <f>'Lvl FCR Sub Equip'!M40</f>
        <v>36838.694570223954</v>
      </c>
      <c r="G28" s="86">
        <f>-PMT('Lvl FCR Sub Equip'!$L$9,10,F28)</f>
        <v>5283.8604106905823</v>
      </c>
      <c r="H28" s="87">
        <f t="shared" si="0"/>
        <v>9.9580446201476214E-2</v>
      </c>
    </row>
    <row r="29" spans="1:8" x14ac:dyDescent="0.2">
      <c r="A29" s="66">
        <f t="shared" si="1"/>
        <v>24</v>
      </c>
      <c r="B29" s="88"/>
      <c r="C29" s="88"/>
      <c r="D29" s="71"/>
      <c r="E29" s="85">
        <f>'Lvl FCR Sub Equip'!B41</f>
        <v>51020.408163265383</v>
      </c>
      <c r="F29" s="86">
        <f>'Lvl FCR Sub Equip'!M41</f>
        <v>35846.291643352182</v>
      </c>
      <c r="G29" s="86">
        <f>-PMT('Lvl FCR Sub Equip'!$L$9,10,F29)</f>
        <v>5141.5177300411542</v>
      </c>
      <c r="H29" s="87">
        <f t="shared" si="0"/>
        <v>0.10077374750880647</v>
      </c>
    </row>
    <row r="30" spans="1:8" x14ac:dyDescent="0.2">
      <c r="A30" s="66">
        <f t="shared" si="1"/>
        <v>25</v>
      </c>
      <c r="B30" s="88"/>
      <c r="C30" s="88"/>
      <c r="D30" s="71"/>
      <c r="E30" s="85">
        <f>'Lvl FCR Sub Equip'!B42</f>
        <v>48979.591836734769</v>
      </c>
      <c r="F30" s="86">
        <f>'Lvl FCR Sub Equip'!M42</f>
        <v>34853.888716480418</v>
      </c>
      <c r="G30" s="86">
        <f>-PMT('Lvl FCR Sub Equip'!$L$9,10,F30)</f>
        <v>4999.175049391727</v>
      </c>
      <c r="H30" s="87">
        <f t="shared" si="0"/>
        <v>0.10206649059174761</v>
      </c>
    </row>
    <row r="31" spans="1:8" x14ac:dyDescent="0.2">
      <c r="A31" s="66">
        <f t="shared" si="1"/>
        <v>26</v>
      </c>
      <c r="B31" s="88"/>
      <c r="C31" s="88"/>
      <c r="D31" s="71"/>
      <c r="E31" s="85">
        <f>'Lvl FCR Sub Equip'!B43</f>
        <v>46938.775510204156</v>
      </c>
      <c r="F31" s="86">
        <f>'Lvl FCR Sub Equip'!M43</f>
        <v>33861.48578960864</v>
      </c>
      <c r="G31" s="86">
        <f>-PMT('Lvl FCR Sub Equip'!$L$9,10,F31)</f>
        <v>4856.8323687422981</v>
      </c>
      <c r="H31" s="87">
        <f t="shared" si="0"/>
        <v>0.10347164611668358</v>
      </c>
    </row>
    <row r="32" spans="1:8" x14ac:dyDescent="0.2">
      <c r="A32" s="66">
        <f t="shared" si="1"/>
        <v>27</v>
      </c>
      <c r="B32" s="88"/>
      <c r="C32" s="88"/>
      <c r="D32" s="71"/>
      <c r="E32" s="85">
        <f>'Lvl FCR Sub Equip'!B44</f>
        <v>44897.959183673542</v>
      </c>
      <c r="F32" s="86">
        <f>'Lvl FCR Sub Equip'!M44</f>
        <v>32869.08286273689</v>
      </c>
      <c r="G32" s="86">
        <f>-PMT('Lvl FCR Sub Equip'!$L$9,10,F32)</f>
        <v>4714.4896880928736</v>
      </c>
      <c r="H32" s="87">
        <f t="shared" si="0"/>
        <v>0.10500454305297748</v>
      </c>
    </row>
    <row r="33" spans="1:8" x14ac:dyDescent="0.2">
      <c r="A33" s="66">
        <f t="shared" si="1"/>
        <v>28</v>
      </c>
      <c r="B33" s="88"/>
      <c r="C33" s="88"/>
      <c r="D33" s="71"/>
      <c r="E33" s="85">
        <f>'Lvl FCR Sub Equip'!B45</f>
        <v>42857.142857142928</v>
      </c>
      <c r="F33" s="86">
        <f>'Lvl FCR Sub Equip'!M45</f>
        <v>31876.679935865119</v>
      </c>
      <c r="G33" s="86">
        <f>-PMT('Lvl FCR Sub Equip'!$L$9,10,F33)</f>
        <v>4572.1470074434446</v>
      </c>
      <c r="H33" s="87">
        <f t="shared" si="0"/>
        <v>0.1066834301736802</v>
      </c>
    </row>
    <row r="34" spans="1:8" x14ac:dyDescent="0.2">
      <c r="A34" s="66">
        <f t="shared" si="1"/>
        <v>29</v>
      </c>
      <c r="B34" s="88"/>
      <c r="C34" s="88"/>
      <c r="D34" s="71"/>
      <c r="E34" s="85">
        <f>'Lvl FCR Sub Equip'!B46</f>
        <v>40816.326530612314</v>
      </c>
      <c r="F34" s="86">
        <f>'Lvl FCR Sub Equip'!M46</f>
        <v>30884.277008993347</v>
      </c>
      <c r="G34" s="86">
        <f>-PMT('Lvl FCR Sub Equip'!$L$9,10,F34)</f>
        <v>4429.8043267940157</v>
      </c>
      <c r="H34" s="87">
        <f t="shared" si="0"/>
        <v>0.1085302060064532</v>
      </c>
    </row>
    <row r="35" spans="1:8" x14ac:dyDescent="0.2">
      <c r="A35" s="66">
        <f t="shared" si="1"/>
        <v>30</v>
      </c>
      <c r="B35" s="88"/>
      <c r="C35" s="88"/>
      <c r="D35" s="71"/>
      <c r="E35" s="85">
        <f>'Lvl FCR Sub Equip'!B47</f>
        <v>38775.5102040817</v>
      </c>
      <c r="F35" s="86">
        <f>'Lvl FCR Sub Equip'!M47</f>
        <v>29891.87408212158</v>
      </c>
      <c r="G35" s="86">
        <f>-PMT('Lvl FCR Sub Equip'!$L$9,10,F35)</f>
        <v>4287.4616461445885</v>
      </c>
      <c r="H35" s="87">
        <f t="shared" si="0"/>
        <v>0.11057137929530762</v>
      </c>
    </row>
    <row r="36" spans="1:8" x14ac:dyDescent="0.2">
      <c r="A36" s="66">
        <f t="shared" si="1"/>
        <v>31</v>
      </c>
      <c r="B36" s="88"/>
      <c r="C36" s="88"/>
      <c r="D36" s="71"/>
      <c r="E36" s="85">
        <f>'Lvl FCR Sub Equip'!B48</f>
        <v>36734.693877551086</v>
      </c>
      <c r="F36" s="86">
        <f>'Lvl FCR Sub Equip'!M48</f>
        <v>28899.471155249812</v>
      </c>
      <c r="G36" s="86">
        <f>-PMT('Lvl FCR Sub Equip'!$L$9,10,F36)</f>
        <v>4145.1189654951613</v>
      </c>
      <c r="H36" s="87">
        <f t="shared" si="0"/>
        <v>0.11283934961625697</v>
      </c>
    </row>
    <row r="37" spans="1:8" x14ac:dyDescent="0.2">
      <c r="A37" s="66">
        <f t="shared" si="1"/>
        <v>32</v>
      </c>
      <c r="B37" s="88"/>
      <c r="C37" s="88"/>
      <c r="D37" s="71"/>
      <c r="E37" s="85">
        <f>'Lvl FCR Sub Equip'!B49</f>
        <v>34693.877551020472</v>
      </c>
      <c r="F37" s="86">
        <f>'Lvl FCR Sub Equip'!M49</f>
        <v>27907.068228378044</v>
      </c>
      <c r="G37" s="86">
        <f>-PMT('Lvl FCR Sub Equip'!$L$9,10,F37)</f>
        <v>4002.7762848457328</v>
      </c>
      <c r="H37" s="87">
        <f t="shared" ref="H37:H53" si="2">G37/E37</f>
        <v>0.11537413997496503</v>
      </c>
    </row>
    <row r="38" spans="1:8" x14ac:dyDescent="0.2">
      <c r="A38" s="66">
        <f t="shared" si="1"/>
        <v>33</v>
      </c>
      <c r="B38" s="88"/>
      <c r="C38" s="88"/>
      <c r="D38" s="71"/>
      <c r="E38" s="85">
        <f>'Lvl FCR Sub Equip'!B50</f>
        <v>32653.061224489858</v>
      </c>
      <c r="F38" s="86">
        <f>'Lvl FCR Sub Equip'!M50</f>
        <v>26914.66530150628</v>
      </c>
      <c r="G38" s="86">
        <f>-PMT('Lvl FCR Sub Equip'!$L$9,10,F38)</f>
        <v>3860.4336041963061</v>
      </c>
      <c r="H38" s="87">
        <f t="shared" si="2"/>
        <v>0.11822577912851165</v>
      </c>
    </row>
    <row r="39" spans="1:8" x14ac:dyDescent="0.2">
      <c r="A39" s="66">
        <f t="shared" si="1"/>
        <v>34</v>
      </c>
      <c r="B39" s="88"/>
      <c r="C39" s="88"/>
      <c r="D39" s="71"/>
      <c r="E39" s="85">
        <f>'Lvl FCR Sub Equip'!B51</f>
        <v>30612.244897959245</v>
      </c>
      <c r="F39" s="86">
        <f>'Lvl FCR Sub Equip'!M51</f>
        <v>25922.262374634509</v>
      </c>
      <c r="G39" s="86">
        <f>-PMT('Lvl FCR Sub Equip'!$L$9,10,F39)</f>
        <v>3718.090923546878</v>
      </c>
      <c r="H39" s="87">
        <f t="shared" si="2"/>
        <v>0.12145763683586444</v>
      </c>
    </row>
    <row r="40" spans="1:8" x14ac:dyDescent="0.2">
      <c r="A40" s="66">
        <f t="shared" si="1"/>
        <v>35</v>
      </c>
      <c r="B40" s="88"/>
      <c r="C40" s="88"/>
      <c r="D40" s="71"/>
      <c r="E40" s="85">
        <f>'Lvl FCR Sub Equip'!B52</f>
        <v>28571.428571428631</v>
      </c>
      <c r="F40" s="86">
        <f>'Lvl FCR Sub Equip'!M52</f>
        <v>24929.859447762741</v>
      </c>
      <c r="G40" s="86">
        <f>-PMT('Lvl FCR Sub Equip'!$L$9,10,F40)</f>
        <v>3575.7482428974499</v>
      </c>
      <c r="H40" s="87">
        <f t="shared" si="2"/>
        <v>0.12515118850141049</v>
      </c>
    </row>
    <row r="41" spans="1:8" x14ac:dyDescent="0.2">
      <c r="A41" s="66">
        <f t="shared" si="1"/>
        <v>36</v>
      </c>
      <c r="B41" s="88"/>
      <c r="C41" s="88"/>
      <c r="D41" s="71"/>
      <c r="E41" s="85">
        <f>'Lvl FCR Sub Equip'!B53</f>
        <v>26530.612244898017</v>
      </c>
      <c r="F41" s="86">
        <f>'Lvl FCR Sub Equip'!M53</f>
        <v>23937.456520890977</v>
      </c>
      <c r="G41" s="86">
        <f>-PMT('Lvl FCR Sub Equip'!$L$9,10,F41)</f>
        <v>3433.4055622480228</v>
      </c>
      <c r="H41" s="87">
        <f t="shared" si="2"/>
        <v>0.12941297888473288</v>
      </c>
    </row>
    <row r="42" spans="1:8" x14ac:dyDescent="0.2">
      <c r="A42" s="66">
        <f t="shared" si="1"/>
        <v>37</v>
      </c>
      <c r="B42" s="88"/>
      <c r="C42" s="88"/>
      <c r="D42" s="71"/>
      <c r="E42" s="85">
        <f>'Lvl FCR Sub Equip'!B54</f>
        <v>24489.795918367403</v>
      </c>
      <c r="F42" s="86">
        <f>'Lvl FCR Sub Equip'!M54</f>
        <v>22945.053594019213</v>
      </c>
      <c r="G42" s="86">
        <f>-PMT('Lvl FCR Sub Equip'!$L$9,10,F42)</f>
        <v>3291.0628815985961</v>
      </c>
      <c r="H42" s="87">
        <f t="shared" si="2"/>
        <v>0.13438506766527569</v>
      </c>
    </row>
    <row r="43" spans="1:8" x14ac:dyDescent="0.2">
      <c r="A43" s="66">
        <f t="shared" si="1"/>
        <v>38</v>
      </c>
      <c r="B43" s="88"/>
      <c r="C43" s="88"/>
      <c r="D43" s="71"/>
      <c r="E43" s="85">
        <f>'Lvl FCR Sub Equip'!B55</f>
        <v>22448.979591836789</v>
      </c>
      <c r="F43" s="86">
        <f>'Lvl FCR Sub Equip'!M55</f>
        <v>21952.650667147449</v>
      </c>
      <c r="G43" s="86">
        <f>-PMT('Lvl FCR Sub Equip'!$L$9,10,F43)</f>
        <v>3148.7202009491684</v>
      </c>
      <c r="H43" s="87">
        <f t="shared" si="2"/>
        <v>0.14026117258773535</v>
      </c>
    </row>
    <row r="44" spans="1:8" x14ac:dyDescent="0.2">
      <c r="A44" s="66">
        <f t="shared" si="1"/>
        <v>39</v>
      </c>
      <c r="B44" s="88"/>
      <c r="C44" s="88"/>
      <c r="D44" s="71"/>
      <c r="E44" s="85">
        <f>'Lvl FCR Sub Equip'!B56</f>
        <v>20408.163265306175</v>
      </c>
      <c r="F44" s="86">
        <f>'Lvl FCR Sub Equip'!M56</f>
        <v>20960.247740275685</v>
      </c>
      <c r="G44" s="86">
        <f>-PMT('Lvl FCR Sub Equip'!$L$9,10,F44)</f>
        <v>3006.3775202997413</v>
      </c>
      <c r="H44" s="87">
        <f t="shared" si="2"/>
        <v>0.14731249849468694</v>
      </c>
    </row>
    <row r="45" spans="1:8" x14ac:dyDescent="0.2">
      <c r="A45" s="66">
        <f t="shared" si="1"/>
        <v>40</v>
      </c>
      <c r="B45" s="88"/>
      <c r="C45" s="88"/>
      <c r="D45" s="71"/>
      <c r="E45" s="85">
        <f>'Lvl FCR Sub Equip'!B57</f>
        <v>18367.346938775561</v>
      </c>
      <c r="F45" s="86">
        <f>'Lvl FCR Sub Equip'!M57</f>
        <v>18894.64361156927</v>
      </c>
      <c r="G45" s="86">
        <f>-PMT('Lvl FCR Sub Equip'!$L$9,10,F45)</f>
        <v>2710.1030728155811</v>
      </c>
      <c r="H45" s="87">
        <f t="shared" si="2"/>
        <v>0.14755005618662567</v>
      </c>
    </row>
    <row r="46" spans="1:8" x14ac:dyDescent="0.2">
      <c r="A46" s="66">
        <f t="shared" si="1"/>
        <v>41</v>
      </c>
      <c r="B46" s="88"/>
      <c r="C46" s="88"/>
      <c r="D46" s="71"/>
      <c r="E46" s="85">
        <f>'Lvl FCR Sub Equip'!B58</f>
        <v>16326.530612244949</v>
      </c>
      <c r="F46" s="86">
        <f>'Lvl FCR Sub Equip'!M58</f>
        <v>16823.484907896902</v>
      </c>
      <c r="G46" s="86">
        <f>-PMT('Lvl FCR Sub Equip'!$L$9,10,F46)</f>
        <v>2413.0319196092655</v>
      </c>
      <c r="H46" s="87">
        <f t="shared" si="2"/>
        <v>0.14779820507606706</v>
      </c>
    </row>
    <row r="47" spans="1:8" x14ac:dyDescent="0.2">
      <c r="A47" s="66">
        <f t="shared" si="1"/>
        <v>42</v>
      </c>
      <c r="B47" s="88"/>
      <c r="C47" s="88"/>
      <c r="D47" s="71"/>
      <c r="E47" s="85">
        <f>'Lvl FCR Sub Equip'!B59</f>
        <v>14285.714285714337</v>
      </c>
      <c r="F47" s="86">
        <f>'Lvl FCR Sub Equip'!M59</f>
        <v>14746.373921691025</v>
      </c>
      <c r="G47" s="86">
        <f>-PMT('Lvl FCR Sub Equip'!$L$9,10,F47)</f>
        <v>2115.1070165510905</v>
      </c>
      <c r="H47" s="87">
        <f t="shared" si="2"/>
        <v>0.1480574911585758</v>
      </c>
    </row>
    <row r="48" spans="1:8" x14ac:dyDescent="0.2">
      <c r="A48" s="66">
        <f t="shared" si="1"/>
        <v>43</v>
      </c>
      <c r="B48" s="88"/>
      <c r="C48" s="88"/>
      <c r="D48" s="71"/>
      <c r="E48" s="85">
        <f>'Lvl FCR Sub Equip'!B60</f>
        <v>12244.897959183725</v>
      </c>
      <c r="F48" s="86">
        <f>'Lvl FCR Sub Equip'!M60</f>
        <v>12662.884469522234</v>
      </c>
      <c r="G48" s="86">
        <f>-PMT('Lvl FCR Sub Equip'!$L$9,10,F48)</f>
        <v>1816.2672351516608</v>
      </c>
      <c r="H48" s="87">
        <f t="shared" si="2"/>
        <v>0.14832849087071834</v>
      </c>
    </row>
    <row r="49" spans="1:8" x14ac:dyDescent="0.2">
      <c r="A49" s="66">
        <f t="shared" si="1"/>
        <v>44</v>
      </c>
      <c r="B49" s="88"/>
      <c r="C49" s="88"/>
      <c r="D49" s="71"/>
      <c r="E49" s="85">
        <f>'Lvl FCR Sub Equip'!B61</f>
        <v>10204.081632653113</v>
      </c>
      <c r="F49" s="86">
        <f>'Lvl FCR Sub Equip'!M61</f>
        <v>10572.559853227582</v>
      </c>
      <c r="G49" s="86">
        <f>-PMT('Lvl FCR Sub Equip'!$L$9,10,F49)</f>
        <v>1516.4470701217424</v>
      </c>
      <c r="H49" s="87">
        <f t="shared" si="2"/>
        <v>0.14861181287193001</v>
      </c>
    </row>
    <row r="50" spans="1:8" x14ac:dyDescent="0.2">
      <c r="A50" s="66">
        <f t="shared" si="1"/>
        <v>45</v>
      </c>
      <c r="B50" s="88"/>
      <c r="C50" s="88"/>
      <c r="D50" s="71"/>
      <c r="E50" s="85">
        <f>'Lvl FCR Sub Equip'!B62</f>
        <v>8163.265306122501</v>
      </c>
      <c r="F50" s="86">
        <f>'Lvl FCR Sub Equip'!M62</f>
        <v>8474.9106750556602</v>
      </c>
      <c r="G50" s="86">
        <f>-PMT('Lvl FCR Sub Equip'!$L$9,10,F50)</f>
        <v>1215.5763259933933</v>
      </c>
      <c r="H50" s="87">
        <f t="shared" si="2"/>
        <v>0.14890809993418974</v>
      </c>
    </row>
    <row r="51" spans="1:8" x14ac:dyDescent="0.2">
      <c r="A51" s="66">
        <f t="shared" si="1"/>
        <v>46</v>
      </c>
      <c r="B51" s="88"/>
      <c r="C51" s="88"/>
      <c r="D51" s="71"/>
      <c r="E51" s="85">
        <f>'Lvl FCR Sub Equip'!B63</f>
        <v>6122.4489795918889</v>
      </c>
      <c r="F51" s="86">
        <f>'Lvl FCR Sub Equip'!M63</f>
        <v>6369.4124963760578</v>
      </c>
      <c r="G51" s="86">
        <f>-PMT('Lvl FCR Sub Equip'!$L$9,10,F51)</f>
        <v>913.57978130316587</v>
      </c>
      <c r="H51" s="87">
        <f t="shared" si="2"/>
        <v>0.14921803094618249</v>
      </c>
    </row>
    <row r="52" spans="1:8" x14ac:dyDescent="0.2">
      <c r="A52" s="66">
        <f t="shared" si="1"/>
        <v>47</v>
      </c>
      <c r="B52" s="88"/>
      <c r="C52" s="88"/>
      <c r="D52" s="71"/>
      <c r="E52" s="85">
        <f>'Lvl FCR Sub Equip'!B64</f>
        <v>4081.6326530612769</v>
      </c>
      <c r="F52" s="86">
        <f>'Lvl FCR Sub Equip'!M64</f>
        <v>4255.503328752422</v>
      </c>
      <c r="G52" s="86">
        <f>-PMT('Lvl FCR Sub Equip'!$L$9,10,F52)</f>
        <v>610.37682873082917</v>
      </c>
      <c r="H52" s="87">
        <f t="shared" si="2"/>
        <v>0.14954232303905124</v>
      </c>
    </row>
    <row r="53" spans="1:8" x14ac:dyDescent="0.2">
      <c r="A53" s="66">
        <f t="shared" si="1"/>
        <v>48</v>
      </c>
      <c r="B53" s="88"/>
      <c r="C53" s="88"/>
      <c r="D53" s="71"/>
      <c r="E53" s="85">
        <f>'Lvl FCR Sub Equip'!B65</f>
        <v>2040.8163265306646</v>
      </c>
      <c r="F53" s="86">
        <f>'Lvl FCR Sub Equip'!M65</f>
        <v>2132.58094537636</v>
      </c>
      <c r="G53" s="86">
        <f>-PMT('Lvl FCR Sub Equip'!$L$9,10,F53)</f>
        <v>305.88108947202414</v>
      </c>
      <c r="H53" s="87">
        <f t="shared" si="2"/>
        <v>0.14988173384128797</v>
      </c>
    </row>
    <row r="54" spans="1:8" x14ac:dyDescent="0.2">
      <c r="A54" s="66">
        <f t="shared" si="1"/>
        <v>49</v>
      </c>
      <c r="B54" s="88"/>
      <c r="C54" s="88"/>
      <c r="D54" s="71"/>
      <c r="E54" s="85"/>
      <c r="F54" s="86"/>
      <c r="G54" s="86"/>
      <c r="H54" s="87"/>
    </row>
    <row r="55" spans="1:8" ht="12" thickBot="1" x14ac:dyDescent="0.25">
      <c r="B55" s="88"/>
      <c r="C55" s="88"/>
      <c r="D55" s="75"/>
      <c r="E55" s="85"/>
      <c r="F55" s="89"/>
      <c r="G55" s="89"/>
      <c r="H55" s="90"/>
    </row>
  </sheetData>
  <mergeCells count="2">
    <mergeCell ref="A1:H1"/>
    <mergeCell ref="A2:H2"/>
  </mergeCells>
  <printOptions horizontalCentered="1"/>
  <pageMargins left="0.25" right="0.25" top="0.75" bottom="0.75" header="0.3" footer="0.3"/>
  <pageSetup scale="62" orientation="landscape" r:id="rId1"/>
  <headerFooter alignWithMargins="0">
    <oddFooter>&amp;L&amp;"Arial,Regular"&amp;8&amp;F&amp;C&amp;A&amp;R&amp;"Arial,Regular"Advice No. 18-xxxx
Page &amp;P of &amp;N</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45" transitionEvaluation="1">
    <tabColor theme="6" tint="0.79998168889431442"/>
    <pageSetUpPr fitToPage="1"/>
  </sheetPr>
  <dimension ref="A1:AJ153"/>
  <sheetViews>
    <sheetView showGridLines="0" zoomScaleNormal="100" workbookViewId="0">
      <pane xSplit="1" ySplit="16" topLeftCell="B45" activePane="bottomRight" state="frozen"/>
      <selection activeCell="B7" sqref="B7"/>
      <selection pane="topRight" activeCell="B7" sqref="B7"/>
      <selection pane="bottomLeft" activeCell="B7" sqref="B7"/>
      <selection pane="bottomRight" activeCell="O2" sqref="O2:S16"/>
    </sheetView>
  </sheetViews>
  <sheetFormatPr defaultColWidth="13.28515625" defaultRowHeight="11.25" x14ac:dyDescent="0.2"/>
  <cols>
    <col min="1" max="1" width="7.28515625" style="60" bestFit="1" customWidth="1"/>
    <col min="2" max="2" width="7.42578125" style="60" bestFit="1" customWidth="1"/>
    <col min="3" max="3" width="11" style="62" bestFit="1" customWidth="1"/>
    <col min="4" max="4" width="11.140625" style="60" bestFit="1" customWidth="1"/>
    <col min="5" max="5" width="10.5703125" style="60" customWidth="1"/>
    <col min="6" max="6" width="7.7109375" style="60" customWidth="1"/>
    <col min="7" max="7" width="9.140625" style="60" bestFit="1" customWidth="1"/>
    <col min="8" max="8" width="8" style="60" bestFit="1" customWidth="1"/>
    <col min="9" max="9" width="10.7109375" style="60" customWidth="1"/>
    <col min="10" max="10" width="9.42578125" style="60" customWidth="1"/>
    <col min="11" max="11" width="7.28515625" style="60" bestFit="1" customWidth="1"/>
    <col min="12" max="12" width="11" style="60" customWidth="1"/>
    <col min="13" max="13" width="6.5703125" style="60" bestFit="1" customWidth="1"/>
    <col min="14" max="14" width="7" style="60" customWidth="1"/>
    <col min="15" max="15" width="4.28515625" style="60" bestFit="1" customWidth="1"/>
    <col min="16" max="16" width="55.140625" style="60" bestFit="1" customWidth="1"/>
    <col min="17" max="17" width="1.5703125" style="60" customWidth="1"/>
    <col min="18" max="18" width="7.140625" style="60" bestFit="1" customWidth="1"/>
    <col min="19" max="19" width="7.42578125" style="60" bestFit="1" customWidth="1"/>
    <col min="20" max="22" width="13.28515625" style="60"/>
    <col min="23" max="23" width="1.7109375" style="60" bestFit="1" customWidth="1"/>
    <col min="24" max="25" width="15.5703125" style="60" customWidth="1"/>
    <col min="26" max="200" width="13.28515625" style="60"/>
    <col min="201" max="201" width="83" style="60" customWidth="1"/>
    <col min="202" max="16384" width="13.28515625" style="60"/>
  </cols>
  <sheetData>
    <row r="1" spans="1:25" ht="13.5" thickBot="1" x14ac:dyDescent="0.25">
      <c r="A1" s="251" t="s">
        <v>128</v>
      </c>
      <c r="B1" s="251"/>
      <c r="C1" s="251"/>
      <c r="D1" s="251"/>
      <c r="E1" s="251"/>
      <c r="F1" s="251"/>
      <c r="G1" s="251"/>
      <c r="H1" s="91"/>
      <c r="I1" s="91"/>
      <c r="J1" s="91"/>
      <c r="K1" s="91"/>
      <c r="L1" s="91"/>
      <c r="M1" s="91"/>
      <c r="N1" s="91"/>
      <c r="Q1" s="92"/>
      <c r="R1" s="92"/>
      <c r="S1" s="92"/>
      <c r="W1" s="93" t="s">
        <v>14</v>
      </c>
    </row>
    <row r="2" spans="1:25" ht="12.75" customHeight="1" thickBot="1" x14ac:dyDescent="0.3">
      <c r="A2" s="252" t="s">
        <v>30</v>
      </c>
      <c r="B2" s="252"/>
      <c r="C2" s="252"/>
      <c r="D2" s="252"/>
      <c r="E2" s="252"/>
      <c r="F2" s="252"/>
      <c r="G2" s="252"/>
      <c r="I2" s="257" t="s">
        <v>29</v>
      </c>
      <c r="J2" s="258"/>
      <c r="K2" s="258"/>
      <c r="L2" s="259"/>
      <c r="O2" s="260" t="s">
        <v>112</v>
      </c>
      <c r="P2" s="261"/>
      <c r="Q2" s="261"/>
      <c r="R2" s="261"/>
      <c r="S2" s="262"/>
      <c r="W2" s="93" t="s">
        <v>14</v>
      </c>
    </row>
    <row r="3" spans="1:25" ht="12" customHeight="1" x14ac:dyDescent="0.25">
      <c r="A3" s="79"/>
      <c r="B3" s="79"/>
      <c r="C3" s="94"/>
      <c r="D3" s="79"/>
      <c r="E3" s="79"/>
      <c r="F3" s="79"/>
      <c r="I3" s="199" t="s">
        <v>27</v>
      </c>
      <c r="J3" s="185">
        <f>+'LvlFCR Land'!J2</f>
        <v>0.51</v>
      </c>
      <c r="K3" s="200">
        <f>+'LvlFCR Land'!K2</f>
        <v>0.05</v>
      </c>
      <c r="L3" s="187">
        <f>+'LvlFCR Land'!L2</f>
        <v>2.5499999999999998E-2</v>
      </c>
      <c r="O3" s="263" t="s">
        <v>139</v>
      </c>
      <c r="P3" s="264"/>
      <c r="Q3" s="264"/>
      <c r="R3" s="264"/>
      <c r="S3" s="265"/>
      <c r="W3" s="93"/>
    </row>
    <row r="4" spans="1:25" ht="12" customHeight="1" x14ac:dyDescent="0.25">
      <c r="A4" s="79"/>
      <c r="B4" s="79"/>
      <c r="C4" s="94"/>
      <c r="D4" s="79"/>
      <c r="E4" s="79"/>
      <c r="F4" s="79"/>
      <c r="I4" s="199" t="s">
        <v>26</v>
      </c>
      <c r="J4" s="185">
        <f>+'LvlFCR Land'!J3</f>
        <v>0</v>
      </c>
      <c r="K4" s="200">
        <f>+'LvlFCR Land'!K3</f>
        <v>0</v>
      </c>
      <c r="L4" s="187">
        <f>+'LvlFCR Land'!L3</f>
        <v>0</v>
      </c>
      <c r="O4" s="263" t="s">
        <v>140</v>
      </c>
      <c r="P4" s="264"/>
      <c r="Q4" s="264"/>
      <c r="R4" s="264"/>
      <c r="S4" s="265"/>
      <c r="W4" s="93"/>
    </row>
    <row r="5" spans="1:25" ht="12" customHeight="1" x14ac:dyDescent="0.25">
      <c r="E5" s="95"/>
      <c r="I5" s="190" t="s">
        <v>33</v>
      </c>
      <c r="J5" s="191">
        <f>SUM(J3:J4)</f>
        <v>0.51</v>
      </c>
      <c r="K5" s="202"/>
      <c r="L5" s="193">
        <f>SUM(L3:L4)</f>
        <v>2.5499999999999998E-2</v>
      </c>
      <c r="O5" s="263" t="s">
        <v>141</v>
      </c>
      <c r="P5" s="264"/>
      <c r="Q5" s="264"/>
      <c r="R5" s="264"/>
      <c r="S5" s="265"/>
      <c r="W5" s="93" t="s">
        <v>14</v>
      </c>
      <c r="X5" s="92"/>
      <c r="Y5" s="92"/>
    </row>
    <row r="6" spans="1:25" x14ac:dyDescent="0.2">
      <c r="I6" s="190" t="s">
        <v>24</v>
      </c>
      <c r="J6" s="185">
        <f>+'LvlFCR Land'!J5</f>
        <v>0</v>
      </c>
      <c r="K6" s="200">
        <f>+'LvlFCR Land'!K5</f>
        <v>0</v>
      </c>
      <c r="L6" s="187">
        <f>+'LvlFCR Land'!L5</f>
        <v>0</v>
      </c>
      <c r="O6" s="209"/>
      <c r="P6" s="210"/>
      <c r="Q6" s="210"/>
      <c r="R6" s="210"/>
      <c r="S6" s="211"/>
      <c r="W6" s="93" t="s">
        <v>14</v>
      </c>
      <c r="X6" s="92"/>
      <c r="Y6" s="92"/>
    </row>
    <row r="7" spans="1:25" x14ac:dyDescent="0.2">
      <c r="C7" s="256" t="s">
        <v>23</v>
      </c>
      <c r="D7" s="256"/>
      <c r="E7" s="92">
        <f>L70</f>
        <v>108544.68727737888</v>
      </c>
      <c r="I7" s="190" t="s">
        <v>22</v>
      </c>
      <c r="J7" s="185">
        <f>+'LvlFCR Land'!J6</f>
        <v>0.49</v>
      </c>
      <c r="K7" s="200">
        <f>+'LvlFCR Land'!K6</f>
        <v>9.4E-2</v>
      </c>
      <c r="L7" s="187">
        <f>+'LvlFCR Land'!L6</f>
        <v>4.6100000000000002E-2</v>
      </c>
      <c r="O7" s="212" t="s">
        <v>113</v>
      </c>
      <c r="P7" s="213"/>
      <c r="Q7" s="213"/>
      <c r="R7" s="213"/>
      <c r="S7" s="214"/>
      <c r="W7" s="93" t="s">
        <v>14</v>
      </c>
      <c r="X7" s="92"/>
      <c r="Y7" s="92"/>
    </row>
    <row r="8" spans="1:25" x14ac:dyDescent="0.2">
      <c r="C8" s="256" t="s">
        <v>21</v>
      </c>
      <c r="D8" s="256"/>
      <c r="E8" s="92">
        <f>PMT(L9,H12,-E7)</f>
        <v>8043.3396417411686</v>
      </c>
      <c r="I8" s="194"/>
      <c r="J8" s="203"/>
      <c r="K8" s="203"/>
      <c r="L8" s="208" t="s">
        <v>13</v>
      </c>
      <c r="O8" s="215" t="s">
        <v>114</v>
      </c>
      <c r="P8" s="216" t="s">
        <v>115</v>
      </c>
      <c r="Q8" s="217"/>
      <c r="R8" s="217" t="s">
        <v>116</v>
      </c>
      <c r="S8" s="218" t="s">
        <v>95</v>
      </c>
      <c r="W8" s="93" t="s">
        <v>14</v>
      </c>
      <c r="X8" s="92"/>
      <c r="Y8" s="92"/>
    </row>
    <row r="9" spans="1:25" ht="12" thickBot="1" x14ac:dyDescent="0.25">
      <c r="C9" s="256" t="s">
        <v>20</v>
      </c>
      <c r="D9" s="256"/>
      <c r="E9" s="96">
        <f>($E$8/$D$12)*100</f>
        <v>8.04333964174117</v>
      </c>
      <c r="I9" s="253" t="s">
        <v>19</v>
      </c>
      <c r="J9" s="254"/>
      <c r="K9" s="254"/>
      <c r="L9" s="204">
        <f>L7+L6+L5</f>
        <v>7.1599999999999997E-2</v>
      </c>
      <c r="O9" s="219"/>
      <c r="P9" s="220"/>
      <c r="Q9" s="220"/>
      <c r="R9" s="220"/>
      <c r="S9" s="221"/>
      <c r="W9" s="93" t="s">
        <v>14</v>
      </c>
      <c r="X9" s="92"/>
      <c r="Y9" s="92"/>
    </row>
    <row r="10" spans="1:25" x14ac:dyDescent="0.2">
      <c r="I10" s="62"/>
      <c r="J10" s="62"/>
      <c r="K10" s="62"/>
      <c r="L10" s="62"/>
      <c r="O10" s="222">
        <v>1</v>
      </c>
      <c r="P10" s="223" t="s">
        <v>117</v>
      </c>
      <c r="Q10" s="220"/>
      <c r="R10" s="224"/>
      <c r="S10" s="225">
        <v>7.1970000000000003E-3</v>
      </c>
      <c r="W10" s="93" t="s">
        <v>14</v>
      </c>
      <c r="X10" s="92"/>
      <c r="Y10" s="92"/>
    </row>
    <row r="11" spans="1:25" x14ac:dyDescent="0.2">
      <c r="C11" s="97" t="s">
        <v>18</v>
      </c>
      <c r="D11" s="98">
        <v>12</v>
      </c>
      <c r="H11" s="205">
        <v>8.9999999999999998E-4</v>
      </c>
      <c r="I11" s="255" t="s">
        <v>28</v>
      </c>
      <c r="J11" s="255"/>
      <c r="K11" s="255"/>
      <c r="L11" s="255"/>
      <c r="M11" s="255"/>
      <c r="N11" s="99"/>
      <c r="O11" s="222">
        <v>2</v>
      </c>
      <c r="P11" s="223" t="s">
        <v>118</v>
      </c>
      <c r="Q11" s="220"/>
      <c r="R11" s="224"/>
      <c r="S11" s="225">
        <v>2E-3</v>
      </c>
      <c r="W11" s="93" t="s">
        <v>14</v>
      </c>
      <c r="X11" s="92"/>
      <c r="Y11" s="92"/>
    </row>
    <row r="12" spans="1:25" x14ac:dyDescent="0.2">
      <c r="C12" s="97" t="s">
        <v>16</v>
      </c>
      <c r="D12" s="198">
        <v>100000</v>
      </c>
      <c r="E12" s="92"/>
      <c r="F12" s="93"/>
      <c r="G12" s="98"/>
      <c r="H12" s="206">
        <f>+'Sub &amp; Feeder Depr Life'!AB12</f>
        <v>49</v>
      </c>
      <c r="I12" s="255" t="s">
        <v>37</v>
      </c>
      <c r="J12" s="255"/>
      <c r="K12" s="255"/>
      <c r="L12" s="255"/>
      <c r="M12" s="255"/>
      <c r="O12" s="222">
        <v>3</v>
      </c>
      <c r="P12" s="223" t="s">
        <v>123</v>
      </c>
      <c r="Q12" s="220"/>
      <c r="R12" s="226">
        <v>3.8733999999999998E-2</v>
      </c>
      <c r="S12" s="227">
        <v>3.8455000000000003E-2</v>
      </c>
      <c r="W12" s="93" t="s">
        <v>14</v>
      </c>
      <c r="X12" s="92"/>
      <c r="Y12" s="92"/>
    </row>
    <row r="13" spans="1:25" x14ac:dyDescent="0.2">
      <c r="C13" s="100" t="s">
        <v>15</v>
      </c>
      <c r="D13" s="92">
        <f>D12</f>
        <v>100000</v>
      </c>
      <c r="E13" s="92"/>
      <c r="G13" s="101"/>
      <c r="H13" s="207">
        <f>1-S16</f>
        <v>0.247645</v>
      </c>
      <c r="I13" s="267" t="s">
        <v>59</v>
      </c>
      <c r="J13" s="255"/>
      <c r="K13" s="255"/>
      <c r="L13" s="255"/>
      <c r="M13" s="255"/>
      <c r="O13" s="222">
        <v>5</v>
      </c>
      <c r="P13" s="223" t="s">
        <v>119</v>
      </c>
      <c r="Q13" s="220"/>
      <c r="R13" s="228"/>
      <c r="S13" s="229">
        <f>ROUND(SUM(S10:S12),6)</f>
        <v>4.7652E-2</v>
      </c>
      <c r="W13" s="93" t="s">
        <v>14</v>
      </c>
      <c r="X13" s="92"/>
      <c r="Y13" s="92"/>
    </row>
    <row r="14" spans="1:25" x14ac:dyDescent="0.2">
      <c r="C14" s="97" t="s">
        <v>17</v>
      </c>
      <c r="D14" s="92">
        <f>D12</f>
        <v>100000</v>
      </c>
      <c r="H14" s="207">
        <f>R15</f>
        <v>0.21</v>
      </c>
      <c r="I14" s="255" t="s">
        <v>41</v>
      </c>
      <c r="J14" s="255"/>
      <c r="K14" s="255"/>
      <c r="L14" s="255"/>
      <c r="M14" s="255"/>
      <c r="N14" s="102"/>
      <c r="O14" s="222">
        <v>7</v>
      </c>
      <c r="P14" s="220" t="s">
        <v>120</v>
      </c>
      <c r="Q14" s="220"/>
      <c r="R14" s="228"/>
      <c r="S14" s="229">
        <f>ROUND(1-S13,6)</f>
        <v>0.95234799999999997</v>
      </c>
    </row>
    <row r="15" spans="1:25" x14ac:dyDescent="0.2">
      <c r="C15" s="61"/>
      <c r="H15" s="103"/>
      <c r="M15" s="102"/>
      <c r="N15" s="102"/>
      <c r="O15" s="222">
        <v>8</v>
      </c>
      <c r="P15" s="223" t="s">
        <v>121</v>
      </c>
      <c r="Q15" s="220"/>
      <c r="R15" s="230">
        <v>0.21</v>
      </c>
      <c r="S15" s="229">
        <f>ROUND((S14)*R15,6)</f>
        <v>0.199993</v>
      </c>
    </row>
    <row r="16" spans="1:25" ht="34.5" thickBot="1" x14ac:dyDescent="0.25">
      <c r="A16" s="148" t="s">
        <v>45</v>
      </c>
      <c r="B16" s="148" t="s">
        <v>46</v>
      </c>
      <c r="C16" s="149" t="s">
        <v>55</v>
      </c>
      <c r="D16" s="148" t="s">
        <v>47</v>
      </c>
      <c r="E16" s="148" t="s">
        <v>57</v>
      </c>
      <c r="F16" s="148" t="s">
        <v>54</v>
      </c>
      <c r="G16" s="148" t="s">
        <v>48</v>
      </c>
      <c r="H16" s="148" t="s">
        <v>49</v>
      </c>
      <c r="I16" s="148" t="s">
        <v>56</v>
      </c>
      <c r="J16" s="148" t="s">
        <v>50</v>
      </c>
      <c r="K16" s="148" t="s">
        <v>51</v>
      </c>
      <c r="L16" s="148" t="s">
        <v>52</v>
      </c>
      <c r="M16" s="148" t="s">
        <v>53</v>
      </c>
      <c r="O16" s="231">
        <v>9</v>
      </c>
      <c r="P16" s="232" t="s">
        <v>122</v>
      </c>
      <c r="Q16" s="233"/>
      <c r="R16" s="233"/>
      <c r="S16" s="234">
        <f>ROUND(1-S15-S13,6)</f>
        <v>0.752355</v>
      </c>
    </row>
    <row r="17" spans="1:36" x14ac:dyDescent="0.2">
      <c r="A17" s="105">
        <v>1</v>
      </c>
      <c r="B17" s="106">
        <f>D12</f>
        <v>100000</v>
      </c>
      <c r="C17" s="128">
        <v>3.7999999999999999E-2</v>
      </c>
      <c r="D17" s="108">
        <f>D12</f>
        <v>100000</v>
      </c>
      <c r="E17" s="108">
        <f t="shared" ref="E17:E51" si="0">D$13*C17</f>
        <v>3800</v>
      </c>
      <c r="F17" s="108">
        <f t="shared" ref="F17:F51" si="1">H$14*(E17-I17*D$13/D$12)</f>
        <v>369.42857142857133</v>
      </c>
      <c r="G17" s="108">
        <f>L$5*D17*(D11/12)</f>
        <v>2550</v>
      </c>
      <c r="H17" s="108">
        <f>D17*(L$6+L$7)*(D11/12)</f>
        <v>4610</v>
      </c>
      <c r="I17" s="108">
        <f>(D11/12)*D$12/H$12</f>
        <v>2040.8163265306123</v>
      </c>
      <c r="J17" s="108">
        <f>+B17*$H$11</f>
        <v>90</v>
      </c>
      <c r="K17" s="108">
        <f t="shared" ref="K17:K51" si="2">(H$13/(1-H$13))*(H17+I17-E17+F17+J17)</f>
        <v>1089.5994547189853</v>
      </c>
      <c r="L17" s="108">
        <f>SUM(F17:K17)</f>
        <v>10749.84435267817</v>
      </c>
      <c r="M17" s="109">
        <f>NPV($L$9,L17:L26)</f>
        <v>67658.804448650044</v>
      </c>
      <c r="O17" s="67"/>
      <c r="P17" s="89"/>
      <c r="Q17" s="110"/>
    </row>
    <row r="18" spans="1:36" x14ac:dyDescent="0.2">
      <c r="A18" s="105">
        <f t="shared" ref="A18:A66" si="3">A17+1</f>
        <v>2</v>
      </c>
      <c r="B18" s="106">
        <f t="shared" ref="B18:B51" si="4">B17-I17</f>
        <v>97959.183673469393</v>
      </c>
      <c r="C18" s="128">
        <v>7.1999999999999995E-2</v>
      </c>
      <c r="D18" s="108">
        <f t="shared" ref="D18:D51" si="5">D17-F17-I17</f>
        <v>97589.755102040828</v>
      </c>
      <c r="E18" s="108">
        <f t="shared" si="0"/>
        <v>7199.9999999999991</v>
      </c>
      <c r="F18" s="108">
        <f t="shared" si="1"/>
        <v>1083.4285714285711</v>
      </c>
      <c r="G18" s="108">
        <f t="shared" ref="G18:G49" si="6">L$5*D18</f>
        <v>2488.5387551020408</v>
      </c>
      <c r="H18" s="108">
        <f t="shared" ref="H18:H49" si="7">D18*(L$6+L$7)</f>
        <v>4498.8877102040824</v>
      </c>
      <c r="I18" s="108">
        <f t="shared" ref="I18:I51" si="8">IF(A18-A$17&gt;H$12,0,IF(A18-A$17=H$12,(12-D$11)/12*$D$12/H$12,D$12/H$12))</f>
        <v>2040.8163265306123</v>
      </c>
      <c r="J18" s="108">
        <f t="shared" ref="J18:J51" si="9">+B18*$H$11</f>
        <v>88.163265306122454</v>
      </c>
      <c r="K18" s="108">
        <f t="shared" si="2"/>
        <v>168.29803295695095</v>
      </c>
      <c r="L18" s="108">
        <f t="shared" ref="L18:L51" si="10">SUM(F18:K18)</f>
        <v>10368.13266152838</v>
      </c>
      <c r="M18" s="109">
        <f t="shared" ref="M18:M56" si="11">NPV($L$9,L18:L27)</f>
        <v>65920.133319464512</v>
      </c>
      <c r="O18" s="67"/>
      <c r="P18" s="89"/>
      <c r="Q18" s="110"/>
    </row>
    <row r="19" spans="1:36" x14ac:dyDescent="0.2">
      <c r="A19" s="105">
        <f t="shared" si="3"/>
        <v>3</v>
      </c>
      <c r="B19" s="106">
        <f t="shared" si="4"/>
        <v>95918.367346938787</v>
      </c>
      <c r="C19" s="128">
        <v>6.7000000000000004E-2</v>
      </c>
      <c r="D19" s="108">
        <f t="shared" si="5"/>
        <v>94465.510204081656</v>
      </c>
      <c r="E19" s="108">
        <f t="shared" si="0"/>
        <v>6700</v>
      </c>
      <c r="F19" s="108">
        <f t="shared" si="1"/>
        <v>978.42857142857144</v>
      </c>
      <c r="G19" s="108">
        <f t="shared" si="6"/>
        <v>2408.8705102040822</v>
      </c>
      <c r="H19" s="108">
        <f t="shared" si="7"/>
        <v>4354.8600204081649</v>
      </c>
      <c r="I19" s="108">
        <f t="shared" si="8"/>
        <v>2040.8163265306123</v>
      </c>
      <c r="J19" s="108">
        <f t="shared" si="9"/>
        <v>86.326530612244909</v>
      </c>
      <c r="K19" s="108">
        <f t="shared" si="2"/>
        <v>250.30344210186868</v>
      </c>
      <c r="L19" s="108">
        <f t="shared" si="10"/>
        <v>10119.605401285546</v>
      </c>
      <c r="M19" s="109">
        <f t="shared" si="11"/>
        <v>64326.331139619644</v>
      </c>
      <c r="O19" s="67"/>
      <c r="P19" s="89"/>
      <c r="Q19" s="110"/>
    </row>
    <row r="20" spans="1:36" x14ac:dyDescent="0.2">
      <c r="A20" s="105">
        <f t="shared" si="3"/>
        <v>4</v>
      </c>
      <c r="B20" s="106">
        <f t="shared" si="4"/>
        <v>93877.55102040818</v>
      </c>
      <c r="C20" s="128">
        <v>6.2E-2</v>
      </c>
      <c r="D20" s="108">
        <f t="shared" si="5"/>
        <v>91446.265306122485</v>
      </c>
      <c r="E20" s="108">
        <f t="shared" si="0"/>
        <v>6200</v>
      </c>
      <c r="F20" s="108">
        <f t="shared" si="1"/>
        <v>873.42857142857144</v>
      </c>
      <c r="G20" s="108">
        <f t="shared" si="6"/>
        <v>2331.8797653061233</v>
      </c>
      <c r="H20" s="108">
        <f t="shared" si="7"/>
        <v>4215.6728306122468</v>
      </c>
      <c r="I20" s="108">
        <f t="shared" si="8"/>
        <v>2040.8163265306123</v>
      </c>
      <c r="J20" s="108">
        <f t="shared" si="9"/>
        <v>84.489795918367363</v>
      </c>
      <c r="K20" s="108">
        <f t="shared" si="2"/>
        <v>333.9021491214599</v>
      </c>
      <c r="L20" s="108">
        <f t="shared" si="10"/>
        <v>9880.1894389173813</v>
      </c>
      <c r="M20" s="109">
        <f t="shared" si="11"/>
        <v>62754.586094981292</v>
      </c>
      <c r="O20" s="67"/>
      <c r="P20" s="89"/>
      <c r="Q20" s="110"/>
    </row>
    <row r="21" spans="1:36" x14ac:dyDescent="0.2">
      <c r="A21" s="105">
        <f t="shared" si="3"/>
        <v>5</v>
      </c>
      <c r="B21" s="106">
        <f t="shared" si="4"/>
        <v>91836.734693877574</v>
      </c>
      <c r="C21" s="128">
        <v>5.7000000000000002E-2</v>
      </c>
      <c r="D21" s="108">
        <f t="shared" si="5"/>
        <v>88532.020408163313</v>
      </c>
      <c r="E21" s="108">
        <f t="shared" si="0"/>
        <v>5700</v>
      </c>
      <c r="F21" s="108">
        <f t="shared" si="1"/>
        <v>768.42857142857133</v>
      </c>
      <c r="G21" s="108">
        <f t="shared" si="6"/>
        <v>2257.5665204081643</v>
      </c>
      <c r="H21" s="108">
        <f t="shared" si="7"/>
        <v>4081.3261408163289</v>
      </c>
      <c r="I21" s="108">
        <f t="shared" si="8"/>
        <v>2040.8163265306123</v>
      </c>
      <c r="J21" s="108">
        <f t="shared" si="9"/>
        <v>82.653061224489818</v>
      </c>
      <c r="K21" s="108">
        <f t="shared" si="2"/>
        <v>419.09415401572471</v>
      </c>
      <c r="L21" s="108">
        <f t="shared" si="10"/>
        <v>9649.8847744238919</v>
      </c>
      <c r="M21" s="109">
        <f t="shared" si="11"/>
        <v>61197.36617855556</v>
      </c>
      <c r="O21" s="67"/>
      <c r="P21" s="89"/>
      <c r="Q21" s="110"/>
    </row>
    <row r="22" spans="1:36" x14ac:dyDescent="0.2">
      <c r="A22" s="105">
        <f t="shared" si="3"/>
        <v>6</v>
      </c>
      <c r="B22" s="106">
        <f t="shared" si="4"/>
        <v>89795.918367346967</v>
      </c>
      <c r="C22" s="128">
        <v>5.2999999999999999E-2</v>
      </c>
      <c r="D22" s="108">
        <f t="shared" si="5"/>
        <v>85722.775510204141</v>
      </c>
      <c r="E22" s="108">
        <f t="shared" si="0"/>
        <v>5300</v>
      </c>
      <c r="F22" s="108">
        <f t="shared" si="1"/>
        <v>684.42857142857133</v>
      </c>
      <c r="G22" s="108">
        <f t="shared" si="6"/>
        <v>2185.9307755102054</v>
      </c>
      <c r="H22" s="108">
        <f t="shared" si="7"/>
        <v>3951.8199510204113</v>
      </c>
      <c r="I22" s="108">
        <f t="shared" si="8"/>
        <v>2040.8163265306123</v>
      </c>
      <c r="J22" s="108">
        <f t="shared" si="9"/>
        <v>80.816326530612272</v>
      </c>
      <c r="K22" s="108">
        <f t="shared" si="2"/>
        <v>479.87583482428539</v>
      </c>
      <c r="L22" s="108">
        <f t="shared" si="10"/>
        <v>9423.6877858446969</v>
      </c>
      <c r="M22" s="109">
        <f t="shared" si="11"/>
        <v>59646.600091647808</v>
      </c>
      <c r="O22" s="67"/>
      <c r="P22" s="89"/>
      <c r="Q22" s="110"/>
    </row>
    <row r="23" spans="1:36" x14ac:dyDescent="0.2">
      <c r="A23" s="105">
        <f t="shared" si="3"/>
        <v>7</v>
      </c>
      <c r="B23" s="106">
        <f t="shared" si="4"/>
        <v>87755.10204081636</v>
      </c>
      <c r="C23" s="128">
        <v>4.9000000000000002E-2</v>
      </c>
      <c r="D23" s="108">
        <f t="shared" si="5"/>
        <v>82997.530612244969</v>
      </c>
      <c r="E23" s="108">
        <f t="shared" si="0"/>
        <v>4900</v>
      </c>
      <c r="F23" s="108">
        <f t="shared" si="1"/>
        <v>600.42857142857133</v>
      </c>
      <c r="G23" s="108">
        <f t="shared" si="6"/>
        <v>2116.4370306122464</v>
      </c>
      <c r="H23" s="108">
        <f t="shared" si="7"/>
        <v>3826.1861612244934</v>
      </c>
      <c r="I23" s="108">
        <f t="shared" si="8"/>
        <v>2040.8163265306123</v>
      </c>
      <c r="J23" s="108">
        <f t="shared" si="9"/>
        <v>78.979591836734727</v>
      </c>
      <c r="K23" s="108">
        <f t="shared" si="2"/>
        <v>541.93215393258492</v>
      </c>
      <c r="L23" s="108">
        <f t="shared" si="10"/>
        <v>9204.779835565243</v>
      </c>
      <c r="M23" s="109">
        <f t="shared" si="11"/>
        <v>58098.642252537211</v>
      </c>
      <c r="O23" s="67"/>
      <c r="P23" s="89"/>
      <c r="Q23" s="110"/>
    </row>
    <row r="24" spans="1:36" x14ac:dyDescent="0.2">
      <c r="A24" s="105">
        <f t="shared" si="3"/>
        <v>8</v>
      </c>
      <c r="B24" s="106">
        <f t="shared" si="4"/>
        <v>85714.285714285754</v>
      </c>
      <c r="C24" s="128">
        <v>4.4999999999999998E-2</v>
      </c>
      <c r="D24" s="108">
        <f t="shared" si="5"/>
        <v>80356.285714285797</v>
      </c>
      <c r="E24" s="108">
        <f t="shared" si="0"/>
        <v>4500</v>
      </c>
      <c r="F24" s="108">
        <f t="shared" si="1"/>
        <v>516.42857142857133</v>
      </c>
      <c r="G24" s="108">
        <f t="shared" si="6"/>
        <v>2049.0852857142877</v>
      </c>
      <c r="H24" s="108">
        <f t="shared" si="7"/>
        <v>3704.4247714285752</v>
      </c>
      <c r="I24" s="108">
        <f t="shared" si="8"/>
        <v>2040.8163265306123</v>
      </c>
      <c r="J24" s="108">
        <f t="shared" si="9"/>
        <v>77.142857142857181</v>
      </c>
      <c r="K24" s="108">
        <f t="shared" si="2"/>
        <v>605.26311134062314</v>
      </c>
      <c r="L24" s="108">
        <f t="shared" si="10"/>
        <v>8993.1609235855249</v>
      </c>
      <c r="M24" s="109">
        <f t="shared" si="11"/>
        <v>56546.404693466313</v>
      </c>
      <c r="O24" s="67"/>
      <c r="P24" s="89"/>
      <c r="Q24" s="110"/>
      <c r="R24" s="111"/>
      <c r="S24" s="111"/>
      <c r="T24" s="111"/>
    </row>
    <row r="25" spans="1:36" x14ac:dyDescent="0.2">
      <c r="A25" s="105">
        <f t="shared" si="3"/>
        <v>9</v>
      </c>
      <c r="B25" s="106">
        <f t="shared" si="4"/>
        <v>83673.469387755147</v>
      </c>
      <c r="C25" s="128">
        <v>4.4999999999999998E-2</v>
      </c>
      <c r="D25" s="108">
        <f t="shared" si="5"/>
        <v>77799.040816326626</v>
      </c>
      <c r="E25" s="108">
        <f t="shared" si="0"/>
        <v>4500</v>
      </c>
      <c r="F25" s="108">
        <f t="shared" si="1"/>
        <v>516.42857142857133</v>
      </c>
      <c r="G25" s="108">
        <f t="shared" si="6"/>
        <v>1983.8755408163288</v>
      </c>
      <c r="H25" s="108">
        <f t="shared" si="7"/>
        <v>3586.5357816326577</v>
      </c>
      <c r="I25" s="108">
        <f t="shared" si="8"/>
        <v>2040.8163265306123</v>
      </c>
      <c r="J25" s="108">
        <f t="shared" si="9"/>
        <v>75.306122448979636</v>
      </c>
      <c r="K25" s="108">
        <f t="shared" si="2"/>
        <v>565.85421920688918</v>
      </c>
      <c r="L25" s="108">
        <f t="shared" si="10"/>
        <v>8768.8165620640393</v>
      </c>
      <c r="M25" s="109">
        <f t="shared" si="11"/>
        <v>54982.291948186226</v>
      </c>
      <c r="O25" s="67"/>
      <c r="P25" s="89"/>
      <c r="Q25" s="110"/>
    </row>
    <row r="26" spans="1:36" x14ac:dyDescent="0.2">
      <c r="A26" s="105">
        <f t="shared" si="3"/>
        <v>10</v>
      </c>
      <c r="B26" s="106">
        <f t="shared" si="4"/>
        <v>81632.653061224541</v>
      </c>
      <c r="C26" s="128">
        <v>4.4999999999999998E-2</v>
      </c>
      <c r="D26" s="108">
        <f t="shared" si="5"/>
        <v>75241.795918367454</v>
      </c>
      <c r="E26" s="108">
        <f t="shared" si="0"/>
        <v>4500</v>
      </c>
      <c r="F26" s="108">
        <f t="shared" si="1"/>
        <v>516.42857142857133</v>
      </c>
      <c r="G26" s="108">
        <f t="shared" si="6"/>
        <v>1918.6657959183699</v>
      </c>
      <c r="H26" s="108">
        <f t="shared" si="7"/>
        <v>3468.6467918367398</v>
      </c>
      <c r="I26" s="108">
        <f t="shared" si="8"/>
        <v>2040.8163265306123</v>
      </c>
      <c r="J26" s="108">
        <f t="shared" si="9"/>
        <v>73.46938775510209</v>
      </c>
      <c r="K26" s="108">
        <f t="shared" si="2"/>
        <v>526.44532707315523</v>
      </c>
      <c r="L26" s="108">
        <f t="shared" si="10"/>
        <v>8544.4722005425501</v>
      </c>
      <c r="M26" s="109">
        <f t="shared" si="11"/>
        <v>53418.17920290614</v>
      </c>
      <c r="O26" s="67"/>
      <c r="P26" s="89"/>
      <c r="Q26" s="110"/>
    </row>
    <row r="27" spans="1:36" x14ac:dyDescent="0.2">
      <c r="A27" s="105">
        <f t="shared" si="3"/>
        <v>11</v>
      </c>
      <c r="B27" s="106">
        <f t="shared" si="4"/>
        <v>79591.836734693934</v>
      </c>
      <c r="C27" s="128">
        <v>4.4999999999999998E-2</v>
      </c>
      <c r="D27" s="108">
        <f t="shared" si="5"/>
        <v>72684.551020408282</v>
      </c>
      <c r="E27" s="108">
        <f t="shared" si="0"/>
        <v>4500</v>
      </c>
      <c r="F27" s="108">
        <f t="shared" si="1"/>
        <v>516.42857142857133</v>
      </c>
      <c r="G27" s="108">
        <f t="shared" si="6"/>
        <v>1853.456051020411</v>
      </c>
      <c r="H27" s="108">
        <f t="shared" si="7"/>
        <v>3350.7578020408218</v>
      </c>
      <c r="I27" s="108">
        <f t="shared" si="8"/>
        <v>2040.8163265306123</v>
      </c>
      <c r="J27" s="108">
        <f t="shared" si="9"/>
        <v>71.632653061224545</v>
      </c>
      <c r="K27" s="108">
        <f t="shared" si="2"/>
        <v>487.03643493942127</v>
      </c>
      <c r="L27" s="108">
        <f t="shared" si="10"/>
        <v>8320.1278390210609</v>
      </c>
      <c r="M27" s="109">
        <f t="shared" si="11"/>
        <v>51854.066457626039</v>
      </c>
      <c r="O27" s="67"/>
      <c r="P27" s="89"/>
      <c r="Q27" s="110"/>
    </row>
    <row r="28" spans="1:36" x14ac:dyDescent="0.2">
      <c r="A28" s="105">
        <f t="shared" si="3"/>
        <v>12</v>
      </c>
      <c r="B28" s="106">
        <f t="shared" si="4"/>
        <v>77551.020408163327</v>
      </c>
      <c r="C28" s="128">
        <v>4.4999999999999998E-2</v>
      </c>
      <c r="D28" s="108">
        <f t="shared" si="5"/>
        <v>70127.30612244911</v>
      </c>
      <c r="E28" s="108">
        <f t="shared" si="0"/>
        <v>4500</v>
      </c>
      <c r="F28" s="108">
        <f t="shared" si="1"/>
        <v>516.42857142857133</v>
      </c>
      <c r="G28" s="108">
        <f t="shared" si="6"/>
        <v>1788.2463061224521</v>
      </c>
      <c r="H28" s="108">
        <f t="shared" si="7"/>
        <v>3232.8688122449043</v>
      </c>
      <c r="I28" s="108">
        <f t="shared" si="8"/>
        <v>2040.8163265306123</v>
      </c>
      <c r="J28" s="108">
        <f t="shared" si="9"/>
        <v>69.795918367346999</v>
      </c>
      <c r="K28" s="108">
        <f t="shared" si="2"/>
        <v>447.6275428056876</v>
      </c>
      <c r="L28" s="108">
        <f t="shared" si="10"/>
        <v>8095.7834774995754</v>
      </c>
      <c r="M28" s="109">
        <f t="shared" si="11"/>
        <v>50360.117895233911</v>
      </c>
      <c r="O28" s="67"/>
      <c r="P28" s="89"/>
      <c r="Q28" s="110"/>
    </row>
    <row r="29" spans="1:36" x14ac:dyDescent="0.2">
      <c r="A29" s="105">
        <f t="shared" si="3"/>
        <v>13</v>
      </c>
      <c r="B29" s="106">
        <f t="shared" si="4"/>
        <v>75510.204081632721</v>
      </c>
      <c r="C29" s="128">
        <v>4.4999999999999998E-2</v>
      </c>
      <c r="D29" s="108">
        <f t="shared" si="5"/>
        <v>67570.061224489938</v>
      </c>
      <c r="E29" s="108">
        <f t="shared" si="0"/>
        <v>4500</v>
      </c>
      <c r="F29" s="108">
        <f t="shared" si="1"/>
        <v>516.42857142857133</v>
      </c>
      <c r="G29" s="108">
        <f t="shared" si="6"/>
        <v>1723.0365612244934</v>
      </c>
      <c r="H29" s="108">
        <f t="shared" si="7"/>
        <v>3114.9798224489864</v>
      </c>
      <c r="I29" s="108">
        <f t="shared" si="8"/>
        <v>2040.8163265306123</v>
      </c>
      <c r="J29" s="108">
        <f t="shared" si="9"/>
        <v>67.959183673469454</v>
      </c>
      <c r="K29" s="108">
        <f t="shared" si="2"/>
        <v>408.21865067195364</v>
      </c>
      <c r="L29" s="108">
        <f t="shared" si="10"/>
        <v>7871.4391159780871</v>
      </c>
      <c r="M29" s="109">
        <f t="shared" si="11"/>
        <v>48939.3457312592</v>
      </c>
      <c r="O29" s="67"/>
      <c r="P29" s="89"/>
      <c r="Q29" s="110"/>
    </row>
    <row r="30" spans="1:36" x14ac:dyDescent="0.2">
      <c r="A30" s="105">
        <f t="shared" si="3"/>
        <v>14</v>
      </c>
      <c r="B30" s="106">
        <f t="shared" si="4"/>
        <v>73469.387755102114</v>
      </c>
      <c r="C30" s="128">
        <v>4.4999999999999998E-2</v>
      </c>
      <c r="D30" s="108">
        <f t="shared" si="5"/>
        <v>65012.816326530759</v>
      </c>
      <c r="E30" s="108">
        <f t="shared" si="0"/>
        <v>4500</v>
      </c>
      <c r="F30" s="108">
        <f t="shared" si="1"/>
        <v>516.42857142857133</v>
      </c>
      <c r="G30" s="108">
        <f t="shared" si="6"/>
        <v>1657.8268163265343</v>
      </c>
      <c r="H30" s="108">
        <f t="shared" si="7"/>
        <v>2997.090832653068</v>
      </c>
      <c r="I30" s="108">
        <f t="shared" si="8"/>
        <v>2040.8163265306123</v>
      </c>
      <c r="J30" s="108">
        <f t="shared" si="9"/>
        <v>66.122448979591894</v>
      </c>
      <c r="K30" s="108">
        <f t="shared" si="2"/>
        <v>368.8097585382194</v>
      </c>
      <c r="L30" s="108">
        <f t="shared" si="10"/>
        <v>7647.094754456597</v>
      </c>
      <c r="M30" s="109">
        <f t="shared" si="11"/>
        <v>47569.904010779959</v>
      </c>
      <c r="O30" s="67"/>
      <c r="P30" s="89"/>
      <c r="Q30" s="110"/>
    </row>
    <row r="31" spans="1:36" x14ac:dyDescent="0.2">
      <c r="A31" s="105">
        <f t="shared" si="3"/>
        <v>15</v>
      </c>
      <c r="B31" s="106">
        <f t="shared" si="4"/>
        <v>71428.571428571508</v>
      </c>
      <c r="C31" s="128">
        <v>4.4999999999999998E-2</v>
      </c>
      <c r="D31" s="108">
        <f t="shared" si="5"/>
        <v>62455.571428571573</v>
      </c>
      <c r="E31" s="108">
        <f t="shared" si="0"/>
        <v>4500</v>
      </c>
      <c r="F31" s="108">
        <f t="shared" si="1"/>
        <v>516.42857142857133</v>
      </c>
      <c r="G31" s="108">
        <f t="shared" si="6"/>
        <v>1592.6170714285749</v>
      </c>
      <c r="H31" s="108">
        <f t="shared" si="7"/>
        <v>2879.2018428571496</v>
      </c>
      <c r="I31" s="108">
        <f t="shared" si="8"/>
        <v>2040.8163265306123</v>
      </c>
      <c r="J31" s="108">
        <f t="shared" si="9"/>
        <v>64.285714285714349</v>
      </c>
      <c r="K31" s="108">
        <f t="shared" si="2"/>
        <v>329.40086640448544</v>
      </c>
      <c r="L31" s="108">
        <f t="shared" si="10"/>
        <v>7422.7503929351078</v>
      </c>
      <c r="M31" s="109">
        <f t="shared" si="11"/>
        <v>46255.467993550497</v>
      </c>
      <c r="O31" s="67"/>
      <c r="P31" s="89"/>
      <c r="Q31" s="110"/>
    </row>
    <row r="32" spans="1:36" x14ac:dyDescent="0.2">
      <c r="A32" s="105">
        <f t="shared" si="3"/>
        <v>16</v>
      </c>
      <c r="B32" s="106">
        <f t="shared" si="4"/>
        <v>69387.755102040901</v>
      </c>
      <c r="C32" s="128">
        <v>4.4999999999999998E-2</v>
      </c>
      <c r="D32" s="108">
        <f t="shared" si="5"/>
        <v>59898.326530612387</v>
      </c>
      <c r="E32" s="108">
        <f t="shared" si="0"/>
        <v>4500</v>
      </c>
      <c r="F32" s="108">
        <f t="shared" si="1"/>
        <v>516.42857142857133</v>
      </c>
      <c r="G32" s="108">
        <f t="shared" si="6"/>
        <v>1527.4073265306158</v>
      </c>
      <c r="H32" s="108">
        <f t="shared" si="7"/>
        <v>2761.3128530612312</v>
      </c>
      <c r="I32" s="108">
        <f t="shared" si="8"/>
        <v>2040.8163265306123</v>
      </c>
      <c r="J32" s="108">
        <f t="shared" si="9"/>
        <v>62.44897959183681</v>
      </c>
      <c r="K32" s="108">
        <f t="shared" si="2"/>
        <v>289.9919742707512</v>
      </c>
      <c r="L32" s="108">
        <f t="shared" si="10"/>
        <v>7198.4060314136195</v>
      </c>
      <c r="M32" s="109">
        <f t="shared" si="11"/>
        <v>44999.976087923482</v>
      </c>
      <c r="O32" s="67"/>
      <c r="P32" s="89"/>
      <c r="Q32" s="110"/>
      <c r="AI32" s="92"/>
      <c r="AJ32" s="92"/>
    </row>
    <row r="33" spans="1:36" x14ac:dyDescent="0.2">
      <c r="A33" s="105">
        <f t="shared" si="3"/>
        <v>17</v>
      </c>
      <c r="B33" s="106">
        <f t="shared" si="4"/>
        <v>67346.938775510294</v>
      </c>
      <c r="C33" s="128">
        <v>4.4999999999999998E-2</v>
      </c>
      <c r="D33" s="108">
        <f t="shared" si="5"/>
        <v>57341.0816326532</v>
      </c>
      <c r="E33" s="108">
        <f t="shared" si="0"/>
        <v>4500</v>
      </c>
      <c r="F33" s="108">
        <f t="shared" si="1"/>
        <v>516.42857142857133</v>
      </c>
      <c r="G33" s="108">
        <f t="shared" si="6"/>
        <v>1462.1975816326565</v>
      </c>
      <c r="H33" s="108">
        <f t="shared" si="7"/>
        <v>2643.4238632653128</v>
      </c>
      <c r="I33" s="108">
        <f t="shared" si="8"/>
        <v>2040.8163265306123</v>
      </c>
      <c r="J33" s="108">
        <f t="shared" si="9"/>
        <v>60.612244897959265</v>
      </c>
      <c r="K33" s="108">
        <f t="shared" si="2"/>
        <v>250.58308213701724</v>
      </c>
      <c r="L33" s="108">
        <f t="shared" si="10"/>
        <v>6974.0616698921294</v>
      </c>
      <c r="M33" s="109">
        <f t="shared" si="11"/>
        <v>43807.648692289658</v>
      </c>
      <c r="O33" s="67"/>
      <c r="P33" s="89"/>
      <c r="Q33" s="110"/>
      <c r="AI33" s="92"/>
      <c r="AJ33" s="92"/>
    </row>
    <row r="34" spans="1:36" x14ac:dyDescent="0.2">
      <c r="A34" s="105">
        <f t="shared" si="3"/>
        <v>18</v>
      </c>
      <c r="B34" s="106">
        <f t="shared" si="4"/>
        <v>65306.12244897968</v>
      </c>
      <c r="C34" s="128">
        <v>4.4999999999999998E-2</v>
      </c>
      <c r="D34" s="108">
        <f t="shared" si="5"/>
        <v>54783.836734694014</v>
      </c>
      <c r="E34" s="108">
        <f t="shared" si="0"/>
        <v>4500</v>
      </c>
      <c r="F34" s="108">
        <f t="shared" si="1"/>
        <v>516.42857142857133</v>
      </c>
      <c r="G34" s="108">
        <f t="shared" si="6"/>
        <v>1396.9878367346973</v>
      </c>
      <c r="H34" s="108">
        <f t="shared" si="7"/>
        <v>2525.5348734693944</v>
      </c>
      <c r="I34" s="108">
        <f t="shared" si="8"/>
        <v>2040.8163265306123</v>
      </c>
      <c r="J34" s="108">
        <f t="shared" si="9"/>
        <v>58.775510204081712</v>
      </c>
      <c r="K34" s="108">
        <f t="shared" si="2"/>
        <v>211.17419000328297</v>
      </c>
      <c r="L34" s="108">
        <f t="shared" si="10"/>
        <v>6749.7173083706402</v>
      </c>
      <c r="M34" s="109">
        <f t="shared" si="11"/>
        <v>42683.008385564521</v>
      </c>
      <c r="O34" s="67"/>
      <c r="P34" s="89"/>
      <c r="Q34" s="110"/>
      <c r="R34" s="111"/>
      <c r="S34" s="111"/>
      <c r="T34" s="111"/>
      <c r="AI34" s="92"/>
      <c r="AJ34" s="92"/>
    </row>
    <row r="35" spans="1:36" x14ac:dyDescent="0.2">
      <c r="A35" s="105">
        <f t="shared" si="3"/>
        <v>19</v>
      </c>
      <c r="B35" s="106">
        <f t="shared" si="4"/>
        <v>63265.306122449067</v>
      </c>
      <c r="C35" s="128">
        <v>4.4999999999999998E-2</v>
      </c>
      <c r="D35" s="108">
        <f t="shared" si="5"/>
        <v>52226.591836734828</v>
      </c>
      <c r="E35" s="108">
        <f t="shared" si="0"/>
        <v>4500</v>
      </c>
      <c r="F35" s="108">
        <f t="shared" si="1"/>
        <v>516.42857142857133</v>
      </c>
      <c r="G35" s="108">
        <f t="shared" si="6"/>
        <v>1331.778091836738</v>
      </c>
      <c r="H35" s="108">
        <f t="shared" si="7"/>
        <v>2407.6458836734755</v>
      </c>
      <c r="I35" s="108">
        <f t="shared" si="8"/>
        <v>2040.8163265306123</v>
      </c>
      <c r="J35" s="108">
        <f t="shared" si="9"/>
        <v>56.93877551020416</v>
      </c>
      <c r="K35" s="108">
        <f t="shared" si="2"/>
        <v>171.76529786954876</v>
      </c>
      <c r="L35" s="108">
        <f t="shared" si="10"/>
        <v>6525.3729468491501</v>
      </c>
      <c r="M35" s="109">
        <f t="shared" si="11"/>
        <v>41630.901563313957</v>
      </c>
      <c r="O35" s="67"/>
      <c r="P35" s="89"/>
      <c r="Q35" s="110"/>
      <c r="AI35" s="92"/>
      <c r="AJ35" s="92"/>
    </row>
    <row r="36" spans="1:36" x14ac:dyDescent="0.2">
      <c r="A36" s="105">
        <f t="shared" si="3"/>
        <v>20</v>
      </c>
      <c r="B36" s="106">
        <f t="shared" si="4"/>
        <v>61224.489795918453</v>
      </c>
      <c r="C36" s="128">
        <v>4.4999999999999998E-2</v>
      </c>
      <c r="D36" s="108">
        <f t="shared" si="5"/>
        <v>49669.346938775641</v>
      </c>
      <c r="E36" s="108">
        <f t="shared" si="0"/>
        <v>4500</v>
      </c>
      <c r="F36" s="108">
        <f t="shared" si="1"/>
        <v>516.42857142857133</v>
      </c>
      <c r="G36" s="108">
        <f t="shared" si="6"/>
        <v>1266.5683469387789</v>
      </c>
      <c r="H36" s="108">
        <f t="shared" si="7"/>
        <v>2289.7568938775571</v>
      </c>
      <c r="I36" s="108">
        <f t="shared" si="8"/>
        <v>2040.8163265306123</v>
      </c>
      <c r="J36" s="108">
        <f t="shared" si="9"/>
        <v>55.102040816326607</v>
      </c>
      <c r="K36" s="108">
        <f t="shared" si="2"/>
        <v>132.35640573581477</v>
      </c>
      <c r="L36" s="108">
        <f t="shared" si="10"/>
        <v>6301.0285853276609</v>
      </c>
      <c r="M36" s="109">
        <f t="shared" si="11"/>
        <v>40656.52162302631</v>
      </c>
      <c r="O36" s="67"/>
      <c r="P36" s="89"/>
      <c r="Q36" s="110"/>
      <c r="AI36" s="92"/>
      <c r="AJ36" s="92"/>
    </row>
    <row r="37" spans="1:36" x14ac:dyDescent="0.2">
      <c r="A37" s="105">
        <f t="shared" si="3"/>
        <v>21</v>
      </c>
      <c r="B37" s="106">
        <f t="shared" si="4"/>
        <v>59183.673469387839</v>
      </c>
      <c r="C37" s="128">
        <v>1.7000000000000001E-2</v>
      </c>
      <c r="D37" s="108">
        <f t="shared" si="5"/>
        <v>47112.102040816455</v>
      </c>
      <c r="E37" s="108">
        <f t="shared" si="0"/>
        <v>1700.0000000000002</v>
      </c>
      <c r="F37" s="108">
        <f t="shared" si="1"/>
        <v>-71.571428571428584</v>
      </c>
      <c r="G37" s="108">
        <f t="shared" si="6"/>
        <v>1201.3586020408195</v>
      </c>
      <c r="H37" s="108">
        <f t="shared" si="7"/>
        <v>2171.8679040816387</v>
      </c>
      <c r="I37" s="108">
        <f t="shared" si="8"/>
        <v>2040.8163265306123</v>
      </c>
      <c r="J37" s="108">
        <f t="shared" si="9"/>
        <v>53.265306122449054</v>
      </c>
      <c r="K37" s="108">
        <f t="shared" si="2"/>
        <v>821.04892849265764</v>
      </c>
      <c r="L37" s="108">
        <f t="shared" si="10"/>
        <v>6216.7856386967487</v>
      </c>
      <c r="M37" s="109">
        <f t="shared" si="11"/>
        <v>39765.433809450187</v>
      </c>
      <c r="O37" s="67"/>
      <c r="P37" s="89"/>
      <c r="Q37" s="110"/>
    </row>
    <row r="38" spans="1:36" x14ac:dyDescent="0.2">
      <c r="A38" s="105">
        <f t="shared" si="3"/>
        <v>22</v>
      </c>
      <c r="B38" s="106">
        <f t="shared" si="4"/>
        <v>57142.857142857225</v>
      </c>
      <c r="C38" s="128">
        <v>0</v>
      </c>
      <c r="D38" s="108">
        <f t="shared" si="5"/>
        <v>45142.857142857269</v>
      </c>
      <c r="E38" s="108">
        <f t="shared" si="0"/>
        <v>0</v>
      </c>
      <c r="F38" s="108">
        <f t="shared" si="1"/>
        <v>-428.57142857142861</v>
      </c>
      <c r="G38" s="108">
        <f t="shared" si="6"/>
        <v>1151.1428571428603</v>
      </c>
      <c r="H38" s="108">
        <f t="shared" si="7"/>
        <v>2081.0857142857203</v>
      </c>
      <c r="I38" s="108">
        <f t="shared" si="8"/>
        <v>2040.8163265306123</v>
      </c>
      <c r="J38" s="108">
        <f t="shared" si="9"/>
        <v>51.428571428571502</v>
      </c>
      <c r="K38" s="108">
        <f t="shared" si="2"/>
        <v>1232.6240777835169</v>
      </c>
      <c r="L38" s="108">
        <f t="shared" si="10"/>
        <v>6128.5261185998534</v>
      </c>
      <c r="M38" s="109">
        <f t="shared" si="11"/>
        <v>38823.500423967489</v>
      </c>
      <c r="O38" s="67"/>
      <c r="P38" s="89"/>
      <c r="Q38" s="110"/>
    </row>
    <row r="39" spans="1:36" x14ac:dyDescent="0.2">
      <c r="A39" s="105">
        <f t="shared" si="3"/>
        <v>23</v>
      </c>
      <c r="B39" s="106">
        <f t="shared" si="4"/>
        <v>55102.040816326611</v>
      </c>
      <c r="C39" s="128">
        <v>0</v>
      </c>
      <c r="D39" s="108">
        <f t="shared" si="5"/>
        <v>43530.612244898082</v>
      </c>
      <c r="E39" s="108">
        <f t="shared" si="0"/>
        <v>0</v>
      </c>
      <c r="F39" s="108">
        <f t="shared" si="1"/>
        <v>-428.57142857142861</v>
      </c>
      <c r="G39" s="108">
        <f t="shared" si="6"/>
        <v>1110.030612244901</v>
      </c>
      <c r="H39" s="108">
        <f t="shared" si="7"/>
        <v>2006.7612244898016</v>
      </c>
      <c r="I39" s="108">
        <f t="shared" si="8"/>
        <v>2040.8163265306123</v>
      </c>
      <c r="J39" s="108">
        <f t="shared" si="9"/>
        <v>49.591836734693949</v>
      </c>
      <c r="K39" s="108">
        <f t="shared" si="2"/>
        <v>1207.5548665218446</v>
      </c>
      <c r="L39" s="108">
        <f t="shared" si="10"/>
        <v>5986.1834379504253</v>
      </c>
      <c r="M39" s="109">
        <f t="shared" si="11"/>
        <v>37831.097497095718</v>
      </c>
      <c r="O39" s="67"/>
      <c r="P39" s="89"/>
      <c r="Q39" s="110"/>
    </row>
    <row r="40" spans="1:36" x14ac:dyDescent="0.2">
      <c r="A40" s="105">
        <f t="shared" si="3"/>
        <v>24</v>
      </c>
      <c r="B40" s="106">
        <f t="shared" si="4"/>
        <v>53061.224489795997</v>
      </c>
      <c r="C40" s="128">
        <v>0</v>
      </c>
      <c r="D40" s="108">
        <f t="shared" si="5"/>
        <v>41918.367346938896</v>
      </c>
      <c r="E40" s="108">
        <f t="shared" si="0"/>
        <v>0</v>
      </c>
      <c r="F40" s="108">
        <f t="shared" si="1"/>
        <v>-428.57142857142861</v>
      </c>
      <c r="G40" s="108">
        <f t="shared" si="6"/>
        <v>1068.9183673469417</v>
      </c>
      <c r="H40" s="108">
        <f t="shared" si="7"/>
        <v>1932.4367346938832</v>
      </c>
      <c r="I40" s="108">
        <f t="shared" si="8"/>
        <v>2040.8163265306123</v>
      </c>
      <c r="J40" s="108">
        <f t="shared" si="9"/>
        <v>47.755102040816396</v>
      </c>
      <c r="K40" s="108">
        <f t="shared" si="2"/>
        <v>1182.4856552601723</v>
      </c>
      <c r="L40" s="108">
        <f t="shared" si="10"/>
        <v>5843.8407573009972</v>
      </c>
      <c r="M40" s="109">
        <f t="shared" si="11"/>
        <v>36838.694570223954</v>
      </c>
      <c r="O40" s="67"/>
      <c r="P40" s="89"/>
      <c r="Q40" s="110"/>
    </row>
    <row r="41" spans="1:36" x14ac:dyDescent="0.2">
      <c r="A41" s="105">
        <f t="shared" si="3"/>
        <v>25</v>
      </c>
      <c r="B41" s="106">
        <f t="shared" si="4"/>
        <v>51020.408163265383</v>
      </c>
      <c r="C41" s="128">
        <v>0</v>
      </c>
      <c r="D41" s="108">
        <f t="shared" si="5"/>
        <v>40306.12244897971</v>
      </c>
      <c r="E41" s="108">
        <f t="shared" si="0"/>
        <v>0</v>
      </c>
      <c r="F41" s="108">
        <f t="shared" si="1"/>
        <v>-428.57142857142861</v>
      </c>
      <c r="G41" s="108">
        <f t="shared" si="6"/>
        <v>1027.8061224489825</v>
      </c>
      <c r="H41" s="108">
        <f t="shared" si="7"/>
        <v>1858.1122448979647</v>
      </c>
      <c r="I41" s="108">
        <f t="shared" si="8"/>
        <v>2040.8163265306123</v>
      </c>
      <c r="J41" s="108">
        <f t="shared" si="9"/>
        <v>45.918367346938844</v>
      </c>
      <c r="K41" s="108">
        <f t="shared" si="2"/>
        <v>1157.4164439984997</v>
      </c>
      <c r="L41" s="108">
        <f t="shared" si="10"/>
        <v>5701.4980766515691</v>
      </c>
      <c r="M41" s="109">
        <f t="shared" si="11"/>
        <v>35846.291643352182</v>
      </c>
      <c r="O41" s="67"/>
      <c r="P41" s="89"/>
      <c r="Q41" s="110"/>
    </row>
    <row r="42" spans="1:36" x14ac:dyDescent="0.2">
      <c r="A42" s="105">
        <f t="shared" si="3"/>
        <v>26</v>
      </c>
      <c r="B42" s="106">
        <f t="shared" si="4"/>
        <v>48979.591836734769</v>
      </c>
      <c r="C42" s="128">
        <v>0</v>
      </c>
      <c r="D42" s="108">
        <f t="shared" si="5"/>
        <v>38693.877551020523</v>
      </c>
      <c r="E42" s="108">
        <f t="shared" si="0"/>
        <v>0</v>
      </c>
      <c r="F42" s="108">
        <f t="shared" si="1"/>
        <v>-428.57142857142861</v>
      </c>
      <c r="G42" s="108">
        <f t="shared" si="6"/>
        <v>986.69387755102332</v>
      </c>
      <c r="H42" s="108">
        <f t="shared" si="7"/>
        <v>1783.7877551020463</v>
      </c>
      <c r="I42" s="108">
        <f t="shared" si="8"/>
        <v>2040.8163265306123</v>
      </c>
      <c r="J42" s="108">
        <f t="shared" si="9"/>
        <v>44.081632653061291</v>
      </c>
      <c r="K42" s="108">
        <f t="shared" si="2"/>
        <v>1132.3472327368274</v>
      </c>
      <c r="L42" s="108">
        <f t="shared" si="10"/>
        <v>5559.155396002142</v>
      </c>
      <c r="M42" s="109">
        <f t="shared" si="11"/>
        <v>34853.888716480418</v>
      </c>
      <c r="O42" s="67"/>
      <c r="P42" s="89"/>
      <c r="Q42" s="110"/>
    </row>
    <row r="43" spans="1:36" x14ac:dyDescent="0.2">
      <c r="A43" s="105">
        <f t="shared" si="3"/>
        <v>27</v>
      </c>
      <c r="B43" s="106">
        <f t="shared" si="4"/>
        <v>46938.775510204156</v>
      </c>
      <c r="C43" s="128">
        <v>0</v>
      </c>
      <c r="D43" s="108">
        <f t="shared" si="5"/>
        <v>37081.632653061337</v>
      </c>
      <c r="E43" s="108">
        <f t="shared" si="0"/>
        <v>0</v>
      </c>
      <c r="F43" s="108">
        <f t="shared" si="1"/>
        <v>-428.57142857142861</v>
      </c>
      <c r="G43" s="108">
        <f t="shared" si="6"/>
        <v>945.58163265306405</v>
      </c>
      <c r="H43" s="108">
        <f t="shared" si="7"/>
        <v>1709.4632653061276</v>
      </c>
      <c r="I43" s="108">
        <f t="shared" si="8"/>
        <v>2040.8163265306123</v>
      </c>
      <c r="J43" s="108">
        <f t="shared" si="9"/>
        <v>42.244897959183739</v>
      </c>
      <c r="K43" s="108">
        <f t="shared" si="2"/>
        <v>1107.2780214751549</v>
      </c>
      <c r="L43" s="108">
        <f t="shared" si="10"/>
        <v>5416.8127153527139</v>
      </c>
      <c r="M43" s="109">
        <f t="shared" si="11"/>
        <v>33861.48578960864</v>
      </c>
      <c r="O43" s="67"/>
      <c r="P43" s="89"/>
      <c r="Q43" s="110"/>
      <c r="R43" s="111"/>
      <c r="S43" s="111"/>
      <c r="T43" s="111"/>
    </row>
    <row r="44" spans="1:36" x14ac:dyDescent="0.2">
      <c r="A44" s="105">
        <f t="shared" si="3"/>
        <v>28</v>
      </c>
      <c r="B44" s="106">
        <f t="shared" si="4"/>
        <v>44897.959183673542</v>
      </c>
      <c r="C44" s="128">
        <v>0</v>
      </c>
      <c r="D44" s="108">
        <f t="shared" si="5"/>
        <v>35469.387755102151</v>
      </c>
      <c r="E44" s="108">
        <f t="shared" si="0"/>
        <v>0</v>
      </c>
      <c r="F44" s="108">
        <f t="shared" si="1"/>
        <v>-428.57142857142861</v>
      </c>
      <c r="G44" s="108">
        <f t="shared" si="6"/>
        <v>904.46938775510478</v>
      </c>
      <c r="H44" s="108">
        <f t="shared" si="7"/>
        <v>1635.1387755102091</v>
      </c>
      <c r="I44" s="108">
        <f t="shared" si="8"/>
        <v>2040.8163265306123</v>
      </c>
      <c r="J44" s="108">
        <f t="shared" si="9"/>
        <v>40.408163265306186</v>
      </c>
      <c r="K44" s="108">
        <f t="shared" si="2"/>
        <v>1082.2088102134826</v>
      </c>
      <c r="L44" s="108">
        <f t="shared" si="10"/>
        <v>5274.4700347032867</v>
      </c>
      <c r="M44" s="109">
        <f t="shared" si="11"/>
        <v>32869.08286273689</v>
      </c>
      <c r="O44" s="67"/>
      <c r="P44" s="89"/>
      <c r="Q44" s="110"/>
    </row>
    <row r="45" spans="1:36" x14ac:dyDescent="0.2">
      <c r="A45" s="105">
        <f t="shared" si="3"/>
        <v>29</v>
      </c>
      <c r="B45" s="106">
        <f t="shared" si="4"/>
        <v>42857.142857142928</v>
      </c>
      <c r="C45" s="128">
        <v>0</v>
      </c>
      <c r="D45" s="108">
        <f t="shared" si="5"/>
        <v>33857.142857142964</v>
      </c>
      <c r="E45" s="108">
        <f t="shared" si="0"/>
        <v>0</v>
      </c>
      <c r="F45" s="108">
        <f t="shared" si="1"/>
        <v>-428.57142857142861</v>
      </c>
      <c r="G45" s="108">
        <f t="shared" si="6"/>
        <v>863.3571428571455</v>
      </c>
      <c r="H45" s="108">
        <f t="shared" si="7"/>
        <v>1560.8142857142907</v>
      </c>
      <c r="I45" s="108">
        <f t="shared" si="8"/>
        <v>2040.8163265306123</v>
      </c>
      <c r="J45" s="108">
        <f t="shared" si="9"/>
        <v>38.571428571428633</v>
      </c>
      <c r="K45" s="108">
        <f t="shared" si="2"/>
        <v>1057.1395989518101</v>
      </c>
      <c r="L45" s="108">
        <f t="shared" si="10"/>
        <v>5132.1273540538587</v>
      </c>
      <c r="M45" s="109">
        <f t="shared" si="11"/>
        <v>31876.679935865119</v>
      </c>
      <c r="O45" s="67"/>
      <c r="P45" s="89"/>
      <c r="Q45" s="110"/>
    </row>
    <row r="46" spans="1:36" x14ac:dyDescent="0.2">
      <c r="A46" s="105">
        <f t="shared" si="3"/>
        <v>30</v>
      </c>
      <c r="B46" s="106">
        <f t="shared" si="4"/>
        <v>40816.326530612314</v>
      </c>
      <c r="C46" s="128">
        <v>0</v>
      </c>
      <c r="D46" s="108">
        <f t="shared" si="5"/>
        <v>32244.897959183778</v>
      </c>
      <c r="E46" s="108">
        <f t="shared" si="0"/>
        <v>0</v>
      </c>
      <c r="F46" s="108">
        <f t="shared" si="1"/>
        <v>-428.57142857142861</v>
      </c>
      <c r="G46" s="108">
        <f t="shared" si="6"/>
        <v>822.24489795918623</v>
      </c>
      <c r="H46" s="108">
        <f t="shared" si="7"/>
        <v>1486.4897959183722</v>
      </c>
      <c r="I46" s="108">
        <f t="shared" si="8"/>
        <v>2040.8163265306123</v>
      </c>
      <c r="J46" s="108">
        <f t="shared" si="9"/>
        <v>36.734693877551081</v>
      </c>
      <c r="K46" s="108">
        <f t="shared" si="2"/>
        <v>1032.0703876901377</v>
      </c>
      <c r="L46" s="108">
        <f t="shared" si="10"/>
        <v>4989.7846734044315</v>
      </c>
      <c r="M46" s="109">
        <f t="shared" si="11"/>
        <v>30884.277008993347</v>
      </c>
      <c r="O46" s="67"/>
      <c r="P46" s="89"/>
      <c r="Q46" s="110"/>
    </row>
    <row r="47" spans="1:36" x14ac:dyDescent="0.2">
      <c r="A47" s="105">
        <f t="shared" si="3"/>
        <v>31</v>
      </c>
      <c r="B47" s="106">
        <f t="shared" si="4"/>
        <v>38775.5102040817</v>
      </c>
      <c r="C47" s="128">
        <v>0</v>
      </c>
      <c r="D47" s="108">
        <f t="shared" si="5"/>
        <v>30632.653061224592</v>
      </c>
      <c r="E47" s="108">
        <f t="shared" si="0"/>
        <v>0</v>
      </c>
      <c r="F47" s="108">
        <f t="shared" si="1"/>
        <v>-428.57142857142861</v>
      </c>
      <c r="G47" s="108">
        <f t="shared" si="6"/>
        <v>781.13265306122707</v>
      </c>
      <c r="H47" s="108">
        <f t="shared" si="7"/>
        <v>1412.1653061224538</v>
      </c>
      <c r="I47" s="108">
        <f t="shared" si="8"/>
        <v>2040.8163265306123</v>
      </c>
      <c r="J47" s="108">
        <f t="shared" si="9"/>
        <v>34.897959183673528</v>
      </c>
      <c r="K47" s="108">
        <f t="shared" si="2"/>
        <v>1007.0011764284654</v>
      </c>
      <c r="L47" s="108">
        <f t="shared" si="10"/>
        <v>4847.4419927550043</v>
      </c>
      <c r="M47" s="109">
        <f t="shared" si="11"/>
        <v>29891.87408212158</v>
      </c>
      <c r="O47" s="67"/>
      <c r="P47" s="89"/>
      <c r="Q47" s="110"/>
    </row>
    <row r="48" spans="1:36" x14ac:dyDescent="0.2">
      <c r="A48" s="105">
        <f t="shared" si="3"/>
        <v>32</v>
      </c>
      <c r="B48" s="106">
        <f t="shared" si="4"/>
        <v>36734.693877551086</v>
      </c>
      <c r="C48" s="128">
        <v>0</v>
      </c>
      <c r="D48" s="108">
        <f t="shared" si="5"/>
        <v>29020.408163265405</v>
      </c>
      <c r="E48" s="108">
        <f t="shared" si="0"/>
        <v>0</v>
      </c>
      <c r="F48" s="108">
        <f t="shared" si="1"/>
        <v>-428.57142857142861</v>
      </c>
      <c r="G48" s="108">
        <f t="shared" si="6"/>
        <v>740.0204081632678</v>
      </c>
      <c r="H48" s="108">
        <f t="shared" si="7"/>
        <v>1337.8408163265353</v>
      </c>
      <c r="I48" s="108">
        <f t="shared" si="8"/>
        <v>2040.8163265306123</v>
      </c>
      <c r="J48" s="108">
        <f t="shared" si="9"/>
        <v>33.061224489795976</v>
      </c>
      <c r="K48" s="108">
        <f t="shared" si="2"/>
        <v>981.93196516679313</v>
      </c>
      <c r="L48" s="108">
        <f t="shared" si="10"/>
        <v>4705.0993121055762</v>
      </c>
      <c r="M48" s="109">
        <f t="shared" si="11"/>
        <v>28899.471155249812</v>
      </c>
      <c r="O48" s="67"/>
      <c r="P48" s="89"/>
      <c r="Q48" s="110"/>
    </row>
    <row r="49" spans="1:20" x14ac:dyDescent="0.2">
      <c r="A49" s="105">
        <f t="shared" si="3"/>
        <v>33</v>
      </c>
      <c r="B49" s="106">
        <f t="shared" si="4"/>
        <v>34693.877551020472</v>
      </c>
      <c r="C49" s="128">
        <v>0</v>
      </c>
      <c r="D49" s="108">
        <f t="shared" si="5"/>
        <v>27408.163265306219</v>
      </c>
      <c r="E49" s="108">
        <f t="shared" si="0"/>
        <v>0</v>
      </c>
      <c r="F49" s="108">
        <f t="shared" si="1"/>
        <v>-428.57142857142861</v>
      </c>
      <c r="G49" s="108">
        <f t="shared" si="6"/>
        <v>698.90816326530853</v>
      </c>
      <c r="H49" s="108">
        <f t="shared" si="7"/>
        <v>1263.5163265306167</v>
      </c>
      <c r="I49" s="108">
        <f t="shared" si="8"/>
        <v>2040.8163265306123</v>
      </c>
      <c r="J49" s="108">
        <f t="shared" si="9"/>
        <v>31.224489795918423</v>
      </c>
      <c r="K49" s="108">
        <f t="shared" si="2"/>
        <v>956.86275390512048</v>
      </c>
      <c r="L49" s="108">
        <f t="shared" si="10"/>
        <v>4562.7566314561482</v>
      </c>
      <c r="M49" s="109">
        <f t="shared" si="11"/>
        <v>27907.068228378044</v>
      </c>
      <c r="O49" s="67"/>
      <c r="P49" s="89"/>
      <c r="Q49" s="110"/>
      <c r="R49" s="111"/>
      <c r="S49" s="111"/>
      <c r="T49" s="111"/>
    </row>
    <row r="50" spans="1:20" x14ac:dyDescent="0.2">
      <c r="A50" s="105">
        <f t="shared" si="3"/>
        <v>34</v>
      </c>
      <c r="B50" s="106">
        <f t="shared" si="4"/>
        <v>32653.061224489858</v>
      </c>
      <c r="C50" s="128">
        <v>0</v>
      </c>
      <c r="D50" s="108">
        <f t="shared" si="5"/>
        <v>25795.918367347032</v>
      </c>
      <c r="E50" s="108">
        <f t="shared" si="0"/>
        <v>0</v>
      </c>
      <c r="F50" s="108">
        <f t="shared" si="1"/>
        <v>-428.57142857142861</v>
      </c>
      <c r="G50" s="108">
        <f t="shared" ref="G50:G51" si="12">L$5*D50</f>
        <v>657.79591836734926</v>
      </c>
      <c r="H50" s="108">
        <f t="shared" ref="H50:H51" si="13">D50*(L$6+L$7)</f>
        <v>1189.1918367346982</v>
      </c>
      <c r="I50" s="108">
        <f t="shared" si="8"/>
        <v>2040.8163265306123</v>
      </c>
      <c r="J50" s="108">
        <f t="shared" si="9"/>
        <v>29.38775510204087</v>
      </c>
      <c r="K50" s="108">
        <f t="shared" si="2"/>
        <v>931.79354264344818</v>
      </c>
      <c r="L50" s="108">
        <f t="shared" si="10"/>
        <v>4420.4139508067201</v>
      </c>
      <c r="M50" s="109">
        <f t="shared" si="11"/>
        <v>26914.66530150628</v>
      </c>
      <c r="O50" s="67"/>
      <c r="P50" s="89"/>
      <c r="Q50" s="110"/>
    </row>
    <row r="51" spans="1:20" x14ac:dyDescent="0.2">
      <c r="A51" s="105">
        <f t="shared" si="3"/>
        <v>35</v>
      </c>
      <c r="B51" s="106">
        <f t="shared" si="4"/>
        <v>30612.244897959245</v>
      </c>
      <c r="C51" s="128">
        <v>0</v>
      </c>
      <c r="D51" s="108">
        <f t="shared" si="5"/>
        <v>24183.673469387846</v>
      </c>
      <c r="E51" s="108">
        <f t="shared" si="0"/>
        <v>0</v>
      </c>
      <c r="F51" s="108">
        <f t="shared" si="1"/>
        <v>-428.57142857142861</v>
      </c>
      <c r="G51" s="108">
        <f t="shared" si="12"/>
        <v>616.68367346938999</v>
      </c>
      <c r="H51" s="108">
        <f t="shared" si="13"/>
        <v>1114.8673469387797</v>
      </c>
      <c r="I51" s="108">
        <f t="shared" si="8"/>
        <v>2040.8163265306123</v>
      </c>
      <c r="J51" s="108">
        <f t="shared" si="9"/>
        <v>27.551020408163318</v>
      </c>
      <c r="K51" s="108">
        <f t="shared" si="2"/>
        <v>906.72433138177576</v>
      </c>
      <c r="L51" s="108">
        <f t="shared" si="10"/>
        <v>4278.071270157292</v>
      </c>
      <c r="M51" s="109">
        <f t="shared" si="11"/>
        <v>25922.262374634509</v>
      </c>
      <c r="O51" s="67"/>
      <c r="P51" s="89"/>
    </row>
    <row r="52" spans="1:20" x14ac:dyDescent="0.2">
      <c r="A52" s="105">
        <f t="shared" si="3"/>
        <v>36</v>
      </c>
      <c r="B52" s="106">
        <f t="shared" ref="B52:B64" si="14">B51-I51</f>
        <v>28571.428571428631</v>
      </c>
      <c r="C52" s="128">
        <v>0</v>
      </c>
      <c r="D52" s="108">
        <f t="shared" ref="D52:D64" si="15">D51-F51-I51</f>
        <v>22571.42857142866</v>
      </c>
      <c r="E52" s="108">
        <f t="shared" ref="E52:E64" si="16">D$13*C52</f>
        <v>0</v>
      </c>
      <c r="F52" s="108">
        <f t="shared" ref="F52:F64" si="17">H$14*(E52-I52*D$13/D$12)</f>
        <v>-428.57142857142861</v>
      </c>
      <c r="G52" s="108">
        <f t="shared" ref="G52:G64" si="18">L$5*D52</f>
        <v>575.57142857143083</v>
      </c>
      <c r="H52" s="108">
        <f t="shared" ref="H52:H64" si="19">D52*(L$6+L$7)</f>
        <v>1040.5428571428613</v>
      </c>
      <c r="I52" s="108">
        <f t="shared" ref="I52:I64" si="20">IF(A52-A$17&gt;H$12,0,IF(A52-A$17=H$12,(12-D$11)/12*$D$12/H$12,D$12/H$12))</f>
        <v>2040.8163265306123</v>
      </c>
      <c r="J52" s="108">
        <f t="shared" ref="J52:J64" si="21">+B52*$H$11</f>
        <v>25.714285714285769</v>
      </c>
      <c r="K52" s="108">
        <f t="shared" ref="K52:K64" si="22">(H$13/(1-H$13))*(H52+I52-E52+F52+J52)</f>
        <v>881.65512012010333</v>
      </c>
      <c r="L52" s="108">
        <f t="shared" ref="L52:L64" si="23">SUM(F52:K52)</f>
        <v>4135.7285895078649</v>
      </c>
      <c r="M52" s="109">
        <f t="shared" si="11"/>
        <v>24929.859447762741</v>
      </c>
      <c r="O52" s="67"/>
      <c r="P52" s="89"/>
    </row>
    <row r="53" spans="1:20" x14ac:dyDescent="0.2">
      <c r="A53" s="105">
        <f t="shared" si="3"/>
        <v>37</v>
      </c>
      <c r="B53" s="106">
        <f t="shared" si="14"/>
        <v>26530.612244898017</v>
      </c>
      <c r="C53" s="128">
        <v>0</v>
      </c>
      <c r="D53" s="108">
        <f t="shared" si="15"/>
        <v>20959.183673469473</v>
      </c>
      <c r="E53" s="108">
        <f t="shared" si="16"/>
        <v>0</v>
      </c>
      <c r="F53" s="108">
        <f t="shared" si="17"/>
        <v>-428.57142857142861</v>
      </c>
      <c r="G53" s="108">
        <f t="shared" si="18"/>
        <v>534.45918367347156</v>
      </c>
      <c r="H53" s="108">
        <f t="shared" si="19"/>
        <v>966.21836734694273</v>
      </c>
      <c r="I53" s="108">
        <f t="shared" si="20"/>
        <v>2040.8163265306123</v>
      </c>
      <c r="J53" s="108">
        <f t="shared" si="21"/>
        <v>23.877551020408216</v>
      </c>
      <c r="K53" s="108">
        <f t="shared" si="22"/>
        <v>856.58590885843091</v>
      </c>
      <c r="L53" s="108">
        <f t="shared" si="23"/>
        <v>3993.3859088584368</v>
      </c>
      <c r="M53" s="109">
        <f t="shared" si="11"/>
        <v>23937.456520890977</v>
      </c>
      <c r="O53" s="67"/>
      <c r="P53" s="89"/>
    </row>
    <row r="54" spans="1:20" x14ac:dyDescent="0.2">
      <c r="A54" s="105">
        <f t="shared" si="3"/>
        <v>38</v>
      </c>
      <c r="B54" s="106">
        <f t="shared" si="14"/>
        <v>24489.795918367403</v>
      </c>
      <c r="C54" s="128">
        <v>0</v>
      </c>
      <c r="D54" s="108">
        <f t="shared" si="15"/>
        <v>19346.938775510287</v>
      </c>
      <c r="E54" s="108">
        <f t="shared" si="16"/>
        <v>0</v>
      </c>
      <c r="F54" s="108">
        <f t="shared" si="17"/>
        <v>-428.57142857142861</v>
      </c>
      <c r="G54" s="108">
        <f t="shared" si="18"/>
        <v>493.34693877551229</v>
      </c>
      <c r="H54" s="108">
        <f t="shared" si="19"/>
        <v>891.89387755102427</v>
      </c>
      <c r="I54" s="108">
        <f t="shared" si="20"/>
        <v>2040.8163265306123</v>
      </c>
      <c r="J54" s="108">
        <f t="shared" si="21"/>
        <v>22.040816326530663</v>
      </c>
      <c r="K54" s="108">
        <f t="shared" si="22"/>
        <v>831.51669759675849</v>
      </c>
      <c r="L54" s="108">
        <f t="shared" si="23"/>
        <v>3851.0432282090092</v>
      </c>
      <c r="M54" s="109">
        <f t="shared" si="11"/>
        <v>22945.053594019213</v>
      </c>
      <c r="O54" s="67"/>
      <c r="P54" s="89"/>
    </row>
    <row r="55" spans="1:20" x14ac:dyDescent="0.2">
      <c r="A55" s="105">
        <f t="shared" si="3"/>
        <v>39</v>
      </c>
      <c r="B55" s="106">
        <f t="shared" si="14"/>
        <v>22448.979591836789</v>
      </c>
      <c r="C55" s="128">
        <v>0</v>
      </c>
      <c r="D55" s="108">
        <f t="shared" si="15"/>
        <v>17734.693877551101</v>
      </c>
      <c r="E55" s="108">
        <f t="shared" si="16"/>
        <v>0</v>
      </c>
      <c r="F55" s="108">
        <f t="shared" si="17"/>
        <v>-428.57142857142861</v>
      </c>
      <c r="G55" s="108">
        <f t="shared" si="18"/>
        <v>452.23469387755301</v>
      </c>
      <c r="H55" s="108">
        <f t="shared" si="19"/>
        <v>817.56938775510582</v>
      </c>
      <c r="I55" s="108">
        <f t="shared" si="20"/>
        <v>2040.8163265306123</v>
      </c>
      <c r="J55" s="108">
        <f t="shared" si="21"/>
        <v>20.204081632653111</v>
      </c>
      <c r="K55" s="108">
        <f t="shared" si="22"/>
        <v>806.44748633508607</v>
      </c>
      <c r="L55" s="108">
        <f t="shared" si="23"/>
        <v>3708.7005475595815</v>
      </c>
      <c r="M55" s="109">
        <f t="shared" si="11"/>
        <v>21952.650667147449</v>
      </c>
      <c r="O55" s="67"/>
      <c r="P55" s="89"/>
    </row>
    <row r="56" spans="1:20" x14ac:dyDescent="0.2">
      <c r="A56" s="105">
        <f t="shared" si="3"/>
        <v>40</v>
      </c>
      <c r="B56" s="106">
        <f t="shared" si="14"/>
        <v>20408.163265306175</v>
      </c>
      <c r="C56" s="128">
        <v>0</v>
      </c>
      <c r="D56" s="108">
        <f t="shared" si="15"/>
        <v>16122.448979591916</v>
      </c>
      <c r="E56" s="108">
        <f t="shared" si="16"/>
        <v>0</v>
      </c>
      <c r="F56" s="108">
        <f t="shared" si="17"/>
        <v>-428.57142857142861</v>
      </c>
      <c r="G56" s="108">
        <f t="shared" si="18"/>
        <v>411.12244897959386</v>
      </c>
      <c r="H56" s="108">
        <f t="shared" si="19"/>
        <v>743.24489795918737</v>
      </c>
      <c r="I56" s="108">
        <f t="shared" si="20"/>
        <v>2040.8163265306123</v>
      </c>
      <c r="J56" s="108">
        <f t="shared" si="21"/>
        <v>18.367346938775558</v>
      </c>
      <c r="K56" s="108">
        <f t="shared" si="22"/>
        <v>781.37827507341365</v>
      </c>
      <c r="L56" s="108">
        <f t="shared" si="23"/>
        <v>3566.3578669101539</v>
      </c>
      <c r="M56" s="109">
        <f t="shared" si="11"/>
        <v>20960.247740275685</v>
      </c>
      <c r="O56" s="67"/>
      <c r="P56" s="89"/>
    </row>
    <row r="57" spans="1:20" x14ac:dyDescent="0.2">
      <c r="A57" s="105">
        <f t="shared" si="3"/>
        <v>41</v>
      </c>
      <c r="B57" s="106">
        <f t="shared" si="14"/>
        <v>18367.346938775561</v>
      </c>
      <c r="C57" s="128">
        <v>0</v>
      </c>
      <c r="D57" s="108">
        <f t="shared" si="15"/>
        <v>14510.204081632734</v>
      </c>
      <c r="E57" s="108">
        <f t="shared" si="16"/>
        <v>0</v>
      </c>
      <c r="F57" s="108">
        <f t="shared" si="17"/>
        <v>-428.57142857142861</v>
      </c>
      <c r="G57" s="108">
        <f t="shared" si="18"/>
        <v>370.0102040816347</v>
      </c>
      <c r="H57" s="108">
        <f t="shared" si="19"/>
        <v>668.92040816326903</v>
      </c>
      <c r="I57" s="108">
        <f t="shared" si="20"/>
        <v>2040.8163265306123</v>
      </c>
      <c r="J57" s="108">
        <f t="shared" si="21"/>
        <v>16.530612244898006</v>
      </c>
      <c r="K57" s="108">
        <f t="shared" si="22"/>
        <v>756.30906381174134</v>
      </c>
      <c r="L57" s="108">
        <f t="shared" si="23"/>
        <v>3424.0151862607268</v>
      </c>
      <c r="M57" s="109">
        <f>NPV($L$9,L57:L65)</f>
        <v>18894.64361156927</v>
      </c>
      <c r="O57" s="67"/>
      <c r="P57" s="89"/>
    </row>
    <row r="58" spans="1:20" x14ac:dyDescent="0.2">
      <c r="A58" s="105">
        <f t="shared" si="3"/>
        <v>42</v>
      </c>
      <c r="B58" s="106">
        <f t="shared" si="14"/>
        <v>16326.530612244949</v>
      </c>
      <c r="C58" s="128">
        <v>0</v>
      </c>
      <c r="D58" s="108">
        <f t="shared" si="15"/>
        <v>12897.959183673551</v>
      </c>
      <c r="E58" s="108">
        <f t="shared" si="16"/>
        <v>0</v>
      </c>
      <c r="F58" s="108">
        <f t="shared" si="17"/>
        <v>-428.57142857142861</v>
      </c>
      <c r="G58" s="108">
        <f t="shared" si="18"/>
        <v>328.89795918367554</v>
      </c>
      <c r="H58" s="108">
        <f t="shared" si="19"/>
        <v>594.59591836735069</v>
      </c>
      <c r="I58" s="108">
        <f t="shared" si="20"/>
        <v>2040.8163265306123</v>
      </c>
      <c r="J58" s="108">
        <f t="shared" si="21"/>
        <v>14.693877551020455</v>
      </c>
      <c r="K58" s="108">
        <f t="shared" si="22"/>
        <v>731.23985255006892</v>
      </c>
      <c r="L58" s="108">
        <f t="shared" si="23"/>
        <v>3281.6725056112991</v>
      </c>
      <c r="M58" s="109">
        <f>NPV($L$9,L58:L65)</f>
        <v>16823.484907896902</v>
      </c>
      <c r="O58" s="67"/>
      <c r="P58" s="89"/>
    </row>
    <row r="59" spans="1:20" x14ac:dyDescent="0.2">
      <c r="A59" s="105">
        <f t="shared" si="3"/>
        <v>43</v>
      </c>
      <c r="B59" s="106">
        <f t="shared" si="14"/>
        <v>14285.714285714337</v>
      </c>
      <c r="C59" s="128">
        <v>0</v>
      </c>
      <c r="D59" s="108">
        <f t="shared" si="15"/>
        <v>11285.714285714368</v>
      </c>
      <c r="E59" s="108">
        <f t="shared" si="16"/>
        <v>0</v>
      </c>
      <c r="F59" s="108">
        <f t="shared" si="17"/>
        <v>-428.57142857142861</v>
      </c>
      <c r="G59" s="108">
        <f t="shared" si="18"/>
        <v>287.78571428571638</v>
      </c>
      <c r="H59" s="108">
        <f t="shared" si="19"/>
        <v>520.27142857143235</v>
      </c>
      <c r="I59" s="108">
        <f t="shared" si="20"/>
        <v>2040.8163265306123</v>
      </c>
      <c r="J59" s="108">
        <f t="shared" si="21"/>
        <v>12.857142857142904</v>
      </c>
      <c r="K59" s="108">
        <f t="shared" si="22"/>
        <v>706.17064128839684</v>
      </c>
      <c r="L59" s="108">
        <f t="shared" si="23"/>
        <v>3139.3298249618724</v>
      </c>
      <c r="M59" s="109">
        <f>NPV($L$9,L59:L65)</f>
        <v>14746.373921691025</v>
      </c>
      <c r="O59" s="67"/>
      <c r="P59" s="89"/>
    </row>
    <row r="60" spans="1:20" x14ac:dyDescent="0.2">
      <c r="A60" s="105">
        <f t="shared" si="3"/>
        <v>44</v>
      </c>
      <c r="B60" s="106">
        <f t="shared" si="14"/>
        <v>12244.897959183725</v>
      </c>
      <c r="C60" s="128">
        <v>0</v>
      </c>
      <c r="D60" s="108">
        <f t="shared" si="15"/>
        <v>9673.4693877551854</v>
      </c>
      <c r="E60" s="108">
        <f t="shared" si="16"/>
        <v>0</v>
      </c>
      <c r="F60" s="108">
        <f t="shared" si="17"/>
        <v>-428.57142857142861</v>
      </c>
      <c r="G60" s="108">
        <f t="shared" si="18"/>
        <v>246.67346938775722</v>
      </c>
      <c r="H60" s="108">
        <f t="shared" si="19"/>
        <v>445.94693877551407</v>
      </c>
      <c r="I60" s="108">
        <f t="shared" si="20"/>
        <v>2040.8163265306123</v>
      </c>
      <c r="J60" s="108">
        <f t="shared" si="21"/>
        <v>11.020408163265353</v>
      </c>
      <c r="K60" s="108">
        <f t="shared" si="22"/>
        <v>681.10143002672442</v>
      </c>
      <c r="L60" s="108">
        <f t="shared" si="23"/>
        <v>2996.9871443124448</v>
      </c>
      <c r="M60" s="109">
        <f>NPV($L$9,L60:L65)</f>
        <v>12662.884469522234</v>
      </c>
      <c r="O60" s="67"/>
      <c r="P60" s="89"/>
    </row>
    <row r="61" spans="1:20" x14ac:dyDescent="0.2">
      <c r="A61" s="105">
        <f t="shared" si="3"/>
        <v>45</v>
      </c>
      <c r="B61" s="106">
        <f t="shared" si="14"/>
        <v>10204.081632653113</v>
      </c>
      <c r="C61" s="128">
        <v>0</v>
      </c>
      <c r="D61" s="108">
        <f t="shared" si="15"/>
        <v>8061.2244897960027</v>
      </c>
      <c r="E61" s="108">
        <f t="shared" si="16"/>
        <v>0</v>
      </c>
      <c r="F61" s="108">
        <f t="shared" si="17"/>
        <v>-428.57142857142861</v>
      </c>
      <c r="G61" s="108">
        <f t="shared" si="18"/>
        <v>205.56122448979806</v>
      </c>
      <c r="H61" s="108">
        <f t="shared" si="19"/>
        <v>371.62244897959573</v>
      </c>
      <c r="I61" s="108">
        <f t="shared" si="20"/>
        <v>2040.8163265306123</v>
      </c>
      <c r="J61" s="108">
        <f t="shared" si="21"/>
        <v>9.1836734693878022</v>
      </c>
      <c r="K61" s="108">
        <f t="shared" si="22"/>
        <v>656.03221876505188</v>
      </c>
      <c r="L61" s="108">
        <f t="shared" si="23"/>
        <v>2854.6444636630172</v>
      </c>
      <c r="M61" s="109">
        <f>NPV($L$9,L61:L65)</f>
        <v>10572.559853227582</v>
      </c>
      <c r="O61" s="67"/>
      <c r="P61" s="89"/>
    </row>
    <row r="62" spans="1:20" x14ac:dyDescent="0.2">
      <c r="A62" s="105">
        <f t="shared" si="3"/>
        <v>46</v>
      </c>
      <c r="B62" s="106">
        <f t="shared" si="14"/>
        <v>8163.265306122501</v>
      </c>
      <c r="C62" s="128">
        <v>0</v>
      </c>
      <c r="D62" s="108">
        <f t="shared" si="15"/>
        <v>6448.97959183682</v>
      </c>
      <c r="E62" s="108">
        <f t="shared" si="16"/>
        <v>0</v>
      </c>
      <c r="F62" s="108">
        <f t="shared" si="17"/>
        <v>-428.57142857142861</v>
      </c>
      <c r="G62" s="108">
        <f t="shared" si="18"/>
        <v>164.44897959183891</v>
      </c>
      <c r="H62" s="108">
        <f t="shared" si="19"/>
        <v>297.29795918367739</v>
      </c>
      <c r="I62" s="108">
        <f t="shared" si="20"/>
        <v>2040.8163265306123</v>
      </c>
      <c r="J62" s="108">
        <f t="shared" si="21"/>
        <v>7.3469387755102504</v>
      </c>
      <c r="K62" s="108">
        <f t="shared" si="22"/>
        <v>630.96300750337946</v>
      </c>
      <c r="L62" s="108">
        <f t="shared" si="23"/>
        <v>2712.3017830135896</v>
      </c>
      <c r="M62" s="109">
        <f>NPV($L$9,L62:L65)</f>
        <v>8474.9106750556602</v>
      </c>
      <c r="O62" s="67"/>
      <c r="P62" s="89"/>
    </row>
    <row r="63" spans="1:20" x14ac:dyDescent="0.2">
      <c r="A63" s="105">
        <f t="shared" si="3"/>
        <v>47</v>
      </c>
      <c r="B63" s="106">
        <f t="shared" si="14"/>
        <v>6122.4489795918889</v>
      </c>
      <c r="C63" s="128">
        <v>0</v>
      </c>
      <c r="D63" s="108">
        <f t="shared" si="15"/>
        <v>4836.7346938776363</v>
      </c>
      <c r="E63" s="108">
        <f t="shared" si="16"/>
        <v>0</v>
      </c>
      <c r="F63" s="108">
        <f t="shared" si="17"/>
        <v>-428.57142857142861</v>
      </c>
      <c r="G63" s="108">
        <f t="shared" si="18"/>
        <v>123.33673469387972</v>
      </c>
      <c r="H63" s="108">
        <f t="shared" si="19"/>
        <v>222.97346938775905</v>
      </c>
      <c r="I63" s="108">
        <f t="shared" si="20"/>
        <v>2040.8163265306123</v>
      </c>
      <c r="J63" s="108">
        <f t="shared" si="21"/>
        <v>5.5102040816326996</v>
      </c>
      <c r="K63" s="108">
        <f t="shared" si="22"/>
        <v>605.89379624170726</v>
      </c>
      <c r="L63" s="108">
        <f t="shared" si="23"/>
        <v>2569.9591023641624</v>
      </c>
      <c r="M63" s="109">
        <f>NPV($L$9,L63:L65)</f>
        <v>6369.4124963760578</v>
      </c>
      <c r="O63" s="67"/>
      <c r="P63" s="89"/>
    </row>
    <row r="64" spans="1:20" x14ac:dyDescent="0.2">
      <c r="A64" s="105">
        <f t="shared" si="3"/>
        <v>48</v>
      </c>
      <c r="B64" s="106">
        <f t="shared" si="14"/>
        <v>4081.6326530612769</v>
      </c>
      <c r="C64" s="128">
        <v>0</v>
      </c>
      <c r="D64" s="108">
        <f t="shared" si="15"/>
        <v>3224.4897959184527</v>
      </c>
      <c r="E64" s="108">
        <f t="shared" si="16"/>
        <v>0</v>
      </c>
      <c r="F64" s="108">
        <f t="shared" si="17"/>
        <v>-428.57142857142861</v>
      </c>
      <c r="G64" s="108">
        <f t="shared" si="18"/>
        <v>82.224489795920533</v>
      </c>
      <c r="H64" s="108">
        <f t="shared" si="19"/>
        <v>148.64897959184069</v>
      </c>
      <c r="I64" s="108">
        <f t="shared" si="20"/>
        <v>2040.8163265306123</v>
      </c>
      <c r="J64" s="108">
        <f t="shared" si="21"/>
        <v>3.6734693877551492</v>
      </c>
      <c r="K64" s="108">
        <f t="shared" si="22"/>
        <v>580.82458498003484</v>
      </c>
      <c r="L64" s="108">
        <f t="shared" si="23"/>
        <v>2427.6164217147352</v>
      </c>
      <c r="M64" s="109">
        <f>NPV($L$9,L64:L65)</f>
        <v>4255.503328752422</v>
      </c>
      <c r="O64" s="67"/>
      <c r="P64" s="89"/>
    </row>
    <row r="65" spans="1:17" x14ac:dyDescent="0.2">
      <c r="A65" s="105">
        <f t="shared" si="3"/>
        <v>49</v>
      </c>
      <c r="B65" s="106">
        <f t="shared" ref="B65:B66" si="24">B64-I64</f>
        <v>2040.8163265306646</v>
      </c>
      <c r="C65" s="128">
        <v>0</v>
      </c>
      <c r="D65" s="108">
        <f t="shared" ref="D65:D66" si="25">D64-F64-I64</f>
        <v>1612.2448979592689</v>
      </c>
      <c r="E65" s="108">
        <f t="shared" ref="E65:E66" si="26">D$13*C65</f>
        <v>0</v>
      </c>
      <c r="F65" s="108">
        <f t="shared" ref="F65:F66" si="27">H$14*(E65-I65*D$13/D$12)</f>
        <v>-428.57142857142861</v>
      </c>
      <c r="G65" s="108">
        <f t="shared" ref="G65:G66" si="28">L$5*D65</f>
        <v>41.112244897961354</v>
      </c>
      <c r="H65" s="108">
        <f t="shared" ref="H65:H66" si="29">D65*(L$6+L$7)</f>
        <v>74.324489795922304</v>
      </c>
      <c r="I65" s="108">
        <f t="shared" ref="I65:I66" si="30">IF(A65-A$17&gt;H$12,0,IF(A65-A$17=H$12,(12-D$11)/12*$D$12/H$12,D$12/H$12))</f>
        <v>2040.8163265306123</v>
      </c>
      <c r="J65" s="108">
        <f t="shared" ref="J65:J66" si="31">+B65*$H$11</f>
        <v>1.8367346938775981</v>
      </c>
      <c r="K65" s="108">
        <f t="shared" ref="K65:K66" si="32">(H$13/(1-H$13))*(H65+I65-E65+F65+J65)</f>
        <v>555.75537371836242</v>
      </c>
      <c r="L65" s="108">
        <f t="shared" ref="L65:L66" si="33">SUM(F65:K65)</f>
        <v>2285.2737410653076</v>
      </c>
      <c r="M65" s="109">
        <f>NPV($L$9,L65)</f>
        <v>2132.58094537636</v>
      </c>
      <c r="O65" s="67"/>
      <c r="P65" s="89"/>
    </row>
    <row r="66" spans="1:17" x14ac:dyDescent="0.2">
      <c r="A66" s="105">
        <f t="shared" si="3"/>
        <v>50</v>
      </c>
      <c r="B66" s="106">
        <f t="shared" si="24"/>
        <v>5.2295945351943374E-11</v>
      </c>
      <c r="C66" s="128">
        <v>0</v>
      </c>
      <c r="D66" s="108">
        <f t="shared" si="25"/>
        <v>8.5265128291212022E-11</v>
      </c>
      <c r="E66" s="108">
        <f t="shared" si="26"/>
        <v>0</v>
      </c>
      <c r="F66" s="108">
        <f t="shared" si="27"/>
        <v>0</v>
      </c>
      <c r="G66" s="108">
        <f t="shared" si="28"/>
        <v>2.1742607714259066E-12</v>
      </c>
      <c r="H66" s="108">
        <f t="shared" si="29"/>
        <v>3.9307224142248746E-12</v>
      </c>
      <c r="I66" s="108">
        <f t="shared" si="30"/>
        <v>0</v>
      </c>
      <c r="J66" s="108">
        <f t="shared" si="31"/>
        <v>4.7066350816749034E-14</v>
      </c>
      <c r="K66" s="108">
        <f t="shared" si="32"/>
        <v>1.3093280415744337E-12</v>
      </c>
      <c r="L66" s="108">
        <f t="shared" si="33"/>
        <v>7.4613775780419636E-12</v>
      </c>
      <c r="M66" s="109">
        <f>NPV($L$9,L66)</f>
        <v>6.9628383520361726E-12</v>
      </c>
      <c r="O66" s="67"/>
      <c r="P66" s="89"/>
    </row>
    <row r="67" spans="1:17" x14ac:dyDescent="0.2">
      <c r="A67" s="105" t="s">
        <v>13</v>
      </c>
      <c r="B67" s="112"/>
      <c r="C67" s="107" t="s">
        <v>13</v>
      </c>
      <c r="D67" s="106" t="s">
        <v>13</v>
      </c>
      <c r="E67" s="106" t="s">
        <v>13</v>
      </c>
      <c r="F67" s="106" t="s">
        <v>13</v>
      </c>
      <c r="G67" s="106" t="s">
        <v>13</v>
      </c>
      <c r="H67" s="106" t="s">
        <v>13</v>
      </c>
      <c r="I67" s="106" t="s">
        <v>13</v>
      </c>
      <c r="J67" s="106" t="s">
        <v>13</v>
      </c>
      <c r="K67" s="106" t="s">
        <v>13</v>
      </c>
      <c r="L67" s="106" t="s">
        <v>13</v>
      </c>
      <c r="M67" s="109"/>
    </row>
    <row r="68" spans="1:17" s="79" customFormat="1" x14ac:dyDescent="0.2">
      <c r="A68" s="140" t="s">
        <v>12</v>
      </c>
      <c r="B68" s="141"/>
      <c r="C68" s="142">
        <f>SUM(C17:C66)</f>
        <v>1.0000000000000002</v>
      </c>
      <c r="D68" s="143"/>
      <c r="E68" s="143">
        <f t="shared" ref="E68:L68" si="34">SUM(E17:E66)</f>
        <v>100000</v>
      </c>
      <c r="F68" s="143">
        <f t="shared" si="34"/>
        <v>-1.0118128557223827E-11</v>
      </c>
      <c r="G68" s="143">
        <f t="shared" si="34"/>
        <v>55783.902000000118</v>
      </c>
      <c r="H68" s="143">
        <f t="shared" si="34"/>
        <v>100848.54440000022</v>
      </c>
      <c r="I68" s="143">
        <f t="shared" si="34"/>
        <v>99999.999999999942</v>
      </c>
      <c r="J68" s="143">
        <f t="shared" si="34"/>
        <v>2250.0000000000023</v>
      </c>
      <c r="K68" s="143">
        <f t="shared" si="34"/>
        <v>33935.893332187676</v>
      </c>
      <c r="L68" s="143">
        <f t="shared" si="34"/>
        <v>292818.33973218803</v>
      </c>
      <c r="M68" s="144"/>
      <c r="O68" s="141"/>
      <c r="P68" s="141"/>
      <c r="Q68" s="141"/>
    </row>
    <row r="69" spans="1:17" s="79" customFormat="1" x14ac:dyDescent="0.2">
      <c r="B69" s="141"/>
      <c r="C69" s="145"/>
      <c r="D69" s="146"/>
      <c r="E69" s="146"/>
      <c r="F69" s="143"/>
      <c r="G69" s="143"/>
      <c r="H69" s="143"/>
      <c r="I69" s="143"/>
      <c r="J69" s="143"/>
      <c r="K69" s="143"/>
      <c r="L69" s="143"/>
      <c r="M69" s="144"/>
      <c r="O69" s="140"/>
    </row>
    <row r="70" spans="1:17" s="79" customFormat="1" x14ac:dyDescent="0.2">
      <c r="B70" s="141"/>
      <c r="C70" s="266" t="s">
        <v>10</v>
      </c>
      <c r="D70" s="266"/>
      <c r="E70" s="143">
        <f>NPV($L9,E17:E66)</f>
        <v>53882.889170710005</v>
      </c>
      <c r="F70" s="143">
        <f t="shared" ref="F70:L70" si="35">NPV($L9,F17:F66)</f>
        <v>5531.8449514721315</v>
      </c>
      <c r="G70" s="143">
        <f t="shared" si="35"/>
        <v>23835.870247290099</v>
      </c>
      <c r="H70" s="143">
        <f t="shared" si="35"/>
        <v>43091.514447061687</v>
      </c>
      <c r="I70" s="143">
        <f t="shared" si="35"/>
        <v>27540.770354176031</v>
      </c>
      <c r="J70" s="143">
        <f t="shared" si="35"/>
        <v>910.80037264303735</v>
      </c>
      <c r="K70" s="143">
        <f t="shared" si="35"/>
        <v>7633.8869047358548</v>
      </c>
      <c r="L70" s="143">
        <f t="shared" si="35"/>
        <v>108544.68727737888</v>
      </c>
      <c r="M70" s="144"/>
      <c r="O70" s="147"/>
    </row>
    <row r="71" spans="1:17" x14ac:dyDescent="0.2">
      <c r="B71" s="105"/>
      <c r="C71" s="117"/>
      <c r="D71" s="105"/>
      <c r="E71" s="105"/>
      <c r="F71" s="105"/>
      <c r="G71" s="105"/>
      <c r="H71" s="105"/>
      <c r="I71" s="105"/>
      <c r="J71" s="105"/>
      <c r="K71" s="105"/>
      <c r="L71" s="105"/>
      <c r="M71" s="105"/>
      <c r="O71" s="116"/>
    </row>
    <row r="72" spans="1:17" x14ac:dyDescent="0.2">
      <c r="B72" s="116"/>
      <c r="C72" s="114"/>
      <c r="D72" s="116"/>
      <c r="E72" s="116"/>
      <c r="F72" s="116"/>
      <c r="G72" s="116"/>
      <c r="H72" s="116"/>
      <c r="I72" s="116"/>
      <c r="J72" s="116"/>
      <c r="K72" s="116"/>
      <c r="L72" s="116"/>
      <c r="M72" s="116"/>
      <c r="O72" s="116"/>
    </row>
    <row r="73" spans="1:17" x14ac:dyDescent="0.2">
      <c r="B73" s="116"/>
      <c r="C73" s="118"/>
      <c r="D73" s="116"/>
      <c r="E73" s="116"/>
      <c r="F73" s="116"/>
      <c r="G73" s="116"/>
      <c r="H73" s="116"/>
      <c r="I73" s="116"/>
      <c r="J73" s="116"/>
      <c r="K73" s="116"/>
      <c r="L73" s="116"/>
      <c r="M73" s="116"/>
      <c r="O73" s="116"/>
    </row>
    <row r="74" spans="1:17" x14ac:dyDescent="0.2">
      <c r="B74" s="116"/>
      <c r="C74" s="118"/>
      <c r="D74" s="116"/>
      <c r="E74" s="116"/>
      <c r="F74" s="116"/>
      <c r="G74" s="116"/>
      <c r="H74" s="116"/>
      <c r="I74" s="116"/>
      <c r="J74" s="116"/>
      <c r="K74" s="116"/>
      <c r="L74" s="116"/>
      <c r="M74" s="116"/>
      <c r="O74" s="116"/>
    </row>
    <row r="75" spans="1:17" x14ac:dyDescent="0.2">
      <c r="B75" s="105"/>
      <c r="C75" s="118"/>
      <c r="D75" s="116"/>
      <c r="E75" s="116"/>
      <c r="F75" s="116"/>
      <c r="G75" s="116"/>
      <c r="H75" s="116"/>
      <c r="I75" s="116"/>
      <c r="J75" s="116"/>
      <c r="K75" s="116"/>
      <c r="L75" s="116"/>
      <c r="M75" s="116"/>
      <c r="O75" s="116"/>
    </row>
    <row r="76" spans="1:17" x14ac:dyDescent="0.2">
      <c r="B76" s="116"/>
      <c r="C76" s="118"/>
      <c r="D76" s="116"/>
      <c r="E76" s="116"/>
      <c r="F76" s="116"/>
      <c r="G76" s="116"/>
      <c r="H76" s="116"/>
      <c r="I76" s="116"/>
      <c r="J76" s="116"/>
      <c r="K76" s="116"/>
      <c r="L76" s="116"/>
      <c r="M76" s="116"/>
      <c r="O76" s="116"/>
    </row>
    <row r="77" spans="1:17" x14ac:dyDescent="0.2">
      <c r="B77" s="116"/>
      <c r="C77" s="118"/>
      <c r="D77" s="116"/>
      <c r="E77" s="116"/>
      <c r="F77" s="116"/>
      <c r="G77" s="116"/>
      <c r="H77" s="116"/>
      <c r="I77" s="116"/>
      <c r="J77" s="116"/>
      <c r="K77" s="116"/>
      <c r="L77" s="116"/>
      <c r="M77" s="116"/>
      <c r="O77" s="116"/>
    </row>
    <row r="78" spans="1:17" x14ac:dyDescent="0.2">
      <c r="B78" s="116"/>
      <c r="C78" s="118"/>
      <c r="D78" s="116"/>
      <c r="E78" s="116"/>
      <c r="F78" s="116"/>
      <c r="G78" s="116"/>
      <c r="H78" s="116"/>
      <c r="I78" s="116"/>
      <c r="J78" s="116"/>
      <c r="K78" s="116"/>
      <c r="L78" s="116"/>
      <c r="M78" s="116"/>
      <c r="O78" s="116"/>
    </row>
    <row r="79" spans="1:17" x14ac:dyDescent="0.2">
      <c r="B79" s="116"/>
      <c r="C79" s="118"/>
      <c r="D79" s="116"/>
      <c r="E79" s="116"/>
      <c r="F79" s="116"/>
      <c r="G79" s="116"/>
      <c r="H79" s="116"/>
      <c r="I79" s="116"/>
      <c r="J79" s="116"/>
      <c r="K79" s="116"/>
      <c r="L79" s="116"/>
      <c r="M79" s="116"/>
      <c r="O79" s="116"/>
    </row>
    <row r="80" spans="1:17" x14ac:dyDescent="0.2">
      <c r="B80" s="116"/>
      <c r="C80" s="118"/>
      <c r="D80" s="116"/>
      <c r="E80" s="116"/>
      <c r="F80" s="116"/>
      <c r="G80" s="116"/>
      <c r="H80" s="116"/>
      <c r="I80" s="116"/>
      <c r="J80" s="116"/>
      <c r="K80" s="116"/>
      <c r="L80" s="116"/>
      <c r="M80" s="116"/>
      <c r="O80" s="116"/>
    </row>
    <row r="81" spans="2:15" x14ac:dyDescent="0.2">
      <c r="B81" s="116"/>
      <c r="C81" s="118"/>
      <c r="D81" s="116"/>
      <c r="E81" s="116"/>
      <c r="F81" s="116"/>
      <c r="G81" s="116"/>
      <c r="H81" s="116"/>
      <c r="I81" s="116"/>
      <c r="J81" s="116"/>
      <c r="K81" s="116"/>
      <c r="L81" s="116"/>
      <c r="M81" s="116"/>
      <c r="O81" s="116"/>
    </row>
    <row r="82" spans="2:15" x14ac:dyDescent="0.2">
      <c r="B82" s="116"/>
      <c r="C82" s="118"/>
      <c r="D82" s="116"/>
      <c r="E82" s="116"/>
      <c r="F82" s="116"/>
      <c r="G82" s="116"/>
      <c r="H82" s="116"/>
      <c r="I82" s="116"/>
      <c r="J82" s="116"/>
      <c r="K82" s="116"/>
      <c r="L82" s="116"/>
      <c r="M82" s="116"/>
      <c r="O82" s="116"/>
    </row>
    <row r="83" spans="2:15" x14ac:dyDescent="0.2">
      <c r="B83" s="116"/>
      <c r="C83" s="118"/>
      <c r="D83" s="116"/>
      <c r="E83" s="116"/>
      <c r="F83" s="116"/>
      <c r="G83" s="116"/>
      <c r="H83" s="116"/>
      <c r="I83" s="116"/>
      <c r="J83" s="116"/>
      <c r="K83" s="116"/>
      <c r="L83" s="116"/>
      <c r="M83" s="116"/>
      <c r="O83" s="116"/>
    </row>
    <row r="84" spans="2:15" x14ac:dyDescent="0.2">
      <c r="B84" s="116"/>
      <c r="C84" s="118"/>
      <c r="D84" s="116"/>
      <c r="E84" s="116"/>
      <c r="F84" s="116"/>
      <c r="G84" s="116"/>
      <c r="H84" s="116"/>
      <c r="I84" s="116"/>
      <c r="J84" s="116"/>
      <c r="K84" s="116"/>
      <c r="L84" s="116"/>
      <c r="M84" s="116"/>
      <c r="O84" s="116"/>
    </row>
    <row r="85" spans="2:15" x14ac:dyDescent="0.2">
      <c r="B85" s="116"/>
      <c r="C85" s="118"/>
      <c r="D85" s="116"/>
      <c r="E85" s="116"/>
      <c r="F85" s="116"/>
      <c r="G85" s="116"/>
      <c r="H85" s="116"/>
      <c r="I85" s="116"/>
      <c r="J85" s="116"/>
      <c r="K85" s="116"/>
      <c r="L85" s="116"/>
      <c r="M85" s="116"/>
      <c r="O85" s="116"/>
    </row>
    <row r="86" spans="2:15" x14ac:dyDescent="0.2">
      <c r="B86" s="116"/>
      <c r="C86" s="118"/>
      <c r="D86" s="116"/>
      <c r="E86" s="116"/>
      <c r="F86" s="116"/>
      <c r="G86" s="116"/>
      <c r="H86" s="116"/>
      <c r="I86" s="116"/>
      <c r="J86" s="116"/>
      <c r="K86" s="116"/>
      <c r="L86" s="116"/>
      <c r="M86" s="116"/>
      <c r="O86" s="116"/>
    </row>
    <row r="87" spans="2:15" x14ac:dyDescent="0.2">
      <c r="B87" s="116"/>
      <c r="C87" s="118"/>
      <c r="D87" s="116"/>
      <c r="E87" s="116"/>
      <c r="F87" s="116"/>
      <c r="G87" s="116"/>
      <c r="H87" s="116"/>
      <c r="I87" s="116"/>
      <c r="J87" s="116"/>
      <c r="K87" s="116"/>
      <c r="L87" s="116"/>
      <c r="M87" s="116"/>
      <c r="O87" s="116"/>
    </row>
    <row r="88" spans="2:15" x14ac:dyDescent="0.2">
      <c r="B88" s="116"/>
      <c r="C88" s="118"/>
      <c r="D88" s="116"/>
      <c r="E88" s="116"/>
      <c r="F88" s="116"/>
      <c r="G88" s="116"/>
      <c r="H88" s="116"/>
      <c r="I88" s="116"/>
      <c r="J88" s="116"/>
      <c r="K88" s="116"/>
      <c r="L88" s="116"/>
      <c r="M88" s="116"/>
      <c r="O88" s="116"/>
    </row>
    <row r="89" spans="2:15" x14ac:dyDescent="0.2">
      <c r="B89" s="116"/>
      <c r="C89" s="118"/>
      <c r="D89" s="116"/>
      <c r="E89" s="116"/>
      <c r="F89" s="116"/>
      <c r="G89" s="116"/>
      <c r="H89" s="116"/>
      <c r="I89" s="116"/>
      <c r="J89" s="116"/>
      <c r="K89" s="116"/>
      <c r="L89" s="116"/>
      <c r="M89" s="116"/>
      <c r="O89" s="116"/>
    </row>
    <row r="90" spans="2:15" x14ac:dyDescent="0.2">
      <c r="B90" s="116"/>
      <c r="C90" s="118"/>
      <c r="D90" s="116"/>
      <c r="E90" s="116"/>
      <c r="F90" s="116"/>
      <c r="G90" s="116"/>
      <c r="H90" s="116"/>
      <c r="I90" s="116"/>
      <c r="J90" s="116"/>
      <c r="K90" s="116"/>
      <c r="L90" s="116"/>
      <c r="M90" s="116"/>
      <c r="N90" s="116"/>
      <c r="O90" s="116"/>
    </row>
    <row r="91" spans="2:15" x14ac:dyDescent="0.2">
      <c r="B91" s="116"/>
      <c r="C91" s="118"/>
      <c r="D91" s="116"/>
      <c r="E91" s="116"/>
      <c r="F91" s="116"/>
      <c r="G91" s="116"/>
      <c r="H91" s="116"/>
      <c r="I91" s="116"/>
      <c r="J91" s="116"/>
      <c r="K91" s="116"/>
      <c r="L91" s="116"/>
      <c r="M91" s="116"/>
      <c r="N91" s="116"/>
      <c r="O91" s="116"/>
    </row>
    <row r="92" spans="2:15" x14ac:dyDescent="0.2">
      <c r="B92" s="116"/>
      <c r="C92" s="118"/>
      <c r="D92" s="116"/>
      <c r="E92" s="116"/>
      <c r="F92" s="116"/>
      <c r="G92" s="116"/>
      <c r="H92" s="116"/>
      <c r="I92" s="116"/>
      <c r="J92" s="116"/>
      <c r="K92" s="116"/>
      <c r="L92" s="116"/>
      <c r="M92" s="116"/>
      <c r="N92" s="116"/>
      <c r="O92" s="116"/>
    </row>
    <row r="93" spans="2:15" x14ac:dyDescent="0.2">
      <c r="B93" s="116"/>
      <c r="C93" s="118"/>
      <c r="D93" s="116"/>
      <c r="E93" s="116"/>
      <c r="F93" s="116"/>
      <c r="G93" s="116"/>
      <c r="H93" s="116"/>
      <c r="I93" s="116"/>
      <c r="J93" s="116"/>
      <c r="K93" s="116"/>
      <c r="L93" s="116"/>
      <c r="M93" s="116"/>
      <c r="N93" s="116"/>
      <c r="O93" s="116"/>
    </row>
    <row r="94" spans="2:15" x14ac:dyDescent="0.2">
      <c r="B94" s="116"/>
      <c r="C94" s="118"/>
      <c r="D94" s="116"/>
      <c r="E94" s="116"/>
      <c r="F94" s="116"/>
      <c r="G94" s="116"/>
      <c r="H94" s="116"/>
      <c r="I94" s="116"/>
      <c r="J94" s="116"/>
      <c r="K94" s="116"/>
      <c r="L94" s="116"/>
      <c r="M94" s="116"/>
      <c r="N94" s="116"/>
      <c r="O94" s="116"/>
    </row>
    <row r="95" spans="2:15" x14ac:dyDescent="0.2">
      <c r="B95" s="116"/>
      <c r="C95" s="118"/>
      <c r="D95" s="116"/>
      <c r="E95" s="116"/>
      <c r="F95" s="116"/>
      <c r="G95" s="116"/>
      <c r="H95" s="116"/>
      <c r="I95" s="116"/>
      <c r="J95" s="116"/>
      <c r="K95" s="116"/>
      <c r="L95" s="116"/>
      <c r="M95" s="116"/>
      <c r="N95" s="116"/>
      <c r="O95" s="116"/>
    </row>
    <row r="96" spans="2:15" x14ac:dyDescent="0.2">
      <c r="B96" s="116"/>
      <c r="C96" s="118"/>
      <c r="D96" s="116"/>
      <c r="E96" s="116"/>
      <c r="F96" s="116"/>
      <c r="G96" s="116"/>
      <c r="H96" s="116"/>
      <c r="I96" s="116"/>
      <c r="J96" s="116"/>
      <c r="K96" s="116"/>
      <c r="L96" s="116"/>
      <c r="M96" s="116"/>
      <c r="N96" s="116"/>
      <c r="O96" s="116"/>
    </row>
    <row r="97" spans="2:15" x14ac:dyDescent="0.2">
      <c r="B97" s="116"/>
      <c r="C97" s="118"/>
      <c r="D97" s="116"/>
      <c r="E97" s="116"/>
      <c r="F97" s="116"/>
      <c r="G97" s="116"/>
      <c r="H97" s="116"/>
      <c r="I97" s="116"/>
      <c r="J97" s="116"/>
      <c r="K97" s="116"/>
      <c r="L97" s="116"/>
      <c r="M97" s="116"/>
      <c r="N97" s="116"/>
      <c r="O97" s="116"/>
    </row>
    <row r="98" spans="2:15" x14ac:dyDescent="0.2">
      <c r="B98" s="116"/>
      <c r="C98" s="118"/>
      <c r="D98" s="116"/>
      <c r="E98" s="116"/>
      <c r="F98" s="116"/>
      <c r="G98" s="116"/>
      <c r="H98" s="116"/>
      <c r="I98" s="116"/>
      <c r="J98" s="116"/>
      <c r="K98" s="116"/>
      <c r="L98" s="116"/>
      <c r="M98" s="116"/>
      <c r="N98" s="116"/>
      <c r="O98" s="116"/>
    </row>
    <row r="99" spans="2:15" x14ac:dyDescent="0.2">
      <c r="B99" s="116"/>
      <c r="C99" s="118"/>
      <c r="D99" s="116"/>
      <c r="E99" s="116"/>
      <c r="F99" s="116"/>
      <c r="G99" s="116"/>
      <c r="H99" s="116"/>
      <c r="I99" s="116"/>
      <c r="J99" s="116"/>
      <c r="K99" s="116"/>
      <c r="L99" s="116"/>
      <c r="M99" s="116"/>
      <c r="N99" s="116"/>
      <c r="O99" s="116"/>
    </row>
    <row r="100" spans="2:15" x14ac:dyDescent="0.2">
      <c r="B100" s="116"/>
      <c r="C100" s="118"/>
      <c r="D100" s="116"/>
      <c r="E100" s="116"/>
      <c r="F100" s="116"/>
      <c r="G100" s="116"/>
      <c r="H100" s="116"/>
      <c r="I100" s="116"/>
      <c r="J100" s="116"/>
      <c r="K100" s="116"/>
      <c r="L100" s="116"/>
      <c r="M100" s="116"/>
      <c r="N100" s="116"/>
      <c r="O100" s="116"/>
    </row>
    <row r="101" spans="2:15" x14ac:dyDescent="0.2">
      <c r="B101" s="116"/>
      <c r="C101" s="118"/>
      <c r="D101" s="116"/>
      <c r="E101" s="116"/>
      <c r="F101" s="116"/>
      <c r="G101" s="116"/>
      <c r="H101" s="116"/>
      <c r="I101" s="116"/>
      <c r="J101" s="116"/>
      <c r="K101" s="116"/>
      <c r="L101" s="116"/>
      <c r="M101" s="116"/>
      <c r="N101" s="116"/>
      <c r="O101" s="116"/>
    </row>
    <row r="102" spans="2:15" x14ac:dyDescent="0.2">
      <c r="B102" s="116"/>
      <c r="C102" s="118"/>
      <c r="D102" s="116"/>
      <c r="E102" s="116"/>
      <c r="F102" s="116"/>
      <c r="G102" s="116"/>
      <c r="H102" s="116"/>
      <c r="I102" s="116"/>
      <c r="J102" s="116"/>
      <c r="K102" s="116"/>
      <c r="L102" s="116"/>
      <c r="M102" s="116"/>
      <c r="N102" s="116"/>
      <c r="O102" s="116"/>
    </row>
    <row r="103" spans="2:15" x14ac:dyDescent="0.2">
      <c r="B103" s="116"/>
      <c r="C103" s="118"/>
      <c r="D103" s="116"/>
      <c r="E103" s="116"/>
      <c r="F103" s="116"/>
      <c r="G103" s="116"/>
      <c r="H103" s="116"/>
      <c r="I103" s="116"/>
      <c r="J103" s="116"/>
      <c r="K103" s="116"/>
      <c r="L103" s="116"/>
      <c r="M103" s="116"/>
      <c r="N103" s="116"/>
      <c r="O103" s="116"/>
    </row>
    <row r="104" spans="2:15" x14ac:dyDescent="0.2">
      <c r="B104" s="116"/>
      <c r="C104" s="118"/>
      <c r="D104" s="116"/>
      <c r="E104" s="116"/>
      <c r="F104" s="116"/>
      <c r="G104" s="116"/>
      <c r="H104" s="116"/>
      <c r="I104" s="116"/>
      <c r="J104" s="116"/>
      <c r="K104" s="116"/>
      <c r="L104" s="116"/>
      <c r="M104" s="116"/>
      <c r="N104" s="116"/>
      <c r="O104" s="116"/>
    </row>
    <row r="105" spans="2:15" x14ac:dyDescent="0.2">
      <c r="B105" s="116"/>
      <c r="C105" s="118"/>
      <c r="D105" s="116"/>
      <c r="E105" s="116"/>
      <c r="F105" s="116"/>
      <c r="G105" s="116"/>
      <c r="H105" s="116"/>
      <c r="I105" s="116"/>
      <c r="J105" s="116"/>
      <c r="K105" s="116"/>
      <c r="L105" s="116"/>
      <c r="M105" s="116"/>
      <c r="N105" s="116"/>
      <c r="O105" s="116"/>
    </row>
    <row r="106" spans="2:15" x14ac:dyDescent="0.2">
      <c r="B106" s="116"/>
      <c r="C106" s="118"/>
      <c r="D106" s="116"/>
      <c r="E106" s="116"/>
      <c r="F106" s="116"/>
      <c r="G106" s="116"/>
      <c r="H106" s="116"/>
      <c r="I106" s="116"/>
      <c r="J106" s="116"/>
      <c r="K106" s="116"/>
      <c r="L106" s="116"/>
      <c r="M106" s="116"/>
      <c r="N106" s="116"/>
      <c r="O106" s="116"/>
    </row>
    <row r="107" spans="2:15" x14ac:dyDescent="0.2">
      <c r="B107" s="116"/>
      <c r="C107" s="118"/>
      <c r="D107" s="116"/>
      <c r="E107" s="116"/>
      <c r="F107" s="116"/>
      <c r="G107" s="116"/>
      <c r="H107" s="116"/>
      <c r="I107" s="116"/>
      <c r="J107" s="116"/>
      <c r="K107" s="116"/>
      <c r="L107" s="116"/>
      <c r="M107" s="116"/>
      <c r="N107" s="116"/>
      <c r="O107" s="116"/>
    </row>
    <row r="108" spans="2:15" x14ac:dyDescent="0.2">
      <c r="B108" s="116"/>
      <c r="C108" s="118"/>
      <c r="D108" s="116"/>
      <c r="E108" s="116"/>
      <c r="F108" s="116"/>
      <c r="G108" s="116"/>
      <c r="H108" s="116"/>
      <c r="I108" s="116"/>
      <c r="J108" s="116"/>
      <c r="K108" s="116"/>
      <c r="L108" s="116"/>
      <c r="M108" s="116"/>
      <c r="N108" s="116"/>
      <c r="O108" s="116"/>
    </row>
    <row r="109" spans="2:15" x14ac:dyDescent="0.2">
      <c r="B109" s="116"/>
      <c r="C109" s="118"/>
      <c r="D109" s="116"/>
      <c r="E109" s="116"/>
      <c r="F109" s="116"/>
      <c r="G109" s="116"/>
      <c r="H109" s="116"/>
      <c r="I109" s="116"/>
      <c r="J109" s="116"/>
      <c r="K109" s="116"/>
      <c r="L109" s="116"/>
      <c r="M109" s="116"/>
      <c r="N109" s="116"/>
      <c r="O109" s="116"/>
    </row>
    <row r="110" spans="2:15" x14ac:dyDescent="0.2">
      <c r="B110" s="116"/>
      <c r="C110" s="118"/>
      <c r="D110" s="116"/>
      <c r="E110" s="116"/>
      <c r="F110" s="116"/>
      <c r="G110" s="116"/>
      <c r="H110" s="116"/>
      <c r="I110" s="116"/>
      <c r="J110" s="116"/>
      <c r="K110" s="116"/>
      <c r="L110" s="116"/>
      <c r="M110" s="116"/>
      <c r="N110" s="116"/>
      <c r="O110" s="116"/>
    </row>
    <row r="111" spans="2:15" x14ac:dyDescent="0.2">
      <c r="B111" s="116"/>
      <c r="C111" s="118"/>
      <c r="D111" s="116"/>
      <c r="E111" s="116"/>
      <c r="F111" s="116"/>
      <c r="G111" s="116"/>
      <c r="H111" s="116"/>
      <c r="I111" s="116"/>
      <c r="J111" s="116"/>
      <c r="K111" s="116"/>
      <c r="L111" s="116"/>
      <c r="M111" s="116"/>
      <c r="N111" s="116"/>
      <c r="O111" s="116"/>
    </row>
    <row r="112" spans="2:15" x14ac:dyDescent="0.2">
      <c r="B112" s="116"/>
      <c r="C112" s="118"/>
      <c r="D112" s="116"/>
      <c r="E112" s="116"/>
      <c r="F112" s="116"/>
      <c r="G112" s="116"/>
      <c r="H112" s="116"/>
      <c r="I112" s="116"/>
      <c r="J112" s="116"/>
      <c r="K112" s="116"/>
      <c r="L112" s="116"/>
      <c r="M112" s="116"/>
      <c r="N112" s="116"/>
      <c r="O112" s="116"/>
    </row>
    <row r="113" spans="2:15" x14ac:dyDescent="0.2">
      <c r="B113" s="116"/>
      <c r="C113" s="118"/>
      <c r="D113" s="116"/>
      <c r="E113" s="116"/>
      <c r="F113" s="116"/>
      <c r="G113" s="116"/>
      <c r="H113" s="116"/>
      <c r="I113" s="116"/>
      <c r="J113" s="116"/>
      <c r="K113" s="116"/>
      <c r="L113" s="116"/>
      <c r="M113" s="116"/>
      <c r="N113" s="116"/>
      <c r="O113" s="116"/>
    </row>
    <row r="114" spans="2:15" x14ac:dyDescent="0.2">
      <c r="B114" s="116"/>
      <c r="C114" s="118"/>
      <c r="D114" s="116"/>
      <c r="E114" s="116"/>
      <c r="F114" s="116"/>
      <c r="G114" s="116"/>
      <c r="H114" s="116"/>
      <c r="I114" s="116"/>
      <c r="J114" s="116"/>
      <c r="K114" s="116"/>
      <c r="L114" s="116"/>
      <c r="M114" s="116"/>
      <c r="N114" s="116"/>
      <c r="O114" s="116"/>
    </row>
    <row r="115" spans="2:15" x14ac:dyDescent="0.2">
      <c r="B115" s="116"/>
      <c r="C115" s="118"/>
      <c r="D115" s="116"/>
      <c r="E115" s="116"/>
      <c r="F115" s="116"/>
      <c r="G115" s="116"/>
      <c r="H115" s="116"/>
      <c r="I115" s="116"/>
      <c r="J115" s="116"/>
      <c r="K115" s="116"/>
      <c r="L115" s="116"/>
      <c r="M115" s="116"/>
      <c r="N115" s="116"/>
      <c r="O115" s="116"/>
    </row>
    <row r="116" spans="2:15" x14ac:dyDescent="0.2">
      <c r="B116" s="116"/>
      <c r="C116" s="118"/>
      <c r="D116" s="116"/>
      <c r="E116" s="116"/>
      <c r="F116" s="116"/>
      <c r="G116" s="116"/>
      <c r="H116" s="116"/>
      <c r="I116" s="116"/>
      <c r="J116" s="116"/>
      <c r="K116" s="116"/>
      <c r="L116" s="116"/>
      <c r="M116" s="116"/>
      <c r="N116" s="116"/>
      <c r="O116" s="116"/>
    </row>
    <row r="117" spans="2:15" x14ac:dyDescent="0.2">
      <c r="B117" s="116"/>
      <c r="C117" s="118"/>
      <c r="D117" s="116"/>
      <c r="E117" s="116"/>
      <c r="F117" s="116"/>
      <c r="G117" s="116"/>
      <c r="H117" s="116"/>
      <c r="I117" s="116"/>
      <c r="J117" s="116"/>
      <c r="K117" s="116"/>
      <c r="L117" s="116"/>
      <c r="M117" s="116"/>
      <c r="N117" s="116"/>
      <c r="O117" s="116"/>
    </row>
    <row r="118" spans="2:15" x14ac:dyDescent="0.2">
      <c r="B118" s="116"/>
      <c r="C118" s="118"/>
      <c r="D118" s="116"/>
      <c r="E118" s="116"/>
      <c r="F118" s="116"/>
      <c r="G118" s="116"/>
      <c r="H118" s="116"/>
      <c r="I118" s="116"/>
      <c r="J118" s="116"/>
      <c r="K118" s="116"/>
      <c r="L118" s="116"/>
      <c r="M118" s="116"/>
      <c r="N118" s="116"/>
      <c r="O118" s="116"/>
    </row>
    <row r="119" spans="2:15" x14ac:dyDescent="0.2">
      <c r="B119" s="116"/>
      <c r="C119" s="118"/>
      <c r="D119" s="116"/>
      <c r="E119" s="116"/>
      <c r="F119" s="116"/>
      <c r="G119" s="116"/>
      <c r="H119" s="116"/>
      <c r="I119" s="116"/>
      <c r="J119" s="116"/>
      <c r="K119" s="116"/>
      <c r="L119" s="116"/>
      <c r="M119" s="116"/>
      <c r="N119" s="116"/>
      <c r="O119" s="116"/>
    </row>
    <row r="120" spans="2:15" x14ac:dyDescent="0.2">
      <c r="B120" s="116"/>
      <c r="C120" s="118"/>
      <c r="D120" s="116"/>
      <c r="E120" s="116"/>
      <c r="F120" s="116"/>
      <c r="G120" s="116"/>
      <c r="H120" s="116"/>
      <c r="I120" s="116"/>
      <c r="J120" s="116"/>
      <c r="K120" s="116"/>
      <c r="L120" s="116"/>
      <c r="M120" s="116"/>
      <c r="N120" s="116"/>
      <c r="O120" s="116"/>
    </row>
    <row r="121" spans="2:15" x14ac:dyDescent="0.2">
      <c r="B121" s="116"/>
      <c r="C121" s="118"/>
      <c r="D121" s="116"/>
      <c r="E121" s="116"/>
      <c r="F121" s="116"/>
      <c r="G121" s="116"/>
      <c r="H121" s="116"/>
      <c r="I121" s="116"/>
      <c r="J121" s="116"/>
      <c r="K121" s="116"/>
      <c r="L121" s="116"/>
      <c r="M121" s="116"/>
      <c r="N121" s="116"/>
      <c r="O121" s="116"/>
    </row>
    <row r="122" spans="2:15" x14ac:dyDescent="0.2">
      <c r="B122" s="116"/>
      <c r="C122" s="118"/>
      <c r="D122" s="116"/>
      <c r="E122" s="116"/>
      <c r="F122" s="116"/>
      <c r="G122" s="116"/>
      <c r="H122" s="116"/>
      <c r="I122" s="116"/>
      <c r="J122" s="116"/>
      <c r="K122" s="116"/>
      <c r="L122" s="116"/>
      <c r="M122" s="116"/>
      <c r="N122" s="116"/>
      <c r="O122" s="116"/>
    </row>
    <row r="123" spans="2:15" x14ac:dyDescent="0.2">
      <c r="B123" s="116"/>
      <c r="C123" s="118"/>
      <c r="D123" s="116"/>
      <c r="E123" s="116"/>
      <c r="F123" s="116"/>
      <c r="G123" s="116"/>
      <c r="H123" s="116"/>
      <c r="I123" s="116"/>
      <c r="J123" s="116"/>
      <c r="K123" s="116"/>
      <c r="L123" s="116"/>
      <c r="M123" s="116"/>
      <c r="N123" s="116"/>
      <c r="O123" s="116"/>
    </row>
    <row r="124" spans="2:15" x14ac:dyDescent="0.2">
      <c r="B124" s="116"/>
      <c r="C124" s="118"/>
      <c r="D124" s="116"/>
      <c r="E124" s="116"/>
      <c r="F124" s="116"/>
      <c r="G124" s="116"/>
      <c r="H124" s="116"/>
      <c r="I124" s="116"/>
      <c r="J124" s="116"/>
      <c r="K124" s="116"/>
      <c r="L124" s="116"/>
      <c r="M124" s="116"/>
      <c r="N124" s="116"/>
      <c r="O124" s="116"/>
    </row>
    <row r="125" spans="2:15" x14ac:dyDescent="0.2">
      <c r="B125" s="116"/>
      <c r="C125" s="118"/>
      <c r="D125" s="116"/>
      <c r="E125" s="116"/>
      <c r="F125" s="116"/>
      <c r="G125" s="116"/>
      <c r="H125" s="116"/>
      <c r="I125" s="116"/>
      <c r="J125" s="116"/>
      <c r="K125" s="116"/>
      <c r="L125" s="116"/>
      <c r="M125" s="116"/>
      <c r="N125" s="116"/>
      <c r="O125" s="116"/>
    </row>
    <row r="126" spans="2:15" x14ac:dyDescent="0.2">
      <c r="B126" s="116"/>
      <c r="C126" s="118"/>
      <c r="D126" s="116"/>
      <c r="E126" s="116"/>
      <c r="F126" s="116"/>
      <c r="G126" s="116"/>
      <c r="H126" s="116"/>
      <c r="I126" s="116"/>
      <c r="J126" s="116"/>
      <c r="K126" s="116"/>
      <c r="L126" s="116"/>
      <c r="M126" s="116"/>
      <c r="N126" s="116"/>
      <c r="O126" s="116"/>
    </row>
    <row r="127" spans="2:15" x14ac:dyDescent="0.2">
      <c r="B127" s="116"/>
      <c r="C127" s="118"/>
      <c r="D127" s="116"/>
      <c r="E127" s="116"/>
      <c r="F127" s="116"/>
      <c r="G127" s="116"/>
      <c r="H127" s="116"/>
      <c r="I127" s="116"/>
      <c r="J127" s="116"/>
      <c r="K127" s="116"/>
      <c r="L127" s="116"/>
      <c r="M127" s="116"/>
      <c r="N127" s="116"/>
      <c r="O127" s="116"/>
    </row>
    <row r="128" spans="2:15" x14ac:dyDescent="0.2">
      <c r="B128" s="116"/>
      <c r="C128" s="118"/>
      <c r="D128" s="116"/>
      <c r="E128" s="116"/>
      <c r="F128" s="116"/>
      <c r="G128" s="116"/>
      <c r="H128" s="116"/>
      <c r="I128" s="116"/>
      <c r="J128" s="116"/>
      <c r="K128" s="116"/>
      <c r="L128" s="116"/>
      <c r="M128" s="116"/>
      <c r="N128" s="116"/>
      <c r="O128" s="116"/>
    </row>
    <row r="129" spans="2:15" x14ac:dyDescent="0.2">
      <c r="B129" s="116"/>
      <c r="C129" s="118"/>
      <c r="D129" s="116"/>
      <c r="E129" s="116"/>
      <c r="F129" s="116"/>
      <c r="G129" s="116"/>
      <c r="H129" s="116"/>
      <c r="I129" s="116"/>
      <c r="J129" s="116"/>
      <c r="K129" s="116"/>
      <c r="L129" s="116"/>
      <c r="M129" s="116"/>
      <c r="N129" s="116"/>
      <c r="O129" s="116"/>
    </row>
    <row r="130" spans="2:15" x14ac:dyDescent="0.2">
      <c r="B130" s="116"/>
      <c r="C130" s="118"/>
      <c r="D130" s="116"/>
      <c r="E130" s="116"/>
      <c r="F130" s="116"/>
      <c r="G130" s="116"/>
      <c r="H130" s="116"/>
      <c r="I130" s="116"/>
      <c r="J130" s="116"/>
      <c r="K130" s="116"/>
      <c r="L130" s="116"/>
      <c r="M130" s="116"/>
      <c r="N130" s="116"/>
      <c r="O130" s="116"/>
    </row>
    <row r="131" spans="2:15" x14ac:dyDescent="0.2">
      <c r="B131" s="116"/>
      <c r="C131" s="118"/>
      <c r="D131" s="116"/>
      <c r="E131" s="116"/>
      <c r="F131" s="116"/>
      <c r="G131" s="116"/>
      <c r="H131" s="116"/>
      <c r="I131" s="116"/>
      <c r="J131" s="116"/>
      <c r="K131" s="116"/>
      <c r="L131" s="116"/>
      <c r="M131" s="116"/>
      <c r="N131" s="116"/>
      <c r="O131" s="116"/>
    </row>
    <row r="132" spans="2:15" x14ac:dyDescent="0.2">
      <c r="B132" s="116"/>
      <c r="C132" s="118"/>
      <c r="D132" s="116"/>
      <c r="E132" s="116"/>
      <c r="F132" s="116"/>
      <c r="G132" s="116"/>
      <c r="H132" s="116"/>
      <c r="I132" s="116"/>
      <c r="J132" s="116"/>
      <c r="K132" s="116"/>
      <c r="L132" s="116"/>
      <c r="M132" s="116"/>
      <c r="N132" s="116"/>
      <c r="O132" s="116"/>
    </row>
    <row r="133" spans="2:15" x14ac:dyDescent="0.2">
      <c r="B133" s="116"/>
      <c r="C133" s="118"/>
      <c r="D133" s="116"/>
      <c r="E133" s="116"/>
      <c r="F133" s="116"/>
      <c r="G133" s="116"/>
      <c r="H133" s="116"/>
      <c r="I133" s="116"/>
      <c r="J133" s="116"/>
      <c r="K133" s="116"/>
      <c r="L133" s="116"/>
      <c r="M133" s="116"/>
      <c r="N133" s="116"/>
      <c r="O133" s="116"/>
    </row>
    <row r="134" spans="2:15" x14ac:dyDescent="0.2">
      <c r="B134" s="116"/>
      <c r="C134" s="118"/>
      <c r="D134" s="116"/>
      <c r="E134" s="116"/>
      <c r="F134" s="116"/>
      <c r="G134" s="116"/>
      <c r="H134" s="116"/>
      <c r="I134" s="116"/>
      <c r="J134" s="116"/>
      <c r="K134" s="116"/>
      <c r="L134" s="116"/>
      <c r="M134" s="116"/>
      <c r="N134" s="116"/>
      <c r="O134" s="116"/>
    </row>
    <row r="135" spans="2:15" x14ac:dyDescent="0.2">
      <c r="B135" s="116"/>
      <c r="C135" s="118"/>
      <c r="D135" s="116"/>
      <c r="E135" s="116"/>
      <c r="F135" s="116"/>
      <c r="G135" s="116"/>
      <c r="H135" s="116"/>
      <c r="I135" s="116"/>
      <c r="J135" s="116"/>
      <c r="K135" s="116"/>
      <c r="L135" s="116"/>
      <c r="M135" s="116"/>
      <c r="N135" s="116"/>
      <c r="O135" s="116"/>
    </row>
    <row r="136" spans="2:15" x14ac:dyDescent="0.2">
      <c r="B136" s="116"/>
      <c r="C136" s="118"/>
      <c r="D136" s="116"/>
      <c r="E136" s="116"/>
      <c r="F136" s="116"/>
      <c r="G136" s="116"/>
      <c r="H136" s="116"/>
      <c r="I136" s="116"/>
      <c r="J136" s="116"/>
      <c r="K136" s="116"/>
      <c r="L136" s="116"/>
      <c r="M136" s="116"/>
      <c r="N136" s="116"/>
      <c r="O136" s="116"/>
    </row>
    <row r="137" spans="2:15" x14ac:dyDescent="0.2">
      <c r="B137" s="116"/>
      <c r="C137" s="118"/>
      <c r="D137" s="116"/>
      <c r="E137" s="116"/>
      <c r="F137" s="116"/>
      <c r="G137" s="116"/>
      <c r="H137" s="116"/>
      <c r="I137" s="116"/>
      <c r="J137" s="116"/>
      <c r="K137" s="116"/>
      <c r="L137" s="116"/>
      <c r="M137" s="116"/>
      <c r="N137" s="116"/>
      <c r="O137" s="116"/>
    </row>
    <row r="138" spans="2:15" x14ac:dyDescent="0.2">
      <c r="B138" s="116"/>
      <c r="C138" s="118"/>
      <c r="D138" s="116"/>
      <c r="E138" s="116"/>
      <c r="F138" s="116"/>
      <c r="G138" s="116"/>
      <c r="H138" s="116"/>
      <c r="I138" s="116"/>
      <c r="J138" s="116"/>
      <c r="K138" s="116"/>
      <c r="L138" s="116"/>
      <c r="M138" s="116"/>
      <c r="N138" s="116"/>
      <c r="O138" s="116"/>
    </row>
    <row r="139" spans="2:15" x14ac:dyDescent="0.2">
      <c r="B139" s="116"/>
      <c r="C139" s="118"/>
      <c r="D139" s="116"/>
      <c r="E139" s="116"/>
      <c r="F139" s="116"/>
      <c r="G139" s="116"/>
      <c r="H139" s="116"/>
      <c r="I139" s="116"/>
      <c r="J139" s="116"/>
      <c r="K139" s="116"/>
      <c r="L139" s="116"/>
      <c r="M139" s="116"/>
      <c r="N139" s="116"/>
      <c r="O139" s="116"/>
    </row>
    <row r="140" spans="2:15" x14ac:dyDescent="0.2">
      <c r="B140" s="116"/>
      <c r="C140" s="118"/>
      <c r="D140" s="116"/>
      <c r="E140" s="116"/>
      <c r="F140" s="116"/>
      <c r="G140" s="116"/>
      <c r="H140" s="116"/>
      <c r="I140" s="116"/>
      <c r="J140" s="116"/>
      <c r="K140" s="116"/>
      <c r="L140" s="116"/>
      <c r="M140" s="116"/>
      <c r="N140" s="116"/>
      <c r="O140" s="116"/>
    </row>
    <row r="141" spans="2:15" x14ac:dyDescent="0.2">
      <c r="B141" s="116"/>
      <c r="C141" s="118"/>
      <c r="D141" s="116"/>
      <c r="E141" s="116"/>
      <c r="F141" s="116"/>
      <c r="G141" s="116"/>
      <c r="H141" s="116"/>
      <c r="I141" s="116"/>
      <c r="J141" s="116"/>
      <c r="K141" s="116"/>
      <c r="L141" s="116"/>
      <c r="M141" s="116"/>
      <c r="N141" s="116"/>
      <c r="O141" s="116"/>
    </row>
    <row r="142" spans="2:15" x14ac:dyDescent="0.2">
      <c r="B142" s="116"/>
      <c r="C142" s="118"/>
      <c r="D142" s="116"/>
      <c r="E142" s="116"/>
      <c r="F142" s="116"/>
      <c r="G142" s="116"/>
      <c r="H142" s="116"/>
      <c r="I142" s="116"/>
      <c r="J142" s="116"/>
      <c r="K142" s="116"/>
      <c r="L142" s="116"/>
      <c r="M142" s="116"/>
      <c r="N142" s="116"/>
      <c r="O142" s="116"/>
    </row>
    <row r="143" spans="2:15" x14ac:dyDescent="0.2">
      <c r="B143" s="116"/>
      <c r="C143" s="118"/>
      <c r="D143" s="116"/>
      <c r="E143" s="116"/>
      <c r="F143" s="116"/>
      <c r="G143" s="116"/>
      <c r="H143" s="116"/>
      <c r="I143" s="116"/>
      <c r="J143" s="116"/>
      <c r="K143" s="116"/>
      <c r="L143" s="116"/>
      <c r="M143" s="116"/>
      <c r="N143" s="116"/>
      <c r="O143" s="116"/>
    </row>
    <row r="144" spans="2:15" x14ac:dyDescent="0.2">
      <c r="B144" s="116"/>
      <c r="C144" s="118"/>
      <c r="D144" s="116"/>
      <c r="E144" s="116"/>
      <c r="F144" s="116"/>
      <c r="G144" s="116"/>
      <c r="H144" s="116"/>
      <c r="I144" s="116"/>
      <c r="J144" s="116"/>
      <c r="K144" s="116"/>
      <c r="L144" s="116"/>
      <c r="M144" s="116"/>
      <c r="N144" s="116"/>
      <c r="O144" s="116"/>
    </row>
    <row r="145" spans="2:15" x14ac:dyDescent="0.2">
      <c r="B145" s="116"/>
      <c r="C145" s="118"/>
      <c r="D145" s="116"/>
      <c r="E145" s="116"/>
      <c r="F145" s="116"/>
      <c r="G145" s="116"/>
      <c r="H145" s="116"/>
      <c r="I145" s="116"/>
      <c r="J145" s="116"/>
      <c r="K145" s="116"/>
      <c r="L145" s="116"/>
      <c r="M145" s="116"/>
      <c r="N145" s="116"/>
      <c r="O145" s="116"/>
    </row>
    <row r="146" spans="2:15" x14ac:dyDescent="0.2">
      <c r="B146" s="116"/>
      <c r="C146" s="118"/>
      <c r="D146" s="116"/>
      <c r="E146" s="116"/>
      <c r="F146" s="116"/>
      <c r="G146" s="116"/>
      <c r="H146" s="116"/>
      <c r="I146" s="116"/>
      <c r="J146" s="116"/>
      <c r="K146" s="116"/>
      <c r="L146" s="116"/>
      <c r="M146" s="116"/>
      <c r="N146" s="116"/>
      <c r="O146" s="116"/>
    </row>
    <row r="147" spans="2:15" x14ac:dyDescent="0.2">
      <c r="B147" s="116"/>
      <c r="C147" s="118"/>
      <c r="D147" s="116"/>
      <c r="E147" s="116"/>
      <c r="F147" s="116"/>
      <c r="G147" s="116"/>
      <c r="H147" s="116"/>
      <c r="I147" s="116"/>
      <c r="J147" s="116"/>
      <c r="K147" s="116"/>
      <c r="L147" s="116"/>
      <c r="M147" s="116"/>
      <c r="N147" s="116"/>
      <c r="O147" s="116"/>
    </row>
    <row r="148" spans="2:15" x14ac:dyDescent="0.2">
      <c r="B148" s="116"/>
      <c r="C148" s="118"/>
      <c r="D148" s="116"/>
      <c r="E148" s="116"/>
      <c r="F148" s="116"/>
      <c r="G148" s="116"/>
      <c r="H148" s="116"/>
      <c r="I148" s="116"/>
      <c r="J148" s="116"/>
      <c r="K148" s="116"/>
      <c r="L148" s="116"/>
      <c r="M148" s="116"/>
      <c r="N148" s="116"/>
      <c r="O148" s="116"/>
    </row>
    <row r="149" spans="2:15" x14ac:dyDescent="0.2">
      <c r="B149" s="116"/>
      <c r="C149" s="118"/>
      <c r="D149" s="116"/>
      <c r="E149" s="116"/>
      <c r="F149" s="116"/>
      <c r="G149" s="116"/>
      <c r="H149" s="116"/>
      <c r="I149" s="116"/>
      <c r="J149" s="116"/>
      <c r="K149" s="116"/>
      <c r="L149" s="116"/>
      <c r="M149" s="116"/>
      <c r="N149" s="116"/>
      <c r="O149" s="116"/>
    </row>
    <row r="150" spans="2:15" x14ac:dyDescent="0.2">
      <c r="B150" s="116"/>
      <c r="C150" s="118"/>
      <c r="D150" s="116"/>
      <c r="E150" s="116"/>
      <c r="F150" s="116"/>
      <c r="G150" s="116"/>
      <c r="H150" s="116"/>
      <c r="I150" s="116"/>
      <c r="J150" s="116"/>
      <c r="K150" s="116"/>
      <c r="L150" s="116"/>
      <c r="M150" s="116"/>
      <c r="N150" s="116"/>
      <c r="O150" s="116"/>
    </row>
    <row r="151" spans="2:15" x14ac:dyDescent="0.2">
      <c r="B151" s="116"/>
      <c r="C151" s="118"/>
      <c r="D151" s="116"/>
      <c r="E151" s="116"/>
      <c r="F151" s="116"/>
      <c r="G151" s="116"/>
      <c r="H151" s="116"/>
      <c r="I151" s="116"/>
      <c r="J151" s="116"/>
      <c r="K151" s="116"/>
      <c r="L151" s="116"/>
      <c r="M151" s="116"/>
      <c r="N151" s="116"/>
      <c r="O151" s="116"/>
    </row>
    <row r="152" spans="2:15" x14ac:dyDescent="0.2">
      <c r="B152" s="116"/>
      <c r="C152" s="118"/>
      <c r="D152" s="116"/>
      <c r="E152" s="116"/>
      <c r="F152" s="116"/>
      <c r="G152" s="116"/>
      <c r="H152" s="116"/>
      <c r="I152" s="116"/>
      <c r="J152" s="116"/>
      <c r="K152" s="116"/>
      <c r="L152" s="116"/>
      <c r="M152" s="116"/>
      <c r="N152" s="116"/>
    </row>
    <row r="153" spans="2:15" x14ac:dyDescent="0.2">
      <c r="B153" s="116"/>
      <c r="C153" s="118"/>
      <c r="D153" s="116"/>
      <c r="E153" s="116"/>
      <c r="F153" s="116"/>
      <c r="G153" s="116"/>
      <c r="H153" s="116"/>
      <c r="I153" s="116"/>
      <c r="J153" s="116"/>
      <c r="K153" s="116"/>
      <c r="L153" s="116"/>
      <c r="M153" s="116"/>
      <c r="N153" s="116"/>
    </row>
  </sheetData>
  <mergeCells count="16">
    <mergeCell ref="O2:S2"/>
    <mergeCell ref="O3:S3"/>
    <mergeCell ref="O4:S4"/>
    <mergeCell ref="O5:S5"/>
    <mergeCell ref="C70:D70"/>
    <mergeCell ref="I13:M13"/>
    <mergeCell ref="I14:M14"/>
    <mergeCell ref="A1:G1"/>
    <mergeCell ref="A2:G2"/>
    <mergeCell ref="I9:K9"/>
    <mergeCell ref="I11:M11"/>
    <mergeCell ref="I12:M12"/>
    <mergeCell ref="C7:D7"/>
    <mergeCell ref="C8:D8"/>
    <mergeCell ref="C9:D9"/>
    <mergeCell ref="I2:L2"/>
  </mergeCells>
  <printOptions horizontalCentered="1"/>
  <pageMargins left="0.25" right="0.25" top="0.75" bottom="0.75" header="0.3" footer="0.3"/>
  <pageSetup scale="50" orientation="landscape" r:id="rId1"/>
  <headerFooter alignWithMargins="0">
    <oddFooter>&amp;L&amp;"Arial,Regular"&amp;8&amp;F&amp;C&amp;A&amp;R&amp;"Arial,Regular"Advice No. 18-xxxx
Page &amp;P of &amp;N</oddFooter>
  </headerFooter>
  <colBreaks count="1" manualBreakCount="1">
    <brk id="1" max="1048575" man="1"/>
  </col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47" transitionEvaluation="1">
    <tabColor theme="6" tint="0.79998168889431442"/>
    <pageSetUpPr fitToPage="1"/>
  </sheetPr>
  <dimension ref="A1:AJ139"/>
  <sheetViews>
    <sheetView showGridLines="0" zoomScaleNormal="100" workbookViewId="0">
      <pane xSplit="1" ySplit="16" topLeftCell="B47" activePane="bottomRight" state="frozen"/>
      <selection activeCell="B7" sqref="B7"/>
      <selection pane="topRight" activeCell="B7" sqref="B7"/>
      <selection pane="bottomLeft" activeCell="B7" sqref="B7"/>
      <selection pane="bottomRight" activeCell="D12" sqref="D12"/>
    </sheetView>
  </sheetViews>
  <sheetFormatPr defaultColWidth="13.28515625" defaultRowHeight="11.25" x14ac:dyDescent="0.2"/>
  <cols>
    <col min="1" max="1" width="7.28515625" style="60" bestFit="1" customWidth="1"/>
    <col min="2" max="2" width="8" style="60" bestFit="1" customWidth="1"/>
    <col min="3" max="3" width="11" style="60" bestFit="1" customWidth="1"/>
    <col min="4" max="4" width="11.140625" style="60" bestFit="1" customWidth="1"/>
    <col min="5" max="5" width="10.5703125" style="60" customWidth="1"/>
    <col min="6" max="6" width="8" style="60" customWidth="1"/>
    <col min="7" max="7" width="9.140625" style="60" bestFit="1" customWidth="1"/>
    <col min="8" max="8" width="8" style="60" bestFit="1" customWidth="1"/>
    <col min="9" max="9" width="10.85546875" style="60" customWidth="1"/>
    <col min="10" max="10" width="9" style="60" customWidth="1"/>
    <col min="11" max="11" width="7.28515625" style="60" bestFit="1" customWidth="1"/>
    <col min="12" max="12" width="11.5703125" style="60" customWidth="1"/>
    <col min="13" max="13" width="6.5703125" style="60" bestFit="1" customWidth="1"/>
    <col min="14" max="14" width="37.28515625" style="60" bestFit="1" customWidth="1"/>
    <col min="15" max="15" width="9.28515625" style="60" bestFit="1" customWidth="1"/>
    <col min="16" max="22" width="13.28515625" style="60"/>
    <col min="23" max="23" width="1.7109375" style="60" bestFit="1" customWidth="1"/>
    <col min="24" max="25" width="15.5703125" style="60" customWidth="1"/>
    <col min="26" max="200" width="13.28515625" style="60"/>
    <col min="201" max="201" width="83" style="60" customWidth="1"/>
    <col min="202" max="16384" width="13.28515625" style="60"/>
  </cols>
  <sheetData>
    <row r="1" spans="1:25" ht="12" thickBot="1" x14ac:dyDescent="0.25">
      <c r="A1" s="272" t="s">
        <v>131</v>
      </c>
      <c r="B1" s="272"/>
      <c r="C1" s="272"/>
      <c r="D1" s="272"/>
      <c r="E1" s="272"/>
      <c r="F1" s="272"/>
      <c r="G1" s="272"/>
      <c r="H1" s="62"/>
      <c r="I1" s="62"/>
      <c r="J1" s="62"/>
      <c r="K1" s="62"/>
      <c r="L1" s="62"/>
      <c r="M1" s="62"/>
      <c r="Q1" s="92"/>
      <c r="R1" s="92"/>
      <c r="S1" s="92"/>
      <c r="W1" s="93" t="s">
        <v>14</v>
      </c>
    </row>
    <row r="2" spans="1:25" ht="14.45" customHeight="1" thickBot="1" x14ac:dyDescent="0.25">
      <c r="A2" s="272" t="s">
        <v>30</v>
      </c>
      <c r="B2" s="272"/>
      <c r="C2" s="272"/>
      <c r="D2" s="272"/>
      <c r="E2" s="272"/>
      <c r="F2" s="272"/>
      <c r="G2" s="272"/>
      <c r="H2" s="62"/>
      <c r="I2" s="273" t="s">
        <v>44</v>
      </c>
      <c r="J2" s="274"/>
      <c r="K2" s="274"/>
      <c r="L2" s="275"/>
      <c r="Q2" s="92"/>
      <c r="R2" s="92"/>
      <c r="S2" s="92"/>
      <c r="W2" s="93" t="s">
        <v>14</v>
      </c>
    </row>
    <row r="3" spans="1:25" x14ac:dyDescent="0.2">
      <c r="A3" s="94"/>
      <c r="B3" s="94"/>
      <c r="C3" s="94"/>
      <c r="D3" s="94"/>
      <c r="E3" s="94"/>
      <c r="F3" s="94"/>
      <c r="G3" s="62"/>
      <c r="H3" s="62"/>
      <c r="I3" s="199" t="s">
        <v>27</v>
      </c>
      <c r="J3" s="185">
        <f>+'LvlFCR Land'!J2</f>
        <v>0.51</v>
      </c>
      <c r="K3" s="200">
        <f>+'LvlFCR Land'!K2</f>
        <v>0.05</v>
      </c>
      <c r="L3" s="201">
        <f>+'LvlFCR Land'!L2</f>
        <v>2.5499999999999998E-2</v>
      </c>
      <c r="Q3" s="92"/>
      <c r="R3" s="92"/>
      <c r="S3" s="92"/>
      <c r="W3" s="93"/>
    </row>
    <row r="4" spans="1:25" x14ac:dyDescent="0.2">
      <c r="A4" s="94"/>
      <c r="B4" s="94"/>
      <c r="C4" s="94"/>
      <c r="D4" s="94"/>
      <c r="E4" s="94"/>
      <c r="F4" s="94"/>
      <c r="G4" s="62"/>
      <c r="H4" s="62"/>
      <c r="I4" s="199" t="s">
        <v>26</v>
      </c>
      <c r="J4" s="185">
        <f>+'LvlFCR Land'!J3</f>
        <v>0</v>
      </c>
      <c r="K4" s="200">
        <f>+'LvlFCR Land'!K3</f>
        <v>0</v>
      </c>
      <c r="L4" s="201">
        <f>+'LvlFCR Land'!L3</f>
        <v>0</v>
      </c>
      <c r="Q4" s="92"/>
      <c r="R4" s="92"/>
      <c r="S4" s="92"/>
      <c r="W4" s="93"/>
    </row>
    <row r="5" spans="1:25" x14ac:dyDescent="0.2">
      <c r="A5" s="62"/>
      <c r="B5" s="62"/>
      <c r="C5" s="62"/>
      <c r="D5" s="62"/>
      <c r="E5" s="119"/>
      <c r="F5" s="62"/>
      <c r="G5" s="62"/>
      <c r="H5" s="62"/>
      <c r="I5" s="190" t="s">
        <v>33</v>
      </c>
      <c r="J5" s="191">
        <f>SUM(J3:J4)</f>
        <v>0.51</v>
      </c>
      <c r="K5" s="202"/>
      <c r="L5" s="193">
        <f>SUM(L3:L4)</f>
        <v>2.5499999999999998E-2</v>
      </c>
      <c r="Q5" s="92"/>
      <c r="R5" s="92"/>
      <c r="S5" s="92"/>
      <c r="W5" s="93" t="s">
        <v>14</v>
      </c>
      <c r="X5" s="92"/>
      <c r="Y5" s="92"/>
    </row>
    <row r="6" spans="1:25" x14ac:dyDescent="0.2">
      <c r="A6" s="62"/>
      <c r="B6" s="62"/>
      <c r="C6" s="62"/>
      <c r="D6" s="62"/>
      <c r="E6" s="62"/>
      <c r="F6" s="62"/>
      <c r="G6" s="62"/>
      <c r="H6" s="62"/>
      <c r="I6" s="190" t="s">
        <v>24</v>
      </c>
      <c r="J6" s="185">
        <f>+'LvlFCR Land'!J5</f>
        <v>0</v>
      </c>
      <c r="K6" s="200">
        <f>+'LvlFCR Land'!K5</f>
        <v>0</v>
      </c>
      <c r="L6" s="201">
        <f>+'LvlFCR Land'!L5</f>
        <v>0</v>
      </c>
      <c r="Q6" s="92"/>
      <c r="R6" s="92"/>
      <c r="S6" s="92"/>
      <c r="W6" s="93" t="s">
        <v>14</v>
      </c>
      <c r="X6" s="92"/>
      <c r="Y6" s="92"/>
    </row>
    <row r="7" spans="1:25" x14ac:dyDescent="0.2">
      <c r="A7" s="62"/>
      <c r="B7" s="62"/>
      <c r="C7" s="269" t="s">
        <v>23</v>
      </c>
      <c r="D7" s="269"/>
      <c r="E7" s="120">
        <f>L56</f>
        <v>109462.74013266849</v>
      </c>
      <c r="F7" s="62"/>
      <c r="G7" s="62"/>
      <c r="H7" s="62"/>
      <c r="I7" s="190" t="s">
        <v>22</v>
      </c>
      <c r="J7" s="185">
        <f>+'LvlFCR Land'!J6</f>
        <v>0.49</v>
      </c>
      <c r="K7" s="200">
        <f>+'LvlFCR Land'!K6</f>
        <v>9.4E-2</v>
      </c>
      <c r="L7" s="201">
        <f>+'LvlFCR Land'!L6</f>
        <v>4.6100000000000002E-2</v>
      </c>
      <c r="Q7" s="92"/>
      <c r="R7" s="92"/>
      <c r="S7" s="92"/>
      <c r="W7" s="93" t="s">
        <v>14</v>
      </c>
      <c r="X7" s="92"/>
      <c r="Y7" s="92"/>
    </row>
    <row r="8" spans="1:25" x14ac:dyDescent="0.2">
      <c r="A8" s="62"/>
      <c r="B8" s="62"/>
      <c r="C8" s="269" t="s">
        <v>21</v>
      </c>
      <c r="D8" s="269"/>
      <c r="E8" s="120">
        <f>PMT(L9,H12,-E7)</f>
        <v>8602.1846496552753</v>
      </c>
      <c r="F8" s="62"/>
      <c r="G8" s="62"/>
      <c r="H8" s="62"/>
      <c r="I8" s="194"/>
      <c r="J8" s="203"/>
      <c r="K8" s="203"/>
      <c r="L8" s="187" t="s">
        <v>13</v>
      </c>
      <c r="W8" s="93" t="s">
        <v>14</v>
      </c>
      <c r="X8" s="92"/>
      <c r="Y8" s="92"/>
    </row>
    <row r="9" spans="1:25" ht="15" customHeight="1" thickBot="1" x14ac:dyDescent="0.25">
      <c r="A9" s="62"/>
      <c r="B9" s="62"/>
      <c r="C9" s="269" t="s">
        <v>20</v>
      </c>
      <c r="D9" s="269"/>
      <c r="E9" s="121">
        <f>($E$8/$D$12)*100</f>
        <v>8.6021846496552747</v>
      </c>
      <c r="F9" s="62"/>
      <c r="G9" s="62"/>
      <c r="H9" s="62"/>
      <c r="I9" s="253" t="s">
        <v>19</v>
      </c>
      <c r="J9" s="254"/>
      <c r="K9" s="254"/>
      <c r="L9" s="204">
        <f>L7+L6+L5</f>
        <v>7.1599999999999997E-2</v>
      </c>
      <c r="Q9" s="92"/>
      <c r="R9" s="92"/>
      <c r="S9" s="92"/>
      <c r="W9" s="93" t="s">
        <v>14</v>
      </c>
      <c r="X9" s="92"/>
      <c r="Y9" s="92"/>
    </row>
    <row r="10" spans="1:25" x14ac:dyDescent="0.2">
      <c r="A10" s="62"/>
      <c r="B10" s="62"/>
      <c r="C10" s="62"/>
      <c r="D10" s="62"/>
      <c r="E10" s="62"/>
      <c r="F10" s="62"/>
      <c r="G10" s="62"/>
      <c r="H10" s="62"/>
      <c r="I10" s="62"/>
      <c r="J10" s="62"/>
      <c r="K10" s="62"/>
      <c r="L10" s="62"/>
      <c r="M10" s="62"/>
      <c r="Q10" s="92"/>
      <c r="R10" s="92"/>
      <c r="S10" s="92"/>
      <c r="W10" s="93" t="s">
        <v>14</v>
      </c>
      <c r="X10" s="92"/>
      <c r="Y10" s="92"/>
    </row>
    <row r="11" spans="1:25" x14ac:dyDescent="0.2">
      <c r="A11" s="62"/>
      <c r="B11" s="62"/>
      <c r="C11" s="97" t="s">
        <v>18</v>
      </c>
      <c r="D11" s="122">
        <v>12</v>
      </c>
      <c r="E11" s="62"/>
      <c r="F11" s="62"/>
      <c r="G11" s="62"/>
      <c r="H11" s="205">
        <f>+'Lvl FCR Sub Equip'!H11</f>
        <v>8.9999999999999998E-4</v>
      </c>
      <c r="I11" s="271" t="s">
        <v>28</v>
      </c>
      <c r="J11" s="271"/>
      <c r="K11" s="271"/>
      <c r="L11" s="271"/>
      <c r="M11" s="271"/>
      <c r="N11" s="99"/>
      <c r="Q11" s="92"/>
      <c r="R11" s="92"/>
      <c r="S11" s="92"/>
      <c r="W11" s="93" t="s">
        <v>14</v>
      </c>
      <c r="X11" s="92"/>
      <c r="Y11" s="92"/>
    </row>
    <row r="12" spans="1:25" x14ac:dyDescent="0.2">
      <c r="A12" s="62"/>
      <c r="B12" s="62"/>
      <c r="C12" s="97" t="s">
        <v>16</v>
      </c>
      <c r="D12" s="198">
        <v>100000</v>
      </c>
      <c r="E12" s="120"/>
      <c r="F12" s="97"/>
      <c r="G12" s="122"/>
      <c r="H12" s="206">
        <f>+'Sub &amp; Feeder Depr Life'!AB18</f>
        <v>35</v>
      </c>
      <c r="I12" s="271" t="s">
        <v>40</v>
      </c>
      <c r="J12" s="271"/>
      <c r="K12" s="271"/>
      <c r="L12" s="271"/>
      <c r="M12" s="271"/>
      <c r="W12" s="93" t="s">
        <v>14</v>
      </c>
      <c r="X12" s="92"/>
      <c r="Y12" s="92"/>
    </row>
    <row r="13" spans="1:25" x14ac:dyDescent="0.2">
      <c r="A13" s="62"/>
      <c r="B13" s="62"/>
      <c r="C13" s="100" t="s">
        <v>15</v>
      </c>
      <c r="D13" s="120">
        <f>D12</f>
        <v>100000</v>
      </c>
      <c r="E13" s="120"/>
      <c r="F13" s="62"/>
      <c r="G13" s="123"/>
      <c r="H13" s="207">
        <f>+'Lvl FCR Sub Equip'!H13</f>
        <v>0.247645</v>
      </c>
      <c r="I13" s="271" t="s">
        <v>43</v>
      </c>
      <c r="J13" s="271"/>
      <c r="K13" s="271"/>
      <c r="L13" s="271"/>
      <c r="M13" s="271"/>
      <c r="W13" s="93" t="s">
        <v>14</v>
      </c>
      <c r="X13" s="92"/>
      <c r="Y13" s="92"/>
    </row>
    <row r="14" spans="1:25" x14ac:dyDescent="0.2">
      <c r="A14" s="62"/>
      <c r="B14" s="62"/>
      <c r="C14" s="97" t="s">
        <v>17</v>
      </c>
      <c r="D14" s="120">
        <f>D12</f>
        <v>100000</v>
      </c>
      <c r="E14" s="62"/>
      <c r="F14" s="62"/>
      <c r="G14" s="62"/>
      <c r="H14" s="207">
        <f>+'Lvl FCR Sub Equip'!H14</f>
        <v>0.21</v>
      </c>
      <c r="I14" s="271" t="s">
        <v>41</v>
      </c>
      <c r="J14" s="271"/>
      <c r="K14" s="271"/>
      <c r="L14" s="271"/>
      <c r="M14" s="271"/>
      <c r="N14" s="102"/>
      <c r="O14" s="270"/>
      <c r="P14" s="270"/>
      <c r="Q14" s="270"/>
    </row>
    <row r="15" spans="1:25" x14ac:dyDescent="0.2">
      <c r="A15" s="62"/>
      <c r="B15" s="62"/>
      <c r="C15" s="61"/>
      <c r="D15" s="62"/>
      <c r="E15" s="62"/>
      <c r="F15" s="62"/>
      <c r="G15" s="62"/>
      <c r="H15" s="124"/>
      <c r="I15" s="125"/>
      <c r="J15" s="125"/>
      <c r="K15" s="125"/>
      <c r="L15" s="125"/>
      <c r="M15" s="125"/>
      <c r="N15" s="102"/>
      <c r="O15" s="126"/>
      <c r="P15" s="126"/>
      <c r="Q15" s="126"/>
    </row>
    <row r="16" spans="1:25" ht="34.5" thickBot="1" x14ac:dyDescent="0.25">
      <c r="A16" s="149" t="s">
        <v>45</v>
      </c>
      <c r="B16" s="149" t="s">
        <v>46</v>
      </c>
      <c r="C16" s="149" t="s">
        <v>55</v>
      </c>
      <c r="D16" s="149" t="s">
        <v>47</v>
      </c>
      <c r="E16" s="149" t="s">
        <v>57</v>
      </c>
      <c r="F16" s="149" t="s">
        <v>54</v>
      </c>
      <c r="G16" s="149" t="s">
        <v>48</v>
      </c>
      <c r="H16" s="149" t="s">
        <v>49</v>
      </c>
      <c r="I16" s="149" t="s">
        <v>56</v>
      </c>
      <c r="J16" s="149" t="s">
        <v>50</v>
      </c>
      <c r="K16" s="149" t="s">
        <v>51</v>
      </c>
      <c r="L16" s="149" t="s">
        <v>52</v>
      </c>
      <c r="M16" s="149" t="s">
        <v>53</v>
      </c>
      <c r="O16" s="270"/>
      <c r="P16" s="270"/>
      <c r="Q16" s="270"/>
    </row>
    <row r="17" spans="1:36" x14ac:dyDescent="0.2">
      <c r="A17" s="117">
        <v>1</v>
      </c>
      <c r="B17" s="127">
        <f>D12</f>
        <v>100000</v>
      </c>
      <c r="C17" s="128">
        <v>3.7999999999999999E-2</v>
      </c>
      <c r="D17" s="129">
        <f>D12</f>
        <v>100000</v>
      </c>
      <c r="E17" s="129">
        <f t="shared" ref="E17:E50" si="0">D$13*C17</f>
        <v>3800</v>
      </c>
      <c r="F17" s="130">
        <f t="shared" ref="F17:F50" si="1">H$14*(E17-I17*D$13/D$12)</f>
        <v>197.99999999999994</v>
      </c>
      <c r="G17" s="129">
        <f>L$5*D17*(D11/12)</f>
        <v>2550</v>
      </c>
      <c r="H17" s="129">
        <f>D17*(L$6+L$7)*(D11/12)</f>
        <v>4610</v>
      </c>
      <c r="I17" s="129">
        <f>(D11/12)*D$12/H$12</f>
        <v>2857.1428571428573</v>
      </c>
      <c r="J17" s="129">
        <f t="shared" ref="J17:J50" si="2">+B17*$H$11</f>
        <v>90</v>
      </c>
      <c r="K17" s="129">
        <f>(H$13/(1-$H$13))*(H17+I17-E17+F17+J17)</f>
        <v>1301.8739197016607</v>
      </c>
      <c r="L17" s="129">
        <f t="shared" ref="L17:L50" si="3">SUM(F17:K17)</f>
        <v>11607.016776844517</v>
      </c>
      <c r="M17" s="131">
        <f>NPV($L$9,L17:L26)</f>
        <v>72073.291837273209</v>
      </c>
      <c r="O17" s="270"/>
      <c r="P17" s="270"/>
      <c r="Q17" s="270"/>
    </row>
    <row r="18" spans="1:36" x14ac:dyDescent="0.2">
      <c r="A18" s="117">
        <f t="shared" ref="A18:A52" si="4">A17+1</f>
        <v>2</v>
      </c>
      <c r="B18" s="127">
        <f t="shared" ref="B18:B50" si="5">B17-I17</f>
        <v>97142.857142857145</v>
      </c>
      <c r="C18" s="128">
        <v>7.1999999999999995E-2</v>
      </c>
      <c r="D18" s="129">
        <f t="shared" ref="D18:D50" si="6">D17-F17-I17</f>
        <v>96944.857142857145</v>
      </c>
      <c r="E18" s="129">
        <f t="shared" si="0"/>
        <v>7199.9999999999991</v>
      </c>
      <c r="F18" s="132">
        <f t="shared" si="1"/>
        <v>911.99999999999966</v>
      </c>
      <c r="G18" s="129">
        <f t="shared" ref="G18:G51" si="7">L$5*D18</f>
        <v>2472.0938571428569</v>
      </c>
      <c r="H18" s="129">
        <f t="shared" ref="H18:H51" si="8">D18*(L$6+L$7)</f>
        <v>4469.1579142857145</v>
      </c>
      <c r="I18" s="129">
        <f t="shared" ref="I18:I50" si="9">D$12/H$12</f>
        <v>2857.1428571428573</v>
      </c>
      <c r="J18" s="129">
        <f t="shared" si="2"/>
        <v>87.428571428571431</v>
      </c>
      <c r="K18" s="129">
        <f t="shared" ref="K18:K50" si="10">(H$13/(1-H$13))*(H18+I18-E18+F18+J18)</f>
        <v>370.54481343495752</v>
      </c>
      <c r="L18" s="129">
        <f t="shared" si="3"/>
        <v>11168.368013434956</v>
      </c>
      <c r="M18" s="131">
        <f t="shared" ref="M18:M42" si="11">NPV($L$9,L18:L27)</f>
        <v>69937.659537338957</v>
      </c>
      <c r="O18" s="270"/>
      <c r="P18" s="270"/>
      <c r="Q18" s="270"/>
    </row>
    <row r="19" spans="1:36" x14ac:dyDescent="0.2">
      <c r="A19" s="117">
        <f t="shared" si="4"/>
        <v>3</v>
      </c>
      <c r="B19" s="127">
        <f t="shared" si="5"/>
        <v>94285.71428571429</v>
      </c>
      <c r="C19" s="128">
        <v>6.7000000000000004E-2</v>
      </c>
      <c r="D19" s="129">
        <f t="shared" si="6"/>
        <v>93175.71428571429</v>
      </c>
      <c r="E19" s="129">
        <f t="shared" si="0"/>
        <v>6700</v>
      </c>
      <c r="F19" s="132">
        <f t="shared" si="1"/>
        <v>806.99999999999989</v>
      </c>
      <c r="G19" s="129">
        <f t="shared" si="7"/>
        <v>2375.9807142857144</v>
      </c>
      <c r="H19" s="129">
        <f t="shared" si="8"/>
        <v>4295.4004285714291</v>
      </c>
      <c r="I19" s="129">
        <f t="shared" si="9"/>
        <v>2857.1428571428573</v>
      </c>
      <c r="J19" s="129">
        <f t="shared" si="2"/>
        <v>84.857142857142861</v>
      </c>
      <c r="K19" s="129">
        <f t="shared" si="10"/>
        <v>442.52253807520589</v>
      </c>
      <c r="L19" s="129">
        <f t="shared" si="3"/>
        <v>10862.90368093235</v>
      </c>
      <c r="M19" s="131">
        <f t="shared" si="11"/>
        <v>67946.896186745391</v>
      </c>
      <c r="O19" s="67"/>
      <c r="P19" s="89"/>
      <c r="Q19" s="110"/>
    </row>
    <row r="20" spans="1:36" x14ac:dyDescent="0.2">
      <c r="A20" s="117">
        <f t="shared" si="4"/>
        <v>4</v>
      </c>
      <c r="B20" s="127">
        <f t="shared" si="5"/>
        <v>91428.571428571435</v>
      </c>
      <c r="C20" s="128">
        <v>6.2E-2</v>
      </c>
      <c r="D20" s="129">
        <f t="shared" si="6"/>
        <v>89511.571428571435</v>
      </c>
      <c r="E20" s="129">
        <f t="shared" si="0"/>
        <v>6200</v>
      </c>
      <c r="F20" s="132">
        <f t="shared" si="1"/>
        <v>701.99999999999989</v>
      </c>
      <c r="G20" s="129">
        <f t="shared" si="7"/>
        <v>2282.5450714285716</v>
      </c>
      <c r="H20" s="129">
        <f t="shared" si="8"/>
        <v>4126.483442857143</v>
      </c>
      <c r="I20" s="129">
        <f t="shared" si="9"/>
        <v>2857.1428571428573</v>
      </c>
      <c r="J20" s="129">
        <f t="shared" si="2"/>
        <v>82.285714285714292</v>
      </c>
      <c r="K20" s="129">
        <f t="shared" si="10"/>
        <v>516.09356059012794</v>
      </c>
      <c r="L20" s="129">
        <f t="shared" si="3"/>
        <v>10566.550646304415</v>
      </c>
      <c r="M20" s="131">
        <f t="shared" si="11"/>
        <v>65978.189971358326</v>
      </c>
      <c r="O20" s="67"/>
      <c r="P20" s="89"/>
      <c r="Q20" s="110"/>
    </row>
    <row r="21" spans="1:36" x14ac:dyDescent="0.2">
      <c r="A21" s="117">
        <f t="shared" si="4"/>
        <v>5</v>
      </c>
      <c r="B21" s="127">
        <f t="shared" si="5"/>
        <v>88571.42857142858</v>
      </c>
      <c r="C21" s="128">
        <v>5.7000000000000002E-2</v>
      </c>
      <c r="D21" s="129">
        <f t="shared" si="6"/>
        <v>85952.42857142858</v>
      </c>
      <c r="E21" s="129">
        <f t="shared" si="0"/>
        <v>5700</v>
      </c>
      <c r="F21" s="132">
        <f t="shared" si="1"/>
        <v>596.99999999999989</v>
      </c>
      <c r="G21" s="129">
        <f t="shared" si="7"/>
        <v>2191.7869285714287</v>
      </c>
      <c r="H21" s="129">
        <f t="shared" si="8"/>
        <v>3962.4069571428577</v>
      </c>
      <c r="I21" s="129">
        <f t="shared" si="9"/>
        <v>2857.1428571428573</v>
      </c>
      <c r="J21" s="129">
        <f t="shared" si="2"/>
        <v>79.714285714285722</v>
      </c>
      <c r="K21" s="129">
        <f t="shared" si="10"/>
        <v>591.25788097972395</v>
      </c>
      <c r="L21" s="129">
        <f t="shared" si="3"/>
        <v>10279.308909551153</v>
      </c>
      <c r="M21" s="131">
        <f t="shared" si="11"/>
        <v>64024.008884183873</v>
      </c>
      <c r="O21" s="67"/>
      <c r="P21" s="89"/>
      <c r="Q21" s="110"/>
    </row>
    <row r="22" spans="1:36" x14ac:dyDescent="0.2">
      <c r="A22" s="117">
        <f t="shared" si="4"/>
        <v>6</v>
      </c>
      <c r="B22" s="127">
        <f t="shared" si="5"/>
        <v>85714.285714285725</v>
      </c>
      <c r="C22" s="128">
        <v>5.2999999999999999E-2</v>
      </c>
      <c r="D22" s="129">
        <f t="shared" si="6"/>
        <v>82498.285714285725</v>
      </c>
      <c r="E22" s="129">
        <f t="shared" si="0"/>
        <v>5300</v>
      </c>
      <c r="F22" s="132">
        <f t="shared" si="1"/>
        <v>512.99999999999989</v>
      </c>
      <c r="G22" s="129">
        <f t="shared" si="7"/>
        <v>2103.706285714286</v>
      </c>
      <c r="H22" s="129">
        <f t="shared" si="8"/>
        <v>3803.1709714285721</v>
      </c>
      <c r="I22" s="129">
        <f t="shared" si="9"/>
        <v>2857.1428571428573</v>
      </c>
      <c r="J22" s="129">
        <f t="shared" si="2"/>
        <v>77.142857142857153</v>
      </c>
      <c r="K22" s="129">
        <f t="shared" si="10"/>
        <v>642.01187728361549</v>
      </c>
      <c r="L22" s="129">
        <f t="shared" si="3"/>
        <v>9996.1748487121877</v>
      </c>
      <c r="M22" s="131">
        <f t="shared" si="11"/>
        <v>62076.281626527409</v>
      </c>
      <c r="O22" s="67"/>
      <c r="P22" s="89"/>
      <c r="Q22" s="110"/>
    </row>
    <row r="23" spans="1:36" x14ac:dyDescent="0.2">
      <c r="A23" s="117">
        <f t="shared" si="4"/>
        <v>7</v>
      </c>
      <c r="B23" s="127">
        <f t="shared" si="5"/>
        <v>82857.14285714287</v>
      </c>
      <c r="C23" s="128">
        <v>4.9000000000000002E-2</v>
      </c>
      <c r="D23" s="129">
        <f t="shared" si="6"/>
        <v>79128.14285714287</v>
      </c>
      <c r="E23" s="129">
        <f t="shared" si="0"/>
        <v>4900</v>
      </c>
      <c r="F23" s="132">
        <f t="shared" si="1"/>
        <v>428.99999999999994</v>
      </c>
      <c r="G23" s="129">
        <f t="shared" si="7"/>
        <v>2017.7676428571431</v>
      </c>
      <c r="H23" s="129">
        <f t="shared" si="8"/>
        <v>3647.8073857142863</v>
      </c>
      <c r="I23" s="129">
        <f t="shared" si="9"/>
        <v>2857.1428571428573</v>
      </c>
      <c r="J23" s="129">
        <f t="shared" si="2"/>
        <v>74.571428571428584</v>
      </c>
      <c r="K23" s="129">
        <f t="shared" si="10"/>
        <v>694.04051188724566</v>
      </c>
      <c r="L23" s="129">
        <f t="shared" si="3"/>
        <v>9720.3298261729615</v>
      </c>
      <c r="M23" s="131">
        <f t="shared" si="11"/>
        <v>60131.362616668099</v>
      </c>
      <c r="O23" s="67"/>
      <c r="P23" s="89"/>
      <c r="Q23" s="110"/>
    </row>
    <row r="24" spans="1:36" x14ac:dyDescent="0.2">
      <c r="A24" s="117">
        <f t="shared" si="4"/>
        <v>8</v>
      </c>
      <c r="B24" s="127">
        <f t="shared" si="5"/>
        <v>80000.000000000015</v>
      </c>
      <c r="C24" s="128">
        <v>4.4999999999999998E-2</v>
      </c>
      <c r="D24" s="129">
        <f t="shared" si="6"/>
        <v>75842.000000000015</v>
      </c>
      <c r="E24" s="129">
        <f t="shared" si="0"/>
        <v>4500</v>
      </c>
      <c r="F24" s="132">
        <f t="shared" si="1"/>
        <v>344.99999999999994</v>
      </c>
      <c r="G24" s="129">
        <f t="shared" si="7"/>
        <v>1933.9710000000002</v>
      </c>
      <c r="H24" s="129">
        <f t="shared" si="8"/>
        <v>3496.3162000000007</v>
      </c>
      <c r="I24" s="129">
        <f t="shared" si="9"/>
        <v>2857.1428571428573</v>
      </c>
      <c r="J24" s="129">
        <f t="shared" si="2"/>
        <v>72.000000000000014</v>
      </c>
      <c r="K24" s="129">
        <f t="shared" si="10"/>
        <v>747.34378479061502</v>
      </c>
      <c r="L24" s="129">
        <f t="shared" si="3"/>
        <v>9451.7738419334728</v>
      </c>
      <c r="M24" s="131">
        <f t="shared" si="11"/>
        <v>58182.163886848488</v>
      </c>
      <c r="O24" s="67"/>
      <c r="P24" s="89"/>
      <c r="Q24" s="110"/>
    </row>
    <row r="25" spans="1:36" x14ac:dyDescent="0.2">
      <c r="A25" s="117">
        <f t="shared" si="4"/>
        <v>9</v>
      </c>
      <c r="B25" s="127">
        <f t="shared" si="5"/>
        <v>77142.857142857159</v>
      </c>
      <c r="C25" s="128">
        <v>4.4999999999999998E-2</v>
      </c>
      <c r="D25" s="129">
        <f t="shared" si="6"/>
        <v>72639.857142857159</v>
      </c>
      <c r="E25" s="129">
        <f t="shared" si="0"/>
        <v>4500</v>
      </c>
      <c r="F25" s="132">
        <f t="shared" si="1"/>
        <v>344.99999999999994</v>
      </c>
      <c r="G25" s="129">
        <f t="shared" si="7"/>
        <v>1852.3163571428574</v>
      </c>
      <c r="H25" s="129">
        <f t="shared" si="8"/>
        <v>3348.6974142857152</v>
      </c>
      <c r="I25" s="129">
        <f t="shared" si="9"/>
        <v>2857.1428571428573</v>
      </c>
      <c r="J25" s="129">
        <f t="shared" si="2"/>
        <v>69.428571428571445</v>
      </c>
      <c r="K25" s="129">
        <f t="shared" si="10"/>
        <v>697.90720815221221</v>
      </c>
      <c r="L25" s="129">
        <f t="shared" si="3"/>
        <v>9170.4924081522113</v>
      </c>
      <c r="M25" s="131">
        <f t="shared" si="11"/>
        <v>56221.08997081971</v>
      </c>
      <c r="O25" s="67"/>
      <c r="P25" s="89"/>
      <c r="Q25" s="110"/>
    </row>
    <row r="26" spans="1:36" x14ac:dyDescent="0.2">
      <c r="A26" s="117">
        <f t="shared" si="4"/>
        <v>10</v>
      </c>
      <c r="B26" s="127">
        <f t="shared" si="5"/>
        <v>74285.714285714304</v>
      </c>
      <c r="C26" s="128">
        <v>4.4999999999999998E-2</v>
      </c>
      <c r="D26" s="129">
        <f t="shared" si="6"/>
        <v>69437.714285714304</v>
      </c>
      <c r="E26" s="129">
        <f t="shared" si="0"/>
        <v>4500</v>
      </c>
      <c r="F26" s="132">
        <f t="shared" si="1"/>
        <v>344.99999999999994</v>
      </c>
      <c r="G26" s="129">
        <f t="shared" si="7"/>
        <v>1770.6617142857147</v>
      </c>
      <c r="H26" s="129">
        <f t="shared" si="8"/>
        <v>3201.0786285714294</v>
      </c>
      <c r="I26" s="129">
        <f t="shared" si="9"/>
        <v>2857.1428571428573</v>
      </c>
      <c r="J26" s="129">
        <f t="shared" si="2"/>
        <v>66.857142857142875</v>
      </c>
      <c r="K26" s="129">
        <f t="shared" si="10"/>
        <v>648.47063151380883</v>
      </c>
      <c r="L26" s="129">
        <f t="shared" si="3"/>
        <v>8889.2109743709516</v>
      </c>
      <c r="M26" s="131">
        <f t="shared" si="11"/>
        <v>54260.016054790911</v>
      </c>
      <c r="O26" s="67"/>
      <c r="P26" s="89"/>
      <c r="Q26" s="110"/>
      <c r="R26" s="111"/>
      <c r="S26" s="111"/>
      <c r="T26" s="111"/>
    </row>
    <row r="27" spans="1:36" x14ac:dyDescent="0.2">
      <c r="A27" s="117">
        <f t="shared" si="4"/>
        <v>11</v>
      </c>
      <c r="B27" s="127">
        <f t="shared" si="5"/>
        <v>71428.571428571449</v>
      </c>
      <c r="C27" s="128">
        <v>4.4999999999999998E-2</v>
      </c>
      <c r="D27" s="129">
        <f t="shared" si="6"/>
        <v>66235.571428571449</v>
      </c>
      <c r="E27" s="129">
        <f t="shared" si="0"/>
        <v>4500</v>
      </c>
      <c r="F27" s="132">
        <f t="shared" si="1"/>
        <v>344.99999999999994</v>
      </c>
      <c r="G27" s="129">
        <f t="shared" si="7"/>
        <v>1689.0070714285719</v>
      </c>
      <c r="H27" s="129">
        <f t="shared" si="8"/>
        <v>3053.4598428571439</v>
      </c>
      <c r="I27" s="129">
        <f t="shared" si="9"/>
        <v>2857.1428571428573</v>
      </c>
      <c r="J27" s="129">
        <f t="shared" si="2"/>
        <v>64.285714285714306</v>
      </c>
      <c r="K27" s="129">
        <f t="shared" si="10"/>
        <v>599.03405487540601</v>
      </c>
      <c r="L27" s="129">
        <f t="shared" si="3"/>
        <v>8607.9295405896937</v>
      </c>
      <c r="M27" s="131">
        <f t="shared" si="11"/>
        <v>52298.942138762111</v>
      </c>
      <c r="O27" s="67"/>
      <c r="P27" s="89"/>
      <c r="Q27" s="110"/>
    </row>
    <row r="28" spans="1:36" x14ac:dyDescent="0.2">
      <c r="A28" s="117">
        <f t="shared" si="4"/>
        <v>12</v>
      </c>
      <c r="B28" s="127">
        <f t="shared" si="5"/>
        <v>68571.428571428594</v>
      </c>
      <c r="C28" s="128">
        <v>4.4999999999999998E-2</v>
      </c>
      <c r="D28" s="129">
        <f t="shared" si="6"/>
        <v>63033.428571428594</v>
      </c>
      <c r="E28" s="129">
        <f t="shared" si="0"/>
        <v>4500</v>
      </c>
      <c r="F28" s="132">
        <f t="shared" si="1"/>
        <v>344.99999999999994</v>
      </c>
      <c r="G28" s="129">
        <f t="shared" si="7"/>
        <v>1607.3524285714291</v>
      </c>
      <c r="H28" s="129">
        <f t="shared" si="8"/>
        <v>2905.8410571428585</v>
      </c>
      <c r="I28" s="129">
        <f t="shared" si="9"/>
        <v>2857.1428571428573</v>
      </c>
      <c r="J28" s="129">
        <f t="shared" si="2"/>
        <v>61.714285714285737</v>
      </c>
      <c r="K28" s="129">
        <f t="shared" si="10"/>
        <v>549.5974782370032</v>
      </c>
      <c r="L28" s="129">
        <f t="shared" si="3"/>
        <v>8326.648106808434</v>
      </c>
      <c r="M28" s="131">
        <f t="shared" si="11"/>
        <v>50408.03240562127</v>
      </c>
      <c r="O28" s="67"/>
      <c r="P28" s="89"/>
      <c r="Q28" s="110"/>
    </row>
    <row r="29" spans="1:36" x14ac:dyDescent="0.2">
      <c r="A29" s="117">
        <f t="shared" si="4"/>
        <v>13</v>
      </c>
      <c r="B29" s="127">
        <f t="shared" si="5"/>
        <v>65714.285714285739</v>
      </c>
      <c r="C29" s="128">
        <v>4.4999999999999998E-2</v>
      </c>
      <c r="D29" s="129">
        <f t="shared" si="6"/>
        <v>59831.285714285739</v>
      </c>
      <c r="E29" s="129">
        <f t="shared" si="0"/>
        <v>4500</v>
      </c>
      <c r="F29" s="132">
        <f t="shared" si="1"/>
        <v>344.99999999999994</v>
      </c>
      <c r="G29" s="129">
        <f t="shared" si="7"/>
        <v>1525.6977857142863</v>
      </c>
      <c r="H29" s="129">
        <f t="shared" si="8"/>
        <v>2758.2222714285726</v>
      </c>
      <c r="I29" s="129">
        <f t="shared" si="9"/>
        <v>2857.1428571428573</v>
      </c>
      <c r="J29" s="129">
        <f t="shared" si="2"/>
        <v>59.142857142857167</v>
      </c>
      <c r="K29" s="129">
        <f t="shared" si="10"/>
        <v>500.16090159859982</v>
      </c>
      <c r="L29" s="129">
        <f t="shared" si="3"/>
        <v>8045.3666730271725</v>
      </c>
      <c r="M29" s="131">
        <f t="shared" si="11"/>
        <v>48590.299070897847</v>
      </c>
      <c r="O29" s="67"/>
      <c r="P29" s="89"/>
      <c r="Q29" s="110"/>
    </row>
    <row r="30" spans="1:36" x14ac:dyDescent="0.2">
      <c r="A30" s="117">
        <f t="shared" si="4"/>
        <v>14</v>
      </c>
      <c r="B30" s="127">
        <f t="shared" si="5"/>
        <v>62857.142857142884</v>
      </c>
      <c r="C30" s="128">
        <v>4.4999999999999998E-2</v>
      </c>
      <c r="D30" s="129">
        <f t="shared" si="6"/>
        <v>56629.142857142884</v>
      </c>
      <c r="E30" s="129">
        <f t="shared" si="0"/>
        <v>4500</v>
      </c>
      <c r="F30" s="132">
        <f t="shared" si="1"/>
        <v>344.99999999999994</v>
      </c>
      <c r="G30" s="129">
        <f t="shared" si="7"/>
        <v>1444.0431428571435</v>
      </c>
      <c r="H30" s="129">
        <f t="shared" si="8"/>
        <v>2610.6034857142872</v>
      </c>
      <c r="I30" s="129">
        <f t="shared" si="9"/>
        <v>2857.1428571428573</v>
      </c>
      <c r="J30" s="129">
        <f t="shared" si="2"/>
        <v>56.571428571428591</v>
      </c>
      <c r="K30" s="129">
        <f t="shared" si="10"/>
        <v>450.72432496019707</v>
      </c>
      <c r="L30" s="129">
        <f t="shared" si="3"/>
        <v>7764.0852392459128</v>
      </c>
      <c r="M30" s="131">
        <f t="shared" si="11"/>
        <v>46823.896179669915</v>
      </c>
      <c r="O30" s="67"/>
      <c r="P30" s="89"/>
      <c r="Q30" s="110"/>
    </row>
    <row r="31" spans="1:36" x14ac:dyDescent="0.2">
      <c r="A31" s="117">
        <f t="shared" si="4"/>
        <v>15</v>
      </c>
      <c r="B31" s="127">
        <f t="shared" si="5"/>
        <v>60000.000000000029</v>
      </c>
      <c r="C31" s="128">
        <v>4.4999999999999998E-2</v>
      </c>
      <c r="D31" s="129">
        <f t="shared" si="6"/>
        <v>53427.000000000029</v>
      </c>
      <c r="E31" s="129">
        <f t="shared" si="0"/>
        <v>4500</v>
      </c>
      <c r="F31" s="132">
        <f t="shared" si="1"/>
        <v>344.99999999999994</v>
      </c>
      <c r="G31" s="129">
        <f t="shared" si="7"/>
        <v>1362.3885000000007</v>
      </c>
      <c r="H31" s="129">
        <f t="shared" si="8"/>
        <v>2462.9847000000013</v>
      </c>
      <c r="I31" s="129">
        <f t="shared" si="9"/>
        <v>2857.1428571428573</v>
      </c>
      <c r="J31" s="129">
        <f t="shared" si="2"/>
        <v>54.000000000000021</v>
      </c>
      <c r="K31" s="129">
        <f t="shared" si="10"/>
        <v>401.28774832179391</v>
      </c>
      <c r="L31" s="129">
        <f t="shared" si="3"/>
        <v>7482.8038054646522</v>
      </c>
      <c r="M31" s="131">
        <f t="shared" si="11"/>
        <v>45112.49899169174</v>
      </c>
      <c r="O31" s="67"/>
      <c r="P31" s="89"/>
      <c r="Q31" s="110"/>
    </row>
    <row r="32" spans="1:36" x14ac:dyDescent="0.2">
      <c r="A32" s="117">
        <f t="shared" si="4"/>
        <v>16</v>
      </c>
      <c r="B32" s="127">
        <f t="shared" si="5"/>
        <v>57142.857142857174</v>
      </c>
      <c r="C32" s="128">
        <v>4.4999999999999998E-2</v>
      </c>
      <c r="D32" s="129">
        <f t="shared" si="6"/>
        <v>50224.857142857174</v>
      </c>
      <c r="E32" s="129">
        <f t="shared" si="0"/>
        <v>4500</v>
      </c>
      <c r="F32" s="132">
        <f t="shared" si="1"/>
        <v>344.99999999999994</v>
      </c>
      <c r="G32" s="129">
        <f t="shared" si="7"/>
        <v>1280.7338571428579</v>
      </c>
      <c r="H32" s="129">
        <f t="shared" si="8"/>
        <v>2315.3659142857159</v>
      </c>
      <c r="I32" s="129">
        <f t="shared" si="9"/>
        <v>2857.1428571428573</v>
      </c>
      <c r="J32" s="129">
        <f t="shared" si="2"/>
        <v>51.428571428571452</v>
      </c>
      <c r="K32" s="129">
        <f t="shared" si="10"/>
        <v>351.85117168339087</v>
      </c>
      <c r="L32" s="129">
        <f t="shared" si="3"/>
        <v>7201.5223716833943</v>
      </c>
      <c r="M32" s="131">
        <f t="shared" si="11"/>
        <v>43460.045915316019</v>
      </c>
      <c r="O32" s="67"/>
      <c r="P32" s="89"/>
      <c r="Q32" s="110"/>
      <c r="AI32" s="92"/>
      <c r="AJ32" s="92"/>
    </row>
    <row r="33" spans="1:36" x14ac:dyDescent="0.2">
      <c r="A33" s="117">
        <f t="shared" si="4"/>
        <v>17</v>
      </c>
      <c r="B33" s="127">
        <f t="shared" si="5"/>
        <v>54285.714285714319</v>
      </c>
      <c r="C33" s="128">
        <v>4.4999999999999998E-2</v>
      </c>
      <c r="D33" s="129">
        <f t="shared" si="6"/>
        <v>47022.714285714319</v>
      </c>
      <c r="E33" s="129">
        <f t="shared" si="0"/>
        <v>4500</v>
      </c>
      <c r="F33" s="132">
        <f t="shared" si="1"/>
        <v>344.99999999999994</v>
      </c>
      <c r="G33" s="129">
        <f t="shared" si="7"/>
        <v>1199.0792142857151</v>
      </c>
      <c r="H33" s="129">
        <f t="shared" si="8"/>
        <v>2167.74712857143</v>
      </c>
      <c r="I33" s="129">
        <f t="shared" si="9"/>
        <v>2857.1428571428573</v>
      </c>
      <c r="J33" s="129">
        <f t="shared" si="2"/>
        <v>48.857142857142883</v>
      </c>
      <c r="K33" s="129">
        <f t="shared" si="10"/>
        <v>302.41459504498806</v>
      </c>
      <c r="L33" s="129">
        <f t="shared" si="3"/>
        <v>6920.2409379021346</v>
      </c>
      <c r="M33" s="131">
        <f t="shared" si="11"/>
        <v>41870.757348933483</v>
      </c>
      <c r="O33" s="67"/>
      <c r="P33" s="89"/>
      <c r="Q33" s="110"/>
      <c r="AI33" s="92"/>
      <c r="AJ33" s="92"/>
    </row>
    <row r="34" spans="1:36" x14ac:dyDescent="0.2">
      <c r="A34" s="117">
        <f t="shared" si="4"/>
        <v>18</v>
      </c>
      <c r="B34" s="127">
        <f t="shared" si="5"/>
        <v>51428.571428571464</v>
      </c>
      <c r="C34" s="128">
        <v>4.4999999999999998E-2</v>
      </c>
      <c r="D34" s="129">
        <f t="shared" si="6"/>
        <v>43820.571428571464</v>
      </c>
      <c r="E34" s="129">
        <f t="shared" si="0"/>
        <v>4500</v>
      </c>
      <c r="F34" s="132">
        <f t="shared" si="1"/>
        <v>344.99999999999994</v>
      </c>
      <c r="G34" s="129">
        <f t="shared" si="7"/>
        <v>1117.4245714285723</v>
      </c>
      <c r="H34" s="129">
        <f t="shared" si="8"/>
        <v>2020.1283428571446</v>
      </c>
      <c r="I34" s="129">
        <f t="shared" si="9"/>
        <v>2857.1428571428573</v>
      </c>
      <c r="J34" s="129">
        <f t="shared" si="2"/>
        <v>46.285714285714313</v>
      </c>
      <c r="K34" s="129">
        <f t="shared" si="10"/>
        <v>252.97801840658497</v>
      </c>
      <c r="L34" s="129">
        <f t="shared" si="3"/>
        <v>6638.959504120874</v>
      </c>
      <c r="M34" s="131">
        <f t="shared" si="11"/>
        <v>40349.155871459647</v>
      </c>
      <c r="O34" s="67"/>
      <c r="P34" s="89"/>
      <c r="Q34" s="110"/>
      <c r="AI34" s="92"/>
      <c r="AJ34" s="92"/>
    </row>
    <row r="35" spans="1:36" x14ac:dyDescent="0.2">
      <c r="A35" s="117">
        <f t="shared" si="4"/>
        <v>19</v>
      </c>
      <c r="B35" s="127">
        <f t="shared" si="5"/>
        <v>48571.428571428609</v>
      </c>
      <c r="C35" s="128">
        <v>4.4999999999999998E-2</v>
      </c>
      <c r="D35" s="129">
        <f t="shared" si="6"/>
        <v>40618.428571428609</v>
      </c>
      <c r="E35" s="129">
        <f t="shared" si="0"/>
        <v>4500</v>
      </c>
      <c r="F35" s="132">
        <f t="shared" si="1"/>
        <v>344.99999999999994</v>
      </c>
      <c r="G35" s="129">
        <f t="shared" si="7"/>
        <v>1035.7699285714295</v>
      </c>
      <c r="H35" s="129">
        <f t="shared" si="8"/>
        <v>1872.509557142859</v>
      </c>
      <c r="I35" s="129">
        <f t="shared" si="9"/>
        <v>2857.1428571428573</v>
      </c>
      <c r="J35" s="129">
        <f t="shared" si="2"/>
        <v>43.714285714285744</v>
      </c>
      <c r="K35" s="129">
        <f t="shared" si="10"/>
        <v>203.54144176818187</v>
      </c>
      <c r="L35" s="129">
        <f t="shared" si="3"/>
        <v>6357.6780703396134</v>
      </c>
      <c r="M35" s="131">
        <f t="shared" si="11"/>
        <v>38900.08787846037</v>
      </c>
      <c r="O35" s="67"/>
      <c r="P35" s="89"/>
      <c r="Q35" s="110"/>
      <c r="AI35" s="92"/>
      <c r="AJ35" s="92"/>
    </row>
    <row r="36" spans="1:36" x14ac:dyDescent="0.2">
      <c r="A36" s="117">
        <f t="shared" si="4"/>
        <v>20</v>
      </c>
      <c r="B36" s="127">
        <f t="shared" si="5"/>
        <v>45714.285714285754</v>
      </c>
      <c r="C36" s="128">
        <v>4.4999999999999998E-2</v>
      </c>
      <c r="D36" s="129">
        <f t="shared" si="6"/>
        <v>37416.285714285754</v>
      </c>
      <c r="E36" s="129">
        <f t="shared" si="0"/>
        <v>4500</v>
      </c>
      <c r="F36" s="132">
        <f t="shared" si="1"/>
        <v>344.99999999999994</v>
      </c>
      <c r="G36" s="129">
        <f t="shared" si="7"/>
        <v>954.11528571428664</v>
      </c>
      <c r="H36" s="129">
        <f t="shared" si="8"/>
        <v>1724.8907714285733</v>
      </c>
      <c r="I36" s="129">
        <f t="shared" si="9"/>
        <v>2857.1428571428573</v>
      </c>
      <c r="J36" s="129">
        <f t="shared" si="2"/>
        <v>41.142857142857174</v>
      </c>
      <c r="K36" s="129">
        <f t="shared" si="10"/>
        <v>154.10486512977906</v>
      </c>
      <c r="L36" s="129">
        <f t="shared" si="3"/>
        <v>6076.3966365583528</v>
      </c>
      <c r="M36" s="131">
        <f t="shared" si="11"/>
        <v>37528.746767424047</v>
      </c>
      <c r="O36" s="67"/>
      <c r="P36" s="89"/>
      <c r="Q36" s="110"/>
      <c r="R36" s="111"/>
      <c r="S36" s="111"/>
      <c r="T36" s="111"/>
      <c r="AI36" s="92"/>
      <c r="AJ36" s="92"/>
    </row>
    <row r="37" spans="1:36" x14ac:dyDescent="0.2">
      <c r="A37" s="117">
        <f t="shared" si="4"/>
        <v>21</v>
      </c>
      <c r="B37" s="127">
        <f t="shared" si="5"/>
        <v>42857.142857142899</v>
      </c>
      <c r="C37" s="128">
        <v>1.7000000000000001E-2</v>
      </c>
      <c r="D37" s="129">
        <f t="shared" si="6"/>
        <v>34214.142857142899</v>
      </c>
      <c r="E37" s="129">
        <f t="shared" si="0"/>
        <v>1700.0000000000002</v>
      </c>
      <c r="F37" s="132">
        <f t="shared" si="1"/>
        <v>-242.99999999999997</v>
      </c>
      <c r="G37" s="129">
        <f t="shared" si="7"/>
        <v>872.46064285714385</v>
      </c>
      <c r="H37" s="129">
        <f t="shared" si="8"/>
        <v>1577.2719857142877</v>
      </c>
      <c r="I37" s="129">
        <f t="shared" si="9"/>
        <v>2857.1428571428573</v>
      </c>
      <c r="J37" s="129">
        <f t="shared" si="2"/>
        <v>38.571428571428605</v>
      </c>
      <c r="K37" s="129">
        <f t="shared" si="10"/>
        <v>832.76970338195292</v>
      </c>
      <c r="L37" s="129">
        <f t="shared" si="3"/>
        <v>5935.2166176676701</v>
      </c>
      <c r="M37" s="131">
        <f t="shared" si="11"/>
        <v>36240.697783099196</v>
      </c>
      <c r="O37" s="67"/>
      <c r="P37" s="89"/>
      <c r="Q37" s="110"/>
    </row>
    <row r="38" spans="1:36" x14ac:dyDescent="0.2">
      <c r="A38" s="117">
        <f t="shared" si="4"/>
        <v>22</v>
      </c>
      <c r="B38" s="127">
        <f t="shared" si="5"/>
        <v>40000.000000000044</v>
      </c>
      <c r="C38" s="128">
        <v>0</v>
      </c>
      <c r="D38" s="129">
        <f t="shared" si="6"/>
        <v>31600.00000000004</v>
      </c>
      <c r="E38" s="129">
        <f t="shared" si="0"/>
        <v>0</v>
      </c>
      <c r="F38" s="132">
        <f t="shared" si="1"/>
        <v>-600</v>
      </c>
      <c r="G38" s="129">
        <f t="shared" si="7"/>
        <v>805.80000000000098</v>
      </c>
      <c r="H38" s="129">
        <f t="shared" si="8"/>
        <v>1456.7600000000018</v>
      </c>
      <c r="I38" s="129">
        <f t="shared" si="9"/>
        <v>2857.1428571428573</v>
      </c>
      <c r="J38" s="129">
        <f t="shared" si="2"/>
        <v>36.000000000000036</v>
      </c>
      <c r="K38" s="129">
        <f t="shared" si="10"/>
        <v>1234.3171681681433</v>
      </c>
      <c r="L38" s="129">
        <f t="shared" si="3"/>
        <v>5790.0200253110033</v>
      </c>
      <c r="M38" s="131">
        <f t="shared" si="11"/>
        <v>34901.803226867793</v>
      </c>
      <c r="O38" s="67"/>
      <c r="P38" s="89"/>
      <c r="Q38" s="110"/>
    </row>
    <row r="39" spans="1:36" x14ac:dyDescent="0.2">
      <c r="A39" s="117">
        <f t="shared" si="4"/>
        <v>23</v>
      </c>
      <c r="B39" s="127">
        <f t="shared" si="5"/>
        <v>37142.857142857189</v>
      </c>
      <c r="C39" s="128">
        <v>0</v>
      </c>
      <c r="D39" s="129">
        <f t="shared" si="6"/>
        <v>29342.857142857181</v>
      </c>
      <c r="E39" s="129">
        <f t="shared" si="0"/>
        <v>0</v>
      </c>
      <c r="F39" s="132">
        <f t="shared" si="1"/>
        <v>-600</v>
      </c>
      <c r="G39" s="129">
        <f t="shared" si="7"/>
        <v>748.24285714285804</v>
      </c>
      <c r="H39" s="129">
        <f t="shared" si="8"/>
        <v>1352.7057142857161</v>
      </c>
      <c r="I39" s="129">
        <f t="shared" si="9"/>
        <v>2857.1428571428573</v>
      </c>
      <c r="J39" s="129">
        <f t="shared" si="2"/>
        <v>33.428571428571466</v>
      </c>
      <c r="K39" s="129">
        <f t="shared" si="10"/>
        <v>1199.220272401802</v>
      </c>
      <c r="L39" s="129">
        <f t="shared" si="3"/>
        <v>5590.7402724018048</v>
      </c>
      <c r="M39" s="131">
        <f t="shared" si="11"/>
        <v>33512.439129247323</v>
      </c>
      <c r="O39" s="67"/>
      <c r="P39" s="89"/>
      <c r="Q39" s="110"/>
    </row>
    <row r="40" spans="1:36" x14ac:dyDescent="0.2">
      <c r="A40" s="117">
        <f t="shared" si="4"/>
        <v>24</v>
      </c>
      <c r="B40" s="127">
        <f t="shared" si="5"/>
        <v>34285.714285714334</v>
      </c>
      <c r="C40" s="128">
        <v>0</v>
      </c>
      <c r="D40" s="129">
        <f t="shared" si="6"/>
        <v>27085.714285714323</v>
      </c>
      <c r="E40" s="129">
        <f t="shared" si="0"/>
        <v>0</v>
      </c>
      <c r="F40" s="132">
        <f t="shared" si="1"/>
        <v>-600</v>
      </c>
      <c r="G40" s="129">
        <f t="shared" si="7"/>
        <v>690.68571428571522</v>
      </c>
      <c r="H40" s="129">
        <f t="shared" si="8"/>
        <v>1248.6514285714304</v>
      </c>
      <c r="I40" s="129">
        <f t="shared" si="9"/>
        <v>2857.1428571428573</v>
      </c>
      <c r="J40" s="129">
        <f t="shared" si="2"/>
        <v>30.8571428571429</v>
      </c>
      <c r="K40" s="129">
        <f t="shared" si="10"/>
        <v>1164.1233766354608</v>
      </c>
      <c r="L40" s="129">
        <f t="shared" si="3"/>
        <v>5391.4605194926071</v>
      </c>
      <c r="M40" s="131">
        <f t="shared" si="11"/>
        <v>32123.07503162685</v>
      </c>
      <c r="O40" s="67"/>
      <c r="P40" s="89"/>
      <c r="Q40" s="110"/>
    </row>
    <row r="41" spans="1:36" x14ac:dyDescent="0.2">
      <c r="A41" s="117">
        <f t="shared" si="4"/>
        <v>25</v>
      </c>
      <c r="B41" s="127">
        <f t="shared" si="5"/>
        <v>31428.571428571475</v>
      </c>
      <c r="C41" s="128">
        <v>0</v>
      </c>
      <c r="D41" s="129">
        <f t="shared" si="6"/>
        <v>24828.571428571464</v>
      </c>
      <c r="E41" s="129">
        <f t="shared" si="0"/>
        <v>0</v>
      </c>
      <c r="F41" s="132">
        <f t="shared" si="1"/>
        <v>-600</v>
      </c>
      <c r="G41" s="129">
        <f t="shared" si="7"/>
        <v>633.12857142857229</v>
      </c>
      <c r="H41" s="129">
        <f t="shared" si="8"/>
        <v>1144.5971428571445</v>
      </c>
      <c r="I41" s="129">
        <f t="shared" si="9"/>
        <v>2857.1428571428573</v>
      </c>
      <c r="J41" s="129">
        <f t="shared" si="2"/>
        <v>28.285714285714327</v>
      </c>
      <c r="K41" s="129">
        <f t="shared" si="10"/>
        <v>1129.0264808691193</v>
      </c>
      <c r="L41" s="129">
        <f t="shared" si="3"/>
        <v>5192.1807665834076</v>
      </c>
      <c r="M41" s="131">
        <f t="shared" si="11"/>
        <v>30733.710934006376</v>
      </c>
      <c r="O41" s="67"/>
      <c r="P41" s="89"/>
      <c r="Q41" s="110"/>
    </row>
    <row r="42" spans="1:36" x14ac:dyDescent="0.2">
      <c r="A42" s="117">
        <f t="shared" si="4"/>
        <v>26</v>
      </c>
      <c r="B42" s="127">
        <f t="shared" si="5"/>
        <v>28571.428571428616</v>
      </c>
      <c r="C42" s="128">
        <v>0</v>
      </c>
      <c r="D42" s="129">
        <f t="shared" si="6"/>
        <v>22571.428571428605</v>
      </c>
      <c r="E42" s="129">
        <f t="shared" si="0"/>
        <v>0</v>
      </c>
      <c r="F42" s="132">
        <f t="shared" si="1"/>
        <v>-600</v>
      </c>
      <c r="G42" s="129">
        <f t="shared" si="7"/>
        <v>575.57142857142935</v>
      </c>
      <c r="H42" s="129">
        <f t="shared" si="8"/>
        <v>1040.5428571428588</v>
      </c>
      <c r="I42" s="129">
        <f t="shared" si="9"/>
        <v>2857.1428571428573</v>
      </c>
      <c r="J42" s="129">
        <f t="shared" si="2"/>
        <v>25.714285714285754</v>
      </c>
      <c r="K42" s="129">
        <f t="shared" si="10"/>
        <v>1093.929585102778</v>
      </c>
      <c r="L42" s="129">
        <f t="shared" si="3"/>
        <v>4992.901013674209</v>
      </c>
      <c r="M42" s="131">
        <f t="shared" si="11"/>
        <v>29344.346836385906</v>
      </c>
      <c r="O42" s="67"/>
      <c r="P42" s="89"/>
      <c r="Q42" s="110"/>
    </row>
    <row r="43" spans="1:36" x14ac:dyDescent="0.2">
      <c r="A43" s="117">
        <f t="shared" si="4"/>
        <v>27</v>
      </c>
      <c r="B43" s="127">
        <f t="shared" si="5"/>
        <v>25714.285714285757</v>
      </c>
      <c r="C43" s="128">
        <v>0</v>
      </c>
      <c r="D43" s="129">
        <f t="shared" si="6"/>
        <v>20314.285714285747</v>
      </c>
      <c r="E43" s="129">
        <f t="shared" si="0"/>
        <v>0</v>
      </c>
      <c r="F43" s="132">
        <f t="shared" si="1"/>
        <v>-600</v>
      </c>
      <c r="G43" s="129">
        <f t="shared" si="7"/>
        <v>518.01428571428653</v>
      </c>
      <c r="H43" s="129">
        <f t="shared" si="8"/>
        <v>936.48857142857298</v>
      </c>
      <c r="I43" s="129">
        <f t="shared" si="9"/>
        <v>2857.1428571428573</v>
      </c>
      <c r="J43" s="129">
        <f t="shared" si="2"/>
        <v>23.142857142857181</v>
      </c>
      <c r="K43" s="129">
        <f t="shared" si="10"/>
        <v>1058.8326893364367</v>
      </c>
      <c r="L43" s="129">
        <f t="shared" si="3"/>
        <v>4793.6212607650114</v>
      </c>
      <c r="M43" s="131">
        <f>NPV($L$9,L43:L51)</f>
        <v>26452.501056196932</v>
      </c>
      <c r="O43" s="67"/>
      <c r="P43" s="89"/>
      <c r="Q43" s="110"/>
    </row>
    <row r="44" spans="1:36" x14ac:dyDescent="0.2">
      <c r="A44" s="117">
        <f t="shared" si="4"/>
        <v>28</v>
      </c>
      <c r="B44" s="127">
        <f t="shared" si="5"/>
        <v>22857.142857142899</v>
      </c>
      <c r="C44" s="128">
        <v>0</v>
      </c>
      <c r="D44" s="129">
        <f t="shared" si="6"/>
        <v>18057.142857142888</v>
      </c>
      <c r="E44" s="129">
        <f t="shared" si="0"/>
        <v>0</v>
      </c>
      <c r="F44" s="132">
        <f t="shared" si="1"/>
        <v>-600</v>
      </c>
      <c r="G44" s="129">
        <f t="shared" si="7"/>
        <v>460.45714285714359</v>
      </c>
      <c r="H44" s="129">
        <f t="shared" si="8"/>
        <v>832.43428571428717</v>
      </c>
      <c r="I44" s="129">
        <f t="shared" si="9"/>
        <v>2857.1428571428573</v>
      </c>
      <c r="J44" s="129">
        <f t="shared" si="2"/>
        <v>20.571428571428608</v>
      </c>
      <c r="K44" s="129">
        <f t="shared" si="10"/>
        <v>1023.7357935700952</v>
      </c>
      <c r="L44" s="129">
        <f t="shared" si="3"/>
        <v>4594.3415078558119</v>
      </c>
      <c r="M44" s="131">
        <f>NPV($L$9,L44:L51)</f>
        <v>23552.878871055618</v>
      </c>
      <c r="O44" s="67"/>
      <c r="P44" s="89"/>
      <c r="Q44" s="110"/>
    </row>
    <row r="45" spans="1:36" x14ac:dyDescent="0.2">
      <c r="A45" s="117">
        <f t="shared" si="4"/>
        <v>29</v>
      </c>
      <c r="B45" s="127">
        <f t="shared" si="5"/>
        <v>20000.00000000004</v>
      </c>
      <c r="C45" s="128">
        <v>0</v>
      </c>
      <c r="D45" s="129">
        <f>D44-F44-I44</f>
        <v>15800.000000000031</v>
      </c>
      <c r="E45" s="129">
        <f t="shared" si="0"/>
        <v>0</v>
      </c>
      <c r="F45" s="132">
        <f t="shared" si="1"/>
        <v>-600</v>
      </c>
      <c r="G45" s="129">
        <f t="shared" si="7"/>
        <v>402.90000000000077</v>
      </c>
      <c r="H45" s="129">
        <f t="shared" si="8"/>
        <v>728.38000000000147</v>
      </c>
      <c r="I45" s="129">
        <f t="shared" si="9"/>
        <v>2857.1428571428573</v>
      </c>
      <c r="J45" s="129">
        <f t="shared" si="2"/>
        <v>18.000000000000036</v>
      </c>
      <c r="K45" s="129">
        <f t="shared" si="10"/>
        <v>988.63889780375405</v>
      </c>
      <c r="L45" s="129">
        <f t="shared" si="3"/>
        <v>4395.0617549466133</v>
      </c>
      <c r="M45" s="131">
        <f>NPV($L$9,L45:L51)</f>
        <v>20644.92349036739</v>
      </c>
      <c r="O45" s="67"/>
      <c r="P45" s="89"/>
      <c r="Q45" s="110"/>
      <c r="R45" s="111"/>
      <c r="S45" s="111"/>
      <c r="T45" s="111"/>
    </row>
    <row r="46" spans="1:36" x14ac:dyDescent="0.2">
      <c r="A46" s="117">
        <f t="shared" si="4"/>
        <v>30</v>
      </c>
      <c r="B46" s="127">
        <f t="shared" si="5"/>
        <v>17142.857142857181</v>
      </c>
      <c r="C46" s="128">
        <v>0</v>
      </c>
      <c r="D46" s="129">
        <f t="shared" si="6"/>
        <v>13542.857142857172</v>
      </c>
      <c r="E46" s="129">
        <f t="shared" si="0"/>
        <v>0</v>
      </c>
      <c r="F46" s="132">
        <f t="shared" si="1"/>
        <v>-600</v>
      </c>
      <c r="G46" s="129">
        <f t="shared" si="7"/>
        <v>345.34285714285789</v>
      </c>
      <c r="H46" s="129">
        <f t="shared" si="8"/>
        <v>624.32571428571566</v>
      </c>
      <c r="I46" s="129">
        <f t="shared" si="9"/>
        <v>2857.1428571428573</v>
      </c>
      <c r="J46" s="129">
        <f t="shared" si="2"/>
        <v>15.428571428571463</v>
      </c>
      <c r="K46" s="129">
        <f t="shared" si="10"/>
        <v>953.54200203741266</v>
      </c>
      <c r="L46" s="129">
        <f t="shared" si="3"/>
        <v>4195.7820020374147</v>
      </c>
      <c r="M46" s="131">
        <f>NPV($L$9,L46:L51)</f>
        <v>17728.038257331089</v>
      </c>
      <c r="O46" s="67"/>
      <c r="P46" s="89"/>
      <c r="Q46" s="110"/>
    </row>
    <row r="47" spans="1:36" x14ac:dyDescent="0.2">
      <c r="A47" s="117">
        <f t="shared" si="4"/>
        <v>31</v>
      </c>
      <c r="B47" s="127">
        <f t="shared" si="5"/>
        <v>14285.714285714324</v>
      </c>
      <c r="C47" s="128">
        <v>0</v>
      </c>
      <c r="D47" s="129">
        <f t="shared" si="6"/>
        <v>11285.714285714315</v>
      </c>
      <c r="E47" s="129">
        <f t="shared" si="0"/>
        <v>0</v>
      </c>
      <c r="F47" s="132">
        <f t="shared" si="1"/>
        <v>-600</v>
      </c>
      <c r="G47" s="129">
        <f t="shared" si="7"/>
        <v>287.78571428571502</v>
      </c>
      <c r="H47" s="129">
        <f t="shared" si="8"/>
        <v>520.27142857142996</v>
      </c>
      <c r="I47" s="129">
        <f t="shared" si="9"/>
        <v>2857.1428571428573</v>
      </c>
      <c r="J47" s="129">
        <f t="shared" si="2"/>
        <v>12.857142857142891</v>
      </c>
      <c r="K47" s="129">
        <f t="shared" si="10"/>
        <v>918.4451062710715</v>
      </c>
      <c r="L47" s="129">
        <f t="shared" si="3"/>
        <v>3996.502249128217</v>
      </c>
      <c r="M47" s="131">
        <f>NPV($L$9,L47:L51)</f>
        <v>14801.583794518585</v>
      </c>
      <c r="O47" s="67"/>
      <c r="P47" s="89"/>
      <c r="Q47" s="110"/>
    </row>
    <row r="48" spans="1:36" x14ac:dyDescent="0.2">
      <c r="A48" s="117">
        <f t="shared" si="4"/>
        <v>32</v>
      </c>
      <c r="B48" s="127">
        <f t="shared" si="5"/>
        <v>11428.571428571468</v>
      </c>
      <c r="C48" s="128">
        <v>0</v>
      </c>
      <c r="D48" s="129">
        <f t="shared" si="6"/>
        <v>9028.5714285714585</v>
      </c>
      <c r="E48" s="129">
        <f t="shared" si="0"/>
        <v>0</v>
      </c>
      <c r="F48" s="132">
        <f t="shared" si="1"/>
        <v>-600</v>
      </c>
      <c r="G48" s="129">
        <f t="shared" si="7"/>
        <v>230.22857142857217</v>
      </c>
      <c r="H48" s="129">
        <f t="shared" si="8"/>
        <v>416.21714285714427</v>
      </c>
      <c r="I48" s="129">
        <f t="shared" si="9"/>
        <v>2857.1428571428573</v>
      </c>
      <c r="J48" s="129">
        <f t="shared" si="2"/>
        <v>10.28571428571432</v>
      </c>
      <c r="K48" s="129">
        <f t="shared" si="10"/>
        <v>883.34821050472999</v>
      </c>
      <c r="L48" s="129">
        <f t="shared" si="3"/>
        <v>3797.222496219018</v>
      </c>
      <c r="M48" s="131">
        <f>NPV($L$9,L48:L51)</f>
        <v>11864.8749450779</v>
      </c>
      <c r="O48" s="67"/>
      <c r="P48" s="89"/>
      <c r="Q48" s="110"/>
    </row>
    <row r="49" spans="1:17" x14ac:dyDescent="0.2">
      <c r="A49" s="117">
        <f t="shared" si="4"/>
        <v>33</v>
      </c>
      <c r="B49" s="127">
        <f t="shared" si="5"/>
        <v>8571.4285714286107</v>
      </c>
      <c r="C49" s="128">
        <v>0</v>
      </c>
      <c r="D49" s="129">
        <f t="shared" si="6"/>
        <v>6771.4285714286016</v>
      </c>
      <c r="E49" s="129">
        <f t="shared" si="0"/>
        <v>0</v>
      </c>
      <c r="F49" s="132">
        <f t="shared" si="1"/>
        <v>-600</v>
      </c>
      <c r="G49" s="129">
        <f t="shared" si="7"/>
        <v>172.67142857142932</v>
      </c>
      <c r="H49" s="129">
        <f t="shared" si="8"/>
        <v>312.16285714285857</v>
      </c>
      <c r="I49" s="129">
        <f t="shared" si="9"/>
        <v>2857.1428571428573</v>
      </c>
      <c r="J49" s="129">
        <f t="shared" si="2"/>
        <v>7.7142857142857491</v>
      </c>
      <c r="K49" s="129">
        <f t="shared" si="10"/>
        <v>848.25131473838883</v>
      </c>
      <c r="L49" s="129">
        <f t="shared" si="3"/>
        <v>3597.9427433098199</v>
      </c>
      <c r="M49" s="131">
        <f>NPV($L$9,L49:L51)</f>
        <v>8917.17749492646</v>
      </c>
      <c r="O49" s="67"/>
      <c r="P49" s="89"/>
      <c r="Q49" s="110"/>
    </row>
    <row r="50" spans="1:17" x14ac:dyDescent="0.2">
      <c r="A50" s="117">
        <f t="shared" si="4"/>
        <v>34</v>
      </c>
      <c r="B50" s="127">
        <f t="shared" si="5"/>
        <v>5714.2857142857538</v>
      </c>
      <c r="C50" s="128">
        <v>0</v>
      </c>
      <c r="D50" s="129">
        <f t="shared" si="6"/>
        <v>4514.2857142857447</v>
      </c>
      <c r="E50" s="129">
        <f t="shared" si="0"/>
        <v>0</v>
      </c>
      <c r="F50" s="132">
        <f t="shared" si="1"/>
        <v>-600</v>
      </c>
      <c r="G50" s="129">
        <f t="shared" si="7"/>
        <v>115.11428571428648</v>
      </c>
      <c r="H50" s="129">
        <f t="shared" si="8"/>
        <v>208.10857142857284</v>
      </c>
      <c r="I50" s="129">
        <f t="shared" si="9"/>
        <v>2857.1428571428573</v>
      </c>
      <c r="J50" s="129">
        <f t="shared" si="2"/>
        <v>5.1428571428571779</v>
      </c>
      <c r="K50" s="129">
        <f t="shared" si="10"/>
        <v>813.15441897204744</v>
      </c>
      <c r="L50" s="129">
        <f t="shared" si="3"/>
        <v>3398.6629904006213</v>
      </c>
      <c r="M50" s="131">
        <f>NPV($L$9,L50:L51)</f>
        <v>5957.7046602533756</v>
      </c>
      <c r="O50" s="67"/>
      <c r="P50" s="89"/>
      <c r="Q50" s="110"/>
    </row>
    <row r="51" spans="1:17" x14ac:dyDescent="0.2">
      <c r="A51" s="117">
        <f t="shared" si="4"/>
        <v>35</v>
      </c>
      <c r="B51" s="127">
        <f t="shared" ref="B51" si="12">B50-I50</f>
        <v>2857.1428571428964</v>
      </c>
      <c r="C51" s="128">
        <v>0</v>
      </c>
      <c r="D51" s="129">
        <f t="shared" ref="D51" si="13">D50-F50-I50</f>
        <v>2257.1428571428874</v>
      </c>
      <c r="E51" s="129">
        <f t="shared" ref="E51" si="14">D$13*C51</f>
        <v>0</v>
      </c>
      <c r="F51" s="132">
        <f t="shared" ref="F51" si="15">H$14*(E51-I51*D$13/D$12)</f>
        <v>-600</v>
      </c>
      <c r="G51" s="129">
        <f t="shared" si="7"/>
        <v>57.557142857143624</v>
      </c>
      <c r="H51" s="129">
        <f t="shared" si="8"/>
        <v>104.05428571428712</v>
      </c>
      <c r="I51" s="129">
        <f t="shared" ref="I51" si="16">D$12/H$12</f>
        <v>2857.1428571428573</v>
      </c>
      <c r="J51" s="129">
        <f t="shared" ref="J51" si="17">+B51*$H$11</f>
        <v>2.5714285714286067</v>
      </c>
      <c r="K51" s="129">
        <f t="shared" ref="K51" si="18">(H$13/(1-H$13))*(H51+I51-E51+F51+J51)</f>
        <v>778.05752320570616</v>
      </c>
      <c r="L51" s="129">
        <f t="shared" ref="L51" si="19">SUM(F51:K51)</f>
        <v>3199.3832374914227</v>
      </c>
      <c r="M51" s="131">
        <f>NPV($L$9,L51:L51)</f>
        <v>2985.6133235268967</v>
      </c>
      <c r="O51" s="67"/>
      <c r="P51" s="89"/>
      <c r="Q51" s="110"/>
    </row>
    <row r="52" spans="1:17" x14ac:dyDescent="0.2">
      <c r="A52" s="139">
        <f t="shared" si="4"/>
        <v>36</v>
      </c>
      <c r="B52" s="127">
        <f t="shared" ref="B52" si="20">B51-I51</f>
        <v>3.9108272176235914E-11</v>
      </c>
      <c r="C52" s="128">
        <v>0</v>
      </c>
      <c r="D52" s="129">
        <f t="shared" ref="D52" si="21">D51-F51-I51</f>
        <v>3.0013325158506632E-11</v>
      </c>
      <c r="E52" s="129">
        <f t="shared" ref="E52" si="22">D$13*C52</f>
        <v>0</v>
      </c>
      <c r="F52" s="132">
        <f t="shared" ref="F52" si="23">H$14*(E52-I52*D$13/D$12)</f>
        <v>-600</v>
      </c>
      <c r="G52" s="129">
        <f t="shared" ref="G52" si="24">L$5*D52</f>
        <v>7.6533979154191903E-13</v>
      </c>
      <c r="H52" s="129">
        <f t="shared" ref="H52" si="25">D52*(L$6+L$7)</f>
        <v>1.3836142898071558E-12</v>
      </c>
      <c r="I52" s="129">
        <f t="shared" ref="I52" si="26">D$12/H$12</f>
        <v>2857.1428571428573</v>
      </c>
      <c r="J52" s="129">
        <f t="shared" ref="J52" si="27">+B52*$H$11</f>
        <v>3.5197444958612321E-14</v>
      </c>
      <c r="K52" s="129">
        <f t="shared" ref="K52" si="28">(H$13/(1-H$13))*(H52+I52-E52+F52+J52)</f>
        <v>742.96062743936477</v>
      </c>
      <c r="L52" s="129">
        <f t="shared" ref="L52" si="29">SUM(F52:K52)</f>
        <v>3000.1034845822242</v>
      </c>
      <c r="M52" s="131">
        <f>NPV($L$9,L52:L52)</f>
        <v>2799.648641827383</v>
      </c>
      <c r="O52" s="67"/>
      <c r="P52" s="89"/>
      <c r="Q52" s="110"/>
    </row>
    <row r="53" spans="1:17" x14ac:dyDescent="0.2">
      <c r="A53" s="117" t="s">
        <v>13</v>
      </c>
      <c r="B53" s="127"/>
      <c r="C53" s="107" t="s">
        <v>13</v>
      </c>
      <c r="D53" s="129" t="s">
        <v>13</v>
      </c>
      <c r="E53" s="129" t="s">
        <v>13</v>
      </c>
      <c r="F53" s="129" t="s">
        <v>13</v>
      </c>
      <c r="G53" s="129" t="s">
        <v>13</v>
      </c>
      <c r="H53" s="129" t="s">
        <v>13</v>
      </c>
      <c r="I53" s="129" t="s">
        <v>13</v>
      </c>
      <c r="J53" s="129" t="s">
        <v>13</v>
      </c>
      <c r="K53" s="129" t="s">
        <v>13</v>
      </c>
      <c r="L53" s="129" t="s">
        <v>13</v>
      </c>
      <c r="M53" s="131"/>
      <c r="O53" s="112"/>
      <c r="P53" s="112"/>
      <c r="Q53" s="112"/>
    </row>
    <row r="54" spans="1:17" s="79" customFormat="1" x14ac:dyDescent="0.2">
      <c r="A54" s="150" t="s">
        <v>12</v>
      </c>
      <c r="B54" s="151"/>
      <c r="C54" s="142">
        <f>SUM(C17:C52)</f>
        <v>1.0000000000000002</v>
      </c>
      <c r="D54" s="152" t="s">
        <v>11</v>
      </c>
      <c r="E54" s="152">
        <f t="shared" ref="E54:L54" si="30">SUM(E17:E52)</f>
        <v>100000</v>
      </c>
      <c r="F54" s="152">
        <f t="shared" si="30"/>
        <v>-600.00000000000182</v>
      </c>
      <c r="G54" s="152">
        <f t="shared" si="30"/>
        <v>41682.402000000016</v>
      </c>
      <c r="H54" s="152">
        <f t="shared" si="30"/>
        <v>75355.244400000083</v>
      </c>
      <c r="I54" s="152">
        <f t="shared" si="30"/>
        <v>102857.14285714283</v>
      </c>
      <c r="J54" s="152">
        <f t="shared" si="30"/>
        <v>1620.0000000000011</v>
      </c>
      <c r="K54" s="152">
        <f t="shared" si="30"/>
        <v>26080.114496873364</v>
      </c>
      <c r="L54" s="152">
        <f t="shared" si="30"/>
        <v>246994.90375401624</v>
      </c>
      <c r="M54" s="153"/>
      <c r="O54" s="154"/>
      <c r="P54" s="154"/>
      <c r="Q54" s="154"/>
    </row>
    <row r="55" spans="1:17" s="79" customFormat="1" x14ac:dyDescent="0.2">
      <c r="A55" s="94"/>
      <c r="B55" s="151"/>
      <c r="C55" s="145"/>
      <c r="D55" s="155"/>
      <c r="E55" s="155"/>
      <c r="F55" s="152"/>
      <c r="G55" s="152"/>
      <c r="H55" s="152"/>
      <c r="I55" s="152"/>
      <c r="J55" s="152"/>
      <c r="K55" s="152"/>
      <c r="L55" s="152"/>
      <c r="M55" s="153"/>
    </row>
    <row r="56" spans="1:17" s="79" customFormat="1" x14ac:dyDescent="0.2">
      <c r="A56" s="94"/>
      <c r="B56" s="151"/>
      <c r="C56" s="268" t="s">
        <v>10</v>
      </c>
      <c r="D56" s="268"/>
      <c r="E56" s="152">
        <f t="shared" ref="E56:L56" si="31">NPV($L9,E17:E52)</f>
        <v>53882.889170710005</v>
      </c>
      <c r="F56" s="152">
        <f t="shared" si="31"/>
        <v>3630.6401641596967</v>
      </c>
      <c r="G56" s="152">
        <f t="shared" si="31"/>
        <v>21355.347541571024</v>
      </c>
      <c r="H56" s="152">
        <f t="shared" si="31"/>
        <v>38607.118496722505</v>
      </c>
      <c r="I56" s="152">
        <f t="shared" si="31"/>
        <v>36594.126484235254</v>
      </c>
      <c r="J56" s="152">
        <f t="shared" si="31"/>
        <v>799.98029643816551</v>
      </c>
      <c r="K56" s="152">
        <f t="shared" si="31"/>
        <v>8475.5271495418601</v>
      </c>
      <c r="L56" s="152">
        <f t="shared" si="31"/>
        <v>109462.74013266849</v>
      </c>
      <c r="M56" s="153"/>
      <c r="O56" s="141"/>
      <c r="P56" s="141"/>
      <c r="Q56" s="141"/>
    </row>
    <row r="57" spans="1:17" x14ac:dyDescent="0.2">
      <c r="B57" s="105"/>
      <c r="C57" s="105"/>
      <c r="D57" s="105"/>
      <c r="E57" s="105"/>
      <c r="F57" s="105"/>
      <c r="G57" s="105"/>
      <c r="H57" s="105"/>
      <c r="I57" s="105"/>
      <c r="J57" s="105"/>
      <c r="K57" s="105"/>
      <c r="L57" s="105"/>
      <c r="M57" s="105"/>
      <c r="O57" s="105"/>
    </row>
    <row r="58" spans="1:17" x14ac:dyDescent="0.2">
      <c r="B58" s="116"/>
      <c r="C58" s="133"/>
      <c r="D58" s="116"/>
      <c r="E58" s="116"/>
      <c r="F58" s="116"/>
      <c r="G58" s="116"/>
      <c r="H58" s="116"/>
      <c r="I58" s="116"/>
      <c r="J58" s="116"/>
      <c r="K58" s="116"/>
      <c r="L58" s="116"/>
      <c r="M58" s="116"/>
      <c r="O58" s="116"/>
    </row>
    <row r="59" spans="1:17" x14ac:dyDescent="0.2">
      <c r="B59" s="116"/>
      <c r="C59" s="116"/>
      <c r="D59" s="116"/>
      <c r="E59" s="116"/>
      <c r="F59" s="116"/>
      <c r="G59" s="116"/>
      <c r="H59" s="116"/>
      <c r="I59" s="116"/>
      <c r="J59" s="116"/>
      <c r="K59" s="116"/>
      <c r="L59" s="116"/>
      <c r="M59" s="116"/>
      <c r="O59" s="116"/>
    </row>
    <row r="60" spans="1:17" x14ac:dyDescent="0.2">
      <c r="B60" s="116"/>
      <c r="C60" s="116"/>
      <c r="D60" s="116"/>
      <c r="E60" s="116"/>
      <c r="F60" s="116"/>
      <c r="G60" s="116"/>
      <c r="H60" s="116"/>
      <c r="I60" s="116"/>
      <c r="J60" s="116"/>
      <c r="K60" s="116"/>
      <c r="L60" s="116"/>
      <c r="M60" s="116"/>
      <c r="O60" s="116"/>
    </row>
    <row r="61" spans="1:17" x14ac:dyDescent="0.2">
      <c r="B61" s="105"/>
      <c r="C61" s="116"/>
      <c r="D61" s="116"/>
      <c r="E61" s="116"/>
      <c r="F61" s="116"/>
      <c r="G61" s="116"/>
      <c r="H61" s="116"/>
      <c r="I61" s="116"/>
      <c r="J61" s="116"/>
      <c r="K61" s="116"/>
      <c r="L61" s="116"/>
      <c r="M61" s="116"/>
      <c r="O61" s="116"/>
    </row>
    <row r="62" spans="1:17" x14ac:dyDescent="0.2">
      <c r="B62" s="116"/>
      <c r="C62" s="116"/>
      <c r="D62" s="116"/>
      <c r="E62" s="116"/>
      <c r="F62" s="116"/>
      <c r="G62" s="116"/>
      <c r="H62" s="116"/>
      <c r="I62" s="116"/>
      <c r="J62" s="116"/>
      <c r="K62" s="116"/>
      <c r="L62" s="116"/>
      <c r="M62" s="116"/>
      <c r="O62" s="116"/>
    </row>
    <row r="63" spans="1:17" x14ac:dyDescent="0.2">
      <c r="B63" s="116"/>
      <c r="C63" s="116"/>
      <c r="D63" s="116"/>
      <c r="E63" s="116"/>
      <c r="F63" s="116"/>
      <c r="G63" s="116"/>
      <c r="H63" s="116"/>
      <c r="I63" s="116"/>
      <c r="J63" s="116"/>
      <c r="K63" s="116"/>
      <c r="L63" s="116"/>
      <c r="M63" s="116"/>
      <c r="O63" s="116"/>
    </row>
    <row r="64" spans="1:17" x14ac:dyDescent="0.2">
      <c r="B64" s="116"/>
      <c r="C64" s="116"/>
      <c r="D64" s="116"/>
      <c r="E64" s="116"/>
      <c r="F64" s="116"/>
      <c r="G64" s="116"/>
      <c r="H64" s="116"/>
      <c r="I64" s="116"/>
      <c r="J64" s="116"/>
      <c r="K64" s="116"/>
      <c r="L64" s="116"/>
      <c r="M64" s="116"/>
      <c r="O64" s="116"/>
    </row>
    <row r="65" spans="2:15" x14ac:dyDescent="0.2">
      <c r="B65" s="116"/>
      <c r="C65" s="116"/>
      <c r="D65" s="116"/>
      <c r="E65" s="116"/>
      <c r="F65" s="116"/>
      <c r="G65" s="116"/>
      <c r="H65" s="116"/>
      <c r="I65" s="116"/>
      <c r="J65" s="116"/>
      <c r="K65" s="116"/>
      <c r="L65" s="116"/>
      <c r="M65" s="116"/>
      <c r="O65" s="116"/>
    </row>
    <row r="66" spans="2:15" x14ac:dyDescent="0.2">
      <c r="B66" s="116"/>
      <c r="C66" s="116"/>
      <c r="D66" s="116"/>
      <c r="E66" s="116"/>
      <c r="F66" s="116"/>
      <c r="G66" s="116"/>
      <c r="H66" s="116"/>
      <c r="I66" s="116"/>
      <c r="J66" s="116"/>
      <c r="K66" s="116"/>
      <c r="L66" s="116"/>
      <c r="M66" s="116"/>
      <c r="O66" s="116"/>
    </row>
    <row r="67" spans="2:15" x14ac:dyDescent="0.2">
      <c r="B67" s="116"/>
      <c r="C67" s="116"/>
      <c r="D67" s="116"/>
      <c r="E67" s="116"/>
      <c r="F67" s="116"/>
      <c r="G67" s="116"/>
      <c r="H67" s="116"/>
      <c r="I67" s="116"/>
      <c r="J67" s="116"/>
      <c r="K67" s="116"/>
      <c r="L67" s="116"/>
      <c r="M67" s="116"/>
      <c r="O67" s="116"/>
    </row>
    <row r="68" spans="2:15" x14ac:dyDescent="0.2">
      <c r="B68" s="116"/>
      <c r="C68" s="116"/>
      <c r="D68" s="116"/>
      <c r="E68" s="116"/>
      <c r="F68" s="116"/>
      <c r="G68" s="116"/>
      <c r="H68" s="116"/>
      <c r="I68" s="116"/>
      <c r="J68" s="116"/>
      <c r="K68" s="116"/>
      <c r="L68" s="116"/>
      <c r="M68" s="116"/>
      <c r="O68" s="116"/>
    </row>
    <row r="69" spans="2:15" x14ac:dyDescent="0.2">
      <c r="B69" s="116"/>
      <c r="C69" s="116"/>
      <c r="D69" s="116"/>
      <c r="E69" s="116"/>
      <c r="F69" s="116"/>
      <c r="G69" s="116"/>
      <c r="H69" s="116"/>
      <c r="I69" s="116"/>
      <c r="J69" s="116"/>
      <c r="K69" s="116"/>
      <c r="L69" s="116"/>
      <c r="M69" s="116"/>
      <c r="O69" s="116"/>
    </row>
    <row r="70" spans="2:15" x14ac:dyDescent="0.2">
      <c r="B70" s="116"/>
      <c r="C70" s="116"/>
      <c r="D70" s="116"/>
      <c r="E70" s="116"/>
      <c r="F70" s="116"/>
      <c r="G70" s="116"/>
      <c r="H70" s="116"/>
      <c r="I70" s="116"/>
      <c r="J70" s="116"/>
      <c r="K70" s="116"/>
      <c r="L70" s="116"/>
      <c r="M70" s="116"/>
      <c r="O70" s="116"/>
    </row>
    <row r="71" spans="2:15" x14ac:dyDescent="0.2">
      <c r="B71" s="116"/>
      <c r="C71" s="116"/>
      <c r="D71" s="116"/>
      <c r="E71" s="116"/>
      <c r="F71" s="116"/>
      <c r="G71" s="116"/>
      <c r="H71" s="116"/>
      <c r="I71" s="116"/>
      <c r="J71" s="116"/>
      <c r="K71" s="116"/>
      <c r="L71" s="116"/>
      <c r="M71" s="116"/>
      <c r="O71" s="116"/>
    </row>
    <row r="72" spans="2:15" x14ac:dyDescent="0.2">
      <c r="B72" s="116"/>
      <c r="C72" s="116"/>
      <c r="D72" s="116"/>
      <c r="E72" s="116"/>
      <c r="F72" s="116"/>
      <c r="G72" s="116"/>
      <c r="H72" s="116"/>
      <c r="I72" s="116"/>
      <c r="J72" s="116"/>
      <c r="K72" s="116"/>
      <c r="L72" s="116"/>
      <c r="M72" s="116"/>
      <c r="O72" s="116"/>
    </row>
    <row r="73" spans="2:15" x14ac:dyDescent="0.2">
      <c r="B73" s="116"/>
      <c r="C73" s="116"/>
      <c r="D73" s="116"/>
      <c r="E73" s="116"/>
      <c r="F73" s="116"/>
      <c r="G73" s="116"/>
      <c r="H73" s="116"/>
      <c r="I73" s="116"/>
      <c r="J73" s="116"/>
      <c r="K73" s="116"/>
      <c r="L73" s="116"/>
      <c r="M73" s="116"/>
      <c r="O73" s="116"/>
    </row>
    <row r="74" spans="2:15" x14ac:dyDescent="0.2">
      <c r="B74" s="116"/>
      <c r="C74" s="116"/>
      <c r="D74" s="116"/>
      <c r="E74" s="116"/>
      <c r="F74" s="116"/>
      <c r="G74" s="116"/>
      <c r="H74" s="116"/>
      <c r="I74" s="116"/>
      <c r="J74" s="116"/>
      <c r="K74" s="116"/>
      <c r="L74" s="116"/>
      <c r="M74" s="116"/>
      <c r="O74" s="116"/>
    </row>
    <row r="75" spans="2:15" x14ac:dyDescent="0.2">
      <c r="B75" s="116"/>
      <c r="C75" s="116"/>
      <c r="D75" s="116"/>
      <c r="E75" s="116"/>
      <c r="F75" s="116"/>
      <c r="G75" s="116"/>
      <c r="H75" s="116"/>
      <c r="I75" s="116"/>
      <c r="J75" s="116"/>
      <c r="K75" s="116"/>
      <c r="L75" s="116"/>
      <c r="M75" s="116"/>
      <c r="O75" s="116"/>
    </row>
    <row r="76" spans="2:15" x14ac:dyDescent="0.2">
      <c r="B76" s="116"/>
      <c r="C76" s="116"/>
      <c r="D76" s="116"/>
      <c r="E76" s="116"/>
      <c r="F76" s="116"/>
      <c r="G76" s="116"/>
      <c r="H76" s="116"/>
      <c r="I76" s="116"/>
      <c r="J76" s="116"/>
      <c r="K76" s="116"/>
      <c r="L76" s="116"/>
      <c r="M76" s="116"/>
      <c r="O76" s="116"/>
    </row>
    <row r="77" spans="2:15" x14ac:dyDescent="0.2">
      <c r="B77" s="116"/>
      <c r="C77" s="116"/>
      <c r="D77" s="116"/>
      <c r="E77" s="116"/>
      <c r="F77" s="116"/>
      <c r="G77" s="116"/>
      <c r="H77" s="116"/>
      <c r="I77" s="116"/>
      <c r="J77" s="116"/>
      <c r="K77" s="116"/>
      <c r="L77" s="116"/>
      <c r="M77" s="116"/>
      <c r="O77" s="116"/>
    </row>
    <row r="78" spans="2:15" x14ac:dyDescent="0.2">
      <c r="B78" s="116"/>
      <c r="C78" s="116"/>
      <c r="D78" s="116"/>
      <c r="E78" s="116"/>
      <c r="F78" s="116"/>
      <c r="G78" s="116"/>
      <c r="H78" s="116"/>
      <c r="I78" s="116"/>
      <c r="J78" s="116"/>
      <c r="K78" s="116"/>
      <c r="L78" s="116"/>
      <c r="M78" s="116"/>
      <c r="O78" s="116"/>
    </row>
    <row r="79" spans="2:15" x14ac:dyDescent="0.2">
      <c r="B79" s="116"/>
      <c r="C79" s="116"/>
      <c r="D79" s="116"/>
      <c r="E79" s="116"/>
      <c r="F79" s="116"/>
      <c r="G79" s="116"/>
      <c r="H79" s="116"/>
      <c r="I79" s="116"/>
      <c r="J79" s="116"/>
      <c r="K79" s="116"/>
      <c r="L79" s="116"/>
      <c r="M79" s="116"/>
      <c r="N79" s="116"/>
      <c r="O79" s="116"/>
    </row>
    <row r="80" spans="2:15" x14ac:dyDescent="0.2">
      <c r="B80" s="116"/>
      <c r="C80" s="116"/>
      <c r="D80" s="116"/>
      <c r="E80" s="116"/>
      <c r="F80" s="116"/>
      <c r="G80" s="116"/>
      <c r="H80" s="116"/>
      <c r="I80" s="116"/>
      <c r="J80" s="116"/>
      <c r="K80" s="116"/>
      <c r="L80" s="116"/>
      <c r="M80" s="116"/>
      <c r="N80" s="116"/>
      <c r="O80" s="116"/>
    </row>
    <row r="81" spans="2:15" x14ac:dyDescent="0.2">
      <c r="B81" s="116"/>
      <c r="C81" s="116"/>
      <c r="D81" s="116"/>
      <c r="E81" s="116"/>
      <c r="F81" s="116"/>
      <c r="G81" s="116"/>
      <c r="H81" s="116"/>
      <c r="I81" s="116"/>
      <c r="J81" s="116"/>
      <c r="K81" s="116"/>
      <c r="L81" s="116"/>
      <c r="M81" s="116"/>
      <c r="N81" s="116"/>
      <c r="O81" s="116"/>
    </row>
    <row r="82" spans="2:15" x14ac:dyDescent="0.2">
      <c r="B82" s="116"/>
      <c r="C82" s="116"/>
      <c r="D82" s="116"/>
      <c r="E82" s="116"/>
      <c r="F82" s="116"/>
      <c r="G82" s="116"/>
      <c r="H82" s="116"/>
      <c r="I82" s="116"/>
      <c r="J82" s="116"/>
      <c r="K82" s="116"/>
      <c r="L82" s="116"/>
      <c r="M82" s="116"/>
      <c r="N82" s="116"/>
      <c r="O82" s="116"/>
    </row>
    <row r="83" spans="2:15" x14ac:dyDescent="0.2">
      <c r="B83" s="116"/>
      <c r="C83" s="116"/>
      <c r="D83" s="116"/>
      <c r="E83" s="116"/>
      <c r="F83" s="116"/>
      <c r="G83" s="116"/>
      <c r="H83" s="116"/>
      <c r="I83" s="116"/>
      <c r="J83" s="116"/>
      <c r="K83" s="116"/>
      <c r="L83" s="116"/>
      <c r="M83" s="116"/>
      <c r="N83" s="116"/>
      <c r="O83" s="116"/>
    </row>
    <row r="84" spans="2:15" x14ac:dyDescent="0.2">
      <c r="B84" s="116"/>
      <c r="C84" s="116"/>
      <c r="D84" s="116"/>
      <c r="E84" s="116"/>
      <c r="F84" s="116"/>
      <c r="G84" s="116"/>
      <c r="H84" s="116"/>
      <c r="I84" s="116"/>
      <c r="J84" s="116"/>
      <c r="K84" s="116"/>
      <c r="L84" s="116"/>
      <c r="M84" s="116"/>
      <c r="N84" s="116"/>
      <c r="O84" s="116"/>
    </row>
    <row r="85" spans="2:15" x14ac:dyDescent="0.2">
      <c r="B85" s="116"/>
      <c r="C85" s="116"/>
      <c r="D85" s="116"/>
      <c r="E85" s="116"/>
      <c r="F85" s="116"/>
      <c r="G85" s="116"/>
      <c r="H85" s="116"/>
      <c r="I85" s="116"/>
      <c r="J85" s="116"/>
      <c r="K85" s="116"/>
      <c r="L85" s="116"/>
      <c r="M85" s="116"/>
      <c r="N85" s="116"/>
      <c r="O85" s="116"/>
    </row>
    <row r="86" spans="2:15" x14ac:dyDescent="0.2">
      <c r="B86" s="116"/>
      <c r="C86" s="116"/>
      <c r="D86" s="116"/>
      <c r="E86" s="116"/>
      <c r="F86" s="116"/>
      <c r="G86" s="116"/>
      <c r="H86" s="116"/>
      <c r="I86" s="116"/>
      <c r="J86" s="116"/>
      <c r="K86" s="116"/>
      <c r="L86" s="116"/>
      <c r="M86" s="116"/>
      <c r="N86" s="116"/>
      <c r="O86" s="116"/>
    </row>
    <row r="87" spans="2:15" x14ac:dyDescent="0.2">
      <c r="B87" s="116"/>
      <c r="C87" s="116"/>
      <c r="D87" s="116"/>
      <c r="E87" s="116"/>
      <c r="F87" s="116"/>
      <c r="G87" s="116"/>
      <c r="H87" s="116"/>
      <c r="I87" s="116"/>
      <c r="J87" s="116"/>
      <c r="K87" s="116"/>
      <c r="L87" s="116"/>
      <c r="M87" s="116"/>
      <c r="N87" s="116"/>
      <c r="O87" s="116"/>
    </row>
    <row r="88" spans="2:15" x14ac:dyDescent="0.2">
      <c r="B88" s="116"/>
      <c r="C88" s="116"/>
      <c r="D88" s="116"/>
      <c r="E88" s="116"/>
      <c r="F88" s="116"/>
      <c r="G88" s="116"/>
      <c r="H88" s="116"/>
      <c r="I88" s="116"/>
      <c r="J88" s="116"/>
      <c r="K88" s="116"/>
      <c r="L88" s="116"/>
      <c r="M88" s="116"/>
      <c r="N88" s="116"/>
      <c r="O88" s="116"/>
    </row>
    <row r="89" spans="2:15" x14ac:dyDescent="0.2">
      <c r="B89" s="116"/>
      <c r="C89" s="116"/>
      <c r="D89" s="116"/>
      <c r="E89" s="116"/>
      <c r="F89" s="116"/>
      <c r="G89" s="116"/>
      <c r="H89" s="116"/>
      <c r="I89" s="116"/>
      <c r="J89" s="116"/>
      <c r="K89" s="116"/>
      <c r="L89" s="116"/>
      <c r="M89" s="116"/>
      <c r="N89" s="116"/>
      <c r="O89" s="116"/>
    </row>
    <row r="90" spans="2:15" x14ac:dyDescent="0.2">
      <c r="B90" s="116"/>
      <c r="C90" s="116"/>
      <c r="D90" s="116"/>
      <c r="E90" s="116"/>
      <c r="F90" s="116"/>
      <c r="G90" s="116"/>
      <c r="H90" s="116"/>
      <c r="I90" s="116"/>
      <c r="J90" s="116"/>
      <c r="K90" s="116"/>
      <c r="L90" s="116"/>
      <c r="M90" s="116"/>
      <c r="N90" s="116"/>
      <c r="O90" s="116"/>
    </row>
    <row r="91" spans="2:15" x14ac:dyDescent="0.2">
      <c r="B91" s="116"/>
      <c r="C91" s="116"/>
      <c r="D91" s="116"/>
      <c r="E91" s="116"/>
      <c r="F91" s="116"/>
      <c r="G91" s="116"/>
      <c r="H91" s="116"/>
      <c r="I91" s="116"/>
      <c r="J91" s="116"/>
      <c r="K91" s="116"/>
      <c r="L91" s="116"/>
      <c r="M91" s="116"/>
      <c r="N91" s="116"/>
      <c r="O91" s="116"/>
    </row>
    <row r="92" spans="2:15" x14ac:dyDescent="0.2">
      <c r="B92" s="116"/>
      <c r="C92" s="116"/>
      <c r="D92" s="116"/>
      <c r="E92" s="116"/>
      <c r="F92" s="116"/>
      <c r="G92" s="116"/>
      <c r="H92" s="116"/>
      <c r="I92" s="116"/>
      <c r="J92" s="116"/>
      <c r="K92" s="116"/>
      <c r="L92" s="116"/>
      <c r="M92" s="116"/>
      <c r="N92" s="116"/>
      <c r="O92" s="116"/>
    </row>
    <row r="93" spans="2:15" x14ac:dyDescent="0.2">
      <c r="B93" s="116"/>
      <c r="C93" s="116"/>
      <c r="D93" s="116"/>
      <c r="E93" s="116"/>
      <c r="F93" s="116"/>
      <c r="G93" s="116"/>
      <c r="H93" s="116"/>
      <c r="I93" s="116"/>
      <c r="J93" s="116"/>
      <c r="K93" s="116"/>
      <c r="L93" s="116"/>
      <c r="M93" s="116"/>
      <c r="N93" s="116"/>
      <c r="O93" s="116"/>
    </row>
    <row r="94" spans="2:15" x14ac:dyDescent="0.2">
      <c r="B94" s="116"/>
      <c r="C94" s="116"/>
      <c r="D94" s="116"/>
      <c r="E94" s="116"/>
      <c r="F94" s="116"/>
      <c r="G94" s="116"/>
      <c r="H94" s="116"/>
      <c r="I94" s="116"/>
      <c r="J94" s="116"/>
      <c r="K94" s="116"/>
      <c r="L94" s="116"/>
      <c r="M94" s="116"/>
      <c r="N94" s="116"/>
      <c r="O94" s="116"/>
    </row>
    <row r="95" spans="2:15" x14ac:dyDescent="0.2">
      <c r="B95" s="116"/>
      <c r="C95" s="116"/>
      <c r="D95" s="116"/>
      <c r="E95" s="116"/>
      <c r="F95" s="116"/>
      <c r="G95" s="116"/>
      <c r="H95" s="116"/>
      <c r="I95" s="116"/>
      <c r="J95" s="116"/>
      <c r="K95" s="116"/>
      <c r="L95" s="116"/>
      <c r="M95" s="116"/>
      <c r="N95" s="116"/>
      <c r="O95" s="116"/>
    </row>
    <row r="96" spans="2:15" x14ac:dyDescent="0.2">
      <c r="B96" s="116"/>
      <c r="C96" s="116"/>
      <c r="D96" s="116"/>
      <c r="E96" s="116"/>
      <c r="F96" s="116"/>
      <c r="G96" s="116"/>
      <c r="H96" s="116"/>
      <c r="I96" s="116"/>
      <c r="J96" s="116"/>
      <c r="K96" s="116"/>
      <c r="L96" s="116"/>
      <c r="M96" s="116"/>
      <c r="N96" s="116"/>
      <c r="O96" s="116"/>
    </row>
    <row r="97" spans="2:15" x14ac:dyDescent="0.2">
      <c r="B97" s="116"/>
      <c r="C97" s="116"/>
      <c r="D97" s="116"/>
      <c r="E97" s="116"/>
      <c r="F97" s="116"/>
      <c r="G97" s="116"/>
      <c r="H97" s="116"/>
      <c r="I97" s="116"/>
      <c r="J97" s="116"/>
      <c r="K97" s="116"/>
      <c r="L97" s="116"/>
      <c r="M97" s="116"/>
      <c r="N97" s="116"/>
      <c r="O97" s="116"/>
    </row>
    <row r="98" spans="2:15" x14ac:dyDescent="0.2">
      <c r="B98" s="116"/>
      <c r="C98" s="116"/>
      <c r="D98" s="116"/>
      <c r="E98" s="116"/>
      <c r="F98" s="116"/>
      <c r="G98" s="116"/>
      <c r="H98" s="116"/>
      <c r="I98" s="116"/>
      <c r="J98" s="116"/>
      <c r="K98" s="116"/>
      <c r="L98" s="116"/>
      <c r="M98" s="116"/>
      <c r="N98" s="116"/>
      <c r="O98" s="116"/>
    </row>
    <row r="99" spans="2:15" x14ac:dyDescent="0.2">
      <c r="B99" s="116"/>
      <c r="C99" s="116"/>
      <c r="D99" s="116"/>
      <c r="E99" s="116"/>
      <c r="F99" s="116"/>
      <c r="G99" s="116"/>
      <c r="H99" s="116"/>
      <c r="I99" s="116"/>
      <c r="J99" s="116"/>
      <c r="K99" s="116"/>
      <c r="L99" s="116"/>
      <c r="M99" s="116"/>
      <c r="N99" s="116"/>
      <c r="O99" s="116"/>
    </row>
    <row r="100" spans="2:15" x14ac:dyDescent="0.2">
      <c r="B100" s="116"/>
      <c r="C100" s="116"/>
      <c r="D100" s="116"/>
      <c r="E100" s="116"/>
      <c r="F100" s="116"/>
      <c r="G100" s="116"/>
      <c r="H100" s="116"/>
      <c r="I100" s="116"/>
      <c r="J100" s="116"/>
      <c r="K100" s="116"/>
      <c r="L100" s="116"/>
      <c r="M100" s="116"/>
      <c r="N100" s="116"/>
      <c r="O100" s="116"/>
    </row>
    <row r="101" spans="2:15" x14ac:dyDescent="0.2">
      <c r="B101" s="116"/>
      <c r="C101" s="116"/>
      <c r="D101" s="116"/>
      <c r="E101" s="116"/>
      <c r="F101" s="116"/>
      <c r="G101" s="116"/>
      <c r="H101" s="116"/>
      <c r="I101" s="116"/>
      <c r="J101" s="116"/>
      <c r="K101" s="116"/>
      <c r="L101" s="116"/>
      <c r="M101" s="116"/>
      <c r="N101" s="116"/>
      <c r="O101" s="116"/>
    </row>
    <row r="102" spans="2:15" x14ac:dyDescent="0.2">
      <c r="B102" s="116"/>
      <c r="C102" s="116"/>
      <c r="D102" s="116"/>
      <c r="E102" s="116"/>
      <c r="F102" s="116"/>
      <c r="G102" s="116"/>
      <c r="H102" s="116"/>
      <c r="I102" s="116"/>
      <c r="J102" s="116"/>
      <c r="K102" s="116"/>
      <c r="L102" s="116"/>
      <c r="M102" s="116"/>
      <c r="N102" s="116"/>
      <c r="O102" s="116"/>
    </row>
    <row r="103" spans="2:15" x14ac:dyDescent="0.2">
      <c r="B103" s="116"/>
      <c r="C103" s="116"/>
      <c r="D103" s="116"/>
      <c r="E103" s="116"/>
      <c r="F103" s="116"/>
      <c r="G103" s="116"/>
      <c r="H103" s="116"/>
      <c r="I103" s="116"/>
      <c r="J103" s="116"/>
      <c r="K103" s="116"/>
      <c r="L103" s="116"/>
      <c r="M103" s="116"/>
      <c r="N103" s="116"/>
      <c r="O103" s="116"/>
    </row>
    <row r="104" spans="2:15" x14ac:dyDescent="0.2">
      <c r="B104" s="116"/>
      <c r="C104" s="116"/>
      <c r="D104" s="116"/>
      <c r="E104" s="116"/>
      <c r="F104" s="116"/>
      <c r="G104" s="116"/>
      <c r="H104" s="116"/>
      <c r="I104" s="116"/>
      <c r="J104" s="116"/>
      <c r="K104" s="116"/>
      <c r="L104" s="116"/>
      <c r="M104" s="116"/>
      <c r="N104" s="116"/>
      <c r="O104" s="116"/>
    </row>
    <row r="105" spans="2:15" x14ac:dyDescent="0.2">
      <c r="B105" s="116"/>
      <c r="C105" s="116"/>
      <c r="D105" s="116"/>
      <c r="E105" s="116"/>
      <c r="F105" s="116"/>
      <c r="G105" s="116"/>
      <c r="H105" s="116"/>
      <c r="I105" s="116"/>
      <c r="J105" s="116"/>
      <c r="K105" s="116"/>
      <c r="L105" s="116"/>
      <c r="M105" s="116"/>
      <c r="N105" s="116"/>
      <c r="O105" s="116"/>
    </row>
    <row r="106" spans="2:15" x14ac:dyDescent="0.2">
      <c r="B106" s="116"/>
      <c r="C106" s="116"/>
      <c r="D106" s="116"/>
      <c r="E106" s="116"/>
      <c r="F106" s="116"/>
      <c r="G106" s="116"/>
      <c r="H106" s="116"/>
      <c r="I106" s="116"/>
      <c r="J106" s="116"/>
      <c r="K106" s="116"/>
      <c r="L106" s="116"/>
      <c r="M106" s="116"/>
      <c r="N106" s="116"/>
      <c r="O106" s="116"/>
    </row>
    <row r="107" spans="2:15" x14ac:dyDescent="0.2">
      <c r="B107" s="116"/>
      <c r="C107" s="116"/>
      <c r="D107" s="116"/>
      <c r="E107" s="116"/>
      <c r="F107" s="116"/>
      <c r="G107" s="116"/>
      <c r="H107" s="116"/>
      <c r="I107" s="116"/>
      <c r="J107" s="116"/>
      <c r="K107" s="116"/>
      <c r="L107" s="116"/>
      <c r="M107" s="116"/>
      <c r="N107" s="116"/>
      <c r="O107" s="116"/>
    </row>
    <row r="108" spans="2:15" x14ac:dyDescent="0.2">
      <c r="B108" s="116"/>
      <c r="C108" s="116"/>
      <c r="D108" s="116"/>
      <c r="E108" s="116"/>
      <c r="F108" s="116"/>
      <c r="G108" s="116"/>
      <c r="H108" s="116"/>
      <c r="I108" s="116"/>
      <c r="J108" s="116"/>
      <c r="K108" s="116"/>
      <c r="L108" s="116"/>
      <c r="M108" s="116"/>
      <c r="N108" s="116"/>
      <c r="O108" s="116"/>
    </row>
    <row r="109" spans="2:15" x14ac:dyDescent="0.2">
      <c r="B109" s="116"/>
      <c r="C109" s="116"/>
      <c r="D109" s="116"/>
      <c r="E109" s="116"/>
      <c r="F109" s="116"/>
      <c r="G109" s="116"/>
      <c r="H109" s="116"/>
      <c r="I109" s="116"/>
      <c r="J109" s="116"/>
      <c r="K109" s="116"/>
      <c r="L109" s="116"/>
      <c r="M109" s="116"/>
      <c r="N109" s="116"/>
      <c r="O109" s="116"/>
    </row>
    <row r="110" spans="2:15" x14ac:dyDescent="0.2">
      <c r="B110" s="116"/>
      <c r="C110" s="116"/>
      <c r="D110" s="116"/>
      <c r="E110" s="116"/>
      <c r="F110" s="116"/>
      <c r="G110" s="116"/>
      <c r="H110" s="116"/>
      <c r="I110" s="116"/>
      <c r="J110" s="116"/>
      <c r="K110" s="116"/>
      <c r="L110" s="116"/>
      <c r="M110" s="116"/>
      <c r="N110" s="116"/>
      <c r="O110" s="116"/>
    </row>
    <row r="111" spans="2:15" x14ac:dyDescent="0.2">
      <c r="B111" s="116"/>
      <c r="C111" s="116"/>
      <c r="D111" s="116"/>
      <c r="E111" s="116"/>
      <c r="F111" s="116"/>
      <c r="G111" s="116"/>
      <c r="H111" s="116"/>
      <c r="I111" s="116"/>
      <c r="J111" s="116"/>
      <c r="K111" s="116"/>
      <c r="L111" s="116"/>
      <c r="M111" s="116"/>
      <c r="N111" s="116"/>
      <c r="O111" s="116"/>
    </row>
    <row r="112" spans="2:15" x14ac:dyDescent="0.2">
      <c r="B112" s="116"/>
      <c r="C112" s="116"/>
      <c r="D112" s="116"/>
      <c r="E112" s="116"/>
      <c r="F112" s="116"/>
      <c r="G112" s="116"/>
      <c r="H112" s="116"/>
      <c r="I112" s="116"/>
      <c r="J112" s="116"/>
      <c r="K112" s="116"/>
      <c r="L112" s="116"/>
      <c r="M112" s="116"/>
      <c r="N112" s="116"/>
      <c r="O112" s="116"/>
    </row>
    <row r="113" spans="2:15" x14ac:dyDescent="0.2">
      <c r="B113" s="116"/>
      <c r="C113" s="116"/>
      <c r="D113" s="116"/>
      <c r="E113" s="116"/>
      <c r="F113" s="116"/>
      <c r="G113" s="116"/>
      <c r="H113" s="116"/>
      <c r="I113" s="116"/>
      <c r="J113" s="116"/>
      <c r="K113" s="116"/>
      <c r="L113" s="116"/>
      <c r="M113" s="116"/>
      <c r="N113" s="116"/>
      <c r="O113" s="116"/>
    </row>
    <row r="114" spans="2:15" x14ac:dyDescent="0.2">
      <c r="B114" s="116"/>
      <c r="C114" s="116"/>
      <c r="D114" s="116"/>
      <c r="E114" s="116"/>
      <c r="F114" s="116"/>
      <c r="G114" s="116"/>
      <c r="H114" s="116"/>
      <c r="I114" s="116"/>
      <c r="J114" s="116"/>
      <c r="K114" s="116"/>
      <c r="L114" s="116"/>
      <c r="M114" s="116"/>
      <c r="N114" s="116"/>
      <c r="O114" s="116"/>
    </row>
    <row r="115" spans="2:15" x14ac:dyDescent="0.2">
      <c r="B115" s="116"/>
      <c r="C115" s="116"/>
      <c r="D115" s="116"/>
      <c r="E115" s="116"/>
      <c r="F115" s="116"/>
      <c r="G115" s="116"/>
      <c r="H115" s="116"/>
      <c r="I115" s="116"/>
      <c r="J115" s="116"/>
      <c r="K115" s="116"/>
      <c r="L115" s="116"/>
      <c r="M115" s="116"/>
      <c r="N115" s="116"/>
      <c r="O115" s="116"/>
    </row>
    <row r="116" spans="2:15" x14ac:dyDescent="0.2">
      <c r="B116" s="116"/>
      <c r="C116" s="116"/>
      <c r="D116" s="116"/>
      <c r="E116" s="116"/>
      <c r="F116" s="116"/>
      <c r="G116" s="116"/>
      <c r="H116" s="116"/>
      <c r="I116" s="116"/>
      <c r="J116" s="116"/>
      <c r="K116" s="116"/>
      <c r="L116" s="116"/>
      <c r="M116" s="116"/>
      <c r="N116" s="116"/>
      <c r="O116" s="116"/>
    </row>
    <row r="117" spans="2:15" x14ac:dyDescent="0.2">
      <c r="B117" s="116"/>
      <c r="C117" s="116"/>
      <c r="D117" s="116"/>
      <c r="E117" s="116"/>
      <c r="F117" s="116"/>
      <c r="G117" s="116"/>
      <c r="H117" s="116"/>
      <c r="I117" s="116"/>
      <c r="J117" s="116"/>
      <c r="K117" s="116"/>
      <c r="L117" s="116"/>
      <c r="M117" s="116"/>
      <c r="N117" s="116"/>
      <c r="O117" s="116"/>
    </row>
    <row r="118" spans="2:15" x14ac:dyDescent="0.2">
      <c r="B118" s="116"/>
      <c r="C118" s="116"/>
      <c r="D118" s="116"/>
      <c r="E118" s="116"/>
      <c r="F118" s="116"/>
      <c r="G118" s="116"/>
      <c r="H118" s="116"/>
      <c r="I118" s="116"/>
      <c r="J118" s="116"/>
      <c r="K118" s="116"/>
      <c r="L118" s="116"/>
      <c r="M118" s="116"/>
      <c r="N118" s="116"/>
      <c r="O118" s="116"/>
    </row>
    <row r="119" spans="2:15" x14ac:dyDescent="0.2">
      <c r="B119" s="116"/>
      <c r="C119" s="116"/>
      <c r="D119" s="116"/>
      <c r="E119" s="116"/>
      <c r="F119" s="116"/>
      <c r="G119" s="116"/>
      <c r="H119" s="116"/>
      <c r="I119" s="116"/>
      <c r="J119" s="116"/>
      <c r="K119" s="116"/>
      <c r="L119" s="116"/>
      <c r="M119" s="116"/>
      <c r="N119" s="116"/>
      <c r="O119" s="116"/>
    </row>
    <row r="120" spans="2:15" x14ac:dyDescent="0.2">
      <c r="B120" s="116"/>
      <c r="C120" s="116"/>
      <c r="D120" s="116"/>
      <c r="E120" s="116"/>
      <c r="F120" s="116"/>
      <c r="G120" s="116"/>
      <c r="H120" s="116"/>
      <c r="I120" s="116"/>
      <c r="J120" s="116"/>
      <c r="K120" s="116"/>
      <c r="L120" s="116"/>
      <c r="M120" s="116"/>
      <c r="N120" s="116"/>
      <c r="O120" s="116"/>
    </row>
    <row r="121" spans="2:15" x14ac:dyDescent="0.2">
      <c r="B121" s="116"/>
      <c r="C121" s="116"/>
      <c r="D121" s="116"/>
      <c r="E121" s="116"/>
      <c r="F121" s="116"/>
      <c r="G121" s="116"/>
      <c r="H121" s="116"/>
      <c r="I121" s="116"/>
      <c r="J121" s="116"/>
      <c r="K121" s="116"/>
      <c r="L121" s="116"/>
      <c r="M121" s="116"/>
      <c r="N121" s="116"/>
      <c r="O121" s="116"/>
    </row>
    <row r="122" spans="2:15" x14ac:dyDescent="0.2">
      <c r="B122" s="116"/>
      <c r="C122" s="116"/>
      <c r="D122" s="116"/>
      <c r="E122" s="116"/>
      <c r="F122" s="116"/>
      <c r="G122" s="116"/>
      <c r="H122" s="116"/>
      <c r="I122" s="116"/>
      <c r="J122" s="116"/>
      <c r="K122" s="116"/>
      <c r="L122" s="116"/>
      <c r="M122" s="116"/>
      <c r="N122" s="116"/>
      <c r="O122" s="116"/>
    </row>
    <row r="123" spans="2:15" x14ac:dyDescent="0.2">
      <c r="B123" s="116"/>
      <c r="C123" s="116"/>
      <c r="D123" s="116"/>
      <c r="E123" s="116"/>
      <c r="F123" s="116"/>
      <c r="G123" s="116"/>
      <c r="H123" s="116"/>
      <c r="I123" s="116"/>
      <c r="J123" s="116"/>
      <c r="K123" s="116"/>
      <c r="L123" s="116"/>
      <c r="M123" s="116"/>
      <c r="N123" s="116"/>
      <c r="O123" s="116"/>
    </row>
    <row r="124" spans="2:15" x14ac:dyDescent="0.2">
      <c r="B124" s="116"/>
      <c r="C124" s="116"/>
      <c r="D124" s="116"/>
      <c r="E124" s="116"/>
      <c r="F124" s="116"/>
      <c r="G124" s="116"/>
      <c r="H124" s="116"/>
      <c r="I124" s="116"/>
      <c r="J124" s="116"/>
      <c r="K124" s="116"/>
      <c r="L124" s="116"/>
      <c r="M124" s="116"/>
      <c r="N124" s="116"/>
      <c r="O124" s="116"/>
    </row>
    <row r="125" spans="2:15" x14ac:dyDescent="0.2">
      <c r="B125" s="116"/>
      <c r="C125" s="116"/>
      <c r="D125" s="116"/>
      <c r="E125" s="116"/>
      <c r="F125" s="116"/>
      <c r="G125" s="116"/>
      <c r="H125" s="116"/>
      <c r="I125" s="116"/>
      <c r="J125" s="116"/>
      <c r="K125" s="116"/>
      <c r="L125" s="116"/>
      <c r="M125" s="116"/>
      <c r="N125" s="116"/>
      <c r="O125" s="116"/>
    </row>
    <row r="126" spans="2:15" x14ac:dyDescent="0.2">
      <c r="B126" s="116"/>
      <c r="C126" s="116"/>
      <c r="D126" s="116"/>
      <c r="E126" s="116"/>
      <c r="F126" s="116"/>
      <c r="G126" s="116"/>
      <c r="H126" s="116"/>
      <c r="I126" s="116"/>
      <c r="J126" s="116"/>
      <c r="K126" s="116"/>
      <c r="L126" s="116"/>
      <c r="M126" s="116"/>
      <c r="N126" s="116"/>
      <c r="O126" s="116"/>
    </row>
    <row r="127" spans="2:15" x14ac:dyDescent="0.2">
      <c r="B127" s="116"/>
      <c r="C127" s="116"/>
      <c r="D127" s="116"/>
      <c r="E127" s="116"/>
      <c r="F127" s="116"/>
      <c r="G127" s="116"/>
      <c r="H127" s="116"/>
      <c r="I127" s="116"/>
      <c r="J127" s="116"/>
      <c r="K127" s="116"/>
      <c r="L127" s="116"/>
      <c r="M127" s="116"/>
      <c r="N127" s="116"/>
      <c r="O127" s="116"/>
    </row>
    <row r="128" spans="2:15" x14ac:dyDescent="0.2">
      <c r="B128" s="116"/>
      <c r="C128" s="116"/>
      <c r="D128" s="116"/>
      <c r="E128" s="116"/>
      <c r="F128" s="116"/>
      <c r="G128" s="116"/>
      <c r="H128" s="116"/>
      <c r="I128" s="116"/>
      <c r="J128" s="116"/>
      <c r="K128" s="116"/>
      <c r="L128" s="116"/>
      <c r="M128" s="116"/>
      <c r="N128" s="116"/>
      <c r="O128" s="116"/>
    </row>
    <row r="129" spans="2:15" x14ac:dyDescent="0.2">
      <c r="B129" s="116"/>
      <c r="C129" s="116"/>
      <c r="D129" s="116"/>
      <c r="E129" s="116"/>
      <c r="F129" s="116"/>
      <c r="G129" s="116"/>
      <c r="H129" s="116"/>
      <c r="I129" s="116"/>
      <c r="J129" s="116"/>
      <c r="K129" s="116"/>
      <c r="L129" s="116"/>
      <c r="M129" s="116"/>
      <c r="N129" s="116"/>
      <c r="O129" s="116"/>
    </row>
    <row r="130" spans="2:15" x14ac:dyDescent="0.2">
      <c r="B130" s="116"/>
      <c r="C130" s="116"/>
      <c r="D130" s="116"/>
      <c r="E130" s="116"/>
      <c r="F130" s="116"/>
      <c r="G130" s="116"/>
      <c r="H130" s="116"/>
      <c r="I130" s="116"/>
      <c r="J130" s="116"/>
      <c r="K130" s="116"/>
      <c r="L130" s="116"/>
      <c r="M130" s="116"/>
      <c r="N130" s="116"/>
      <c r="O130" s="116"/>
    </row>
    <row r="131" spans="2:15" x14ac:dyDescent="0.2">
      <c r="B131" s="116"/>
      <c r="C131" s="116"/>
      <c r="D131" s="116"/>
      <c r="E131" s="116"/>
      <c r="F131" s="116"/>
      <c r="G131" s="116"/>
      <c r="H131" s="116"/>
      <c r="I131" s="116"/>
      <c r="J131" s="116"/>
      <c r="K131" s="116"/>
      <c r="L131" s="116"/>
      <c r="M131" s="116"/>
      <c r="N131" s="116"/>
      <c r="O131" s="116"/>
    </row>
    <row r="132" spans="2:15" x14ac:dyDescent="0.2">
      <c r="B132" s="116"/>
      <c r="C132" s="116"/>
      <c r="D132" s="116"/>
      <c r="E132" s="116"/>
      <c r="F132" s="116"/>
      <c r="G132" s="116"/>
      <c r="H132" s="116"/>
      <c r="I132" s="116"/>
      <c r="J132" s="116"/>
      <c r="K132" s="116"/>
      <c r="L132" s="116"/>
      <c r="M132" s="116"/>
      <c r="N132" s="116"/>
      <c r="O132" s="116"/>
    </row>
    <row r="133" spans="2:15" x14ac:dyDescent="0.2">
      <c r="B133" s="116"/>
      <c r="C133" s="116"/>
      <c r="D133" s="116"/>
      <c r="E133" s="116"/>
      <c r="F133" s="116"/>
      <c r="G133" s="116"/>
      <c r="H133" s="116"/>
      <c r="I133" s="116"/>
      <c r="J133" s="116"/>
      <c r="K133" s="116"/>
      <c r="L133" s="116"/>
      <c r="M133" s="116"/>
      <c r="N133" s="116"/>
      <c r="O133" s="116"/>
    </row>
    <row r="134" spans="2:15" x14ac:dyDescent="0.2">
      <c r="B134" s="116"/>
      <c r="C134" s="116"/>
      <c r="D134" s="116"/>
      <c r="E134" s="116"/>
      <c r="F134" s="116"/>
      <c r="G134" s="116"/>
      <c r="H134" s="116"/>
      <c r="I134" s="116"/>
      <c r="J134" s="116"/>
      <c r="K134" s="116"/>
      <c r="L134" s="116"/>
      <c r="M134" s="116"/>
      <c r="N134" s="116"/>
      <c r="O134" s="116"/>
    </row>
    <row r="135" spans="2:15" x14ac:dyDescent="0.2">
      <c r="B135" s="116"/>
      <c r="C135" s="116"/>
      <c r="D135" s="116"/>
      <c r="E135" s="116"/>
      <c r="F135" s="116"/>
      <c r="G135" s="116"/>
      <c r="H135" s="116"/>
      <c r="I135" s="116"/>
      <c r="J135" s="116"/>
      <c r="K135" s="116"/>
      <c r="L135" s="116"/>
      <c r="M135" s="116"/>
      <c r="N135" s="116"/>
      <c r="O135" s="116"/>
    </row>
    <row r="136" spans="2:15" x14ac:dyDescent="0.2">
      <c r="B136" s="116"/>
      <c r="C136" s="116"/>
      <c r="D136" s="116"/>
      <c r="E136" s="116"/>
      <c r="F136" s="116"/>
      <c r="G136" s="116"/>
      <c r="H136" s="116"/>
      <c r="I136" s="116"/>
      <c r="J136" s="116"/>
      <c r="K136" s="116"/>
      <c r="L136" s="116"/>
      <c r="M136" s="116"/>
      <c r="N136" s="116"/>
      <c r="O136" s="116"/>
    </row>
    <row r="137" spans="2:15" x14ac:dyDescent="0.2">
      <c r="B137" s="116"/>
      <c r="C137" s="116"/>
      <c r="D137" s="116"/>
      <c r="E137" s="116"/>
      <c r="F137" s="116"/>
      <c r="G137" s="116"/>
      <c r="H137" s="116"/>
      <c r="I137" s="116"/>
      <c r="J137" s="116"/>
      <c r="K137" s="116"/>
      <c r="L137" s="116"/>
      <c r="M137" s="116"/>
      <c r="N137" s="116"/>
      <c r="O137" s="116"/>
    </row>
    <row r="138" spans="2:15" x14ac:dyDescent="0.2">
      <c r="B138" s="116"/>
      <c r="C138" s="116"/>
      <c r="D138" s="116"/>
      <c r="E138" s="116"/>
      <c r="F138" s="116"/>
      <c r="G138" s="116"/>
      <c r="H138" s="116"/>
      <c r="I138" s="116"/>
      <c r="J138" s="116"/>
      <c r="K138" s="116"/>
      <c r="L138" s="116"/>
      <c r="M138" s="116"/>
      <c r="N138" s="116"/>
      <c r="O138" s="116"/>
    </row>
    <row r="139" spans="2:15" x14ac:dyDescent="0.2">
      <c r="B139" s="116"/>
      <c r="C139" s="116"/>
      <c r="D139" s="116"/>
      <c r="E139" s="116"/>
      <c r="F139" s="116"/>
      <c r="G139" s="116"/>
      <c r="H139" s="116"/>
      <c r="I139" s="116"/>
      <c r="J139" s="116"/>
      <c r="K139" s="116"/>
      <c r="L139" s="116"/>
      <c r="M139" s="116"/>
      <c r="N139" s="116"/>
      <c r="O139" s="116"/>
    </row>
  </sheetData>
  <mergeCells count="16">
    <mergeCell ref="A1:G1"/>
    <mergeCell ref="A2:G2"/>
    <mergeCell ref="I9:K9"/>
    <mergeCell ref="I11:M11"/>
    <mergeCell ref="I2:L2"/>
    <mergeCell ref="C56:D56"/>
    <mergeCell ref="C7:D7"/>
    <mergeCell ref="C8:D8"/>
    <mergeCell ref="C9:D9"/>
    <mergeCell ref="O18:Q18"/>
    <mergeCell ref="O14:Q14"/>
    <mergeCell ref="O16:Q16"/>
    <mergeCell ref="O17:Q17"/>
    <mergeCell ref="I12:M12"/>
    <mergeCell ref="I13:M13"/>
    <mergeCell ref="I14:M14"/>
  </mergeCells>
  <printOptions horizontalCentered="1"/>
  <pageMargins left="0.25" right="0.25" top="0.75" bottom="0.75" header="0.3" footer="0.3"/>
  <pageSetup scale="64" orientation="landscape" r:id="rId1"/>
  <headerFooter alignWithMargins="0">
    <oddFooter>&amp;L&amp;"Arial,Regular"&amp;8&amp;F&amp;C&amp;A&amp;R&amp;"Arial,Regular"Advice No. 18-xxxx
Page &amp;P of &amp;N</oddFooter>
  </headerFooter>
  <colBreaks count="1" manualBreakCount="1">
    <brk id="1" max="1048575" man="1"/>
  </col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GR151"/>
  <sheetViews>
    <sheetView zoomScaleNormal="100" workbookViewId="0">
      <pane xSplit="1" ySplit="14" topLeftCell="B42" activePane="bottomRight" state="frozen"/>
      <selection activeCell="B7" sqref="B7"/>
      <selection pane="topRight" activeCell="B7" sqref="B7"/>
      <selection pane="bottomLeft" activeCell="B7" sqref="B7"/>
      <selection pane="bottomRight" activeCell="E10" sqref="E10"/>
    </sheetView>
  </sheetViews>
  <sheetFormatPr defaultColWidth="13.28515625" defaultRowHeight="11.25" x14ac:dyDescent="0.2"/>
  <cols>
    <col min="1" max="1" width="7.28515625" style="60" bestFit="1" customWidth="1"/>
    <col min="2" max="2" width="8" style="60" bestFit="1" customWidth="1"/>
    <col min="3" max="3" width="7.28515625" style="60" bestFit="1" customWidth="1"/>
    <col min="4" max="4" width="11.140625" style="60" bestFit="1" customWidth="1"/>
    <col min="5" max="5" width="8.7109375" style="60" bestFit="1" customWidth="1"/>
    <col min="6" max="6" width="7.28515625" style="60" bestFit="1" customWidth="1"/>
    <col min="7" max="7" width="9.140625" style="60" bestFit="1" customWidth="1"/>
    <col min="8" max="8" width="7.42578125" style="60" bestFit="1" customWidth="1"/>
    <col min="9" max="9" width="9.5703125" style="60" bestFit="1" customWidth="1"/>
    <col min="10" max="10" width="7.28515625" style="60" bestFit="1" customWidth="1"/>
    <col min="11" max="11" width="9.5703125" style="60" bestFit="1" customWidth="1"/>
    <col min="12" max="12" width="7.28515625" style="60" bestFit="1" customWidth="1"/>
    <col min="13" max="21" width="13.28515625" style="60"/>
    <col min="22" max="22" width="1.7109375" style="60" bestFit="1" customWidth="1"/>
    <col min="23" max="24" width="15.5703125" style="60" customWidth="1"/>
    <col min="25" max="199" width="13.28515625" style="60"/>
    <col min="200" max="200" width="83" style="60" customWidth="1"/>
    <col min="201" max="16384" width="13.28515625" style="60"/>
  </cols>
  <sheetData>
    <row r="1" spans="1:200" x14ac:dyDescent="0.2">
      <c r="A1" s="252" t="s">
        <v>128</v>
      </c>
      <c r="B1" s="252"/>
      <c r="C1" s="252"/>
      <c r="D1" s="252"/>
      <c r="E1" s="252"/>
      <c r="F1" s="252"/>
      <c r="G1" s="252"/>
      <c r="I1" s="280" t="s">
        <v>44</v>
      </c>
      <c r="J1" s="281"/>
      <c r="K1" s="281"/>
      <c r="L1" s="282"/>
      <c r="P1" s="92"/>
      <c r="Q1" s="92"/>
      <c r="R1" s="92"/>
      <c r="V1" s="93" t="s">
        <v>14</v>
      </c>
    </row>
    <row r="2" spans="1:200" x14ac:dyDescent="0.2">
      <c r="A2" s="252" t="s">
        <v>30</v>
      </c>
      <c r="B2" s="252"/>
      <c r="C2" s="252"/>
      <c r="D2" s="252"/>
      <c r="E2" s="252"/>
      <c r="F2" s="252"/>
      <c r="G2" s="252"/>
      <c r="I2" s="184" t="s">
        <v>31</v>
      </c>
      <c r="J2" s="185">
        <v>0.51</v>
      </c>
      <c r="K2" s="186">
        <v>0.05</v>
      </c>
      <c r="L2" s="187">
        <f>ROUND(J2*K2,4)</f>
        <v>2.5499999999999998E-2</v>
      </c>
      <c r="P2" s="92"/>
      <c r="Q2" s="92"/>
      <c r="R2" s="92"/>
      <c r="V2" s="93" t="s">
        <v>14</v>
      </c>
    </row>
    <row r="3" spans="1:200" x14ac:dyDescent="0.2">
      <c r="E3" s="95"/>
      <c r="I3" s="184" t="s">
        <v>32</v>
      </c>
      <c r="J3" s="188">
        <v>0</v>
      </c>
      <c r="K3" s="189">
        <v>0</v>
      </c>
      <c r="L3" s="187">
        <f>ROUND(J3*K3,4)</f>
        <v>0</v>
      </c>
      <c r="P3" s="92"/>
      <c r="Q3" s="92"/>
      <c r="R3" s="92"/>
      <c r="V3" s="93" t="s">
        <v>14</v>
      </c>
      <c r="W3" s="92"/>
      <c r="X3" s="92"/>
    </row>
    <row r="4" spans="1:200" x14ac:dyDescent="0.2">
      <c r="I4" s="190" t="s">
        <v>33</v>
      </c>
      <c r="J4" s="191">
        <f>SUM(J2:J3)</f>
        <v>0.51</v>
      </c>
      <c r="K4" s="192"/>
      <c r="L4" s="193">
        <f>SUM(L2:L3)</f>
        <v>2.5499999999999998E-2</v>
      </c>
      <c r="P4" s="92"/>
      <c r="Q4" s="92"/>
      <c r="R4" s="92"/>
      <c r="V4" s="93" t="s">
        <v>14</v>
      </c>
      <c r="W4" s="92"/>
      <c r="X4" s="92"/>
    </row>
    <row r="5" spans="1:200" x14ac:dyDescent="0.2">
      <c r="C5" s="256" t="s">
        <v>23</v>
      </c>
      <c r="D5" s="256"/>
      <c r="E5" s="92">
        <f>K68</f>
        <v>117375.04883499767</v>
      </c>
      <c r="I5" s="190" t="s">
        <v>24</v>
      </c>
      <c r="J5" s="188">
        <v>0</v>
      </c>
      <c r="K5" s="189">
        <v>0</v>
      </c>
      <c r="L5" s="187">
        <f t="shared" ref="L5:L6" si="0">ROUND(J5*K5,4)</f>
        <v>0</v>
      </c>
      <c r="P5" s="92"/>
      <c r="Q5" s="92"/>
      <c r="R5" s="92"/>
      <c r="V5" s="93" t="s">
        <v>14</v>
      </c>
      <c r="W5" s="92"/>
      <c r="X5" s="92"/>
    </row>
    <row r="6" spans="1:200" x14ac:dyDescent="0.2">
      <c r="C6" s="256" t="s">
        <v>21</v>
      </c>
      <c r="D6" s="256"/>
      <c r="E6" s="92">
        <f>PMT(L8,I10,-E5)</f>
        <v>8697.6839394570125</v>
      </c>
      <c r="I6" s="190" t="s">
        <v>22</v>
      </c>
      <c r="J6" s="185">
        <v>0.49</v>
      </c>
      <c r="K6" s="186">
        <v>9.4E-2</v>
      </c>
      <c r="L6" s="187">
        <f t="shared" si="0"/>
        <v>4.6100000000000002E-2</v>
      </c>
      <c r="V6" s="93" t="s">
        <v>14</v>
      </c>
      <c r="W6" s="92"/>
      <c r="X6" s="92"/>
    </row>
    <row r="7" spans="1:200" ht="12" thickBot="1" x14ac:dyDescent="0.25">
      <c r="C7" s="256" t="s">
        <v>20</v>
      </c>
      <c r="D7" s="256"/>
      <c r="E7" s="96">
        <f>($E$6/$E$10)*100</f>
        <v>8.6976839394570131</v>
      </c>
      <c r="G7" s="134">
        <f>+E7/100</f>
        <v>8.6976839394570127E-2</v>
      </c>
      <c r="I7" s="194"/>
      <c r="J7" s="192"/>
      <c r="K7" s="192"/>
      <c r="L7" s="187" t="s">
        <v>13</v>
      </c>
      <c r="P7" s="92"/>
      <c r="Q7" s="92"/>
      <c r="R7" s="92"/>
      <c r="V7" s="93" t="s">
        <v>14</v>
      </c>
      <c r="W7" s="92"/>
      <c r="X7" s="92"/>
    </row>
    <row r="8" spans="1:200" ht="12" thickBot="1" x14ac:dyDescent="0.25">
      <c r="I8" s="278" t="s">
        <v>19</v>
      </c>
      <c r="J8" s="279"/>
      <c r="K8" s="279"/>
      <c r="L8" s="195">
        <f>SUM(L4:L7)</f>
        <v>7.1599999999999997E-2</v>
      </c>
      <c r="P8" s="92"/>
      <c r="Q8" s="92"/>
      <c r="R8" s="92"/>
      <c r="V8" s="93" t="s">
        <v>14</v>
      </c>
      <c r="W8" s="92"/>
      <c r="X8" s="92"/>
    </row>
    <row r="9" spans="1:200" x14ac:dyDescent="0.2">
      <c r="C9" s="256" t="s">
        <v>18</v>
      </c>
      <c r="D9" s="256"/>
      <c r="E9" s="98">
        <v>12</v>
      </c>
      <c r="M9" s="99"/>
      <c r="P9" s="92"/>
      <c r="Q9" s="92"/>
      <c r="R9" s="92"/>
      <c r="V9" s="93" t="s">
        <v>14</v>
      </c>
      <c r="W9" s="92"/>
      <c r="X9" s="92"/>
    </row>
    <row r="10" spans="1:200" x14ac:dyDescent="0.2">
      <c r="C10" s="256" t="s">
        <v>16</v>
      </c>
      <c r="D10" s="256"/>
      <c r="E10" s="198">
        <v>100000</v>
      </c>
      <c r="F10" s="62"/>
      <c r="G10" s="62"/>
      <c r="H10" s="62"/>
      <c r="I10" s="196">
        <f>'Sub &amp; Feeder Depr Life'!AB12</f>
        <v>49</v>
      </c>
      <c r="J10" s="277" t="s">
        <v>25</v>
      </c>
      <c r="K10" s="277"/>
      <c r="L10" s="277"/>
      <c r="V10" s="93" t="s">
        <v>14</v>
      </c>
      <c r="W10" s="92"/>
      <c r="X10" s="92"/>
    </row>
    <row r="11" spans="1:200" ht="13.15" customHeight="1" x14ac:dyDescent="0.2">
      <c r="C11" s="256" t="s">
        <v>15</v>
      </c>
      <c r="D11" s="256"/>
      <c r="E11" s="92">
        <f>E10</f>
        <v>100000</v>
      </c>
      <c r="G11" s="101"/>
      <c r="I11" s="197">
        <f>+'Lvl FCR Feeder'!H13</f>
        <v>0.247645</v>
      </c>
      <c r="J11" s="277" t="s">
        <v>43</v>
      </c>
      <c r="K11" s="277"/>
      <c r="L11" s="277"/>
      <c r="V11" s="93" t="s">
        <v>14</v>
      </c>
      <c r="W11" s="92"/>
      <c r="X11" s="92"/>
    </row>
    <row r="12" spans="1:200" x14ac:dyDescent="0.2">
      <c r="C12" s="256" t="s">
        <v>17</v>
      </c>
      <c r="D12" s="256"/>
      <c r="E12" s="92">
        <f>E10</f>
        <v>100000</v>
      </c>
      <c r="I12" s="197">
        <f>+'Lvl FCR Feeder'!H14</f>
        <v>0.21</v>
      </c>
      <c r="J12" s="277" t="s">
        <v>41</v>
      </c>
      <c r="K12" s="277"/>
      <c r="L12" s="277"/>
      <c r="M12" s="102"/>
    </row>
    <row r="13" spans="1:200" x14ac:dyDescent="0.2">
      <c r="C13" s="126"/>
      <c r="M13" s="102"/>
    </row>
    <row r="14" spans="1:200" ht="34.5" thickBot="1" x14ac:dyDescent="0.25">
      <c r="A14" s="104" t="s">
        <v>45</v>
      </c>
      <c r="B14" s="104" t="s">
        <v>46</v>
      </c>
      <c r="C14" s="104" t="s">
        <v>55</v>
      </c>
      <c r="D14" s="104" t="s">
        <v>47</v>
      </c>
      <c r="E14" s="104" t="s">
        <v>57</v>
      </c>
      <c r="F14" s="104" t="s">
        <v>54</v>
      </c>
      <c r="G14" s="104" t="s">
        <v>48</v>
      </c>
      <c r="H14" s="104" t="s">
        <v>49</v>
      </c>
      <c r="I14" s="104" t="s">
        <v>56</v>
      </c>
      <c r="J14" s="104" t="s">
        <v>51</v>
      </c>
      <c r="K14" s="104" t="s">
        <v>52</v>
      </c>
    </row>
    <row r="15" spans="1:200" x14ac:dyDescent="0.2">
      <c r="A15" s="105">
        <v>1</v>
      </c>
      <c r="B15" s="112">
        <f>E10</f>
        <v>100000</v>
      </c>
      <c r="C15" s="135">
        <v>0</v>
      </c>
      <c r="D15" s="106">
        <f>E10</f>
        <v>100000</v>
      </c>
      <c r="E15" s="106">
        <f t="shared" ref="E15:E58" si="1">E$11*C15</f>
        <v>0</v>
      </c>
      <c r="F15" s="108">
        <f t="shared" ref="F15:F58" si="2">$I$12*(E15-I15*E$11/E$10)</f>
        <v>0</v>
      </c>
      <c r="G15" s="106">
        <f>L$4*D15*(E9/12)</f>
        <v>2550</v>
      </c>
      <c r="H15" s="106">
        <f>D15*(L$5+L$6)*(E9/12)</f>
        <v>4610</v>
      </c>
      <c r="I15" s="136">
        <v>0</v>
      </c>
      <c r="J15" s="106">
        <f t="shared" ref="J15:J58" si="3">(I$11/(1-I$11))*(H15+I15-E15+F15)</f>
        <v>1517.4265473081193</v>
      </c>
      <c r="K15" s="106">
        <f>F15+G15+H15+I15+J15</f>
        <v>8677.4265473081196</v>
      </c>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row>
    <row r="16" spans="1:200" x14ac:dyDescent="0.2">
      <c r="A16" s="105">
        <f t="shared" ref="A16:A64" si="4">A15+1</f>
        <v>2</v>
      </c>
      <c r="B16" s="112">
        <f>B15-I15</f>
        <v>100000</v>
      </c>
      <c r="C16" s="135">
        <v>0</v>
      </c>
      <c r="D16" s="106">
        <f t="shared" ref="D16:D53" si="5">D15-F15-I15</f>
        <v>100000</v>
      </c>
      <c r="E16" s="106">
        <f t="shared" si="1"/>
        <v>0</v>
      </c>
      <c r="F16" s="108">
        <f t="shared" si="2"/>
        <v>0</v>
      </c>
      <c r="G16" s="106">
        <f t="shared" ref="G16:G47" si="6">L$4*D16</f>
        <v>2550</v>
      </c>
      <c r="H16" s="106">
        <f t="shared" ref="H16:H47" si="7">D16*(L$5+L$6)</f>
        <v>4610</v>
      </c>
      <c r="I16" s="136">
        <v>0</v>
      </c>
      <c r="J16" s="106">
        <f t="shared" si="3"/>
        <v>1517.4265473081193</v>
      </c>
      <c r="K16" s="106">
        <f t="shared" ref="K16:K58" si="8">F16+G16+H16+I16+J16</f>
        <v>8677.4265473081196</v>
      </c>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row>
    <row r="17" spans="1:200" x14ac:dyDescent="0.2">
      <c r="A17" s="105">
        <f t="shared" si="4"/>
        <v>3</v>
      </c>
      <c r="B17" s="112">
        <f t="shared" ref="B17:B53" si="9">B16-I16</f>
        <v>100000</v>
      </c>
      <c r="C17" s="135">
        <v>0</v>
      </c>
      <c r="D17" s="106">
        <f t="shared" si="5"/>
        <v>100000</v>
      </c>
      <c r="E17" s="106">
        <f t="shared" si="1"/>
        <v>0</v>
      </c>
      <c r="F17" s="108">
        <f t="shared" si="2"/>
        <v>0</v>
      </c>
      <c r="G17" s="106">
        <f t="shared" si="6"/>
        <v>2550</v>
      </c>
      <c r="H17" s="106">
        <f t="shared" si="7"/>
        <v>4610</v>
      </c>
      <c r="I17" s="136">
        <v>0</v>
      </c>
      <c r="J17" s="106">
        <f t="shared" si="3"/>
        <v>1517.4265473081193</v>
      </c>
      <c r="K17" s="106">
        <f t="shared" si="8"/>
        <v>8677.4265473081196</v>
      </c>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row>
    <row r="18" spans="1:200" x14ac:dyDescent="0.2">
      <c r="A18" s="105">
        <f t="shared" si="4"/>
        <v>4</v>
      </c>
      <c r="B18" s="112">
        <f t="shared" si="9"/>
        <v>100000</v>
      </c>
      <c r="C18" s="135">
        <v>0</v>
      </c>
      <c r="D18" s="106">
        <f t="shared" si="5"/>
        <v>100000</v>
      </c>
      <c r="E18" s="106">
        <f t="shared" si="1"/>
        <v>0</v>
      </c>
      <c r="F18" s="108">
        <f t="shared" si="2"/>
        <v>0</v>
      </c>
      <c r="G18" s="106">
        <f t="shared" si="6"/>
        <v>2550</v>
      </c>
      <c r="H18" s="106">
        <f t="shared" si="7"/>
        <v>4610</v>
      </c>
      <c r="I18" s="136">
        <v>0</v>
      </c>
      <c r="J18" s="106">
        <f t="shared" si="3"/>
        <v>1517.4265473081193</v>
      </c>
      <c r="K18" s="106">
        <f t="shared" si="8"/>
        <v>8677.4265473081196</v>
      </c>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row>
    <row r="19" spans="1:200" x14ac:dyDescent="0.2">
      <c r="A19" s="105">
        <f t="shared" si="4"/>
        <v>5</v>
      </c>
      <c r="B19" s="112">
        <f t="shared" si="9"/>
        <v>100000</v>
      </c>
      <c r="C19" s="135">
        <v>0</v>
      </c>
      <c r="D19" s="106">
        <f t="shared" si="5"/>
        <v>100000</v>
      </c>
      <c r="E19" s="106">
        <f t="shared" si="1"/>
        <v>0</v>
      </c>
      <c r="F19" s="108">
        <f t="shared" si="2"/>
        <v>0</v>
      </c>
      <c r="G19" s="106">
        <f t="shared" si="6"/>
        <v>2550</v>
      </c>
      <c r="H19" s="106">
        <f t="shared" si="7"/>
        <v>4610</v>
      </c>
      <c r="I19" s="136">
        <v>0</v>
      </c>
      <c r="J19" s="106">
        <f t="shared" si="3"/>
        <v>1517.4265473081193</v>
      </c>
      <c r="K19" s="106">
        <f t="shared" si="8"/>
        <v>8677.4265473081196</v>
      </c>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row>
    <row r="20" spans="1:200" x14ac:dyDescent="0.2">
      <c r="A20" s="105">
        <f t="shared" si="4"/>
        <v>6</v>
      </c>
      <c r="B20" s="112">
        <f t="shared" si="9"/>
        <v>100000</v>
      </c>
      <c r="C20" s="135">
        <v>0</v>
      </c>
      <c r="D20" s="106">
        <f t="shared" si="5"/>
        <v>100000</v>
      </c>
      <c r="E20" s="106">
        <f t="shared" si="1"/>
        <v>0</v>
      </c>
      <c r="F20" s="108">
        <f t="shared" si="2"/>
        <v>0</v>
      </c>
      <c r="G20" s="106">
        <f t="shared" si="6"/>
        <v>2550</v>
      </c>
      <c r="H20" s="106">
        <f t="shared" si="7"/>
        <v>4610</v>
      </c>
      <c r="I20" s="136">
        <v>0</v>
      </c>
      <c r="J20" s="106">
        <f t="shared" si="3"/>
        <v>1517.4265473081193</v>
      </c>
      <c r="K20" s="106">
        <f t="shared" si="8"/>
        <v>8677.4265473081196</v>
      </c>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row>
    <row r="21" spans="1:200" x14ac:dyDescent="0.2">
      <c r="A21" s="105">
        <f t="shared" si="4"/>
        <v>7</v>
      </c>
      <c r="B21" s="112">
        <f t="shared" si="9"/>
        <v>100000</v>
      </c>
      <c r="C21" s="135">
        <v>0</v>
      </c>
      <c r="D21" s="106">
        <f t="shared" si="5"/>
        <v>100000</v>
      </c>
      <c r="E21" s="106">
        <f t="shared" si="1"/>
        <v>0</v>
      </c>
      <c r="F21" s="108">
        <f t="shared" si="2"/>
        <v>0</v>
      </c>
      <c r="G21" s="106">
        <f t="shared" si="6"/>
        <v>2550</v>
      </c>
      <c r="H21" s="106">
        <f t="shared" si="7"/>
        <v>4610</v>
      </c>
      <c r="I21" s="136">
        <v>0</v>
      </c>
      <c r="J21" s="106">
        <f t="shared" si="3"/>
        <v>1517.4265473081193</v>
      </c>
      <c r="K21" s="106">
        <f t="shared" si="8"/>
        <v>8677.4265473081196</v>
      </c>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row>
    <row r="22" spans="1:200" x14ac:dyDescent="0.2">
      <c r="A22" s="105">
        <f t="shared" si="4"/>
        <v>8</v>
      </c>
      <c r="B22" s="112">
        <f t="shared" si="9"/>
        <v>100000</v>
      </c>
      <c r="C22" s="135">
        <v>0</v>
      </c>
      <c r="D22" s="106">
        <f t="shared" si="5"/>
        <v>100000</v>
      </c>
      <c r="E22" s="106">
        <f t="shared" si="1"/>
        <v>0</v>
      </c>
      <c r="F22" s="108">
        <f t="shared" si="2"/>
        <v>0</v>
      </c>
      <c r="G22" s="106">
        <f t="shared" si="6"/>
        <v>2550</v>
      </c>
      <c r="H22" s="106">
        <f t="shared" si="7"/>
        <v>4610</v>
      </c>
      <c r="I22" s="136">
        <v>0</v>
      </c>
      <c r="J22" s="106">
        <f t="shared" si="3"/>
        <v>1517.4265473081193</v>
      </c>
      <c r="K22" s="106">
        <f t="shared" si="8"/>
        <v>8677.4265473081196</v>
      </c>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row>
    <row r="23" spans="1:200" x14ac:dyDescent="0.2">
      <c r="A23" s="105">
        <f t="shared" si="4"/>
        <v>9</v>
      </c>
      <c r="B23" s="112">
        <f t="shared" si="9"/>
        <v>100000</v>
      </c>
      <c r="C23" s="135">
        <v>0</v>
      </c>
      <c r="D23" s="106">
        <f t="shared" si="5"/>
        <v>100000</v>
      </c>
      <c r="E23" s="106">
        <f t="shared" si="1"/>
        <v>0</v>
      </c>
      <c r="F23" s="108">
        <f t="shared" si="2"/>
        <v>0</v>
      </c>
      <c r="G23" s="106">
        <f t="shared" si="6"/>
        <v>2550</v>
      </c>
      <c r="H23" s="106">
        <f t="shared" si="7"/>
        <v>4610</v>
      </c>
      <c r="I23" s="136">
        <v>0</v>
      </c>
      <c r="J23" s="106">
        <f t="shared" si="3"/>
        <v>1517.4265473081193</v>
      </c>
      <c r="K23" s="106">
        <f t="shared" si="8"/>
        <v>8677.4265473081196</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row>
    <row r="24" spans="1:200" x14ac:dyDescent="0.2">
      <c r="A24" s="105">
        <f t="shared" si="4"/>
        <v>10</v>
      </c>
      <c r="B24" s="112">
        <f t="shared" si="9"/>
        <v>100000</v>
      </c>
      <c r="C24" s="135">
        <v>0</v>
      </c>
      <c r="D24" s="106">
        <f t="shared" si="5"/>
        <v>100000</v>
      </c>
      <c r="E24" s="106">
        <f t="shared" si="1"/>
        <v>0</v>
      </c>
      <c r="F24" s="108">
        <f t="shared" si="2"/>
        <v>0</v>
      </c>
      <c r="G24" s="106">
        <f t="shared" si="6"/>
        <v>2550</v>
      </c>
      <c r="H24" s="106">
        <f t="shared" si="7"/>
        <v>4610</v>
      </c>
      <c r="I24" s="136">
        <v>0</v>
      </c>
      <c r="J24" s="106">
        <f t="shared" si="3"/>
        <v>1517.4265473081193</v>
      </c>
      <c r="K24" s="106">
        <f t="shared" si="8"/>
        <v>8677.4265473081196</v>
      </c>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row>
    <row r="25" spans="1:200" x14ac:dyDescent="0.2">
      <c r="A25" s="105">
        <f t="shared" si="4"/>
        <v>11</v>
      </c>
      <c r="B25" s="112">
        <f t="shared" si="9"/>
        <v>100000</v>
      </c>
      <c r="C25" s="135">
        <v>0</v>
      </c>
      <c r="D25" s="106">
        <f t="shared" si="5"/>
        <v>100000</v>
      </c>
      <c r="E25" s="106">
        <f t="shared" si="1"/>
        <v>0</v>
      </c>
      <c r="F25" s="108">
        <f t="shared" si="2"/>
        <v>0</v>
      </c>
      <c r="G25" s="106">
        <f t="shared" si="6"/>
        <v>2550</v>
      </c>
      <c r="H25" s="106">
        <f t="shared" si="7"/>
        <v>4610</v>
      </c>
      <c r="I25" s="136">
        <v>0</v>
      </c>
      <c r="J25" s="106">
        <f t="shared" si="3"/>
        <v>1517.4265473081193</v>
      </c>
      <c r="K25" s="106">
        <f t="shared" si="8"/>
        <v>8677.4265473081196</v>
      </c>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row>
    <row r="26" spans="1:200" x14ac:dyDescent="0.2">
      <c r="A26" s="105">
        <f t="shared" si="4"/>
        <v>12</v>
      </c>
      <c r="B26" s="112">
        <f t="shared" si="9"/>
        <v>100000</v>
      </c>
      <c r="C26" s="135">
        <v>0</v>
      </c>
      <c r="D26" s="106">
        <f t="shared" si="5"/>
        <v>100000</v>
      </c>
      <c r="E26" s="106">
        <f t="shared" si="1"/>
        <v>0</v>
      </c>
      <c r="F26" s="108">
        <f t="shared" si="2"/>
        <v>0</v>
      </c>
      <c r="G26" s="106">
        <f t="shared" si="6"/>
        <v>2550</v>
      </c>
      <c r="H26" s="106">
        <f t="shared" si="7"/>
        <v>4610</v>
      </c>
      <c r="I26" s="136">
        <v>0</v>
      </c>
      <c r="J26" s="106">
        <f t="shared" si="3"/>
        <v>1517.4265473081193</v>
      </c>
      <c r="K26" s="106">
        <f t="shared" si="8"/>
        <v>8677.4265473081196</v>
      </c>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row>
    <row r="27" spans="1:200" x14ac:dyDescent="0.2">
      <c r="A27" s="105">
        <f t="shared" si="4"/>
        <v>13</v>
      </c>
      <c r="B27" s="112">
        <f t="shared" si="9"/>
        <v>100000</v>
      </c>
      <c r="C27" s="135">
        <v>0</v>
      </c>
      <c r="D27" s="106">
        <f t="shared" si="5"/>
        <v>100000</v>
      </c>
      <c r="E27" s="106">
        <f t="shared" si="1"/>
        <v>0</v>
      </c>
      <c r="F27" s="108">
        <f t="shared" si="2"/>
        <v>0</v>
      </c>
      <c r="G27" s="106">
        <f t="shared" si="6"/>
        <v>2550</v>
      </c>
      <c r="H27" s="106">
        <f t="shared" si="7"/>
        <v>4610</v>
      </c>
      <c r="I27" s="136">
        <v>0</v>
      </c>
      <c r="J27" s="106">
        <f t="shared" si="3"/>
        <v>1517.4265473081193</v>
      </c>
      <c r="K27" s="106">
        <f t="shared" si="8"/>
        <v>8677.4265473081196</v>
      </c>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row>
    <row r="28" spans="1:200" x14ac:dyDescent="0.2">
      <c r="A28" s="105">
        <f t="shared" si="4"/>
        <v>14</v>
      </c>
      <c r="B28" s="112">
        <f t="shared" si="9"/>
        <v>100000</v>
      </c>
      <c r="C28" s="135">
        <v>0</v>
      </c>
      <c r="D28" s="106">
        <f t="shared" si="5"/>
        <v>100000</v>
      </c>
      <c r="E28" s="106">
        <f t="shared" si="1"/>
        <v>0</v>
      </c>
      <c r="F28" s="108">
        <f t="shared" si="2"/>
        <v>0</v>
      </c>
      <c r="G28" s="106">
        <f t="shared" si="6"/>
        <v>2550</v>
      </c>
      <c r="H28" s="106">
        <f t="shared" si="7"/>
        <v>4610</v>
      </c>
      <c r="I28" s="136">
        <v>0</v>
      </c>
      <c r="J28" s="106">
        <f t="shared" si="3"/>
        <v>1517.4265473081193</v>
      </c>
      <c r="K28" s="106">
        <f t="shared" si="8"/>
        <v>8677.4265473081196</v>
      </c>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row>
    <row r="29" spans="1:200" x14ac:dyDescent="0.2">
      <c r="A29" s="105">
        <f t="shared" si="4"/>
        <v>15</v>
      </c>
      <c r="B29" s="112">
        <f t="shared" si="9"/>
        <v>100000</v>
      </c>
      <c r="C29" s="135">
        <v>0</v>
      </c>
      <c r="D29" s="106">
        <f t="shared" si="5"/>
        <v>100000</v>
      </c>
      <c r="E29" s="106">
        <f t="shared" si="1"/>
        <v>0</v>
      </c>
      <c r="F29" s="108">
        <f t="shared" si="2"/>
        <v>0</v>
      </c>
      <c r="G29" s="106">
        <f t="shared" si="6"/>
        <v>2550</v>
      </c>
      <c r="H29" s="106">
        <f t="shared" si="7"/>
        <v>4610</v>
      </c>
      <c r="I29" s="136">
        <v>0</v>
      </c>
      <c r="J29" s="106">
        <f t="shared" si="3"/>
        <v>1517.4265473081193</v>
      </c>
      <c r="K29" s="106">
        <f t="shared" si="8"/>
        <v>8677.4265473081196</v>
      </c>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row>
    <row r="30" spans="1:200" x14ac:dyDescent="0.2">
      <c r="A30" s="105">
        <f t="shared" si="4"/>
        <v>16</v>
      </c>
      <c r="B30" s="112">
        <f t="shared" si="9"/>
        <v>100000</v>
      </c>
      <c r="C30" s="135">
        <v>0</v>
      </c>
      <c r="D30" s="106">
        <f t="shared" si="5"/>
        <v>100000</v>
      </c>
      <c r="E30" s="106">
        <f t="shared" si="1"/>
        <v>0</v>
      </c>
      <c r="F30" s="108">
        <f t="shared" si="2"/>
        <v>0</v>
      </c>
      <c r="G30" s="106">
        <f t="shared" si="6"/>
        <v>2550</v>
      </c>
      <c r="H30" s="106">
        <f t="shared" si="7"/>
        <v>4610</v>
      </c>
      <c r="I30" s="136">
        <v>0</v>
      </c>
      <c r="J30" s="106">
        <f t="shared" si="3"/>
        <v>1517.4265473081193</v>
      </c>
      <c r="K30" s="106">
        <f t="shared" si="8"/>
        <v>8677.4265473081196</v>
      </c>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37"/>
      <c r="AI30" s="137"/>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row>
    <row r="31" spans="1:200" x14ac:dyDescent="0.2">
      <c r="A31" s="105">
        <f t="shared" si="4"/>
        <v>17</v>
      </c>
      <c r="B31" s="112">
        <f t="shared" si="9"/>
        <v>100000</v>
      </c>
      <c r="C31" s="135">
        <v>0</v>
      </c>
      <c r="D31" s="106">
        <f t="shared" si="5"/>
        <v>100000</v>
      </c>
      <c r="E31" s="106">
        <f t="shared" si="1"/>
        <v>0</v>
      </c>
      <c r="F31" s="108">
        <f t="shared" si="2"/>
        <v>0</v>
      </c>
      <c r="G31" s="106">
        <f t="shared" si="6"/>
        <v>2550</v>
      </c>
      <c r="H31" s="106">
        <f t="shared" si="7"/>
        <v>4610</v>
      </c>
      <c r="I31" s="136">
        <v>0</v>
      </c>
      <c r="J31" s="106">
        <f t="shared" si="3"/>
        <v>1517.4265473081193</v>
      </c>
      <c r="K31" s="106">
        <f t="shared" si="8"/>
        <v>8677.4265473081196</v>
      </c>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37"/>
      <c r="AI31" s="137"/>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row>
    <row r="32" spans="1:200" x14ac:dyDescent="0.2">
      <c r="A32" s="105">
        <f t="shared" si="4"/>
        <v>18</v>
      </c>
      <c r="B32" s="112">
        <f t="shared" si="9"/>
        <v>100000</v>
      </c>
      <c r="C32" s="135">
        <v>0</v>
      </c>
      <c r="D32" s="106">
        <f t="shared" si="5"/>
        <v>100000</v>
      </c>
      <c r="E32" s="106">
        <f t="shared" si="1"/>
        <v>0</v>
      </c>
      <c r="F32" s="108">
        <f t="shared" si="2"/>
        <v>0</v>
      </c>
      <c r="G32" s="106">
        <f t="shared" si="6"/>
        <v>2550</v>
      </c>
      <c r="H32" s="106">
        <f t="shared" si="7"/>
        <v>4610</v>
      </c>
      <c r="I32" s="136">
        <v>0</v>
      </c>
      <c r="J32" s="106">
        <f t="shared" si="3"/>
        <v>1517.4265473081193</v>
      </c>
      <c r="K32" s="106">
        <f t="shared" si="8"/>
        <v>8677.4265473081196</v>
      </c>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37"/>
      <c r="AI32" s="137"/>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row>
    <row r="33" spans="1:200" x14ac:dyDescent="0.2">
      <c r="A33" s="105">
        <f t="shared" si="4"/>
        <v>19</v>
      </c>
      <c r="B33" s="112">
        <f t="shared" si="9"/>
        <v>100000</v>
      </c>
      <c r="C33" s="135">
        <v>0</v>
      </c>
      <c r="D33" s="106">
        <f t="shared" si="5"/>
        <v>100000</v>
      </c>
      <c r="E33" s="106">
        <f t="shared" si="1"/>
        <v>0</v>
      </c>
      <c r="F33" s="108">
        <f t="shared" si="2"/>
        <v>0</v>
      </c>
      <c r="G33" s="106">
        <f t="shared" si="6"/>
        <v>2550</v>
      </c>
      <c r="H33" s="106">
        <f t="shared" si="7"/>
        <v>4610</v>
      </c>
      <c r="I33" s="136">
        <v>0</v>
      </c>
      <c r="J33" s="106">
        <f t="shared" si="3"/>
        <v>1517.4265473081193</v>
      </c>
      <c r="K33" s="106">
        <f t="shared" si="8"/>
        <v>8677.4265473081196</v>
      </c>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37"/>
      <c r="AI33" s="137"/>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row>
    <row r="34" spans="1:200" x14ac:dyDescent="0.2">
      <c r="A34" s="105">
        <f t="shared" si="4"/>
        <v>20</v>
      </c>
      <c r="B34" s="112">
        <f t="shared" si="9"/>
        <v>100000</v>
      </c>
      <c r="C34" s="135">
        <v>0</v>
      </c>
      <c r="D34" s="106">
        <f t="shared" si="5"/>
        <v>100000</v>
      </c>
      <c r="E34" s="106">
        <f t="shared" si="1"/>
        <v>0</v>
      </c>
      <c r="F34" s="108">
        <f t="shared" si="2"/>
        <v>0</v>
      </c>
      <c r="G34" s="106">
        <f t="shared" si="6"/>
        <v>2550</v>
      </c>
      <c r="H34" s="106">
        <f t="shared" si="7"/>
        <v>4610</v>
      </c>
      <c r="I34" s="136">
        <v>0</v>
      </c>
      <c r="J34" s="106">
        <f t="shared" si="3"/>
        <v>1517.4265473081193</v>
      </c>
      <c r="K34" s="106">
        <f t="shared" si="8"/>
        <v>8677.4265473081196</v>
      </c>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37"/>
      <c r="AI34" s="137"/>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row>
    <row r="35" spans="1:200" x14ac:dyDescent="0.2">
      <c r="A35" s="105">
        <f t="shared" si="4"/>
        <v>21</v>
      </c>
      <c r="B35" s="112">
        <f t="shared" si="9"/>
        <v>100000</v>
      </c>
      <c r="C35" s="135">
        <v>0</v>
      </c>
      <c r="D35" s="106">
        <f t="shared" si="5"/>
        <v>100000</v>
      </c>
      <c r="E35" s="106">
        <f t="shared" si="1"/>
        <v>0</v>
      </c>
      <c r="F35" s="108">
        <f t="shared" si="2"/>
        <v>0</v>
      </c>
      <c r="G35" s="106">
        <f t="shared" si="6"/>
        <v>2550</v>
      </c>
      <c r="H35" s="106">
        <f t="shared" si="7"/>
        <v>4610</v>
      </c>
      <c r="I35" s="136">
        <v>0</v>
      </c>
      <c r="J35" s="106">
        <f t="shared" si="3"/>
        <v>1517.4265473081193</v>
      </c>
      <c r="K35" s="106">
        <f t="shared" si="8"/>
        <v>8677.4265473081196</v>
      </c>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row>
    <row r="36" spans="1:200" x14ac:dyDescent="0.2">
      <c r="A36" s="105">
        <f t="shared" si="4"/>
        <v>22</v>
      </c>
      <c r="B36" s="112">
        <f t="shared" si="9"/>
        <v>100000</v>
      </c>
      <c r="C36" s="135">
        <v>0</v>
      </c>
      <c r="D36" s="106">
        <f t="shared" si="5"/>
        <v>100000</v>
      </c>
      <c r="E36" s="106">
        <f t="shared" si="1"/>
        <v>0</v>
      </c>
      <c r="F36" s="108">
        <f t="shared" si="2"/>
        <v>0</v>
      </c>
      <c r="G36" s="106">
        <f t="shared" si="6"/>
        <v>2550</v>
      </c>
      <c r="H36" s="106">
        <f t="shared" si="7"/>
        <v>4610</v>
      </c>
      <c r="I36" s="136">
        <v>0</v>
      </c>
      <c r="J36" s="106">
        <f t="shared" si="3"/>
        <v>1517.4265473081193</v>
      </c>
      <c r="K36" s="106">
        <f t="shared" si="8"/>
        <v>8677.4265473081196</v>
      </c>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row>
    <row r="37" spans="1:200" x14ac:dyDescent="0.2">
      <c r="A37" s="105">
        <f t="shared" si="4"/>
        <v>23</v>
      </c>
      <c r="B37" s="112">
        <f t="shared" si="9"/>
        <v>100000</v>
      </c>
      <c r="C37" s="135">
        <v>0</v>
      </c>
      <c r="D37" s="106">
        <f t="shared" si="5"/>
        <v>100000</v>
      </c>
      <c r="E37" s="106">
        <f t="shared" si="1"/>
        <v>0</v>
      </c>
      <c r="F37" s="108">
        <f t="shared" si="2"/>
        <v>0</v>
      </c>
      <c r="G37" s="106">
        <f t="shared" si="6"/>
        <v>2550</v>
      </c>
      <c r="H37" s="106">
        <f t="shared" si="7"/>
        <v>4610</v>
      </c>
      <c r="I37" s="136">
        <v>0</v>
      </c>
      <c r="J37" s="106">
        <f t="shared" si="3"/>
        <v>1517.4265473081193</v>
      </c>
      <c r="K37" s="106">
        <f t="shared" si="8"/>
        <v>8677.4265473081196</v>
      </c>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row>
    <row r="38" spans="1:200" x14ac:dyDescent="0.2">
      <c r="A38" s="105">
        <f t="shared" si="4"/>
        <v>24</v>
      </c>
      <c r="B38" s="112">
        <f t="shared" si="9"/>
        <v>100000</v>
      </c>
      <c r="C38" s="135">
        <v>0</v>
      </c>
      <c r="D38" s="106">
        <f t="shared" si="5"/>
        <v>100000</v>
      </c>
      <c r="E38" s="106">
        <f t="shared" si="1"/>
        <v>0</v>
      </c>
      <c r="F38" s="108">
        <f t="shared" si="2"/>
        <v>0</v>
      </c>
      <c r="G38" s="106">
        <f t="shared" si="6"/>
        <v>2550</v>
      </c>
      <c r="H38" s="106">
        <f t="shared" si="7"/>
        <v>4610</v>
      </c>
      <c r="I38" s="136">
        <v>0</v>
      </c>
      <c r="J38" s="106">
        <f t="shared" si="3"/>
        <v>1517.4265473081193</v>
      </c>
      <c r="K38" s="106">
        <f t="shared" si="8"/>
        <v>8677.4265473081196</v>
      </c>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row>
    <row r="39" spans="1:200" x14ac:dyDescent="0.2">
      <c r="A39" s="105">
        <f t="shared" si="4"/>
        <v>25</v>
      </c>
      <c r="B39" s="112">
        <f t="shared" si="9"/>
        <v>100000</v>
      </c>
      <c r="C39" s="135">
        <v>0</v>
      </c>
      <c r="D39" s="106">
        <f t="shared" si="5"/>
        <v>100000</v>
      </c>
      <c r="E39" s="106">
        <f t="shared" si="1"/>
        <v>0</v>
      </c>
      <c r="F39" s="108">
        <f t="shared" si="2"/>
        <v>0</v>
      </c>
      <c r="G39" s="106">
        <f t="shared" si="6"/>
        <v>2550</v>
      </c>
      <c r="H39" s="106">
        <f t="shared" si="7"/>
        <v>4610</v>
      </c>
      <c r="I39" s="136">
        <v>0</v>
      </c>
      <c r="J39" s="106">
        <f t="shared" si="3"/>
        <v>1517.4265473081193</v>
      </c>
      <c r="K39" s="106">
        <f t="shared" si="8"/>
        <v>8677.4265473081196</v>
      </c>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row>
    <row r="40" spans="1:200" x14ac:dyDescent="0.2">
      <c r="A40" s="105">
        <f t="shared" si="4"/>
        <v>26</v>
      </c>
      <c r="B40" s="112">
        <f t="shared" si="9"/>
        <v>100000</v>
      </c>
      <c r="C40" s="135">
        <v>0</v>
      </c>
      <c r="D40" s="106">
        <f t="shared" si="5"/>
        <v>100000</v>
      </c>
      <c r="E40" s="106">
        <f t="shared" si="1"/>
        <v>0</v>
      </c>
      <c r="F40" s="108">
        <f t="shared" si="2"/>
        <v>0</v>
      </c>
      <c r="G40" s="106">
        <f t="shared" si="6"/>
        <v>2550</v>
      </c>
      <c r="H40" s="106">
        <f t="shared" si="7"/>
        <v>4610</v>
      </c>
      <c r="I40" s="136">
        <v>0</v>
      </c>
      <c r="J40" s="106">
        <f t="shared" si="3"/>
        <v>1517.4265473081193</v>
      </c>
      <c r="K40" s="106">
        <f t="shared" si="8"/>
        <v>8677.4265473081196</v>
      </c>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row>
    <row r="41" spans="1:200" x14ac:dyDescent="0.2">
      <c r="A41" s="105">
        <f t="shared" si="4"/>
        <v>27</v>
      </c>
      <c r="B41" s="112">
        <f t="shared" si="9"/>
        <v>100000</v>
      </c>
      <c r="C41" s="135">
        <v>0</v>
      </c>
      <c r="D41" s="106">
        <f t="shared" si="5"/>
        <v>100000</v>
      </c>
      <c r="E41" s="106">
        <f t="shared" si="1"/>
        <v>0</v>
      </c>
      <c r="F41" s="108">
        <f t="shared" si="2"/>
        <v>0</v>
      </c>
      <c r="G41" s="106">
        <f t="shared" si="6"/>
        <v>2550</v>
      </c>
      <c r="H41" s="106">
        <f t="shared" si="7"/>
        <v>4610</v>
      </c>
      <c r="I41" s="136">
        <v>0</v>
      </c>
      <c r="J41" s="106">
        <f t="shared" si="3"/>
        <v>1517.4265473081193</v>
      </c>
      <c r="K41" s="106">
        <f t="shared" si="8"/>
        <v>8677.4265473081196</v>
      </c>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row>
    <row r="42" spans="1:200" x14ac:dyDescent="0.2">
      <c r="A42" s="105">
        <f t="shared" si="4"/>
        <v>28</v>
      </c>
      <c r="B42" s="112">
        <f t="shared" si="9"/>
        <v>100000</v>
      </c>
      <c r="C42" s="135">
        <v>0</v>
      </c>
      <c r="D42" s="106">
        <f t="shared" si="5"/>
        <v>100000</v>
      </c>
      <c r="E42" s="106">
        <f t="shared" si="1"/>
        <v>0</v>
      </c>
      <c r="F42" s="108">
        <f t="shared" si="2"/>
        <v>0</v>
      </c>
      <c r="G42" s="106">
        <f t="shared" si="6"/>
        <v>2550</v>
      </c>
      <c r="H42" s="106">
        <f t="shared" si="7"/>
        <v>4610</v>
      </c>
      <c r="I42" s="136">
        <v>0</v>
      </c>
      <c r="J42" s="106">
        <f t="shared" si="3"/>
        <v>1517.4265473081193</v>
      </c>
      <c r="K42" s="106">
        <f t="shared" si="8"/>
        <v>8677.4265473081196</v>
      </c>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row>
    <row r="43" spans="1:200" x14ac:dyDescent="0.2">
      <c r="A43" s="105">
        <f t="shared" si="4"/>
        <v>29</v>
      </c>
      <c r="B43" s="112">
        <f t="shared" si="9"/>
        <v>100000</v>
      </c>
      <c r="C43" s="135">
        <v>0</v>
      </c>
      <c r="D43" s="106">
        <f t="shared" si="5"/>
        <v>100000</v>
      </c>
      <c r="E43" s="106">
        <f t="shared" si="1"/>
        <v>0</v>
      </c>
      <c r="F43" s="108">
        <f t="shared" si="2"/>
        <v>0</v>
      </c>
      <c r="G43" s="106">
        <f t="shared" si="6"/>
        <v>2550</v>
      </c>
      <c r="H43" s="106">
        <f t="shared" si="7"/>
        <v>4610</v>
      </c>
      <c r="I43" s="136">
        <v>0</v>
      </c>
      <c r="J43" s="106">
        <f t="shared" si="3"/>
        <v>1517.4265473081193</v>
      </c>
      <c r="K43" s="106">
        <f t="shared" si="8"/>
        <v>8677.4265473081196</v>
      </c>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row>
    <row r="44" spans="1:200" x14ac:dyDescent="0.2">
      <c r="A44" s="105">
        <f t="shared" si="4"/>
        <v>30</v>
      </c>
      <c r="B44" s="112">
        <f t="shared" si="9"/>
        <v>100000</v>
      </c>
      <c r="C44" s="135">
        <v>0</v>
      </c>
      <c r="D44" s="106">
        <f t="shared" si="5"/>
        <v>100000</v>
      </c>
      <c r="E44" s="106">
        <f t="shared" si="1"/>
        <v>0</v>
      </c>
      <c r="F44" s="108">
        <f t="shared" si="2"/>
        <v>0</v>
      </c>
      <c r="G44" s="106">
        <f t="shared" si="6"/>
        <v>2550</v>
      </c>
      <c r="H44" s="106">
        <f t="shared" si="7"/>
        <v>4610</v>
      </c>
      <c r="I44" s="136">
        <v>0</v>
      </c>
      <c r="J44" s="106">
        <f t="shared" si="3"/>
        <v>1517.4265473081193</v>
      </c>
      <c r="K44" s="106">
        <f t="shared" si="8"/>
        <v>8677.4265473081196</v>
      </c>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row>
    <row r="45" spans="1:200" x14ac:dyDescent="0.2">
      <c r="A45" s="105">
        <f t="shared" si="4"/>
        <v>31</v>
      </c>
      <c r="B45" s="112">
        <f t="shared" si="9"/>
        <v>100000</v>
      </c>
      <c r="C45" s="135">
        <v>0</v>
      </c>
      <c r="D45" s="106">
        <f t="shared" si="5"/>
        <v>100000</v>
      </c>
      <c r="E45" s="106">
        <f t="shared" si="1"/>
        <v>0</v>
      </c>
      <c r="F45" s="108">
        <f t="shared" si="2"/>
        <v>0</v>
      </c>
      <c r="G45" s="106">
        <f t="shared" si="6"/>
        <v>2550</v>
      </c>
      <c r="H45" s="106">
        <f t="shared" si="7"/>
        <v>4610</v>
      </c>
      <c r="I45" s="136">
        <v>0</v>
      </c>
      <c r="J45" s="106">
        <f t="shared" si="3"/>
        <v>1517.4265473081193</v>
      </c>
      <c r="K45" s="106">
        <f t="shared" si="8"/>
        <v>8677.4265473081196</v>
      </c>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row>
    <row r="46" spans="1:200" x14ac:dyDescent="0.2">
      <c r="A46" s="105">
        <f t="shared" si="4"/>
        <v>32</v>
      </c>
      <c r="B46" s="112">
        <f t="shared" si="9"/>
        <v>100000</v>
      </c>
      <c r="C46" s="135">
        <v>0</v>
      </c>
      <c r="D46" s="106">
        <f t="shared" si="5"/>
        <v>100000</v>
      </c>
      <c r="E46" s="106">
        <f t="shared" si="1"/>
        <v>0</v>
      </c>
      <c r="F46" s="108">
        <f t="shared" si="2"/>
        <v>0</v>
      </c>
      <c r="G46" s="106">
        <f t="shared" si="6"/>
        <v>2550</v>
      </c>
      <c r="H46" s="106">
        <f t="shared" si="7"/>
        <v>4610</v>
      </c>
      <c r="I46" s="136">
        <v>0</v>
      </c>
      <c r="J46" s="106">
        <f t="shared" si="3"/>
        <v>1517.4265473081193</v>
      </c>
      <c r="K46" s="106">
        <f t="shared" si="8"/>
        <v>8677.4265473081196</v>
      </c>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3"/>
      <c r="FK46" s="113"/>
      <c r="FL46" s="113"/>
      <c r="FM46" s="113"/>
      <c r="FN46" s="113"/>
      <c r="FO46" s="113"/>
      <c r="FP46" s="113"/>
      <c r="FQ46" s="113"/>
      <c r="FR46" s="113"/>
      <c r="FS46" s="113"/>
      <c r="FT46" s="113"/>
      <c r="FU46" s="113"/>
      <c r="FV46" s="113"/>
      <c r="FW46" s="113"/>
      <c r="FX46" s="113"/>
      <c r="FY46" s="113"/>
      <c r="FZ46" s="113"/>
      <c r="GA46" s="113"/>
      <c r="GB46" s="113"/>
      <c r="GC46" s="113"/>
      <c r="GD46" s="113"/>
      <c r="GE46" s="113"/>
      <c r="GF46" s="113"/>
      <c r="GG46" s="113"/>
      <c r="GH46" s="113"/>
      <c r="GI46" s="113"/>
      <c r="GJ46" s="113"/>
      <c r="GK46" s="113"/>
      <c r="GL46" s="113"/>
      <c r="GM46" s="113"/>
      <c r="GN46" s="113"/>
      <c r="GO46" s="113"/>
      <c r="GP46" s="113"/>
      <c r="GQ46" s="113"/>
      <c r="GR46" s="113"/>
    </row>
    <row r="47" spans="1:200" x14ac:dyDescent="0.2">
      <c r="A47" s="105">
        <f t="shared" si="4"/>
        <v>33</v>
      </c>
      <c r="B47" s="112">
        <f t="shared" si="9"/>
        <v>100000</v>
      </c>
      <c r="C47" s="135">
        <v>0</v>
      </c>
      <c r="D47" s="106">
        <f t="shared" si="5"/>
        <v>100000</v>
      </c>
      <c r="E47" s="106">
        <f t="shared" si="1"/>
        <v>0</v>
      </c>
      <c r="F47" s="108">
        <f t="shared" si="2"/>
        <v>0</v>
      </c>
      <c r="G47" s="106">
        <f t="shared" si="6"/>
        <v>2550</v>
      </c>
      <c r="H47" s="106">
        <f t="shared" si="7"/>
        <v>4610</v>
      </c>
      <c r="I47" s="136">
        <v>0</v>
      </c>
      <c r="J47" s="106">
        <f t="shared" si="3"/>
        <v>1517.4265473081193</v>
      </c>
      <c r="K47" s="106">
        <f t="shared" si="8"/>
        <v>8677.4265473081196</v>
      </c>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3"/>
      <c r="FU47" s="113"/>
      <c r="FV47" s="113"/>
      <c r="FW47" s="113"/>
      <c r="FX47" s="113"/>
      <c r="FY47" s="113"/>
      <c r="FZ47" s="113"/>
      <c r="GA47" s="113"/>
      <c r="GB47" s="113"/>
      <c r="GC47" s="113"/>
      <c r="GD47" s="113"/>
      <c r="GE47" s="113"/>
      <c r="GF47" s="113"/>
      <c r="GG47" s="113"/>
      <c r="GH47" s="113"/>
      <c r="GI47" s="113"/>
      <c r="GJ47" s="113"/>
      <c r="GK47" s="113"/>
      <c r="GL47" s="113"/>
      <c r="GM47" s="113"/>
      <c r="GN47" s="113"/>
      <c r="GO47" s="113"/>
      <c r="GP47" s="113"/>
      <c r="GQ47" s="113"/>
      <c r="GR47" s="113"/>
    </row>
    <row r="48" spans="1:200" x14ac:dyDescent="0.2">
      <c r="A48" s="105">
        <f t="shared" si="4"/>
        <v>34</v>
      </c>
      <c r="B48" s="112">
        <f t="shared" si="9"/>
        <v>100000</v>
      </c>
      <c r="C48" s="135">
        <v>0</v>
      </c>
      <c r="D48" s="106">
        <f t="shared" si="5"/>
        <v>100000</v>
      </c>
      <c r="E48" s="106">
        <f t="shared" si="1"/>
        <v>0</v>
      </c>
      <c r="F48" s="108">
        <f t="shared" si="2"/>
        <v>0</v>
      </c>
      <c r="G48" s="106">
        <f t="shared" ref="G48:G63" si="10">L$4*D48</f>
        <v>2550</v>
      </c>
      <c r="H48" s="106">
        <f t="shared" ref="H48:H63" si="11">D48*(L$5+L$6)</f>
        <v>4610</v>
      </c>
      <c r="I48" s="136">
        <v>0</v>
      </c>
      <c r="J48" s="106">
        <f t="shared" si="3"/>
        <v>1517.4265473081193</v>
      </c>
      <c r="K48" s="106">
        <f t="shared" si="8"/>
        <v>8677.4265473081196</v>
      </c>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c r="DZ48" s="113"/>
      <c r="EA48" s="113"/>
      <c r="EB48" s="113"/>
      <c r="EC48" s="113"/>
      <c r="ED48" s="113"/>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FR48" s="113"/>
      <c r="FS48" s="113"/>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row>
    <row r="49" spans="1:200" x14ac:dyDescent="0.2">
      <c r="A49" s="105">
        <f t="shared" si="4"/>
        <v>35</v>
      </c>
      <c r="B49" s="112">
        <f t="shared" si="9"/>
        <v>100000</v>
      </c>
      <c r="C49" s="135">
        <v>0</v>
      </c>
      <c r="D49" s="106">
        <f t="shared" si="5"/>
        <v>100000</v>
      </c>
      <c r="E49" s="106">
        <f t="shared" si="1"/>
        <v>0</v>
      </c>
      <c r="F49" s="108">
        <f t="shared" si="2"/>
        <v>0</v>
      </c>
      <c r="G49" s="106">
        <f t="shared" si="10"/>
        <v>2550</v>
      </c>
      <c r="H49" s="106">
        <f t="shared" si="11"/>
        <v>4610</v>
      </c>
      <c r="I49" s="136">
        <v>0</v>
      </c>
      <c r="J49" s="106">
        <f t="shared" si="3"/>
        <v>1517.4265473081193</v>
      </c>
      <c r="K49" s="106">
        <f t="shared" si="8"/>
        <v>8677.4265473081196</v>
      </c>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row>
    <row r="50" spans="1:200" x14ac:dyDescent="0.2">
      <c r="A50" s="105">
        <f t="shared" si="4"/>
        <v>36</v>
      </c>
      <c r="B50" s="112">
        <f t="shared" si="9"/>
        <v>100000</v>
      </c>
      <c r="C50" s="135">
        <v>0</v>
      </c>
      <c r="D50" s="106">
        <f t="shared" si="5"/>
        <v>100000</v>
      </c>
      <c r="E50" s="106">
        <f t="shared" si="1"/>
        <v>0</v>
      </c>
      <c r="F50" s="108">
        <f t="shared" si="2"/>
        <v>0</v>
      </c>
      <c r="G50" s="106">
        <f t="shared" si="10"/>
        <v>2550</v>
      </c>
      <c r="H50" s="106">
        <f t="shared" si="11"/>
        <v>4610</v>
      </c>
      <c r="I50" s="136">
        <v>0</v>
      </c>
      <c r="J50" s="106">
        <f t="shared" si="3"/>
        <v>1517.4265473081193</v>
      </c>
      <c r="K50" s="106">
        <f t="shared" si="8"/>
        <v>8677.4265473081196</v>
      </c>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row>
    <row r="51" spans="1:200" x14ac:dyDescent="0.2">
      <c r="A51" s="105">
        <f t="shared" si="4"/>
        <v>37</v>
      </c>
      <c r="B51" s="112">
        <f t="shared" si="9"/>
        <v>100000</v>
      </c>
      <c r="C51" s="135">
        <v>0</v>
      </c>
      <c r="D51" s="106">
        <f t="shared" si="5"/>
        <v>100000</v>
      </c>
      <c r="E51" s="106">
        <f t="shared" si="1"/>
        <v>0</v>
      </c>
      <c r="F51" s="108">
        <f t="shared" si="2"/>
        <v>0</v>
      </c>
      <c r="G51" s="106">
        <f t="shared" si="10"/>
        <v>2550</v>
      </c>
      <c r="H51" s="106">
        <f t="shared" si="11"/>
        <v>4610</v>
      </c>
      <c r="I51" s="136">
        <v>0</v>
      </c>
      <c r="J51" s="106">
        <f t="shared" si="3"/>
        <v>1517.4265473081193</v>
      </c>
      <c r="K51" s="106">
        <f t="shared" si="8"/>
        <v>8677.4265473081196</v>
      </c>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row>
    <row r="52" spans="1:200" x14ac:dyDescent="0.2">
      <c r="A52" s="105">
        <f t="shared" si="4"/>
        <v>38</v>
      </c>
      <c r="B52" s="112">
        <f t="shared" si="9"/>
        <v>100000</v>
      </c>
      <c r="C52" s="135">
        <v>0</v>
      </c>
      <c r="D52" s="106">
        <f t="shared" si="5"/>
        <v>100000</v>
      </c>
      <c r="E52" s="106">
        <f t="shared" si="1"/>
        <v>0</v>
      </c>
      <c r="F52" s="108">
        <f t="shared" si="2"/>
        <v>0</v>
      </c>
      <c r="G52" s="106">
        <f t="shared" si="10"/>
        <v>2550</v>
      </c>
      <c r="H52" s="106">
        <f t="shared" si="11"/>
        <v>4610</v>
      </c>
      <c r="I52" s="136">
        <v>0</v>
      </c>
      <c r="J52" s="106">
        <f t="shared" si="3"/>
        <v>1517.4265473081193</v>
      </c>
      <c r="K52" s="106">
        <f t="shared" si="8"/>
        <v>8677.4265473081196</v>
      </c>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3"/>
      <c r="DV52" s="113"/>
      <c r="DW52" s="113"/>
      <c r="DX52" s="113"/>
      <c r="DY52" s="113"/>
      <c r="DZ52" s="113"/>
      <c r="EA52" s="113"/>
      <c r="EB52" s="113"/>
      <c r="EC52" s="113"/>
      <c r="ED52" s="113"/>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row>
    <row r="53" spans="1:200" x14ac:dyDescent="0.2">
      <c r="A53" s="105">
        <f t="shared" si="4"/>
        <v>39</v>
      </c>
      <c r="B53" s="112">
        <f t="shared" si="9"/>
        <v>100000</v>
      </c>
      <c r="C53" s="135">
        <v>0</v>
      </c>
      <c r="D53" s="106">
        <f t="shared" si="5"/>
        <v>100000</v>
      </c>
      <c r="E53" s="106">
        <f t="shared" si="1"/>
        <v>0</v>
      </c>
      <c r="F53" s="108">
        <f t="shared" si="2"/>
        <v>0</v>
      </c>
      <c r="G53" s="106">
        <f t="shared" si="10"/>
        <v>2550</v>
      </c>
      <c r="H53" s="106">
        <f t="shared" si="11"/>
        <v>4610</v>
      </c>
      <c r="I53" s="136">
        <v>0</v>
      </c>
      <c r="J53" s="106">
        <f t="shared" si="3"/>
        <v>1517.4265473081193</v>
      </c>
      <c r="K53" s="106">
        <f t="shared" si="8"/>
        <v>8677.4265473081196</v>
      </c>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K53" s="113"/>
      <c r="DL53" s="113"/>
      <c r="DM53" s="113"/>
      <c r="DN53" s="113"/>
      <c r="DO53" s="113"/>
      <c r="DP53" s="113"/>
      <c r="DQ53" s="113"/>
      <c r="DR53" s="113"/>
      <c r="DS53" s="113"/>
      <c r="DT53" s="113"/>
      <c r="DU53" s="113"/>
      <c r="DV53" s="113"/>
      <c r="DW53" s="113"/>
      <c r="DX53" s="113"/>
      <c r="DY53" s="113"/>
      <c r="DZ53" s="113"/>
      <c r="EA53" s="113"/>
      <c r="EB53" s="113"/>
      <c r="EC53" s="113"/>
      <c r="ED53" s="113"/>
      <c r="EE53" s="113"/>
      <c r="EF53" s="113"/>
      <c r="EG53" s="113"/>
      <c r="EH53" s="113"/>
      <c r="EI53" s="113"/>
      <c r="EJ53" s="113"/>
      <c r="EK53" s="113"/>
      <c r="EL53" s="113"/>
      <c r="EM53" s="113"/>
      <c r="EN53" s="113"/>
      <c r="EO53" s="113"/>
      <c r="EP53" s="113"/>
      <c r="EQ53" s="113"/>
      <c r="ER53" s="113"/>
      <c r="ES53" s="113"/>
      <c r="ET53" s="113"/>
      <c r="EU53" s="113"/>
      <c r="EV53" s="113"/>
      <c r="EW53" s="113"/>
      <c r="EX53" s="113"/>
      <c r="EY53" s="113"/>
      <c r="EZ53" s="113"/>
      <c r="FA53" s="113"/>
      <c r="FB53" s="113"/>
      <c r="FC53" s="113"/>
      <c r="FD53" s="113"/>
      <c r="FE53" s="113"/>
      <c r="FF53" s="113"/>
      <c r="FG53" s="113"/>
      <c r="FH53" s="113"/>
      <c r="FI53" s="113"/>
      <c r="FJ53" s="113"/>
      <c r="FK53" s="113"/>
      <c r="FL53" s="113"/>
      <c r="FM53" s="113"/>
      <c r="FN53" s="113"/>
      <c r="FO53" s="113"/>
      <c r="FP53" s="113"/>
      <c r="FQ53" s="113"/>
      <c r="FR53" s="113"/>
      <c r="FS53" s="113"/>
      <c r="FT53" s="113"/>
      <c r="FU53" s="113"/>
      <c r="FV53" s="113"/>
      <c r="FW53" s="113"/>
      <c r="FX53" s="113"/>
      <c r="FY53" s="113"/>
      <c r="FZ53" s="113"/>
      <c r="GA53" s="113"/>
      <c r="GB53" s="113"/>
      <c r="GC53" s="113"/>
      <c r="GD53" s="113"/>
      <c r="GE53" s="113"/>
      <c r="GF53" s="113"/>
      <c r="GG53" s="113"/>
      <c r="GH53" s="113"/>
      <c r="GI53" s="113"/>
      <c r="GJ53" s="113"/>
      <c r="GK53" s="113"/>
      <c r="GL53" s="113"/>
      <c r="GM53" s="113"/>
      <c r="GN53" s="113"/>
      <c r="GO53" s="113"/>
      <c r="GP53" s="113"/>
      <c r="GQ53" s="113"/>
      <c r="GR53" s="113"/>
    </row>
    <row r="54" spans="1:200" x14ac:dyDescent="0.2">
      <c r="A54" s="105">
        <f t="shared" si="4"/>
        <v>40</v>
      </c>
      <c r="B54" s="112">
        <f t="shared" ref="B54:B58" si="12">B53-I53</f>
        <v>100000</v>
      </c>
      <c r="C54" s="135">
        <v>0</v>
      </c>
      <c r="D54" s="106">
        <f t="shared" ref="D54:D58" si="13">D53-F53-I53</f>
        <v>100000</v>
      </c>
      <c r="E54" s="106">
        <f t="shared" si="1"/>
        <v>0</v>
      </c>
      <c r="F54" s="108">
        <f t="shared" si="2"/>
        <v>0</v>
      </c>
      <c r="G54" s="106">
        <f t="shared" si="10"/>
        <v>2550</v>
      </c>
      <c r="H54" s="106">
        <f t="shared" si="11"/>
        <v>4610</v>
      </c>
      <c r="I54" s="136">
        <v>0</v>
      </c>
      <c r="J54" s="106">
        <f t="shared" si="3"/>
        <v>1517.4265473081193</v>
      </c>
      <c r="K54" s="106">
        <f t="shared" si="8"/>
        <v>8677.4265473081196</v>
      </c>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K54" s="113"/>
      <c r="DL54" s="113"/>
      <c r="DM54" s="113"/>
      <c r="DN54" s="113"/>
      <c r="DO54" s="113"/>
      <c r="DP54" s="113"/>
      <c r="DQ54" s="113"/>
      <c r="DR54" s="113"/>
      <c r="DS54" s="113"/>
      <c r="DT54" s="113"/>
      <c r="DU54" s="113"/>
      <c r="DV54" s="113"/>
      <c r="DW54" s="113"/>
      <c r="DX54" s="113"/>
      <c r="DY54" s="113"/>
      <c r="DZ54" s="113"/>
      <c r="EA54" s="113"/>
      <c r="EB54" s="113"/>
      <c r="EC54" s="113"/>
      <c r="ED54" s="113"/>
      <c r="EE54" s="113"/>
      <c r="EF54" s="113"/>
      <c r="EG54" s="113"/>
      <c r="EH54" s="113"/>
      <c r="EI54" s="113"/>
      <c r="EJ54" s="113"/>
      <c r="EK54" s="113"/>
      <c r="EL54" s="113"/>
      <c r="EM54" s="113"/>
      <c r="EN54" s="113"/>
      <c r="EO54" s="113"/>
      <c r="EP54" s="113"/>
      <c r="EQ54" s="113"/>
      <c r="ER54" s="113"/>
      <c r="ES54" s="113"/>
      <c r="ET54" s="113"/>
      <c r="EU54" s="113"/>
      <c r="EV54" s="113"/>
      <c r="EW54" s="113"/>
      <c r="EX54" s="113"/>
      <c r="EY54" s="113"/>
      <c r="EZ54" s="113"/>
      <c r="FA54" s="113"/>
      <c r="FB54" s="113"/>
      <c r="FC54" s="113"/>
      <c r="FD54" s="113"/>
      <c r="FE54" s="113"/>
      <c r="FF54" s="113"/>
      <c r="FG54" s="113"/>
      <c r="FH54" s="113"/>
      <c r="FI54" s="113"/>
      <c r="FJ54" s="113"/>
      <c r="FK54" s="113"/>
      <c r="FL54" s="113"/>
      <c r="FM54" s="113"/>
      <c r="FN54" s="113"/>
      <c r="FO54" s="113"/>
      <c r="FP54" s="113"/>
      <c r="FQ54" s="113"/>
      <c r="FR54" s="113"/>
      <c r="FS54" s="113"/>
      <c r="FT54" s="113"/>
      <c r="FU54" s="113"/>
      <c r="FV54" s="113"/>
      <c r="FW54" s="113"/>
      <c r="FX54" s="113"/>
      <c r="FY54" s="113"/>
      <c r="FZ54" s="113"/>
      <c r="GA54" s="113"/>
      <c r="GB54" s="113"/>
      <c r="GC54" s="113"/>
      <c r="GD54" s="113"/>
      <c r="GE54" s="113"/>
      <c r="GF54" s="113"/>
      <c r="GG54" s="113"/>
      <c r="GH54" s="113"/>
      <c r="GI54" s="113"/>
      <c r="GJ54" s="113"/>
      <c r="GK54" s="113"/>
      <c r="GL54" s="113"/>
      <c r="GM54" s="113"/>
      <c r="GN54" s="113"/>
      <c r="GO54" s="113"/>
      <c r="GP54" s="113"/>
      <c r="GQ54" s="113"/>
      <c r="GR54" s="113"/>
    </row>
    <row r="55" spans="1:200" x14ac:dyDescent="0.2">
      <c r="A55" s="105">
        <f t="shared" si="4"/>
        <v>41</v>
      </c>
      <c r="B55" s="112">
        <f t="shared" si="12"/>
        <v>100000</v>
      </c>
      <c r="C55" s="135">
        <v>0</v>
      </c>
      <c r="D55" s="106">
        <f t="shared" si="13"/>
        <v>100000</v>
      </c>
      <c r="E55" s="106">
        <f t="shared" si="1"/>
        <v>0</v>
      </c>
      <c r="F55" s="108">
        <f t="shared" si="2"/>
        <v>0</v>
      </c>
      <c r="G55" s="106">
        <f t="shared" si="10"/>
        <v>2550</v>
      </c>
      <c r="H55" s="106">
        <f t="shared" si="11"/>
        <v>4610</v>
      </c>
      <c r="I55" s="136">
        <v>0</v>
      </c>
      <c r="J55" s="106">
        <f t="shared" si="3"/>
        <v>1517.4265473081193</v>
      </c>
      <c r="K55" s="106">
        <f t="shared" si="8"/>
        <v>8677.4265473081196</v>
      </c>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3"/>
      <c r="FU55" s="113"/>
      <c r="FV55" s="113"/>
      <c r="FW55" s="113"/>
      <c r="FX55" s="113"/>
      <c r="FY55" s="113"/>
      <c r="FZ55" s="113"/>
      <c r="GA55" s="113"/>
      <c r="GB55" s="113"/>
      <c r="GC55" s="113"/>
      <c r="GD55" s="113"/>
      <c r="GE55" s="113"/>
      <c r="GF55" s="113"/>
      <c r="GG55" s="113"/>
      <c r="GH55" s="113"/>
      <c r="GI55" s="113"/>
      <c r="GJ55" s="113"/>
      <c r="GK55" s="113"/>
      <c r="GL55" s="113"/>
      <c r="GM55" s="113"/>
      <c r="GN55" s="113"/>
      <c r="GO55" s="113"/>
      <c r="GP55" s="113"/>
      <c r="GQ55" s="113"/>
      <c r="GR55" s="113"/>
    </row>
    <row r="56" spans="1:200" x14ac:dyDescent="0.2">
      <c r="A56" s="105">
        <f t="shared" si="4"/>
        <v>42</v>
      </c>
      <c r="B56" s="112">
        <f t="shared" si="12"/>
        <v>100000</v>
      </c>
      <c r="C56" s="135">
        <v>0</v>
      </c>
      <c r="D56" s="106">
        <f t="shared" si="13"/>
        <v>100000</v>
      </c>
      <c r="E56" s="106">
        <f t="shared" si="1"/>
        <v>0</v>
      </c>
      <c r="F56" s="108">
        <f t="shared" si="2"/>
        <v>0</v>
      </c>
      <c r="G56" s="106">
        <f t="shared" si="10"/>
        <v>2550</v>
      </c>
      <c r="H56" s="106">
        <f t="shared" si="11"/>
        <v>4610</v>
      </c>
      <c r="I56" s="136">
        <v>0</v>
      </c>
      <c r="J56" s="106">
        <f t="shared" si="3"/>
        <v>1517.4265473081193</v>
      </c>
      <c r="K56" s="106">
        <f t="shared" si="8"/>
        <v>8677.4265473081196</v>
      </c>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13"/>
      <c r="DV56" s="113"/>
      <c r="DW56" s="113"/>
      <c r="DX56" s="113"/>
      <c r="DY56" s="113"/>
      <c r="DZ56" s="113"/>
      <c r="EA56" s="113"/>
      <c r="EB56" s="113"/>
      <c r="EC56" s="113"/>
      <c r="ED56" s="113"/>
      <c r="EE56" s="113"/>
      <c r="EF56" s="113"/>
      <c r="EG56" s="113"/>
      <c r="EH56" s="113"/>
      <c r="EI56" s="113"/>
      <c r="EJ56" s="113"/>
      <c r="EK56" s="113"/>
      <c r="EL56" s="113"/>
      <c r="EM56" s="113"/>
      <c r="EN56" s="113"/>
      <c r="EO56" s="113"/>
      <c r="EP56" s="113"/>
      <c r="EQ56" s="113"/>
      <c r="ER56" s="113"/>
      <c r="ES56" s="113"/>
      <c r="ET56" s="113"/>
      <c r="EU56" s="113"/>
      <c r="EV56" s="113"/>
      <c r="EW56" s="113"/>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c r="GP56" s="113"/>
      <c r="GQ56" s="113"/>
      <c r="GR56" s="113"/>
    </row>
    <row r="57" spans="1:200" x14ac:dyDescent="0.2">
      <c r="A57" s="105">
        <f t="shared" si="4"/>
        <v>43</v>
      </c>
      <c r="B57" s="112">
        <f t="shared" si="12"/>
        <v>100000</v>
      </c>
      <c r="C57" s="135">
        <v>0</v>
      </c>
      <c r="D57" s="106">
        <f t="shared" si="13"/>
        <v>100000</v>
      </c>
      <c r="E57" s="106">
        <f t="shared" si="1"/>
        <v>0</v>
      </c>
      <c r="F57" s="108">
        <f t="shared" si="2"/>
        <v>0</v>
      </c>
      <c r="G57" s="106">
        <f t="shared" si="10"/>
        <v>2550</v>
      </c>
      <c r="H57" s="106">
        <f t="shared" si="11"/>
        <v>4610</v>
      </c>
      <c r="I57" s="136">
        <v>0</v>
      </c>
      <c r="J57" s="106">
        <f t="shared" si="3"/>
        <v>1517.4265473081193</v>
      </c>
      <c r="K57" s="106">
        <f t="shared" si="8"/>
        <v>8677.4265473081196</v>
      </c>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13"/>
      <c r="CY57" s="113"/>
      <c r="CZ57" s="113"/>
      <c r="DA57" s="113"/>
      <c r="DB57" s="113"/>
      <c r="DC57" s="113"/>
      <c r="DD57" s="113"/>
      <c r="DE57" s="113"/>
      <c r="DF57" s="113"/>
      <c r="DG57" s="113"/>
      <c r="DH57" s="113"/>
      <c r="DI57" s="113"/>
      <c r="DJ57" s="113"/>
      <c r="DK57" s="113"/>
      <c r="DL57" s="113"/>
      <c r="DM57" s="113"/>
      <c r="DN57" s="113"/>
      <c r="DO57" s="113"/>
      <c r="DP57" s="113"/>
      <c r="DQ57" s="113"/>
      <c r="DR57" s="113"/>
      <c r="DS57" s="113"/>
      <c r="DT57" s="113"/>
      <c r="DU57" s="113"/>
      <c r="DV57" s="113"/>
      <c r="DW57" s="113"/>
      <c r="DX57" s="113"/>
      <c r="DY57" s="113"/>
      <c r="DZ57" s="113"/>
      <c r="EA57" s="113"/>
      <c r="EB57" s="113"/>
      <c r="EC57" s="113"/>
      <c r="ED57" s="113"/>
      <c r="EE57" s="113"/>
      <c r="EF57" s="113"/>
      <c r="EG57" s="113"/>
      <c r="EH57" s="113"/>
      <c r="EI57" s="113"/>
      <c r="EJ57" s="113"/>
      <c r="EK57" s="113"/>
      <c r="EL57" s="113"/>
      <c r="EM57" s="113"/>
      <c r="EN57" s="113"/>
      <c r="EO57" s="113"/>
      <c r="EP57" s="113"/>
      <c r="EQ57" s="113"/>
      <c r="ER57" s="113"/>
      <c r="ES57" s="113"/>
      <c r="ET57" s="113"/>
      <c r="EU57" s="113"/>
      <c r="EV57" s="113"/>
      <c r="EW57" s="113"/>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FX57" s="113"/>
      <c r="FY57" s="113"/>
      <c r="FZ57" s="113"/>
      <c r="GA57" s="113"/>
      <c r="GB57" s="113"/>
      <c r="GC57" s="113"/>
      <c r="GD57" s="113"/>
      <c r="GE57" s="113"/>
      <c r="GF57" s="113"/>
      <c r="GG57" s="113"/>
      <c r="GH57" s="113"/>
      <c r="GI57" s="113"/>
      <c r="GJ57" s="113"/>
      <c r="GK57" s="113"/>
      <c r="GL57" s="113"/>
      <c r="GM57" s="113"/>
      <c r="GN57" s="113"/>
      <c r="GO57" s="113"/>
      <c r="GP57" s="113"/>
      <c r="GQ57" s="113"/>
      <c r="GR57" s="113"/>
    </row>
    <row r="58" spans="1:200" x14ac:dyDescent="0.2">
      <c r="A58" s="105">
        <f t="shared" si="4"/>
        <v>44</v>
      </c>
      <c r="B58" s="112">
        <f t="shared" si="12"/>
        <v>100000</v>
      </c>
      <c r="C58" s="135">
        <v>0</v>
      </c>
      <c r="D58" s="106">
        <f t="shared" si="13"/>
        <v>100000</v>
      </c>
      <c r="E58" s="106">
        <f t="shared" si="1"/>
        <v>0</v>
      </c>
      <c r="F58" s="108">
        <f t="shared" si="2"/>
        <v>0</v>
      </c>
      <c r="G58" s="106">
        <f t="shared" si="10"/>
        <v>2550</v>
      </c>
      <c r="H58" s="106">
        <f t="shared" si="11"/>
        <v>4610</v>
      </c>
      <c r="I58" s="136">
        <v>0</v>
      </c>
      <c r="J58" s="106">
        <f t="shared" si="3"/>
        <v>1517.4265473081193</v>
      </c>
      <c r="K58" s="106">
        <f t="shared" si="8"/>
        <v>8677.4265473081196</v>
      </c>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113"/>
      <c r="GE58" s="113"/>
      <c r="GF58" s="113"/>
      <c r="GG58" s="113"/>
      <c r="GH58" s="113"/>
      <c r="GI58" s="113"/>
      <c r="GJ58" s="113"/>
      <c r="GK58" s="113"/>
      <c r="GL58" s="113"/>
      <c r="GM58" s="113"/>
      <c r="GN58" s="113"/>
      <c r="GO58" s="113"/>
      <c r="GP58" s="113"/>
      <c r="GQ58" s="113"/>
      <c r="GR58" s="113"/>
    </row>
    <row r="59" spans="1:200" x14ac:dyDescent="0.2">
      <c r="A59" s="105">
        <f t="shared" si="4"/>
        <v>45</v>
      </c>
      <c r="B59" s="112">
        <f t="shared" ref="B59:B63" si="14">B58-I58</f>
        <v>100000</v>
      </c>
      <c r="C59" s="135">
        <v>0</v>
      </c>
      <c r="D59" s="106">
        <f t="shared" ref="D59:D63" si="15">D58-F58-I58</f>
        <v>100000</v>
      </c>
      <c r="E59" s="106">
        <f t="shared" ref="E59:E64" si="16">E$11*C59</f>
        <v>0</v>
      </c>
      <c r="F59" s="108">
        <f t="shared" ref="F59:F63" si="17">$I$12*(E59-I59*E$11/E$10)</f>
        <v>0</v>
      </c>
      <c r="G59" s="106">
        <f t="shared" si="10"/>
        <v>2550</v>
      </c>
      <c r="H59" s="106">
        <f t="shared" si="11"/>
        <v>4610</v>
      </c>
      <c r="I59" s="136">
        <v>0</v>
      </c>
      <c r="J59" s="106">
        <f t="shared" ref="J59:J63" si="18">(I$11/(1-I$11))*(H59+I59-E59+F59)</f>
        <v>1517.4265473081193</v>
      </c>
      <c r="K59" s="106">
        <f t="shared" ref="K59:K62" si="19">F59+G59+H59+I59+J59</f>
        <v>8677.4265473081196</v>
      </c>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c r="GH59" s="113"/>
      <c r="GI59" s="113"/>
      <c r="GJ59" s="113"/>
      <c r="GK59" s="113"/>
      <c r="GL59" s="113"/>
      <c r="GM59" s="113"/>
      <c r="GN59" s="113"/>
      <c r="GO59" s="113"/>
      <c r="GP59" s="113"/>
      <c r="GQ59" s="113"/>
      <c r="GR59" s="113"/>
    </row>
    <row r="60" spans="1:200" x14ac:dyDescent="0.2">
      <c r="A60" s="105">
        <f t="shared" si="4"/>
        <v>46</v>
      </c>
      <c r="B60" s="112">
        <f t="shared" si="14"/>
        <v>100000</v>
      </c>
      <c r="C60" s="135">
        <v>0</v>
      </c>
      <c r="D60" s="106">
        <f t="shared" si="15"/>
        <v>100000</v>
      </c>
      <c r="E60" s="106">
        <f t="shared" si="16"/>
        <v>0</v>
      </c>
      <c r="F60" s="108">
        <f t="shared" si="17"/>
        <v>0</v>
      </c>
      <c r="G60" s="106">
        <f t="shared" si="10"/>
        <v>2550</v>
      </c>
      <c r="H60" s="106">
        <f t="shared" si="11"/>
        <v>4610</v>
      </c>
      <c r="I60" s="136">
        <v>0</v>
      </c>
      <c r="J60" s="106">
        <f t="shared" si="18"/>
        <v>1517.4265473081193</v>
      </c>
      <c r="K60" s="106">
        <f t="shared" si="19"/>
        <v>8677.4265473081196</v>
      </c>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row>
    <row r="61" spans="1:200" x14ac:dyDescent="0.2">
      <c r="A61" s="105">
        <f t="shared" si="4"/>
        <v>47</v>
      </c>
      <c r="B61" s="112">
        <f t="shared" si="14"/>
        <v>100000</v>
      </c>
      <c r="C61" s="135">
        <v>0</v>
      </c>
      <c r="D61" s="106">
        <f t="shared" si="15"/>
        <v>100000</v>
      </c>
      <c r="E61" s="106">
        <f t="shared" si="16"/>
        <v>0</v>
      </c>
      <c r="F61" s="108">
        <f t="shared" si="17"/>
        <v>0</v>
      </c>
      <c r="G61" s="106">
        <f t="shared" si="10"/>
        <v>2550</v>
      </c>
      <c r="H61" s="106">
        <f t="shared" si="11"/>
        <v>4610</v>
      </c>
      <c r="I61" s="136">
        <v>0</v>
      </c>
      <c r="J61" s="106">
        <f t="shared" si="18"/>
        <v>1517.4265473081193</v>
      </c>
      <c r="K61" s="106">
        <f t="shared" si="19"/>
        <v>8677.4265473081196</v>
      </c>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row>
    <row r="62" spans="1:200" x14ac:dyDescent="0.2">
      <c r="A62" s="105">
        <f t="shared" si="4"/>
        <v>48</v>
      </c>
      <c r="B62" s="112">
        <f t="shared" si="14"/>
        <v>100000</v>
      </c>
      <c r="C62" s="135">
        <v>0</v>
      </c>
      <c r="D62" s="106">
        <f t="shared" si="15"/>
        <v>100000</v>
      </c>
      <c r="E62" s="106">
        <f t="shared" si="16"/>
        <v>0</v>
      </c>
      <c r="F62" s="108">
        <f t="shared" si="17"/>
        <v>0</v>
      </c>
      <c r="G62" s="106">
        <f t="shared" si="10"/>
        <v>2550</v>
      </c>
      <c r="H62" s="106">
        <f t="shared" si="11"/>
        <v>4610</v>
      </c>
      <c r="I62" s="136">
        <v>0</v>
      </c>
      <c r="J62" s="106">
        <f t="shared" si="18"/>
        <v>1517.4265473081193</v>
      </c>
      <c r="K62" s="106">
        <f t="shared" si="19"/>
        <v>8677.4265473081196</v>
      </c>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row>
    <row r="63" spans="1:200" x14ac:dyDescent="0.2">
      <c r="A63" s="105">
        <f t="shared" si="4"/>
        <v>49</v>
      </c>
      <c r="B63" s="112">
        <f t="shared" si="14"/>
        <v>100000</v>
      </c>
      <c r="C63" s="135">
        <v>0</v>
      </c>
      <c r="D63" s="106">
        <f t="shared" si="15"/>
        <v>100000</v>
      </c>
      <c r="E63" s="106">
        <f t="shared" si="16"/>
        <v>0</v>
      </c>
      <c r="F63" s="108">
        <f t="shared" si="17"/>
        <v>0</v>
      </c>
      <c r="G63" s="106">
        <f t="shared" si="10"/>
        <v>2550</v>
      </c>
      <c r="H63" s="106">
        <f t="shared" si="11"/>
        <v>4610</v>
      </c>
      <c r="I63" s="136">
        <v>0</v>
      </c>
      <c r="J63" s="106">
        <f t="shared" si="18"/>
        <v>1517.4265473081193</v>
      </c>
      <c r="K63" s="106">
        <f>F63+G63+H63+I63+J63</f>
        <v>8677.4265473081196</v>
      </c>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row>
    <row r="64" spans="1:200" x14ac:dyDescent="0.2">
      <c r="A64" s="138">
        <f t="shared" si="4"/>
        <v>50</v>
      </c>
      <c r="B64" s="112">
        <f t="shared" ref="B64" si="20">B63-I63</f>
        <v>100000</v>
      </c>
      <c r="C64" s="135">
        <v>0</v>
      </c>
      <c r="D64" s="106">
        <f t="shared" ref="D64" si="21">D63-F63-I63</f>
        <v>100000</v>
      </c>
      <c r="E64" s="106">
        <f t="shared" si="16"/>
        <v>0</v>
      </c>
      <c r="F64" s="108">
        <f t="shared" ref="F64" si="22">$I$12*(E64-I64*E$11/E$10)</f>
        <v>0</v>
      </c>
      <c r="G64" s="106">
        <f t="shared" ref="G64" si="23">L$4*D64</f>
        <v>2550</v>
      </c>
      <c r="H64" s="106">
        <f t="shared" ref="H64" si="24">D64*(L$5+L$6)</f>
        <v>4610</v>
      </c>
      <c r="I64" s="136">
        <v>0</v>
      </c>
      <c r="J64" s="106">
        <f t="shared" ref="J64" si="25">(I$11/(1-I$11))*(H64+I64-E64+F64)</f>
        <v>1517.4265473081193</v>
      </c>
      <c r="K64" s="106">
        <f>F64+G64+H64+I64+J64</f>
        <v>8677.4265473081196</v>
      </c>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DW64" s="113"/>
      <c r="DX64" s="113"/>
      <c r="DY64" s="113"/>
      <c r="DZ64" s="113"/>
      <c r="EA64" s="113"/>
      <c r="EB64" s="113"/>
      <c r="EC64" s="113"/>
      <c r="ED64" s="113"/>
      <c r="EE64" s="113"/>
      <c r="EF64" s="113"/>
      <c r="EG64" s="113"/>
      <c r="EH64" s="113"/>
      <c r="EI64" s="113"/>
      <c r="EJ64" s="113"/>
      <c r="EK64" s="113"/>
      <c r="EL64" s="113"/>
      <c r="EM64" s="113"/>
      <c r="EN64" s="113"/>
      <c r="EO64" s="113"/>
      <c r="EP64" s="113"/>
      <c r="EQ64" s="113"/>
      <c r="ER64" s="113"/>
      <c r="ES64" s="113"/>
      <c r="ET64" s="113"/>
      <c r="EU64" s="113"/>
      <c r="EV64" s="113"/>
      <c r="EW64" s="113"/>
      <c r="EX64" s="113"/>
      <c r="EY64" s="113"/>
      <c r="EZ64" s="113"/>
      <c r="FA64" s="113"/>
      <c r="FB64" s="113"/>
      <c r="FC64" s="113"/>
      <c r="FD64" s="113"/>
      <c r="FE64" s="113"/>
      <c r="FF64" s="113"/>
      <c r="FG64" s="113"/>
      <c r="FH64" s="113"/>
      <c r="FI64" s="113"/>
      <c r="FJ64" s="113"/>
      <c r="FK64" s="113"/>
      <c r="FL64" s="113"/>
      <c r="FM64" s="113"/>
      <c r="FN64" s="113"/>
      <c r="FO64" s="113"/>
      <c r="FP64" s="113"/>
      <c r="FQ64" s="113"/>
      <c r="FR64" s="113"/>
      <c r="FS64" s="113"/>
      <c r="FT64" s="113"/>
      <c r="FU64" s="113"/>
      <c r="FV64" s="113"/>
      <c r="FW64" s="113"/>
      <c r="FX64" s="113"/>
      <c r="FY64" s="113"/>
      <c r="FZ64" s="113"/>
      <c r="GA64" s="113"/>
      <c r="GB64" s="113"/>
      <c r="GC64" s="113"/>
      <c r="GD64" s="113"/>
      <c r="GE64" s="113"/>
      <c r="GF64" s="113"/>
      <c r="GG64" s="113"/>
      <c r="GH64" s="113"/>
      <c r="GI64" s="113"/>
      <c r="GJ64" s="113"/>
      <c r="GK64" s="113"/>
      <c r="GL64" s="113"/>
      <c r="GM64" s="113"/>
      <c r="GN64" s="113"/>
      <c r="GO64" s="113"/>
      <c r="GP64" s="113"/>
      <c r="GQ64" s="113"/>
      <c r="GR64" s="113"/>
    </row>
    <row r="65" spans="1:200" x14ac:dyDescent="0.2">
      <c r="A65" s="105" t="s">
        <v>13</v>
      </c>
      <c r="B65" s="112"/>
      <c r="C65" s="133" t="s">
        <v>13</v>
      </c>
      <c r="D65" s="106" t="s">
        <v>13</v>
      </c>
      <c r="E65" s="106" t="s">
        <v>13</v>
      </c>
      <c r="F65" s="106" t="s">
        <v>13</v>
      </c>
      <c r="G65" s="106" t="s">
        <v>13</v>
      </c>
      <c r="H65" s="106" t="s">
        <v>13</v>
      </c>
      <c r="I65" s="106" t="s">
        <v>13</v>
      </c>
      <c r="J65" s="106" t="s">
        <v>13</v>
      </c>
      <c r="K65" s="106" t="s">
        <v>13</v>
      </c>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row>
    <row r="66" spans="1:200" x14ac:dyDescent="0.2">
      <c r="A66" s="105" t="s">
        <v>12</v>
      </c>
      <c r="B66" s="112"/>
      <c r="C66" s="133">
        <f>SUM(C15:C64)</f>
        <v>0</v>
      </c>
      <c r="D66" s="106" t="s">
        <v>11</v>
      </c>
      <c r="E66" s="106">
        <f>SUM(E15:E64)</f>
        <v>0</v>
      </c>
      <c r="F66" s="106">
        <f t="shared" ref="F66:K66" si="26">SUM(F15:F64)</f>
        <v>0</v>
      </c>
      <c r="G66" s="106">
        <f t="shared" si="26"/>
        <v>127500</v>
      </c>
      <c r="H66" s="106">
        <f t="shared" si="26"/>
        <v>230500</v>
      </c>
      <c r="I66" s="106">
        <f t="shared" si="26"/>
        <v>0</v>
      </c>
      <c r="J66" s="106">
        <f t="shared" si="26"/>
        <v>75871.327365405916</v>
      </c>
      <c r="K66" s="106">
        <f t="shared" si="26"/>
        <v>433871.32736540586</v>
      </c>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FR66" s="113"/>
      <c r="FS66" s="113"/>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row>
    <row r="67" spans="1:200" x14ac:dyDescent="0.2">
      <c r="B67" s="112"/>
      <c r="C67" s="133"/>
      <c r="D67" s="115"/>
      <c r="E67" s="115"/>
      <c r="F67" s="115"/>
      <c r="G67" s="115"/>
      <c r="H67" s="115"/>
      <c r="I67" s="115"/>
      <c r="J67" s="115"/>
      <c r="K67" s="115"/>
      <c r="L67" s="115"/>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c r="EC67" s="113"/>
      <c r="ED67" s="113"/>
      <c r="EE67" s="113"/>
      <c r="EF67" s="113"/>
      <c r="EG67" s="113"/>
      <c r="EH67" s="113"/>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3"/>
      <c r="FU67" s="113"/>
      <c r="FV67" s="113"/>
      <c r="FW67" s="113"/>
      <c r="FX67" s="113"/>
      <c r="FY67" s="113"/>
      <c r="FZ67" s="113"/>
      <c r="GA67" s="113"/>
      <c r="GB67" s="113"/>
      <c r="GC67" s="113"/>
      <c r="GD67" s="113"/>
      <c r="GE67" s="113"/>
      <c r="GF67" s="113"/>
      <c r="GG67" s="113"/>
      <c r="GH67" s="113"/>
      <c r="GI67" s="113"/>
      <c r="GJ67" s="113"/>
      <c r="GK67" s="113"/>
      <c r="GL67" s="113"/>
      <c r="GM67" s="113"/>
      <c r="GN67" s="113"/>
      <c r="GO67" s="113"/>
      <c r="GP67" s="113"/>
      <c r="GQ67" s="113"/>
      <c r="GR67" s="113"/>
    </row>
    <row r="68" spans="1:200" x14ac:dyDescent="0.2">
      <c r="B68" s="112"/>
      <c r="C68" s="276" t="s">
        <v>10</v>
      </c>
      <c r="D68" s="276"/>
      <c r="E68" s="106">
        <f t="shared" ref="E68:K68" si="27">NPV($L8,E15:E64)</f>
        <v>0</v>
      </c>
      <c r="F68" s="106">
        <f t="shared" si="27"/>
        <v>0</v>
      </c>
      <c r="G68" s="106">
        <f t="shared" si="27"/>
        <v>34492.527582626892</v>
      </c>
      <c r="H68" s="106">
        <f t="shared" si="27"/>
        <v>62357.079276827411</v>
      </c>
      <c r="I68" s="106">
        <f t="shared" si="27"/>
        <v>0</v>
      </c>
      <c r="J68" s="106">
        <f t="shared" si="27"/>
        <v>20525.441975543359</v>
      </c>
      <c r="K68" s="106">
        <f t="shared" si="27"/>
        <v>117375.04883499767</v>
      </c>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row>
    <row r="69" spans="1:200" x14ac:dyDescent="0.2">
      <c r="B69" s="105"/>
      <c r="C69" s="105"/>
      <c r="D69" s="106"/>
      <c r="E69" s="106"/>
      <c r="F69" s="106"/>
      <c r="G69" s="106"/>
      <c r="H69" s="106"/>
      <c r="I69" s="106"/>
      <c r="J69" s="106"/>
      <c r="K69" s="106"/>
      <c r="L69" s="106"/>
      <c r="M69" s="106"/>
      <c r="N69" s="106"/>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row>
    <row r="70" spans="1:200" x14ac:dyDescent="0.2">
      <c r="B70" s="116"/>
      <c r="C70" s="133"/>
      <c r="D70" s="115"/>
      <c r="E70" s="115"/>
      <c r="F70" s="115"/>
      <c r="G70" s="115"/>
      <c r="H70" s="115"/>
      <c r="I70" s="115"/>
      <c r="J70" s="115"/>
      <c r="K70" s="115"/>
      <c r="L70" s="115"/>
      <c r="M70" s="115"/>
      <c r="N70" s="115"/>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row>
    <row r="71" spans="1:200" x14ac:dyDescent="0.2">
      <c r="B71" s="116"/>
      <c r="C71" s="116"/>
      <c r="D71" s="115"/>
      <c r="E71" s="115"/>
      <c r="F71" s="115"/>
      <c r="G71" s="115"/>
      <c r="H71" s="115"/>
      <c r="I71" s="115"/>
      <c r="J71" s="115"/>
      <c r="K71" s="115"/>
      <c r="L71" s="115"/>
      <c r="M71" s="115"/>
      <c r="N71" s="115"/>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row>
    <row r="72" spans="1:200" x14ac:dyDescent="0.2">
      <c r="B72" s="116"/>
      <c r="C72" s="116"/>
      <c r="D72" s="115"/>
      <c r="E72" s="115"/>
      <c r="F72" s="115"/>
      <c r="G72" s="115"/>
      <c r="H72" s="115"/>
      <c r="I72" s="115"/>
      <c r="J72" s="115"/>
      <c r="K72" s="115"/>
      <c r="L72" s="115"/>
      <c r="M72" s="115"/>
      <c r="N72" s="115"/>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row>
    <row r="73" spans="1:200" x14ac:dyDescent="0.2">
      <c r="B73" s="105"/>
      <c r="C73" s="116"/>
      <c r="D73" s="115"/>
      <c r="E73" s="115"/>
      <c r="F73" s="115"/>
      <c r="G73" s="115"/>
      <c r="H73" s="115"/>
      <c r="I73" s="115"/>
      <c r="J73" s="115"/>
      <c r="K73" s="115"/>
      <c r="L73" s="115"/>
      <c r="M73" s="115"/>
      <c r="N73" s="115"/>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row>
    <row r="74" spans="1:200" x14ac:dyDescent="0.2">
      <c r="B74" s="116"/>
      <c r="C74" s="116"/>
      <c r="D74" s="115"/>
      <c r="E74" s="115"/>
      <c r="F74" s="115"/>
      <c r="G74" s="115"/>
      <c r="H74" s="115"/>
      <c r="I74" s="115"/>
      <c r="J74" s="115"/>
      <c r="K74" s="115"/>
      <c r="L74" s="115"/>
      <c r="M74" s="115"/>
      <c r="N74" s="115"/>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row>
    <row r="75" spans="1:200" x14ac:dyDescent="0.2">
      <c r="B75" s="116"/>
      <c r="C75" s="116"/>
      <c r="D75" s="115"/>
      <c r="E75" s="115"/>
      <c r="F75" s="115"/>
      <c r="G75" s="115"/>
      <c r="H75" s="115"/>
      <c r="I75" s="115"/>
      <c r="J75" s="115"/>
      <c r="K75" s="115"/>
      <c r="L75" s="115"/>
      <c r="M75" s="115"/>
      <c r="N75" s="115"/>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row>
    <row r="76" spans="1:200" x14ac:dyDescent="0.2">
      <c r="B76" s="116"/>
      <c r="C76" s="116"/>
      <c r="D76" s="115"/>
      <c r="E76" s="115"/>
      <c r="F76" s="115"/>
      <c r="G76" s="115"/>
      <c r="H76" s="115"/>
      <c r="I76" s="115"/>
      <c r="J76" s="115"/>
      <c r="K76" s="115"/>
      <c r="L76" s="115"/>
      <c r="M76" s="115"/>
      <c r="N76" s="115"/>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row>
    <row r="77" spans="1:200" x14ac:dyDescent="0.2">
      <c r="B77" s="116"/>
      <c r="C77" s="116"/>
      <c r="D77" s="115"/>
      <c r="E77" s="115"/>
      <c r="F77" s="115"/>
      <c r="G77" s="115"/>
      <c r="H77" s="115"/>
      <c r="I77" s="115"/>
      <c r="J77" s="115"/>
      <c r="K77" s="115"/>
      <c r="L77" s="115"/>
      <c r="M77" s="115"/>
      <c r="N77" s="115"/>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row>
    <row r="78" spans="1:200" x14ac:dyDescent="0.2">
      <c r="B78" s="116"/>
      <c r="C78" s="116"/>
      <c r="D78" s="115"/>
      <c r="E78" s="115"/>
      <c r="F78" s="115"/>
      <c r="G78" s="115"/>
      <c r="H78" s="115"/>
      <c r="I78" s="115"/>
      <c r="J78" s="115"/>
      <c r="K78" s="115"/>
      <c r="L78" s="115"/>
      <c r="M78" s="115"/>
      <c r="N78" s="115"/>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row>
    <row r="79" spans="1:200" x14ac:dyDescent="0.2">
      <c r="B79" s="116"/>
      <c r="C79" s="116"/>
      <c r="D79" s="115"/>
      <c r="E79" s="115"/>
      <c r="F79" s="115"/>
      <c r="G79" s="115"/>
      <c r="H79" s="115"/>
      <c r="I79" s="115"/>
      <c r="J79" s="115"/>
      <c r="K79" s="115"/>
      <c r="L79" s="115"/>
      <c r="M79" s="115"/>
      <c r="N79" s="115"/>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row>
    <row r="80" spans="1:200" x14ac:dyDescent="0.2">
      <c r="B80" s="116"/>
      <c r="C80" s="116"/>
      <c r="D80" s="115"/>
      <c r="E80" s="115"/>
      <c r="F80" s="115"/>
      <c r="G80" s="115"/>
      <c r="H80" s="115"/>
      <c r="I80" s="115"/>
      <c r="J80" s="115"/>
      <c r="K80" s="115"/>
      <c r="L80" s="115"/>
      <c r="M80" s="115"/>
      <c r="N80" s="115"/>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DW80" s="113"/>
      <c r="DX80" s="113"/>
      <c r="DY80" s="113"/>
      <c r="DZ80" s="113"/>
      <c r="EA80" s="113"/>
      <c r="EB80" s="113"/>
      <c r="EC80" s="113"/>
      <c r="ED80" s="113"/>
      <c r="EE80" s="113"/>
      <c r="EF80" s="113"/>
      <c r="EG80" s="113"/>
      <c r="EH80" s="113"/>
      <c r="EI80" s="113"/>
      <c r="EJ80" s="113"/>
      <c r="EK80" s="113"/>
      <c r="EL80" s="113"/>
      <c r="EM80" s="113"/>
      <c r="EN80" s="113"/>
      <c r="EO80" s="113"/>
      <c r="EP80" s="113"/>
      <c r="EQ80" s="113"/>
      <c r="ER80" s="113"/>
      <c r="ES80" s="113"/>
      <c r="ET80" s="113"/>
      <c r="EU80" s="113"/>
      <c r="EV80" s="113"/>
      <c r="EW80" s="113"/>
      <c r="EX80" s="113"/>
      <c r="EY80" s="113"/>
      <c r="EZ80" s="113"/>
      <c r="FA80" s="113"/>
      <c r="FB80" s="113"/>
      <c r="FC80" s="113"/>
      <c r="FD80" s="113"/>
      <c r="FE80" s="113"/>
      <c r="FF80" s="113"/>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c r="GP80" s="113"/>
      <c r="GQ80" s="113"/>
      <c r="GR80" s="113"/>
    </row>
    <row r="81" spans="2:200" x14ac:dyDescent="0.2">
      <c r="B81" s="116"/>
      <c r="C81" s="116"/>
      <c r="D81" s="115"/>
      <c r="E81" s="115"/>
      <c r="F81" s="115"/>
      <c r="G81" s="115"/>
      <c r="H81" s="115"/>
      <c r="I81" s="115"/>
      <c r="J81" s="115"/>
      <c r="K81" s="115"/>
      <c r="L81" s="115"/>
      <c r="M81" s="115"/>
      <c r="N81" s="115"/>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row>
    <row r="82" spans="2:200" x14ac:dyDescent="0.2">
      <c r="B82" s="116"/>
      <c r="C82" s="116"/>
      <c r="D82" s="115"/>
      <c r="E82" s="115"/>
      <c r="F82" s="115"/>
      <c r="G82" s="115"/>
      <c r="H82" s="115"/>
      <c r="I82" s="115"/>
      <c r="J82" s="115"/>
      <c r="K82" s="115"/>
      <c r="L82" s="115"/>
      <c r="M82" s="115"/>
      <c r="N82" s="115"/>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row>
    <row r="83" spans="2:200" x14ac:dyDescent="0.2">
      <c r="B83" s="116"/>
      <c r="C83" s="116"/>
      <c r="D83" s="115"/>
      <c r="E83" s="115"/>
      <c r="F83" s="115"/>
      <c r="G83" s="115"/>
      <c r="H83" s="115"/>
      <c r="I83" s="115"/>
      <c r="J83" s="115"/>
      <c r="K83" s="115"/>
      <c r="L83" s="115"/>
      <c r="M83" s="115"/>
      <c r="N83" s="115"/>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row>
    <row r="84" spans="2:200" x14ac:dyDescent="0.2">
      <c r="B84" s="116"/>
      <c r="C84" s="116"/>
      <c r="D84" s="115"/>
      <c r="E84" s="115"/>
      <c r="F84" s="115"/>
      <c r="G84" s="115"/>
      <c r="H84" s="115"/>
      <c r="I84" s="115"/>
      <c r="J84" s="115"/>
      <c r="K84" s="115"/>
      <c r="L84" s="115"/>
      <c r="M84" s="115"/>
      <c r="N84" s="115"/>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c r="CL84" s="113"/>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DW84" s="113"/>
      <c r="DX84" s="113"/>
      <c r="DY84" s="113"/>
      <c r="DZ84" s="113"/>
      <c r="EA84" s="113"/>
      <c r="EB84" s="113"/>
      <c r="EC84" s="113"/>
      <c r="ED84" s="113"/>
      <c r="EE84" s="113"/>
      <c r="EF84" s="113"/>
      <c r="EG84" s="113"/>
      <c r="EH84" s="113"/>
      <c r="EI84" s="113"/>
      <c r="EJ84" s="113"/>
      <c r="EK84" s="113"/>
      <c r="EL84" s="113"/>
      <c r="EM84" s="113"/>
      <c r="EN84" s="113"/>
      <c r="EO84" s="113"/>
      <c r="EP84" s="113"/>
      <c r="EQ84" s="113"/>
      <c r="ER84" s="113"/>
      <c r="ES84" s="113"/>
      <c r="ET84" s="113"/>
      <c r="EU84" s="113"/>
      <c r="EV84" s="113"/>
      <c r="EW84" s="113"/>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c r="GH84" s="113"/>
      <c r="GI84" s="113"/>
      <c r="GJ84" s="113"/>
      <c r="GK84" s="113"/>
      <c r="GL84" s="113"/>
      <c r="GM84" s="113"/>
      <c r="GN84" s="113"/>
      <c r="GO84" s="113"/>
      <c r="GP84" s="113"/>
      <c r="GQ84" s="113"/>
      <c r="GR84" s="113"/>
    </row>
    <row r="85" spans="2:200" x14ac:dyDescent="0.2">
      <c r="B85" s="116"/>
      <c r="C85" s="116"/>
      <c r="D85" s="115"/>
      <c r="E85" s="115"/>
      <c r="F85" s="115"/>
      <c r="G85" s="115"/>
      <c r="H85" s="115"/>
      <c r="I85" s="115"/>
      <c r="J85" s="115"/>
      <c r="K85" s="115"/>
      <c r="L85" s="115"/>
      <c r="M85" s="115"/>
      <c r="N85" s="115"/>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c r="GH85" s="113"/>
      <c r="GI85" s="113"/>
      <c r="GJ85" s="113"/>
      <c r="GK85" s="113"/>
      <c r="GL85" s="113"/>
      <c r="GM85" s="113"/>
      <c r="GN85" s="113"/>
      <c r="GO85" s="113"/>
      <c r="GP85" s="113"/>
      <c r="GQ85" s="113"/>
      <c r="GR85" s="113"/>
    </row>
    <row r="86" spans="2:200" x14ac:dyDescent="0.2">
      <c r="B86" s="116"/>
      <c r="C86" s="116"/>
      <c r="D86" s="115"/>
      <c r="E86" s="115"/>
      <c r="F86" s="115"/>
      <c r="G86" s="115"/>
      <c r="H86" s="115"/>
      <c r="I86" s="115"/>
      <c r="J86" s="115"/>
      <c r="K86" s="115"/>
      <c r="L86" s="115"/>
      <c r="M86" s="115"/>
      <c r="N86" s="115"/>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c r="GH86" s="113"/>
      <c r="GI86" s="113"/>
      <c r="GJ86" s="113"/>
      <c r="GK86" s="113"/>
      <c r="GL86" s="113"/>
      <c r="GM86" s="113"/>
      <c r="GN86" s="113"/>
      <c r="GO86" s="113"/>
      <c r="GP86" s="113"/>
      <c r="GQ86" s="113"/>
      <c r="GR86" s="113"/>
    </row>
    <row r="87" spans="2:200" x14ac:dyDescent="0.2">
      <c r="B87" s="116"/>
      <c r="C87" s="116"/>
      <c r="D87" s="115"/>
      <c r="E87" s="115"/>
      <c r="F87" s="115"/>
      <c r="G87" s="115"/>
      <c r="H87" s="115"/>
      <c r="I87" s="115"/>
      <c r="J87" s="115"/>
      <c r="K87" s="115"/>
      <c r="L87" s="115"/>
      <c r="M87" s="115"/>
      <c r="N87" s="115"/>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row>
    <row r="88" spans="2:200" x14ac:dyDescent="0.2">
      <c r="B88" s="116"/>
      <c r="C88" s="116"/>
      <c r="D88" s="115"/>
      <c r="E88" s="115"/>
      <c r="F88" s="115"/>
      <c r="G88" s="115"/>
      <c r="H88" s="115"/>
      <c r="I88" s="115"/>
      <c r="J88" s="115"/>
      <c r="K88" s="115"/>
      <c r="L88" s="115"/>
      <c r="M88" s="115"/>
      <c r="N88" s="115"/>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row>
    <row r="89" spans="2:200" x14ac:dyDescent="0.2">
      <c r="B89" s="116"/>
      <c r="C89" s="116"/>
      <c r="D89" s="115"/>
      <c r="E89" s="115"/>
      <c r="F89" s="115"/>
      <c r="G89" s="115"/>
      <c r="H89" s="115"/>
      <c r="I89" s="115"/>
      <c r="J89" s="115"/>
      <c r="K89" s="115"/>
      <c r="L89" s="115"/>
      <c r="M89" s="115"/>
      <c r="N89" s="115"/>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c r="EW89" s="113"/>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row>
    <row r="90" spans="2:200" x14ac:dyDescent="0.2">
      <c r="B90" s="116"/>
      <c r="C90" s="116"/>
      <c r="D90" s="115"/>
      <c r="E90" s="115"/>
      <c r="F90" s="115"/>
      <c r="G90" s="115"/>
      <c r="H90" s="115"/>
      <c r="I90" s="115"/>
      <c r="J90" s="115"/>
      <c r="K90" s="115"/>
      <c r="L90" s="115"/>
      <c r="M90" s="115"/>
      <c r="N90" s="115"/>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3"/>
      <c r="EH90" s="113"/>
      <c r="EI90" s="113"/>
      <c r="EJ90" s="113"/>
      <c r="EK90" s="113"/>
      <c r="EL90" s="113"/>
      <c r="EM90" s="113"/>
      <c r="EN90" s="113"/>
      <c r="EO90" s="113"/>
      <c r="EP90" s="113"/>
      <c r="EQ90" s="113"/>
      <c r="ER90" s="113"/>
      <c r="ES90" s="113"/>
      <c r="ET90" s="113"/>
      <c r="EU90" s="113"/>
      <c r="EV90" s="113"/>
      <c r="EW90" s="113"/>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row>
    <row r="91" spans="2:200" x14ac:dyDescent="0.2">
      <c r="B91" s="116"/>
      <c r="C91" s="116"/>
      <c r="D91" s="115"/>
      <c r="E91" s="115"/>
      <c r="F91" s="115"/>
      <c r="G91" s="115"/>
      <c r="H91" s="115"/>
      <c r="I91" s="115"/>
      <c r="J91" s="115"/>
      <c r="K91" s="115"/>
      <c r="L91" s="115"/>
      <c r="M91" s="115"/>
      <c r="N91" s="115"/>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c r="EW91" s="113"/>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row>
    <row r="92" spans="2:200" x14ac:dyDescent="0.2">
      <c r="B92" s="116"/>
      <c r="C92" s="116"/>
      <c r="D92" s="115"/>
      <c r="E92" s="115"/>
      <c r="F92" s="115"/>
      <c r="G92" s="115"/>
      <c r="H92" s="115"/>
      <c r="I92" s="115"/>
      <c r="J92" s="115"/>
      <c r="K92" s="115"/>
      <c r="L92" s="115"/>
      <c r="M92" s="115"/>
      <c r="N92" s="115"/>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c r="GH92" s="113"/>
      <c r="GI92" s="113"/>
      <c r="GJ92" s="113"/>
      <c r="GK92" s="113"/>
      <c r="GL92" s="113"/>
      <c r="GM92" s="113"/>
      <c r="GN92" s="113"/>
      <c r="GO92" s="113"/>
      <c r="GP92" s="113"/>
      <c r="GQ92" s="113"/>
      <c r="GR92" s="113"/>
    </row>
    <row r="93" spans="2:200" x14ac:dyDescent="0.2">
      <c r="B93" s="116"/>
      <c r="C93" s="116"/>
      <c r="D93" s="115"/>
      <c r="E93" s="115"/>
      <c r="F93" s="115"/>
      <c r="G93" s="115"/>
      <c r="H93" s="115"/>
      <c r="I93" s="115"/>
      <c r="J93" s="115"/>
      <c r="K93" s="115"/>
      <c r="L93" s="115"/>
      <c r="M93" s="115"/>
      <c r="N93" s="115"/>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row>
    <row r="94" spans="2:200" x14ac:dyDescent="0.2">
      <c r="B94" s="116"/>
      <c r="C94" s="116"/>
      <c r="D94" s="115"/>
      <c r="E94" s="115"/>
      <c r="F94" s="115"/>
      <c r="G94" s="115"/>
      <c r="H94" s="115"/>
      <c r="I94" s="115"/>
      <c r="J94" s="115"/>
      <c r="K94" s="115"/>
      <c r="L94" s="115"/>
      <c r="M94" s="115"/>
      <c r="N94" s="115"/>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row>
    <row r="95" spans="2:200" x14ac:dyDescent="0.2">
      <c r="B95" s="116"/>
      <c r="C95" s="116"/>
      <c r="D95" s="115"/>
      <c r="E95" s="115"/>
      <c r="F95" s="115"/>
      <c r="G95" s="115"/>
      <c r="H95" s="115"/>
      <c r="I95" s="115"/>
      <c r="J95" s="115"/>
      <c r="K95" s="115"/>
      <c r="L95" s="115"/>
      <c r="M95" s="115"/>
      <c r="N95" s="115"/>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c r="EW95" s="113"/>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113"/>
      <c r="FT95" s="113"/>
      <c r="FU95" s="113"/>
      <c r="FV95" s="113"/>
      <c r="FW95" s="113"/>
      <c r="FX95" s="113"/>
      <c r="FY95" s="113"/>
      <c r="FZ95" s="113"/>
      <c r="GA95" s="113"/>
      <c r="GB95" s="113"/>
      <c r="GC95" s="113"/>
      <c r="GD95" s="113"/>
      <c r="GE95" s="113"/>
      <c r="GF95" s="113"/>
      <c r="GG95" s="113"/>
      <c r="GH95" s="113"/>
      <c r="GI95" s="113"/>
      <c r="GJ95" s="113"/>
      <c r="GK95" s="113"/>
      <c r="GL95" s="113"/>
      <c r="GM95" s="113"/>
      <c r="GN95" s="113"/>
      <c r="GO95" s="113"/>
      <c r="GP95" s="113"/>
      <c r="GQ95" s="113"/>
      <c r="GR95" s="113"/>
    </row>
    <row r="96" spans="2:200" x14ac:dyDescent="0.2">
      <c r="B96" s="116"/>
      <c r="C96" s="116"/>
      <c r="D96" s="115"/>
      <c r="E96" s="115"/>
      <c r="F96" s="115"/>
      <c r="G96" s="115"/>
      <c r="H96" s="115"/>
      <c r="I96" s="115"/>
      <c r="J96" s="115"/>
      <c r="K96" s="115"/>
      <c r="L96" s="115"/>
      <c r="M96" s="115"/>
      <c r="N96" s="115"/>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row>
    <row r="97" spans="2:200" x14ac:dyDescent="0.2">
      <c r="B97" s="116"/>
      <c r="C97" s="116"/>
      <c r="D97" s="115"/>
      <c r="E97" s="115"/>
      <c r="F97" s="115"/>
      <c r="G97" s="115"/>
      <c r="H97" s="115"/>
      <c r="I97" s="115"/>
      <c r="J97" s="115"/>
      <c r="K97" s="115"/>
      <c r="L97" s="115"/>
      <c r="M97" s="115"/>
      <c r="N97" s="115"/>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3"/>
      <c r="GR97" s="113"/>
    </row>
    <row r="98" spans="2:200" x14ac:dyDescent="0.2">
      <c r="B98" s="116"/>
      <c r="C98" s="116"/>
      <c r="D98" s="115"/>
      <c r="E98" s="115"/>
      <c r="F98" s="115"/>
      <c r="G98" s="115"/>
      <c r="H98" s="115"/>
      <c r="I98" s="115"/>
      <c r="J98" s="115"/>
      <c r="K98" s="115"/>
      <c r="L98" s="115"/>
      <c r="M98" s="115"/>
      <c r="N98" s="115"/>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3"/>
      <c r="ED98" s="113"/>
      <c r="EE98" s="113"/>
      <c r="EF98" s="113"/>
      <c r="EG98" s="113"/>
      <c r="EH98" s="113"/>
      <c r="EI98" s="113"/>
      <c r="EJ98" s="113"/>
      <c r="EK98" s="113"/>
      <c r="EL98" s="113"/>
      <c r="EM98" s="113"/>
      <c r="EN98" s="113"/>
      <c r="EO98" s="113"/>
      <c r="EP98" s="113"/>
      <c r="EQ98" s="113"/>
      <c r="ER98" s="113"/>
      <c r="ES98" s="113"/>
      <c r="ET98" s="113"/>
      <c r="EU98" s="113"/>
      <c r="EV98" s="113"/>
      <c r="EW98" s="113"/>
      <c r="EX98" s="113"/>
      <c r="EY98" s="113"/>
      <c r="EZ98" s="113"/>
      <c r="FA98" s="113"/>
      <c r="FB98" s="113"/>
      <c r="FC98" s="113"/>
      <c r="FD98" s="113"/>
      <c r="FE98" s="113"/>
      <c r="FF98" s="113"/>
      <c r="FG98" s="113"/>
      <c r="FH98" s="113"/>
      <c r="FI98" s="113"/>
      <c r="FJ98" s="113"/>
      <c r="FK98" s="113"/>
      <c r="FL98" s="113"/>
      <c r="FM98" s="113"/>
      <c r="FN98" s="113"/>
      <c r="FO98" s="113"/>
      <c r="FP98" s="113"/>
      <c r="FQ98" s="113"/>
      <c r="FR98" s="113"/>
      <c r="FS98" s="113"/>
      <c r="FT98" s="113"/>
      <c r="FU98" s="113"/>
      <c r="FV98" s="113"/>
      <c r="FW98" s="113"/>
      <c r="FX98" s="113"/>
      <c r="FY98" s="113"/>
      <c r="FZ98" s="113"/>
      <c r="GA98" s="113"/>
      <c r="GB98" s="113"/>
      <c r="GC98" s="113"/>
      <c r="GD98" s="113"/>
      <c r="GE98" s="113"/>
      <c r="GF98" s="113"/>
      <c r="GG98" s="113"/>
      <c r="GH98" s="113"/>
      <c r="GI98" s="113"/>
      <c r="GJ98" s="113"/>
      <c r="GK98" s="113"/>
      <c r="GL98" s="113"/>
      <c r="GM98" s="113"/>
      <c r="GN98" s="113"/>
      <c r="GO98" s="113"/>
      <c r="GP98" s="113"/>
      <c r="GQ98" s="113"/>
      <c r="GR98" s="113"/>
    </row>
    <row r="99" spans="2:200" x14ac:dyDescent="0.2">
      <c r="B99" s="116"/>
      <c r="C99" s="116"/>
      <c r="D99" s="115"/>
      <c r="E99" s="115"/>
      <c r="F99" s="115"/>
      <c r="G99" s="115"/>
      <c r="H99" s="115"/>
      <c r="I99" s="115"/>
      <c r="J99" s="115"/>
      <c r="K99" s="115"/>
      <c r="L99" s="115"/>
      <c r="M99" s="115"/>
      <c r="N99" s="115"/>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3"/>
      <c r="CL99" s="113"/>
      <c r="CM99" s="113"/>
      <c r="CN99" s="113"/>
      <c r="CO99" s="113"/>
      <c r="CP99" s="113"/>
      <c r="CQ99" s="113"/>
      <c r="CR99" s="113"/>
      <c r="CS99" s="113"/>
      <c r="CT99" s="113"/>
      <c r="CU99" s="113"/>
      <c r="CV99" s="113"/>
      <c r="CW99" s="113"/>
      <c r="CX99" s="113"/>
      <c r="CY99" s="113"/>
      <c r="CZ99" s="113"/>
      <c r="DA99" s="113"/>
      <c r="DB99" s="113"/>
      <c r="DC99" s="113"/>
      <c r="DD99" s="113"/>
      <c r="DE99" s="113"/>
      <c r="DF99" s="113"/>
      <c r="DG99" s="113"/>
      <c r="DH99" s="113"/>
      <c r="DI99" s="113"/>
      <c r="DJ99" s="113"/>
      <c r="DK99" s="113"/>
      <c r="DL99" s="113"/>
      <c r="DM99" s="113"/>
      <c r="DN99" s="113"/>
      <c r="DO99" s="113"/>
      <c r="DP99" s="113"/>
      <c r="DQ99" s="113"/>
      <c r="DR99" s="113"/>
      <c r="DS99" s="113"/>
      <c r="DT99" s="113"/>
      <c r="DU99" s="113"/>
      <c r="DV99" s="113"/>
      <c r="DW99" s="113"/>
      <c r="DX99" s="113"/>
      <c r="DY99" s="113"/>
      <c r="DZ99" s="113"/>
      <c r="EA99" s="113"/>
      <c r="EB99" s="113"/>
      <c r="EC99" s="113"/>
      <c r="ED99" s="113"/>
      <c r="EE99" s="113"/>
      <c r="EF99" s="113"/>
      <c r="EG99" s="113"/>
      <c r="EH99" s="113"/>
      <c r="EI99" s="113"/>
      <c r="EJ99" s="113"/>
      <c r="EK99" s="113"/>
      <c r="EL99" s="113"/>
      <c r="EM99" s="113"/>
      <c r="EN99" s="113"/>
      <c r="EO99" s="113"/>
      <c r="EP99" s="113"/>
      <c r="EQ99" s="113"/>
      <c r="ER99" s="113"/>
      <c r="ES99" s="113"/>
      <c r="ET99" s="113"/>
      <c r="EU99" s="113"/>
      <c r="EV99" s="113"/>
      <c r="EW99" s="113"/>
      <c r="EX99" s="113"/>
      <c r="EY99" s="113"/>
      <c r="EZ99" s="113"/>
      <c r="FA99" s="113"/>
      <c r="FB99" s="113"/>
      <c r="FC99" s="113"/>
      <c r="FD99" s="113"/>
      <c r="FE99" s="113"/>
      <c r="FF99" s="113"/>
      <c r="FG99" s="113"/>
      <c r="FH99" s="113"/>
      <c r="FI99" s="113"/>
      <c r="FJ99" s="113"/>
      <c r="FK99" s="113"/>
      <c r="FL99" s="113"/>
      <c r="FM99" s="113"/>
      <c r="FN99" s="113"/>
      <c r="FO99" s="113"/>
      <c r="FP99" s="113"/>
      <c r="FQ99" s="113"/>
      <c r="FR99" s="113"/>
      <c r="FS99" s="113"/>
      <c r="FT99" s="113"/>
      <c r="FU99" s="113"/>
      <c r="FV99" s="113"/>
      <c r="FW99" s="113"/>
      <c r="FX99" s="113"/>
      <c r="FY99" s="113"/>
      <c r="FZ99" s="113"/>
      <c r="GA99" s="113"/>
      <c r="GB99" s="113"/>
      <c r="GC99" s="113"/>
      <c r="GD99" s="113"/>
      <c r="GE99" s="113"/>
      <c r="GF99" s="113"/>
      <c r="GG99" s="113"/>
      <c r="GH99" s="113"/>
      <c r="GI99" s="113"/>
      <c r="GJ99" s="113"/>
      <c r="GK99" s="113"/>
      <c r="GL99" s="113"/>
      <c r="GM99" s="113"/>
      <c r="GN99" s="113"/>
      <c r="GO99" s="113"/>
      <c r="GP99" s="113"/>
      <c r="GQ99" s="113"/>
      <c r="GR99" s="113"/>
    </row>
    <row r="100" spans="2:200" x14ac:dyDescent="0.2">
      <c r="B100" s="116"/>
      <c r="C100" s="116"/>
      <c r="D100" s="115"/>
      <c r="E100" s="115"/>
      <c r="F100" s="115"/>
      <c r="G100" s="115"/>
      <c r="H100" s="115"/>
      <c r="I100" s="115"/>
      <c r="J100" s="115"/>
      <c r="K100" s="115"/>
      <c r="L100" s="115"/>
      <c r="M100" s="115"/>
      <c r="N100" s="115"/>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3"/>
      <c r="CL100" s="113"/>
      <c r="CM100" s="113"/>
      <c r="CN100" s="113"/>
      <c r="CO100" s="113"/>
      <c r="CP100" s="113"/>
      <c r="CQ100" s="113"/>
      <c r="CR100" s="113"/>
      <c r="CS100" s="113"/>
      <c r="CT100" s="113"/>
      <c r="CU100" s="113"/>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3"/>
      <c r="EO100" s="113"/>
      <c r="EP100" s="113"/>
      <c r="EQ100" s="113"/>
      <c r="ER100" s="113"/>
      <c r="ES100" s="113"/>
      <c r="ET100" s="113"/>
      <c r="EU100" s="113"/>
      <c r="EV100" s="113"/>
      <c r="EW100" s="113"/>
      <c r="EX100" s="113"/>
      <c r="EY100" s="113"/>
      <c r="EZ100" s="113"/>
      <c r="FA100" s="113"/>
      <c r="FB100" s="113"/>
      <c r="FC100" s="113"/>
      <c r="FD100" s="113"/>
      <c r="FE100" s="113"/>
      <c r="FF100" s="113"/>
      <c r="FG100" s="113"/>
      <c r="FH100" s="113"/>
      <c r="FI100" s="113"/>
      <c r="FJ100" s="113"/>
      <c r="FK100" s="113"/>
      <c r="FL100" s="113"/>
      <c r="FM100" s="113"/>
      <c r="FN100" s="113"/>
      <c r="FO100" s="113"/>
      <c r="FP100" s="113"/>
      <c r="FQ100" s="113"/>
      <c r="FR100" s="113"/>
      <c r="FS100" s="113"/>
      <c r="FT100" s="113"/>
      <c r="FU100" s="113"/>
      <c r="FV100" s="113"/>
      <c r="FW100" s="113"/>
      <c r="FX100" s="113"/>
      <c r="FY100" s="113"/>
      <c r="FZ100" s="113"/>
      <c r="GA100" s="113"/>
      <c r="GB100" s="113"/>
      <c r="GC100" s="113"/>
      <c r="GD100" s="113"/>
      <c r="GE100" s="113"/>
      <c r="GF100" s="113"/>
      <c r="GG100" s="113"/>
      <c r="GH100" s="113"/>
      <c r="GI100" s="113"/>
      <c r="GJ100" s="113"/>
      <c r="GK100" s="113"/>
      <c r="GL100" s="113"/>
      <c r="GM100" s="113"/>
      <c r="GN100" s="113"/>
      <c r="GO100" s="113"/>
      <c r="GP100" s="113"/>
      <c r="GQ100" s="113"/>
      <c r="GR100" s="113"/>
    </row>
    <row r="101" spans="2:200" x14ac:dyDescent="0.2">
      <c r="B101" s="116"/>
      <c r="C101" s="116"/>
      <c r="D101" s="115"/>
      <c r="E101" s="115"/>
      <c r="F101" s="115"/>
      <c r="G101" s="115"/>
      <c r="H101" s="115"/>
      <c r="I101" s="115"/>
      <c r="J101" s="115"/>
      <c r="K101" s="115"/>
      <c r="L101" s="115"/>
      <c r="M101" s="115"/>
      <c r="N101" s="115"/>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3"/>
      <c r="CL101" s="113"/>
      <c r="CM101" s="113"/>
      <c r="CN101" s="113"/>
      <c r="CO101" s="113"/>
      <c r="CP101" s="113"/>
      <c r="CQ101" s="113"/>
      <c r="CR101" s="113"/>
      <c r="CS101" s="113"/>
      <c r="CT101" s="113"/>
      <c r="CU101" s="113"/>
      <c r="CV101" s="113"/>
      <c r="CW101" s="113"/>
      <c r="CX101" s="113"/>
      <c r="CY101" s="113"/>
      <c r="CZ101" s="113"/>
      <c r="DA101" s="113"/>
      <c r="DB101" s="113"/>
      <c r="DC101" s="113"/>
      <c r="DD101" s="113"/>
      <c r="DE101" s="113"/>
      <c r="DF101" s="113"/>
      <c r="DG101" s="113"/>
      <c r="DH101" s="113"/>
      <c r="DI101" s="113"/>
      <c r="DJ101" s="113"/>
      <c r="DK101" s="113"/>
      <c r="DL101" s="113"/>
      <c r="DM101" s="113"/>
      <c r="DN101" s="113"/>
      <c r="DO101" s="113"/>
      <c r="DP101" s="113"/>
      <c r="DQ101" s="113"/>
      <c r="DR101" s="113"/>
      <c r="DS101" s="113"/>
      <c r="DT101" s="113"/>
      <c r="DU101" s="113"/>
      <c r="DV101" s="113"/>
      <c r="DW101" s="113"/>
      <c r="DX101" s="113"/>
      <c r="DY101" s="113"/>
      <c r="DZ101" s="113"/>
      <c r="EA101" s="113"/>
      <c r="EB101" s="113"/>
      <c r="EC101" s="113"/>
      <c r="ED101" s="113"/>
      <c r="EE101" s="113"/>
      <c r="EF101" s="113"/>
      <c r="EG101" s="113"/>
      <c r="EH101" s="113"/>
      <c r="EI101" s="113"/>
      <c r="EJ101" s="113"/>
      <c r="EK101" s="113"/>
      <c r="EL101" s="113"/>
      <c r="EM101" s="113"/>
      <c r="EN101" s="113"/>
      <c r="EO101" s="113"/>
      <c r="EP101" s="113"/>
      <c r="EQ101" s="113"/>
      <c r="ER101" s="113"/>
      <c r="ES101" s="113"/>
      <c r="ET101" s="113"/>
      <c r="EU101" s="113"/>
      <c r="EV101" s="113"/>
      <c r="EW101" s="113"/>
      <c r="EX101" s="113"/>
      <c r="EY101" s="113"/>
      <c r="EZ101" s="113"/>
      <c r="FA101" s="113"/>
      <c r="FB101" s="113"/>
      <c r="FC101" s="113"/>
      <c r="FD101" s="113"/>
      <c r="FE101" s="113"/>
      <c r="FF101" s="113"/>
      <c r="FG101" s="113"/>
      <c r="FH101" s="113"/>
      <c r="FI101" s="113"/>
      <c r="FJ101" s="113"/>
      <c r="FK101" s="113"/>
      <c r="FL101" s="113"/>
      <c r="FM101" s="113"/>
      <c r="FN101" s="113"/>
      <c r="FO101" s="113"/>
      <c r="FP101" s="113"/>
      <c r="FQ101" s="113"/>
      <c r="FR101" s="113"/>
      <c r="FS101" s="113"/>
      <c r="FT101" s="113"/>
      <c r="FU101" s="113"/>
      <c r="FV101" s="113"/>
      <c r="FW101" s="113"/>
      <c r="FX101" s="113"/>
      <c r="FY101" s="113"/>
      <c r="FZ101" s="113"/>
      <c r="GA101" s="113"/>
      <c r="GB101" s="113"/>
      <c r="GC101" s="113"/>
      <c r="GD101" s="113"/>
      <c r="GE101" s="113"/>
      <c r="GF101" s="113"/>
      <c r="GG101" s="113"/>
      <c r="GH101" s="113"/>
      <c r="GI101" s="113"/>
      <c r="GJ101" s="113"/>
      <c r="GK101" s="113"/>
      <c r="GL101" s="113"/>
      <c r="GM101" s="113"/>
      <c r="GN101" s="113"/>
      <c r="GO101" s="113"/>
      <c r="GP101" s="113"/>
      <c r="GQ101" s="113"/>
      <c r="GR101" s="113"/>
    </row>
    <row r="102" spans="2:200" x14ac:dyDescent="0.2">
      <c r="B102" s="116"/>
      <c r="C102" s="116"/>
      <c r="D102" s="115"/>
      <c r="E102" s="115"/>
      <c r="F102" s="115"/>
      <c r="G102" s="115"/>
      <c r="H102" s="115"/>
      <c r="I102" s="115"/>
      <c r="J102" s="115"/>
      <c r="K102" s="115"/>
      <c r="L102" s="115"/>
      <c r="M102" s="115"/>
      <c r="N102" s="115"/>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3"/>
      <c r="DH102" s="113"/>
      <c r="DI102" s="113"/>
      <c r="DJ102" s="113"/>
      <c r="DK102" s="113"/>
      <c r="DL102" s="113"/>
      <c r="DM102" s="113"/>
      <c r="DN102" s="113"/>
      <c r="DO102" s="113"/>
      <c r="DP102" s="113"/>
      <c r="DQ102" s="113"/>
      <c r="DR102" s="113"/>
      <c r="DS102" s="113"/>
      <c r="DT102" s="113"/>
      <c r="DU102" s="113"/>
      <c r="DV102" s="113"/>
      <c r="DW102" s="113"/>
      <c r="DX102" s="113"/>
      <c r="DY102" s="113"/>
      <c r="DZ102" s="113"/>
      <c r="EA102" s="113"/>
      <c r="EB102" s="113"/>
      <c r="EC102" s="113"/>
      <c r="ED102" s="113"/>
      <c r="EE102" s="113"/>
      <c r="EF102" s="113"/>
      <c r="EG102" s="113"/>
      <c r="EH102" s="113"/>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3"/>
      <c r="FU102" s="113"/>
      <c r="FV102" s="113"/>
      <c r="FW102" s="113"/>
      <c r="FX102" s="113"/>
      <c r="FY102" s="113"/>
      <c r="FZ102" s="113"/>
      <c r="GA102" s="113"/>
      <c r="GB102" s="113"/>
      <c r="GC102" s="113"/>
      <c r="GD102" s="113"/>
      <c r="GE102" s="113"/>
      <c r="GF102" s="113"/>
      <c r="GG102" s="113"/>
      <c r="GH102" s="113"/>
      <c r="GI102" s="113"/>
      <c r="GJ102" s="113"/>
      <c r="GK102" s="113"/>
      <c r="GL102" s="113"/>
      <c r="GM102" s="113"/>
      <c r="GN102" s="113"/>
      <c r="GO102" s="113"/>
      <c r="GP102" s="113"/>
      <c r="GQ102" s="113"/>
      <c r="GR102" s="113"/>
    </row>
    <row r="103" spans="2:200" x14ac:dyDescent="0.2">
      <c r="B103" s="116"/>
      <c r="C103" s="116"/>
      <c r="D103" s="115"/>
      <c r="E103" s="115"/>
      <c r="F103" s="115"/>
      <c r="G103" s="115"/>
      <c r="H103" s="115"/>
      <c r="I103" s="115"/>
      <c r="J103" s="115"/>
      <c r="K103" s="115"/>
      <c r="L103" s="115"/>
      <c r="M103" s="115"/>
      <c r="N103" s="115"/>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c r="CO103" s="113"/>
      <c r="CP103" s="113"/>
      <c r="CQ103" s="113"/>
      <c r="CR103" s="113"/>
      <c r="CS103" s="113"/>
      <c r="CT103" s="113"/>
      <c r="CU103" s="113"/>
      <c r="CV103" s="113"/>
      <c r="CW103" s="113"/>
      <c r="CX103" s="113"/>
      <c r="CY103" s="113"/>
      <c r="CZ103" s="113"/>
      <c r="DA103" s="113"/>
      <c r="DB103" s="113"/>
      <c r="DC103" s="113"/>
      <c r="DD103" s="113"/>
      <c r="DE103" s="113"/>
      <c r="DF103" s="113"/>
      <c r="DG103" s="113"/>
      <c r="DH103" s="113"/>
      <c r="DI103" s="113"/>
      <c r="DJ103" s="113"/>
      <c r="DK103" s="113"/>
      <c r="DL103" s="113"/>
      <c r="DM103" s="113"/>
      <c r="DN103" s="113"/>
      <c r="DO103" s="113"/>
      <c r="DP103" s="113"/>
      <c r="DQ103" s="113"/>
      <c r="DR103" s="113"/>
      <c r="DS103" s="113"/>
      <c r="DT103" s="113"/>
      <c r="DU103" s="113"/>
      <c r="DV103" s="113"/>
      <c r="DW103" s="113"/>
      <c r="DX103" s="113"/>
      <c r="DY103" s="113"/>
      <c r="DZ103" s="113"/>
      <c r="EA103" s="113"/>
      <c r="EB103" s="113"/>
      <c r="EC103" s="113"/>
      <c r="ED103" s="113"/>
      <c r="EE103" s="113"/>
      <c r="EF103" s="113"/>
      <c r="EG103" s="113"/>
      <c r="EH103" s="113"/>
      <c r="EI103" s="113"/>
      <c r="EJ103" s="113"/>
      <c r="EK103" s="113"/>
      <c r="EL103" s="113"/>
      <c r="EM103" s="113"/>
      <c r="EN103" s="113"/>
      <c r="EO103" s="113"/>
      <c r="EP103" s="113"/>
      <c r="EQ103" s="113"/>
      <c r="ER103" s="113"/>
      <c r="ES103" s="113"/>
      <c r="ET103" s="113"/>
      <c r="EU103" s="113"/>
      <c r="EV103" s="113"/>
      <c r="EW103" s="113"/>
      <c r="EX103" s="113"/>
      <c r="EY103" s="113"/>
      <c r="EZ103" s="113"/>
      <c r="FA103" s="113"/>
      <c r="FB103" s="113"/>
      <c r="FC103" s="113"/>
      <c r="FD103" s="113"/>
      <c r="FE103" s="113"/>
      <c r="FF103" s="113"/>
      <c r="FG103" s="113"/>
      <c r="FH103" s="113"/>
      <c r="FI103" s="113"/>
      <c r="FJ103" s="113"/>
      <c r="FK103" s="113"/>
      <c r="FL103" s="113"/>
      <c r="FM103" s="113"/>
      <c r="FN103" s="113"/>
      <c r="FO103" s="113"/>
      <c r="FP103" s="113"/>
      <c r="FQ103" s="113"/>
      <c r="FR103" s="113"/>
      <c r="FS103" s="113"/>
      <c r="FT103" s="113"/>
      <c r="FU103" s="113"/>
      <c r="FV103" s="113"/>
      <c r="FW103" s="113"/>
      <c r="FX103" s="113"/>
      <c r="FY103" s="113"/>
      <c r="FZ103" s="113"/>
      <c r="GA103" s="113"/>
      <c r="GB103" s="113"/>
      <c r="GC103" s="113"/>
      <c r="GD103" s="113"/>
      <c r="GE103" s="113"/>
      <c r="GF103" s="113"/>
      <c r="GG103" s="113"/>
      <c r="GH103" s="113"/>
      <c r="GI103" s="113"/>
      <c r="GJ103" s="113"/>
      <c r="GK103" s="113"/>
      <c r="GL103" s="113"/>
      <c r="GM103" s="113"/>
      <c r="GN103" s="113"/>
      <c r="GO103" s="113"/>
      <c r="GP103" s="113"/>
      <c r="GQ103" s="113"/>
      <c r="GR103" s="113"/>
    </row>
    <row r="104" spans="2:200" x14ac:dyDescent="0.2">
      <c r="B104" s="116"/>
      <c r="C104" s="116"/>
      <c r="D104" s="115"/>
      <c r="E104" s="115"/>
      <c r="F104" s="115"/>
      <c r="G104" s="115"/>
      <c r="H104" s="115"/>
      <c r="I104" s="115"/>
      <c r="J104" s="115"/>
      <c r="K104" s="115"/>
      <c r="L104" s="115"/>
      <c r="M104" s="115"/>
      <c r="N104" s="115"/>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3"/>
      <c r="CP104" s="113"/>
      <c r="CQ104" s="113"/>
      <c r="CR104" s="113"/>
      <c r="CS104" s="113"/>
      <c r="CT104" s="113"/>
      <c r="CU104" s="113"/>
      <c r="CV104" s="113"/>
      <c r="CW104" s="113"/>
      <c r="CX104" s="113"/>
      <c r="CY104" s="113"/>
      <c r="CZ104" s="113"/>
      <c r="DA104" s="113"/>
      <c r="DB104" s="113"/>
      <c r="DC104" s="113"/>
      <c r="DD104" s="113"/>
      <c r="DE104" s="113"/>
      <c r="DF104" s="113"/>
      <c r="DG104" s="113"/>
      <c r="DH104" s="113"/>
      <c r="DI104" s="113"/>
      <c r="DJ104" s="113"/>
      <c r="DK104" s="113"/>
      <c r="DL104" s="113"/>
      <c r="DM104" s="113"/>
      <c r="DN104" s="113"/>
      <c r="DO104" s="113"/>
      <c r="DP104" s="113"/>
      <c r="DQ104" s="113"/>
      <c r="DR104" s="113"/>
      <c r="DS104" s="113"/>
      <c r="DT104" s="113"/>
      <c r="DU104" s="113"/>
      <c r="DV104" s="113"/>
      <c r="DW104" s="113"/>
      <c r="DX104" s="113"/>
      <c r="DY104" s="113"/>
      <c r="DZ104" s="113"/>
      <c r="EA104" s="113"/>
      <c r="EB104" s="113"/>
      <c r="EC104" s="113"/>
      <c r="ED104" s="113"/>
      <c r="EE104" s="113"/>
      <c r="EF104" s="113"/>
      <c r="EG104" s="113"/>
      <c r="EH104" s="113"/>
      <c r="EI104" s="113"/>
      <c r="EJ104" s="113"/>
      <c r="EK104" s="113"/>
      <c r="EL104" s="113"/>
      <c r="EM104" s="113"/>
      <c r="EN104" s="113"/>
      <c r="EO104" s="113"/>
      <c r="EP104" s="113"/>
      <c r="EQ104" s="113"/>
      <c r="ER104" s="113"/>
      <c r="ES104" s="113"/>
      <c r="ET104" s="113"/>
      <c r="EU104" s="113"/>
      <c r="EV104" s="113"/>
      <c r="EW104" s="113"/>
      <c r="EX104" s="113"/>
      <c r="EY104" s="113"/>
      <c r="EZ104" s="113"/>
      <c r="FA104" s="113"/>
      <c r="FB104" s="113"/>
      <c r="FC104" s="113"/>
      <c r="FD104" s="113"/>
      <c r="FE104" s="113"/>
      <c r="FF104" s="113"/>
      <c r="FG104" s="113"/>
      <c r="FH104" s="113"/>
      <c r="FI104" s="113"/>
      <c r="FJ104" s="113"/>
      <c r="FK104" s="113"/>
      <c r="FL104" s="113"/>
      <c r="FM104" s="113"/>
      <c r="FN104" s="113"/>
      <c r="FO104" s="113"/>
      <c r="FP104" s="113"/>
      <c r="FQ104" s="113"/>
      <c r="FR104" s="113"/>
      <c r="FS104" s="113"/>
      <c r="FT104" s="113"/>
      <c r="FU104" s="113"/>
      <c r="FV104" s="113"/>
      <c r="FW104" s="113"/>
      <c r="FX104" s="113"/>
      <c r="FY104" s="113"/>
      <c r="FZ104" s="113"/>
      <c r="GA104" s="113"/>
      <c r="GB104" s="113"/>
      <c r="GC104" s="113"/>
      <c r="GD104" s="113"/>
      <c r="GE104" s="113"/>
      <c r="GF104" s="113"/>
      <c r="GG104" s="113"/>
      <c r="GH104" s="113"/>
      <c r="GI104" s="113"/>
      <c r="GJ104" s="113"/>
      <c r="GK104" s="113"/>
      <c r="GL104" s="113"/>
      <c r="GM104" s="113"/>
      <c r="GN104" s="113"/>
      <c r="GO104" s="113"/>
      <c r="GP104" s="113"/>
      <c r="GQ104" s="113"/>
      <c r="GR104" s="113"/>
    </row>
    <row r="105" spans="2:200" x14ac:dyDescent="0.2">
      <c r="B105" s="116"/>
      <c r="C105" s="116"/>
      <c r="D105" s="115"/>
      <c r="E105" s="115"/>
      <c r="F105" s="115"/>
      <c r="G105" s="115"/>
      <c r="H105" s="115"/>
      <c r="I105" s="115"/>
      <c r="J105" s="115"/>
      <c r="K105" s="115"/>
      <c r="L105" s="115"/>
      <c r="M105" s="115"/>
      <c r="N105" s="115"/>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3"/>
      <c r="CI105" s="113"/>
      <c r="CJ105" s="113"/>
      <c r="CK105" s="113"/>
      <c r="CL105" s="113"/>
      <c r="CM105" s="113"/>
      <c r="CN105" s="113"/>
      <c r="CO105" s="113"/>
      <c r="CP105" s="113"/>
      <c r="CQ105" s="113"/>
      <c r="CR105" s="113"/>
      <c r="CS105" s="113"/>
      <c r="CT105" s="113"/>
      <c r="CU105" s="113"/>
      <c r="CV105" s="113"/>
      <c r="CW105" s="113"/>
      <c r="CX105" s="113"/>
      <c r="CY105" s="113"/>
      <c r="CZ105" s="113"/>
      <c r="DA105" s="113"/>
      <c r="DB105" s="113"/>
      <c r="DC105" s="113"/>
      <c r="DD105" s="113"/>
      <c r="DE105" s="113"/>
      <c r="DF105" s="113"/>
      <c r="DG105" s="113"/>
      <c r="DH105" s="113"/>
      <c r="DI105" s="113"/>
      <c r="DJ105" s="113"/>
      <c r="DK105" s="113"/>
      <c r="DL105" s="113"/>
      <c r="DM105" s="113"/>
      <c r="DN105" s="113"/>
      <c r="DO105" s="113"/>
      <c r="DP105" s="113"/>
      <c r="DQ105" s="113"/>
      <c r="DR105" s="113"/>
      <c r="DS105" s="113"/>
      <c r="DT105" s="113"/>
      <c r="DU105" s="113"/>
      <c r="DV105" s="113"/>
      <c r="DW105" s="113"/>
      <c r="DX105" s="113"/>
      <c r="DY105" s="113"/>
      <c r="DZ105" s="113"/>
      <c r="EA105" s="113"/>
      <c r="EB105" s="113"/>
      <c r="EC105" s="113"/>
      <c r="ED105" s="113"/>
      <c r="EE105" s="113"/>
      <c r="EF105" s="113"/>
      <c r="EG105" s="113"/>
      <c r="EH105" s="113"/>
      <c r="EI105" s="113"/>
      <c r="EJ105" s="113"/>
      <c r="EK105" s="113"/>
      <c r="EL105" s="113"/>
      <c r="EM105" s="113"/>
      <c r="EN105" s="113"/>
      <c r="EO105" s="113"/>
      <c r="EP105" s="113"/>
      <c r="EQ105" s="113"/>
      <c r="ER105" s="113"/>
      <c r="ES105" s="113"/>
      <c r="ET105" s="113"/>
      <c r="EU105" s="113"/>
      <c r="EV105" s="113"/>
      <c r="EW105" s="113"/>
      <c r="EX105" s="113"/>
      <c r="EY105" s="113"/>
      <c r="EZ105" s="113"/>
      <c r="FA105" s="113"/>
      <c r="FB105" s="113"/>
      <c r="FC105" s="113"/>
      <c r="FD105" s="113"/>
      <c r="FE105" s="113"/>
      <c r="FF105" s="113"/>
      <c r="FG105" s="113"/>
      <c r="FH105" s="113"/>
      <c r="FI105" s="113"/>
      <c r="FJ105" s="113"/>
      <c r="FK105" s="113"/>
      <c r="FL105" s="113"/>
      <c r="FM105" s="113"/>
      <c r="FN105" s="113"/>
      <c r="FO105" s="113"/>
      <c r="FP105" s="113"/>
      <c r="FQ105" s="113"/>
      <c r="FR105" s="113"/>
      <c r="FS105" s="113"/>
      <c r="FT105" s="113"/>
      <c r="FU105" s="113"/>
      <c r="FV105" s="113"/>
      <c r="FW105" s="113"/>
      <c r="FX105" s="113"/>
      <c r="FY105" s="113"/>
      <c r="FZ105" s="113"/>
      <c r="GA105" s="113"/>
      <c r="GB105" s="113"/>
      <c r="GC105" s="113"/>
      <c r="GD105" s="113"/>
      <c r="GE105" s="113"/>
      <c r="GF105" s="113"/>
      <c r="GG105" s="113"/>
      <c r="GH105" s="113"/>
      <c r="GI105" s="113"/>
      <c r="GJ105" s="113"/>
      <c r="GK105" s="113"/>
      <c r="GL105" s="113"/>
      <c r="GM105" s="113"/>
      <c r="GN105" s="113"/>
      <c r="GO105" s="113"/>
      <c r="GP105" s="113"/>
      <c r="GQ105" s="113"/>
      <c r="GR105" s="113"/>
    </row>
    <row r="106" spans="2:200" x14ac:dyDescent="0.2">
      <c r="B106" s="116"/>
      <c r="C106" s="116"/>
      <c r="D106" s="115"/>
      <c r="E106" s="115"/>
      <c r="F106" s="115"/>
      <c r="G106" s="115"/>
      <c r="H106" s="115"/>
      <c r="I106" s="115"/>
      <c r="J106" s="115"/>
      <c r="K106" s="115"/>
      <c r="L106" s="115"/>
      <c r="M106" s="115"/>
      <c r="N106" s="115"/>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c r="CQ106" s="113"/>
      <c r="CR106" s="113"/>
      <c r="CS106" s="113"/>
      <c r="CT106" s="113"/>
      <c r="CU106" s="113"/>
      <c r="CV106" s="113"/>
      <c r="CW106" s="113"/>
      <c r="CX106" s="113"/>
      <c r="CY106" s="113"/>
      <c r="CZ106" s="113"/>
      <c r="DA106" s="113"/>
      <c r="DB106" s="113"/>
      <c r="DC106" s="113"/>
      <c r="DD106" s="113"/>
      <c r="DE106" s="113"/>
      <c r="DF106" s="113"/>
      <c r="DG106" s="113"/>
      <c r="DH106" s="113"/>
      <c r="DI106" s="113"/>
      <c r="DJ106" s="113"/>
      <c r="DK106" s="113"/>
      <c r="DL106" s="113"/>
      <c r="DM106" s="113"/>
      <c r="DN106" s="113"/>
      <c r="DO106" s="113"/>
      <c r="DP106" s="113"/>
      <c r="DQ106" s="113"/>
      <c r="DR106" s="113"/>
      <c r="DS106" s="113"/>
      <c r="DT106" s="113"/>
      <c r="DU106" s="113"/>
      <c r="DV106" s="113"/>
      <c r="DW106" s="113"/>
      <c r="DX106" s="113"/>
      <c r="DY106" s="113"/>
      <c r="DZ106" s="113"/>
      <c r="EA106" s="113"/>
      <c r="EB106" s="113"/>
      <c r="EC106" s="113"/>
      <c r="ED106" s="113"/>
      <c r="EE106" s="113"/>
      <c r="EF106" s="113"/>
      <c r="EG106" s="113"/>
      <c r="EH106" s="113"/>
      <c r="EI106" s="113"/>
      <c r="EJ106" s="113"/>
      <c r="EK106" s="113"/>
      <c r="EL106" s="113"/>
      <c r="EM106" s="113"/>
      <c r="EN106" s="113"/>
      <c r="EO106" s="113"/>
      <c r="EP106" s="113"/>
      <c r="EQ106" s="113"/>
      <c r="ER106" s="113"/>
      <c r="ES106" s="113"/>
      <c r="ET106" s="113"/>
      <c r="EU106" s="113"/>
      <c r="EV106" s="113"/>
      <c r="EW106" s="113"/>
      <c r="EX106" s="113"/>
      <c r="EY106" s="113"/>
      <c r="EZ106" s="113"/>
      <c r="FA106" s="113"/>
      <c r="FB106" s="113"/>
      <c r="FC106" s="113"/>
      <c r="FD106" s="113"/>
      <c r="FE106" s="113"/>
      <c r="FF106" s="113"/>
      <c r="FG106" s="113"/>
      <c r="FH106" s="113"/>
      <c r="FI106" s="113"/>
      <c r="FJ106" s="113"/>
      <c r="FK106" s="113"/>
      <c r="FL106" s="113"/>
      <c r="FM106" s="113"/>
      <c r="FN106" s="113"/>
      <c r="FO106" s="113"/>
      <c r="FP106" s="113"/>
      <c r="FQ106" s="113"/>
      <c r="FR106" s="113"/>
      <c r="FS106" s="113"/>
      <c r="FT106" s="113"/>
      <c r="FU106" s="113"/>
      <c r="FV106" s="113"/>
      <c r="FW106" s="113"/>
      <c r="FX106" s="113"/>
      <c r="FY106" s="113"/>
      <c r="FZ106" s="113"/>
      <c r="GA106" s="113"/>
      <c r="GB106" s="113"/>
      <c r="GC106" s="113"/>
      <c r="GD106" s="113"/>
      <c r="GE106" s="113"/>
      <c r="GF106" s="113"/>
      <c r="GG106" s="113"/>
      <c r="GH106" s="113"/>
      <c r="GI106" s="113"/>
      <c r="GJ106" s="113"/>
      <c r="GK106" s="113"/>
      <c r="GL106" s="113"/>
      <c r="GM106" s="113"/>
      <c r="GN106" s="113"/>
      <c r="GO106" s="113"/>
      <c r="GP106" s="113"/>
      <c r="GQ106" s="113"/>
      <c r="GR106" s="113"/>
    </row>
    <row r="107" spans="2:200" x14ac:dyDescent="0.2">
      <c r="B107" s="116"/>
      <c r="C107" s="116"/>
      <c r="D107" s="115"/>
      <c r="E107" s="115"/>
      <c r="F107" s="115"/>
      <c r="G107" s="115"/>
      <c r="H107" s="115"/>
      <c r="I107" s="115"/>
      <c r="J107" s="115"/>
      <c r="K107" s="115"/>
      <c r="L107" s="115"/>
      <c r="M107" s="115"/>
      <c r="N107" s="115"/>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c r="EA107" s="113"/>
      <c r="EB107" s="113"/>
      <c r="EC107" s="113"/>
      <c r="ED107" s="113"/>
      <c r="EE107" s="113"/>
      <c r="EF107" s="113"/>
      <c r="EG107" s="113"/>
      <c r="EH107" s="113"/>
      <c r="EI107" s="113"/>
      <c r="EJ107" s="113"/>
      <c r="EK107" s="113"/>
      <c r="EL107" s="113"/>
      <c r="EM107" s="113"/>
      <c r="EN107" s="113"/>
      <c r="EO107" s="113"/>
      <c r="EP107" s="113"/>
      <c r="EQ107" s="113"/>
      <c r="ER107" s="113"/>
      <c r="ES107" s="113"/>
      <c r="ET107" s="113"/>
      <c r="EU107" s="113"/>
      <c r="EV107" s="113"/>
      <c r="EW107" s="113"/>
      <c r="EX107" s="113"/>
      <c r="EY107" s="113"/>
      <c r="EZ107" s="113"/>
      <c r="FA107" s="113"/>
      <c r="FB107" s="113"/>
      <c r="FC107" s="113"/>
      <c r="FD107" s="113"/>
      <c r="FE107" s="113"/>
      <c r="FF107" s="113"/>
      <c r="FG107" s="113"/>
      <c r="FH107" s="113"/>
      <c r="FI107" s="113"/>
      <c r="FJ107" s="113"/>
      <c r="FK107" s="113"/>
      <c r="FL107" s="113"/>
      <c r="FM107" s="113"/>
      <c r="FN107" s="113"/>
      <c r="FO107" s="113"/>
      <c r="FP107" s="113"/>
      <c r="FQ107" s="113"/>
      <c r="FR107" s="113"/>
      <c r="FS107" s="113"/>
      <c r="FT107" s="113"/>
      <c r="FU107" s="113"/>
      <c r="FV107" s="113"/>
      <c r="FW107" s="113"/>
      <c r="FX107" s="113"/>
      <c r="FY107" s="113"/>
      <c r="FZ107" s="113"/>
      <c r="GA107" s="113"/>
      <c r="GB107" s="113"/>
      <c r="GC107" s="113"/>
      <c r="GD107" s="113"/>
      <c r="GE107" s="113"/>
      <c r="GF107" s="113"/>
      <c r="GG107" s="113"/>
      <c r="GH107" s="113"/>
      <c r="GI107" s="113"/>
      <c r="GJ107" s="113"/>
      <c r="GK107" s="113"/>
      <c r="GL107" s="113"/>
      <c r="GM107" s="113"/>
      <c r="GN107" s="113"/>
      <c r="GO107" s="113"/>
      <c r="GP107" s="113"/>
      <c r="GQ107" s="113"/>
      <c r="GR107" s="113"/>
    </row>
    <row r="108" spans="2:200" x14ac:dyDescent="0.2">
      <c r="B108" s="116"/>
      <c r="C108" s="116"/>
      <c r="D108" s="115"/>
      <c r="E108" s="115"/>
      <c r="F108" s="115"/>
      <c r="G108" s="115"/>
      <c r="H108" s="115"/>
      <c r="I108" s="115"/>
      <c r="J108" s="115"/>
      <c r="K108" s="115"/>
      <c r="L108" s="115"/>
      <c r="M108" s="115"/>
      <c r="N108" s="115"/>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3"/>
      <c r="CI108" s="113"/>
      <c r="CJ108" s="113"/>
      <c r="CK108" s="113"/>
      <c r="CL108" s="113"/>
      <c r="CM108" s="113"/>
      <c r="CN108" s="113"/>
      <c r="CO108" s="113"/>
      <c r="CP108" s="113"/>
      <c r="CQ108" s="113"/>
      <c r="CR108" s="113"/>
      <c r="CS108" s="113"/>
      <c r="CT108" s="113"/>
      <c r="CU108" s="113"/>
      <c r="CV108" s="113"/>
      <c r="CW108" s="113"/>
      <c r="CX108" s="113"/>
      <c r="CY108" s="113"/>
      <c r="CZ108" s="113"/>
      <c r="DA108" s="113"/>
      <c r="DB108" s="113"/>
      <c r="DC108" s="113"/>
      <c r="DD108" s="113"/>
      <c r="DE108" s="113"/>
      <c r="DF108" s="113"/>
      <c r="DG108" s="113"/>
      <c r="DH108" s="113"/>
      <c r="DI108" s="113"/>
      <c r="DJ108" s="113"/>
      <c r="DK108" s="113"/>
      <c r="DL108" s="113"/>
      <c r="DM108" s="113"/>
      <c r="DN108" s="113"/>
      <c r="DO108" s="113"/>
      <c r="DP108" s="113"/>
      <c r="DQ108" s="113"/>
      <c r="DR108" s="113"/>
      <c r="DS108" s="113"/>
      <c r="DT108" s="113"/>
      <c r="DU108" s="113"/>
      <c r="DV108" s="113"/>
      <c r="DW108" s="113"/>
      <c r="DX108" s="113"/>
      <c r="DY108" s="113"/>
      <c r="DZ108" s="113"/>
      <c r="EA108" s="113"/>
      <c r="EB108" s="113"/>
      <c r="EC108" s="113"/>
      <c r="ED108" s="113"/>
      <c r="EE108" s="113"/>
      <c r="EF108" s="113"/>
      <c r="EG108" s="113"/>
      <c r="EH108" s="113"/>
      <c r="EI108" s="113"/>
      <c r="EJ108" s="113"/>
      <c r="EK108" s="113"/>
      <c r="EL108" s="113"/>
      <c r="EM108" s="113"/>
      <c r="EN108" s="113"/>
      <c r="EO108" s="113"/>
      <c r="EP108" s="113"/>
      <c r="EQ108" s="113"/>
      <c r="ER108" s="113"/>
      <c r="ES108" s="113"/>
      <c r="ET108" s="113"/>
      <c r="EU108" s="113"/>
      <c r="EV108" s="113"/>
      <c r="EW108" s="113"/>
      <c r="EX108" s="113"/>
      <c r="EY108" s="113"/>
      <c r="EZ108" s="113"/>
      <c r="FA108" s="113"/>
      <c r="FB108" s="113"/>
      <c r="FC108" s="113"/>
      <c r="FD108" s="113"/>
      <c r="FE108" s="113"/>
      <c r="FF108" s="113"/>
      <c r="FG108" s="113"/>
      <c r="FH108" s="113"/>
      <c r="FI108" s="113"/>
      <c r="FJ108" s="113"/>
      <c r="FK108" s="113"/>
      <c r="FL108" s="113"/>
      <c r="FM108" s="113"/>
      <c r="FN108" s="113"/>
      <c r="FO108" s="113"/>
      <c r="FP108" s="113"/>
      <c r="FQ108" s="113"/>
      <c r="FR108" s="113"/>
      <c r="FS108" s="113"/>
      <c r="FT108" s="113"/>
      <c r="FU108" s="113"/>
      <c r="FV108" s="113"/>
      <c r="FW108" s="113"/>
      <c r="FX108" s="113"/>
      <c r="FY108" s="113"/>
      <c r="FZ108" s="113"/>
      <c r="GA108" s="113"/>
      <c r="GB108" s="113"/>
      <c r="GC108" s="113"/>
      <c r="GD108" s="113"/>
      <c r="GE108" s="113"/>
      <c r="GF108" s="113"/>
      <c r="GG108" s="113"/>
      <c r="GH108" s="113"/>
      <c r="GI108" s="113"/>
      <c r="GJ108" s="113"/>
      <c r="GK108" s="113"/>
      <c r="GL108" s="113"/>
      <c r="GM108" s="113"/>
      <c r="GN108" s="113"/>
      <c r="GO108" s="113"/>
      <c r="GP108" s="113"/>
      <c r="GQ108" s="113"/>
      <c r="GR108" s="113"/>
    </row>
    <row r="109" spans="2:200" x14ac:dyDescent="0.2">
      <c r="B109" s="116"/>
      <c r="C109" s="116"/>
      <c r="D109" s="115"/>
      <c r="E109" s="115"/>
      <c r="F109" s="115"/>
      <c r="G109" s="115"/>
      <c r="H109" s="115"/>
      <c r="I109" s="115"/>
      <c r="J109" s="115"/>
      <c r="K109" s="115"/>
      <c r="L109" s="115"/>
      <c r="M109" s="115"/>
      <c r="N109" s="115"/>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3"/>
      <c r="CI109" s="113"/>
      <c r="CJ109" s="113"/>
      <c r="CK109" s="113"/>
      <c r="CL109" s="113"/>
      <c r="CM109" s="113"/>
      <c r="CN109" s="113"/>
      <c r="CO109" s="113"/>
      <c r="CP109" s="113"/>
      <c r="CQ109" s="113"/>
      <c r="CR109" s="113"/>
      <c r="CS109" s="113"/>
      <c r="CT109" s="113"/>
      <c r="CU109" s="113"/>
      <c r="CV109" s="113"/>
      <c r="CW109" s="113"/>
      <c r="CX109" s="113"/>
      <c r="CY109" s="113"/>
      <c r="CZ109" s="113"/>
      <c r="DA109" s="113"/>
      <c r="DB109" s="113"/>
      <c r="DC109" s="113"/>
      <c r="DD109" s="113"/>
      <c r="DE109" s="113"/>
      <c r="DF109" s="113"/>
      <c r="DG109" s="113"/>
      <c r="DH109" s="113"/>
      <c r="DI109" s="113"/>
      <c r="DJ109" s="113"/>
      <c r="DK109" s="113"/>
      <c r="DL109" s="113"/>
      <c r="DM109" s="113"/>
      <c r="DN109" s="113"/>
      <c r="DO109" s="113"/>
      <c r="DP109" s="113"/>
      <c r="DQ109" s="113"/>
      <c r="DR109" s="113"/>
      <c r="DS109" s="113"/>
      <c r="DT109" s="113"/>
      <c r="DU109" s="113"/>
      <c r="DV109" s="113"/>
      <c r="DW109" s="113"/>
      <c r="DX109" s="113"/>
      <c r="DY109" s="113"/>
      <c r="DZ109" s="113"/>
      <c r="EA109" s="113"/>
      <c r="EB109" s="113"/>
      <c r="EC109" s="113"/>
      <c r="ED109" s="113"/>
      <c r="EE109" s="113"/>
      <c r="EF109" s="113"/>
      <c r="EG109" s="113"/>
      <c r="EH109" s="113"/>
      <c r="EI109" s="113"/>
      <c r="EJ109" s="113"/>
      <c r="EK109" s="113"/>
      <c r="EL109" s="113"/>
      <c r="EM109" s="113"/>
      <c r="EN109" s="113"/>
      <c r="EO109" s="113"/>
      <c r="EP109" s="113"/>
      <c r="EQ109" s="113"/>
      <c r="ER109" s="113"/>
      <c r="ES109" s="113"/>
      <c r="ET109" s="113"/>
      <c r="EU109" s="113"/>
      <c r="EV109" s="113"/>
      <c r="EW109" s="113"/>
      <c r="EX109" s="113"/>
      <c r="EY109" s="113"/>
      <c r="EZ109" s="113"/>
      <c r="FA109" s="113"/>
      <c r="FB109" s="113"/>
      <c r="FC109" s="113"/>
      <c r="FD109" s="113"/>
      <c r="FE109" s="113"/>
      <c r="FF109" s="113"/>
      <c r="FG109" s="113"/>
      <c r="FH109" s="113"/>
      <c r="FI109" s="113"/>
      <c r="FJ109" s="113"/>
      <c r="FK109" s="113"/>
      <c r="FL109" s="113"/>
      <c r="FM109" s="113"/>
      <c r="FN109" s="113"/>
      <c r="FO109" s="113"/>
      <c r="FP109" s="113"/>
      <c r="FQ109" s="113"/>
      <c r="FR109" s="113"/>
      <c r="FS109" s="113"/>
      <c r="FT109" s="113"/>
      <c r="FU109" s="113"/>
      <c r="FV109" s="113"/>
      <c r="FW109" s="113"/>
      <c r="FX109" s="113"/>
      <c r="FY109" s="113"/>
      <c r="FZ109" s="113"/>
      <c r="GA109" s="113"/>
      <c r="GB109" s="113"/>
      <c r="GC109" s="113"/>
      <c r="GD109" s="113"/>
      <c r="GE109" s="113"/>
      <c r="GF109" s="113"/>
      <c r="GG109" s="113"/>
      <c r="GH109" s="113"/>
      <c r="GI109" s="113"/>
      <c r="GJ109" s="113"/>
      <c r="GK109" s="113"/>
      <c r="GL109" s="113"/>
      <c r="GM109" s="113"/>
      <c r="GN109" s="113"/>
      <c r="GO109" s="113"/>
      <c r="GP109" s="113"/>
      <c r="GQ109" s="113"/>
      <c r="GR109" s="113"/>
    </row>
    <row r="110" spans="2:200" x14ac:dyDescent="0.2">
      <c r="B110" s="116"/>
      <c r="C110" s="116"/>
      <c r="D110" s="115"/>
      <c r="E110" s="115"/>
      <c r="F110" s="115"/>
      <c r="G110" s="115"/>
      <c r="H110" s="115"/>
      <c r="I110" s="115"/>
      <c r="J110" s="115"/>
      <c r="K110" s="115"/>
      <c r="L110" s="115"/>
      <c r="M110" s="115"/>
      <c r="N110" s="115"/>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3"/>
      <c r="CI110" s="113"/>
      <c r="CJ110" s="113"/>
      <c r="CK110" s="113"/>
      <c r="CL110" s="113"/>
      <c r="CM110" s="113"/>
      <c r="CN110" s="113"/>
      <c r="CO110" s="113"/>
      <c r="CP110" s="113"/>
      <c r="CQ110" s="113"/>
      <c r="CR110" s="113"/>
      <c r="CS110" s="113"/>
      <c r="CT110" s="113"/>
      <c r="CU110" s="113"/>
      <c r="CV110" s="113"/>
      <c r="CW110" s="113"/>
      <c r="CX110" s="113"/>
      <c r="CY110" s="113"/>
      <c r="CZ110" s="113"/>
      <c r="DA110" s="113"/>
      <c r="DB110" s="113"/>
      <c r="DC110" s="113"/>
      <c r="DD110" s="113"/>
      <c r="DE110" s="113"/>
      <c r="DF110" s="113"/>
      <c r="DG110" s="113"/>
      <c r="DH110" s="113"/>
      <c r="DI110" s="113"/>
      <c r="DJ110" s="113"/>
      <c r="DK110" s="113"/>
      <c r="DL110" s="113"/>
      <c r="DM110" s="113"/>
      <c r="DN110" s="113"/>
      <c r="DO110" s="113"/>
      <c r="DP110" s="113"/>
      <c r="DQ110" s="113"/>
      <c r="DR110" s="113"/>
      <c r="DS110" s="113"/>
      <c r="DT110" s="113"/>
      <c r="DU110" s="113"/>
      <c r="DV110" s="113"/>
      <c r="DW110" s="113"/>
      <c r="DX110" s="113"/>
      <c r="DY110" s="113"/>
      <c r="DZ110" s="113"/>
      <c r="EA110" s="113"/>
      <c r="EB110" s="113"/>
      <c r="EC110" s="113"/>
      <c r="ED110" s="113"/>
      <c r="EE110" s="113"/>
      <c r="EF110" s="113"/>
      <c r="EG110" s="113"/>
      <c r="EH110" s="113"/>
      <c r="EI110" s="113"/>
      <c r="EJ110" s="113"/>
      <c r="EK110" s="113"/>
      <c r="EL110" s="113"/>
      <c r="EM110" s="113"/>
      <c r="EN110" s="113"/>
      <c r="EO110" s="113"/>
      <c r="EP110" s="113"/>
      <c r="EQ110" s="113"/>
      <c r="ER110" s="113"/>
      <c r="ES110" s="113"/>
      <c r="ET110" s="113"/>
      <c r="EU110" s="113"/>
      <c r="EV110" s="113"/>
      <c r="EW110" s="113"/>
      <c r="EX110" s="113"/>
      <c r="EY110" s="113"/>
      <c r="EZ110" s="113"/>
      <c r="FA110" s="113"/>
      <c r="FB110" s="113"/>
      <c r="FC110" s="113"/>
      <c r="FD110" s="113"/>
      <c r="FE110" s="113"/>
      <c r="FF110" s="113"/>
      <c r="FG110" s="113"/>
      <c r="FH110" s="113"/>
      <c r="FI110" s="113"/>
      <c r="FJ110" s="113"/>
      <c r="FK110" s="113"/>
      <c r="FL110" s="113"/>
      <c r="FM110" s="113"/>
      <c r="FN110" s="113"/>
      <c r="FO110" s="113"/>
      <c r="FP110" s="113"/>
      <c r="FQ110" s="113"/>
      <c r="FR110" s="113"/>
      <c r="FS110" s="113"/>
      <c r="FT110" s="113"/>
      <c r="FU110" s="113"/>
      <c r="FV110" s="113"/>
      <c r="FW110" s="113"/>
      <c r="FX110" s="113"/>
      <c r="FY110" s="113"/>
      <c r="FZ110" s="113"/>
      <c r="GA110" s="113"/>
      <c r="GB110" s="113"/>
      <c r="GC110" s="113"/>
      <c r="GD110" s="113"/>
      <c r="GE110" s="113"/>
      <c r="GF110" s="113"/>
      <c r="GG110" s="113"/>
      <c r="GH110" s="113"/>
      <c r="GI110" s="113"/>
      <c r="GJ110" s="113"/>
      <c r="GK110" s="113"/>
      <c r="GL110" s="113"/>
      <c r="GM110" s="113"/>
      <c r="GN110" s="113"/>
      <c r="GO110" s="113"/>
      <c r="GP110" s="113"/>
      <c r="GQ110" s="113"/>
      <c r="GR110" s="113"/>
    </row>
    <row r="111" spans="2:200" x14ac:dyDescent="0.2">
      <c r="B111" s="116"/>
      <c r="C111" s="116"/>
      <c r="D111" s="115"/>
      <c r="E111" s="115"/>
      <c r="F111" s="115"/>
      <c r="G111" s="115"/>
      <c r="H111" s="115"/>
      <c r="I111" s="115"/>
      <c r="J111" s="115"/>
      <c r="K111" s="115"/>
      <c r="L111" s="115"/>
      <c r="M111" s="115"/>
      <c r="N111" s="115"/>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c r="DC111" s="113"/>
      <c r="DD111" s="113"/>
      <c r="DE111" s="113"/>
      <c r="DF111" s="113"/>
      <c r="DG111" s="113"/>
      <c r="DH111" s="113"/>
      <c r="DI111" s="113"/>
      <c r="DJ111" s="113"/>
      <c r="DK111" s="113"/>
      <c r="DL111" s="113"/>
      <c r="DM111" s="113"/>
      <c r="DN111" s="113"/>
      <c r="DO111" s="113"/>
      <c r="DP111" s="113"/>
      <c r="DQ111" s="113"/>
      <c r="DR111" s="113"/>
      <c r="DS111" s="113"/>
      <c r="DT111" s="113"/>
      <c r="DU111" s="113"/>
      <c r="DV111" s="113"/>
      <c r="DW111" s="113"/>
      <c r="DX111" s="113"/>
      <c r="DY111" s="113"/>
      <c r="DZ111" s="113"/>
      <c r="EA111" s="113"/>
      <c r="EB111" s="113"/>
      <c r="EC111" s="113"/>
      <c r="ED111" s="113"/>
      <c r="EE111" s="113"/>
      <c r="EF111" s="113"/>
      <c r="EG111" s="113"/>
      <c r="EH111" s="113"/>
      <c r="EI111" s="113"/>
      <c r="EJ111" s="113"/>
      <c r="EK111" s="113"/>
      <c r="EL111" s="113"/>
      <c r="EM111" s="113"/>
      <c r="EN111" s="113"/>
      <c r="EO111" s="113"/>
      <c r="EP111" s="113"/>
      <c r="EQ111" s="113"/>
      <c r="ER111" s="113"/>
      <c r="ES111" s="113"/>
      <c r="ET111" s="113"/>
      <c r="EU111" s="113"/>
      <c r="EV111" s="113"/>
      <c r="EW111" s="113"/>
      <c r="EX111" s="113"/>
      <c r="EY111" s="113"/>
      <c r="EZ111" s="113"/>
      <c r="FA111" s="113"/>
      <c r="FB111" s="113"/>
      <c r="FC111" s="113"/>
      <c r="FD111" s="113"/>
      <c r="FE111" s="113"/>
      <c r="FF111" s="113"/>
      <c r="FG111" s="113"/>
      <c r="FH111" s="113"/>
      <c r="FI111" s="113"/>
      <c r="FJ111" s="113"/>
      <c r="FK111" s="113"/>
      <c r="FL111" s="113"/>
      <c r="FM111" s="113"/>
      <c r="FN111" s="113"/>
      <c r="FO111" s="113"/>
      <c r="FP111" s="113"/>
      <c r="FQ111" s="113"/>
      <c r="FR111" s="113"/>
      <c r="FS111" s="113"/>
      <c r="FT111" s="113"/>
      <c r="FU111" s="113"/>
      <c r="FV111" s="113"/>
      <c r="FW111" s="113"/>
      <c r="FX111" s="113"/>
      <c r="FY111" s="113"/>
      <c r="FZ111" s="113"/>
      <c r="GA111" s="113"/>
      <c r="GB111" s="113"/>
      <c r="GC111" s="113"/>
      <c r="GD111" s="113"/>
      <c r="GE111" s="113"/>
      <c r="GF111" s="113"/>
      <c r="GG111" s="113"/>
      <c r="GH111" s="113"/>
      <c r="GI111" s="113"/>
      <c r="GJ111" s="113"/>
      <c r="GK111" s="113"/>
      <c r="GL111" s="113"/>
      <c r="GM111" s="113"/>
      <c r="GN111" s="113"/>
      <c r="GO111" s="113"/>
      <c r="GP111" s="113"/>
      <c r="GQ111" s="113"/>
      <c r="GR111" s="113"/>
    </row>
    <row r="112" spans="2:200" x14ac:dyDescent="0.2">
      <c r="B112" s="116"/>
      <c r="C112" s="116"/>
      <c r="D112" s="115"/>
      <c r="E112" s="115"/>
      <c r="F112" s="115"/>
      <c r="G112" s="115"/>
      <c r="H112" s="115"/>
      <c r="I112" s="115"/>
      <c r="J112" s="115"/>
      <c r="K112" s="115"/>
      <c r="L112" s="115"/>
      <c r="M112" s="115"/>
      <c r="N112" s="115"/>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c r="DC112" s="113"/>
      <c r="DD112" s="113"/>
      <c r="DE112" s="113"/>
      <c r="DF112" s="113"/>
      <c r="DG112" s="113"/>
      <c r="DH112" s="113"/>
      <c r="DI112" s="113"/>
      <c r="DJ112" s="113"/>
      <c r="DK112" s="113"/>
      <c r="DL112" s="113"/>
      <c r="DM112" s="113"/>
      <c r="DN112" s="113"/>
      <c r="DO112" s="113"/>
      <c r="DP112" s="113"/>
      <c r="DQ112" s="113"/>
      <c r="DR112" s="113"/>
      <c r="DS112" s="113"/>
      <c r="DT112" s="113"/>
      <c r="DU112" s="113"/>
      <c r="DV112" s="113"/>
      <c r="DW112" s="113"/>
      <c r="DX112" s="113"/>
      <c r="DY112" s="113"/>
      <c r="DZ112" s="113"/>
      <c r="EA112" s="113"/>
      <c r="EB112" s="113"/>
      <c r="EC112" s="113"/>
      <c r="ED112" s="113"/>
      <c r="EE112" s="113"/>
      <c r="EF112" s="113"/>
      <c r="EG112" s="113"/>
      <c r="EH112" s="113"/>
      <c r="EI112" s="113"/>
      <c r="EJ112" s="113"/>
      <c r="EK112" s="113"/>
      <c r="EL112" s="113"/>
      <c r="EM112" s="113"/>
      <c r="EN112" s="113"/>
      <c r="EO112" s="113"/>
      <c r="EP112" s="113"/>
      <c r="EQ112" s="113"/>
      <c r="ER112" s="113"/>
      <c r="ES112" s="113"/>
      <c r="ET112" s="113"/>
      <c r="EU112" s="113"/>
      <c r="EV112" s="113"/>
      <c r="EW112" s="113"/>
      <c r="EX112" s="113"/>
      <c r="EY112" s="113"/>
      <c r="EZ112" s="113"/>
      <c r="FA112" s="113"/>
      <c r="FB112" s="113"/>
      <c r="FC112" s="113"/>
      <c r="FD112" s="113"/>
      <c r="FE112" s="113"/>
      <c r="FF112" s="113"/>
      <c r="FG112" s="113"/>
      <c r="FH112" s="113"/>
      <c r="FI112" s="113"/>
      <c r="FJ112" s="113"/>
      <c r="FK112" s="113"/>
      <c r="FL112" s="113"/>
      <c r="FM112" s="113"/>
      <c r="FN112" s="113"/>
      <c r="FO112" s="113"/>
      <c r="FP112" s="113"/>
      <c r="FQ112" s="113"/>
      <c r="FR112" s="113"/>
      <c r="FS112" s="113"/>
      <c r="FT112" s="113"/>
      <c r="FU112" s="113"/>
      <c r="FV112" s="113"/>
      <c r="FW112" s="113"/>
      <c r="FX112" s="113"/>
      <c r="FY112" s="113"/>
      <c r="FZ112" s="113"/>
      <c r="GA112" s="113"/>
      <c r="GB112" s="113"/>
      <c r="GC112" s="113"/>
      <c r="GD112" s="113"/>
      <c r="GE112" s="113"/>
      <c r="GF112" s="113"/>
      <c r="GG112" s="113"/>
      <c r="GH112" s="113"/>
      <c r="GI112" s="113"/>
      <c r="GJ112" s="113"/>
      <c r="GK112" s="113"/>
      <c r="GL112" s="113"/>
      <c r="GM112" s="113"/>
      <c r="GN112" s="113"/>
      <c r="GO112" s="113"/>
      <c r="GP112" s="113"/>
      <c r="GQ112" s="113"/>
      <c r="GR112" s="113"/>
    </row>
    <row r="113" spans="2:200" x14ac:dyDescent="0.2">
      <c r="B113" s="116"/>
      <c r="C113" s="116"/>
      <c r="D113" s="115"/>
      <c r="E113" s="115"/>
      <c r="F113" s="115"/>
      <c r="G113" s="115"/>
      <c r="H113" s="115"/>
      <c r="I113" s="115"/>
      <c r="J113" s="115"/>
      <c r="K113" s="115"/>
      <c r="L113" s="115"/>
      <c r="M113" s="115"/>
      <c r="N113" s="115"/>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c r="DC113" s="113"/>
      <c r="DD113" s="113"/>
      <c r="DE113" s="113"/>
      <c r="DF113" s="113"/>
      <c r="DG113" s="113"/>
      <c r="DH113" s="113"/>
      <c r="DI113" s="113"/>
      <c r="DJ113" s="113"/>
      <c r="DK113" s="113"/>
      <c r="DL113" s="113"/>
      <c r="DM113" s="113"/>
      <c r="DN113" s="113"/>
      <c r="DO113" s="113"/>
      <c r="DP113" s="113"/>
      <c r="DQ113" s="113"/>
      <c r="DR113" s="113"/>
      <c r="DS113" s="113"/>
      <c r="DT113" s="113"/>
      <c r="DU113" s="113"/>
      <c r="DV113" s="113"/>
      <c r="DW113" s="113"/>
      <c r="DX113" s="113"/>
      <c r="DY113" s="113"/>
      <c r="DZ113" s="113"/>
      <c r="EA113" s="113"/>
      <c r="EB113" s="113"/>
      <c r="EC113" s="113"/>
      <c r="ED113" s="113"/>
      <c r="EE113" s="113"/>
      <c r="EF113" s="113"/>
      <c r="EG113" s="113"/>
      <c r="EH113" s="113"/>
      <c r="EI113" s="113"/>
      <c r="EJ113" s="113"/>
      <c r="EK113" s="113"/>
      <c r="EL113" s="113"/>
      <c r="EM113" s="113"/>
      <c r="EN113" s="113"/>
      <c r="EO113" s="113"/>
      <c r="EP113" s="113"/>
      <c r="EQ113" s="113"/>
      <c r="ER113" s="113"/>
      <c r="ES113" s="113"/>
      <c r="ET113" s="113"/>
      <c r="EU113" s="113"/>
      <c r="EV113" s="113"/>
      <c r="EW113" s="113"/>
      <c r="EX113" s="113"/>
      <c r="EY113" s="113"/>
      <c r="EZ113" s="113"/>
      <c r="FA113" s="113"/>
      <c r="FB113" s="113"/>
      <c r="FC113" s="113"/>
      <c r="FD113" s="113"/>
      <c r="FE113" s="113"/>
      <c r="FF113" s="113"/>
      <c r="FG113" s="113"/>
      <c r="FH113" s="113"/>
      <c r="FI113" s="113"/>
      <c r="FJ113" s="113"/>
      <c r="FK113" s="113"/>
      <c r="FL113" s="113"/>
      <c r="FM113" s="113"/>
      <c r="FN113" s="113"/>
      <c r="FO113" s="113"/>
      <c r="FP113" s="113"/>
      <c r="FQ113" s="113"/>
      <c r="FR113" s="113"/>
      <c r="FS113" s="113"/>
      <c r="FT113" s="113"/>
      <c r="FU113" s="113"/>
      <c r="FV113" s="113"/>
      <c r="FW113" s="113"/>
      <c r="FX113" s="113"/>
      <c r="FY113" s="113"/>
      <c r="FZ113" s="113"/>
      <c r="GA113" s="113"/>
      <c r="GB113" s="113"/>
      <c r="GC113" s="113"/>
      <c r="GD113" s="113"/>
      <c r="GE113" s="113"/>
      <c r="GF113" s="113"/>
      <c r="GG113" s="113"/>
      <c r="GH113" s="113"/>
      <c r="GI113" s="113"/>
      <c r="GJ113" s="113"/>
      <c r="GK113" s="113"/>
      <c r="GL113" s="113"/>
      <c r="GM113" s="113"/>
      <c r="GN113" s="113"/>
      <c r="GO113" s="113"/>
      <c r="GP113" s="113"/>
      <c r="GQ113" s="113"/>
      <c r="GR113" s="113"/>
    </row>
    <row r="114" spans="2:200" x14ac:dyDescent="0.2">
      <c r="B114" s="116"/>
      <c r="C114" s="116"/>
      <c r="D114" s="115"/>
      <c r="E114" s="115"/>
      <c r="F114" s="115"/>
      <c r="G114" s="115"/>
      <c r="H114" s="115"/>
      <c r="I114" s="115"/>
      <c r="J114" s="115"/>
      <c r="K114" s="115"/>
      <c r="L114" s="115"/>
      <c r="M114" s="115"/>
      <c r="N114" s="115"/>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3"/>
      <c r="CI114" s="113"/>
      <c r="CJ114" s="113"/>
      <c r="CK114" s="113"/>
      <c r="CL114" s="113"/>
      <c r="CM114" s="113"/>
      <c r="CN114" s="113"/>
      <c r="CO114" s="113"/>
      <c r="CP114" s="113"/>
      <c r="CQ114" s="113"/>
      <c r="CR114" s="113"/>
      <c r="CS114" s="113"/>
      <c r="CT114" s="113"/>
      <c r="CU114" s="113"/>
      <c r="CV114" s="113"/>
      <c r="CW114" s="113"/>
      <c r="CX114" s="113"/>
      <c r="CY114" s="113"/>
      <c r="CZ114" s="113"/>
      <c r="DA114" s="113"/>
      <c r="DB114" s="113"/>
      <c r="DC114" s="113"/>
      <c r="DD114" s="113"/>
      <c r="DE114" s="113"/>
      <c r="DF114" s="113"/>
      <c r="DG114" s="113"/>
      <c r="DH114" s="113"/>
      <c r="DI114" s="113"/>
      <c r="DJ114" s="113"/>
      <c r="DK114" s="113"/>
      <c r="DL114" s="113"/>
      <c r="DM114" s="113"/>
      <c r="DN114" s="113"/>
      <c r="DO114" s="113"/>
      <c r="DP114" s="113"/>
      <c r="DQ114" s="113"/>
      <c r="DR114" s="113"/>
      <c r="DS114" s="113"/>
      <c r="DT114" s="113"/>
      <c r="DU114" s="113"/>
      <c r="DV114" s="113"/>
      <c r="DW114" s="113"/>
      <c r="DX114" s="113"/>
      <c r="DY114" s="113"/>
      <c r="DZ114" s="113"/>
      <c r="EA114" s="113"/>
      <c r="EB114" s="113"/>
      <c r="EC114" s="113"/>
      <c r="ED114" s="113"/>
      <c r="EE114" s="113"/>
      <c r="EF114" s="113"/>
      <c r="EG114" s="113"/>
      <c r="EH114" s="113"/>
      <c r="EI114" s="113"/>
      <c r="EJ114" s="113"/>
      <c r="EK114" s="113"/>
      <c r="EL114" s="113"/>
      <c r="EM114" s="113"/>
      <c r="EN114" s="113"/>
      <c r="EO114" s="113"/>
      <c r="EP114" s="113"/>
      <c r="EQ114" s="113"/>
      <c r="ER114" s="113"/>
      <c r="ES114" s="113"/>
      <c r="ET114" s="113"/>
      <c r="EU114" s="113"/>
      <c r="EV114" s="113"/>
      <c r="EW114" s="113"/>
      <c r="EX114" s="113"/>
      <c r="EY114" s="113"/>
      <c r="EZ114" s="113"/>
      <c r="FA114" s="113"/>
      <c r="FB114" s="113"/>
      <c r="FC114" s="113"/>
      <c r="FD114" s="113"/>
      <c r="FE114" s="113"/>
      <c r="FF114" s="113"/>
      <c r="FG114" s="113"/>
      <c r="FH114" s="113"/>
      <c r="FI114" s="113"/>
      <c r="FJ114" s="113"/>
      <c r="FK114" s="113"/>
      <c r="FL114" s="113"/>
      <c r="FM114" s="113"/>
      <c r="FN114" s="113"/>
      <c r="FO114" s="113"/>
      <c r="FP114" s="113"/>
      <c r="FQ114" s="113"/>
      <c r="FR114" s="113"/>
      <c r="FS114" s="113"/>
      <c r="FT114" s="113"/>
      <c r="FU114" s="113"/>
      <c r="FV114" s="113"/>
      <c r="FW114" s="113"/>
      <c r="FX114" s="113"/>
      <c r="FY114" s="113"/>
      <c r="FZ114" s="113"/>
      <c r="GA114" s="113"/>
      <c r="GB114" s="113"/>
      <c r="GC114" s="113"/>
      <c r="GD114" s="113"/>
      <c r="GE114" s="113"/>
      <c r="GF114" s="113"/>
      <c r="GG114" s="113"/>
      <c r="GH114" s="113"/>
      <c r="GI114" s="113"/>
      <c r="GJ114" s="113"/>
      <c r="GK114" s="113"/>
      <c r="GL114" s="113"/>
      <c r="GM114" s="113"/>
      <c r="GN114" s="113"/>
      <c r="GO114" s="113"/>
      <c r="GP114" s="113"/>
      <c r="GQ114" s="113"/>
      <c r="GR114" s="113"/>
    </row>
    <row r="115" spans="2:200" x14ac:dyDescent="0.2">
      <c r="B115" s="116"/>
      <c r="C115" s="116"/>
      <c r="D115" s="115"/>
      <c r="E115" s="115"/>
      <c r="F115" s="115"/>
      <c r="G115" s="115"/>
      <c r="H115" s="115"/>
      <c r="I115" s="115"/>
      <c r="J115" s="115"/>
      <c r="K115" s="115"/>
      <c r="L115" s="115"/>
      <c r="M115" s="115"/>
      <c r="N115" s="115"/>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3"/>
      <c r="CI115" s="113"/>
      <c r="CJ115" s="113"/>
      <c r="CK115" s="113"/>
      <c r="CL115" s="113"/>
      <c r="CM115" s="113"/>
      <c r="CN115" s="113"/>
      <c r="CO115" s="113"/>
      <c r="CP115" s="113"/>
      <c r="CQ115" s="113"/>
      <c r="CR115" s="113"/>
      <c r="CS115" s="113"/>
      <c r="CT115" s="113"/>
      <c r="CU115" s="113"/>
      <c r="CV115" s="113"/>
      <c r="CW115" s="113"/>
      <c r="CX115" s="113"/>
      <c r="CY115" s="113"/>
      <c r="CZ115" s="113"/>
      <c r="DA115" s="113"/>
      <c r="DB115" s="113"/>
      <c r="DC115" s="113"/>
      <c r="DD115" s="113"/>
      <c r="DE115" s="113"/>
      <c r="DF115" s="113"/>
      <c r="DG115" s="113"/>
      <c r="DH115" s="113"/>
      <c r="DI115" s="113"/>
      <c r="DJ115" s="113"/>
      <c r="DK115" s="113"/>
      <c r="DL115" s="113"/>
      <c r="DM115" s="113"/>
      <c r="DN115" s="113"/>
      <c r="DO115" s="113"/>
      <c r="DP115" s="113"/>
      <c r="DQ115" s="113"/>
      <c r="DR115" s="113"/>
      <c r="DS115" s="113"/>
      <c r="DT115" s="113"/>
      <c r="DU115" s="113"/>
      <c r="DV115" s="113"/>
      <c r="DW115" s="113"/>
      <c r="DX115" s="113"/>
      <c r="DY115" s="113"/>
      <c r="DZ115" s="113"/>
      <c r="EA115" s="113"/>
      <c r="EB115" s="113"/>
      <c r="EC115" s="113"/>
      <c r="ED115" s="113"/>
      <c r="EE115" s="113"/>
      <c r="EF115" s="113"/>
      <c r="EG115" s="113"/>
      <c r="EH115" s="113"/>
      <c r="EI115" s="113"/>
      <c r="EJ115" s="113"/>
      <c r="EK115" s="113"/>
      <c r="EL115" s="113"/>
      <c r="EM115" s="113"/>
      <c r="EN115" s="113"/>
      <c r="EO115" s="113"/>
      <c r="EP115" s="113"/>
      <c r="EQ115" s="113"/>
      <c r="ER115" s="113"/>
      <c r="ES115" s="113"/>
      <c r="ET115" s="113"/>
      <c r="EU115" s="113"/>
      <c r="EV115" s="113"/>
      <c r="EW115" s="113"/>
      <c r="EX115" s="113"/>
      <c r="EY115" s="113"/>
      <c r="EZ115" s="113"/>
      <c r="FA115" s="113"/>
      <c r="FB115" s="113"/>
      <c r="FC115" s="113"/>
      <c r="FD115" s="113"/>
      <c r="FE115" s="113"/>
      <c r="FF115" s="113"/>
      <c r="FG115" s="113"/>
      <c r="FH115" s="113"/>
      <c r="FI115" s="113"/>
      <c r="FJ115" s="113"/>
      <c r="FK115" s="113"/>
      <c r="FL115" s="113"/>
      <c r="FM115" s="113"/>
      <c r="FN115" s="113"/>
      <c r="FO115" s="113"/>
      <c r="FP115" s="113"/>
      <c r="FQ115" s="113"/>
      <c r="FR115" s="113"/>
      <c r="FS115" s="113"/>
      <c r="FT115" s="113"/>
      <c r="FU115" s="113"/>
      <c r="FV115" s="113"/>
      <c r="FW115" s="113"/>
      <c r="FX115" s="113"/>
      <c r="FY115" s="113"/>
      <c r="FZ115" s="113"/>
      <c r="GA115" s="113"/>
      <c r="GB115" s="113"/>
      <c r="GC115" s="113"/>
      <c r="GD115" s="113"/>
      <c r="GE115" s="113"/>
      <c r="GF115" s="113"/>
      <c r="GG115" s="113"/>
      <c r="GH115" s="113"/>
      <c r="GI115" s="113"/>
      <c r="GJ115" s="113"/>
      <c r="GK115" s="113"/>
      <c r="GL115" s="113"/>
      <c r="GM115" s="113"/>
      <c r="GN115" s="113"/>
      <c r="GO115" s="113"/>
      <c r="GP115" s="113"/>
      <c r="GQ115" s="113"/>
      <c r="GR115" s="113"/>
    </row>
    <row r="116" spans="2:200" x14ac:dyDescent="0.2">
      <c r="B116" s="116"/>
      <c r="C116" s="116"/>
      <c r="D116" s="115"/>
      <c r="E116" s="115"/>
      <c r="F116" s="115"/>
      <c r="G116" s="115"/>
      <c r="H116" s="115"/>
      <c r="I116" s="115"/>
      <c r="J116" s="115"/>
      <c r="K116" s="115"/>
      <c r="L116" s="115"/>
      <c r="M116" s="115"/>
      <c r="N116" s="115"/>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3"/>
      <c r="CI116" s="113"/>
      <c r="CJ116" s="113"/>
      <c r="CK116" s="113"/>
      <c r="CL116" s="113"/>
      <c r="CM116" s="113"/>
      <c r="CN116" s="113"/>
      <c r="CO116" s="113"/>
      <c r="CP116" s="113"/>
      <c r="CQ116" s="113"/>
      <c r="CR116" s="113"/>
      <c r="CS116" s="113"/>
      <c r="CT116" s="113"/>
      <c r="CU116" s="113"/>
      <c r="CV116" s="113"/>
      <c r="CW116" s="113"/>
      <c r="CX116" s="113"/>
      <c r="CY116" s="113"/>
      <c r="CZ116" s="113"/>
      <c r="DA116" s="113"/>
      <c r="DB116" s="113"/>
      <c r="DC116" s="113"/>
      <c r="DD116" s="113"/>
      <c r="DE116" s="113"/>
      <c r="DF116" s="113"/>
      <c r="DG116" s="113"/>
      <c r="DH116" s="113"/>
      <c r="DI116" s="113"/>
      <c r="DJ116" s="113"/>
      <c r="DK116" s="113"/>
      <c r="DL116" s="113"/>
      <c r="DM116" s="113"/>
      <c r="DN116" s="113"/>
      <c r="DO116" s="113"/>
      <c r="DP116" s="113"/>
      <c r="DQ116" s="113"/>
      <c r="DR116" s="113"/>
      <c r="DS116" s="113"/>
      <c r="DT116" s="113"/>
      <c r="DU116" s="113"/>
      <c r="DV116" s="113"/>
      <c r="DW116" s="113"/>
      <c r="DX116" s="113"/>
      <c r="DY116" s="113"/>
      <c r="DZ116" s="113"/>
      <c r="EA116" s="113"/>
      <c r="EB116" s="113"/>
      <c r="EC116" s="113"/>
      <c r="ED116" s="113"/>
      <c r="EE116" s="113"/>
      <c r="EF116" s="113"/>
      <c r="EG116" s="113"/>
      <c r="EH116" s="113"/>
      <c r="EI116" s="113"/>
      <c r="EJ116" s="113"/>
      <c r="EK116" s="113"/>
      <c r="EL116" s="113"/>
      <c r="EM116" s="113"/>
      <c r="EN116" s="113"/>
      <c r="EO116" s="113"/>
      <c r="EP116" s="113"/>
      <c r="EQ116" s="113"/>
      <c r="ER116" s="113"/>
      <c r="ES116" s="113"/>
      <c r="ET116" s="113"/>
      <c r="EU116" s="113"/>
      <c r="EV116" s="113"/>
      <c r="EW116" s="113"/>
      <c r="EX116" s="113"/>
      <c r="EY116" s="113"/>
      <c r="EZ116" s="113"/>
      <c r="FA116" s="113"/>
      <c r="FB116" s="113"/>
      <c r="FC116" s="113"/>
      <c r="FD116" s="113"/>
      <c r="FE116" s="113"/>
      <c r="FF116" s="113"/>
      <c r="FG116" s="113"/>
      <c r="FH116" s="113"/>
      <c r="FI116" s="113"/>
      <c r="FJ116" s="113"/>
      <c r="FK116" s="113"/>
      <c r="FL116" s="113"/>
      <c r="FM116" s="113"/>
      <c r="FN116" s="113"/>
      <c r="FO116" s="113"/>
      <c r="FP116" s="113"/>
      <c r="FQ116" s="113"/>
      <c r="FR116" s="113"/>
      <c r="FS116" s="113"/>
      <c r="FT116" s="113"/>
      <c r="FU116" s="113"/>
      <c r="FV116" s="113"/>
      <c r="FW116" s="113"/>
      <c r="FX116" s="113"/>
      <c r="FY116" s="113"/>
      <c r="FZ116" s="113"/>
      <c r="GA116" s="113"/>
      <c r="GB116" s="113"/>
      <c r="GC116" s="113"/>
      <c r="GD116" s="113"/>
      <c r="GE116" s="113"/>
      <c r="GF116" s="113"/>
      <c r="GG116" s="113"/>
      <c r="GH116" s="113"/>
      <c r="GI116" s="113"/>
      <c r="GJ116" s="113"/>
      <c r="GK116" s="113"/>
      <c r="GL116" s="113"/>
      <c r="GM116" s="113"/>
      <c r="GN116" s="113"/>
      <c r="GO116" s="113"/>
      <c r="GP116" s="113"/>
      <c r="GQ116" s="113"/>
      <c r="GR116" s="113"/>
    </row>
    <row r="117" spans="2:200" x14ac:dyDescent="0.2">
      <c r="B117" s="116"/>
      <c r="C117" s="116"/>
      <c r="D117" s="115"/>
      <c r="E117" s="115"/>
      <c r="F117" s="115"/>
      <c r="G117" s="115"/>
      <c r="H117" s="115"/>
      <c r="I117" s="115"/>
      <c r="J117" s="115"/>
      <c r="K117" s="115"/>
      <c r="L117" s="115"/>
      <c r="M117" s="115"/>
      <c r="N117" s="115"/>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c r="EH117" s="113"/>
      <c r="EI117" s="113"/>
      <c r="EJ117" s="113"/>
      <c r="EK117" s="113"/>
      <c r="EL117" s="113"/>
      <c r="EM117" s="113"/>
      <c r="EN117" s="113"/>
      <c r="EO117" s="113"/>
      <c r="EP117" s="113"/>
      <c r="EQ117" s="113"/>
      <c r="ER117" s="113"/>
      <c r="ES117" s="113"/>
      <c r="ET117" s="113"/>
      <c r="EU117" s="113"/>
      <c r="EV117" s="113"/>
      <c r="EW117" s="113"/>
      <c r="EX117" s="113"/>
      <c r="EY117" s="113"/>
      <c r="EZ117" s="113"/>
      <c r="FA117" s="113"/>
      <c r="FB117" s="113"/>
      <c r="FC117" s="113"/>
      <c r="FD117" s="113"/>
      <c r="FE117" s="113"/>
      <c r="FF117" s="113"/>
      <c r="FG117" s="113"/>
      <c r="FH117" s="113"/>
      <c r="FI117" s="113"/>
      <c r="FJ117" s="113"/>
      <c r="FK117" s="113"/>
      <c r="FL117" s="113"/>
      <c r="FM117" s="113"/>
      <c r="FN117" s="113"/>
      <c r="FO117" s="113"/>
      <c r="FP117" s="113"/>
      <c r="FQ117" s="113"/>
      <c r="FR117" s="113"/>
      <c r="FS117" s="113"/>
      <c r="FT117" s="113"/>
      <c r="FU117" s="113"/>
      <c r="FV117" s="113"/>
      <c r="FW117" s="113"/>
      <c r="FX117" s="113"/>
      <c r="FY117" s="113"/>
      <c r="FZ117" s="113"/>
      <c r="GA117" s="113"/>
      <c r="GB117" s="113"/>
      <c r="GC117" s="113"/>
      <c r="GD117" s="113"/>
      <c r="GE117" s="113"/>
      <c r="GF117" s="113"/>
      <c r="GG117" s="113"/>
      <c r="GH117" s="113"/>
      <c r="GI117" s="113"/>
      <c r="GJ117" s="113"/>
      <c r="GK117" s="113"/>
      <c r="GL117" s="113"/>
      <c r="GM117" s="113"/>
      <c r="GN117" s="113"/>
      <c r="GO117" s="113"/>
      <c r="GP117" s="113"/>
      <c r="GQ117" s="113"/>
      <c r="GR117" s="113"/>
    </row>
    <row r="118" spans="2:200" x14ac:dyDescent="0.2">
      <c r="B118" s="116"/>
      <c r="C118" s="116"/>
      <c r="D118" s="115"/>
      <c r="E118" s="115"/>
      <c r="F118" s="115"/>
      <c r="G118" s="115"/>
      <c r="H118" s="115"/>
      <c r="I118" s="115"/>
      <c r="J118" s="115"/>
      <c r="K118" s="115"/>
      <c r="L118" s="115"/>
      <c r="M118" s="115"/>
      <c r="N118" s="115"/>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3"/>
      <c r="CI118" s="113"/>
      <c r="CJ118" s="113"/>
      <c r="CK118" s="113"/>
      <c r="CL118" s="113"/>
      <c r="CM118" s="113"/>
      <c r="CN118" s="113"/>
      <c r="CO118" s="113"/>
      <c r="CP118" s="113"/>
      <c r="CQ118" s="113"/>
      <c r="CR118" s="113"/>
      <c r="CS118" s="113"/>
      <c r="CT118" s="113"/>
      <c r="CU118" s="113"/>
      <c r="CV118" s="113"/>
      <c r="CW118" s="113"/>
      <c r="CX118" s="113"/>
      <c r="CY118" s="113"/>
      <c r="CZ118" s="113"/>
      <c r="DA118" s="113"/>
      <c r="DB118" s="113"/>
      <c r="DC118" s="113"/>
      <c r="DD118" s="113"/>
      <c r="DE118" s="113"/>
      <c r="DF118" s="113"/>
      <c r="DG118" s="113"/>
      <c r="DH118" s="113"/>
      <c r="DI118" s="113"/>
      <c r="DJ118" s="113"/>
      <c r="DK118" s="113"/>
      <c r="DL118" s="113"/>
      <c r="DM118" s="113"/>
      <c r="DN118" s="113"/>
      <c r="DO118" s="113"/>
      <c r="DP118" s="113"/>
      <c r="DQ118" s="113"/>
      <c r="DR118" s="113"/>
      <c r="DS118" s="113"/>
      <c r="DT118" s="113"/>
      <c r="DU118" s="113"/>
      <c r="DV118" s="113"/>
      <c r="DW118" s="113"/>
      <c r="DX118" s="113"/>
      <c r="DY118" s="113"/>
      <c r="DZ118" s="113"/>
      <c r="EA118" s="113"/>
      <c r="EB118" s="113"/>
      <c r="EC118" s="113"/>
      <c r="ED118" s="113"/>
      <c r="EE118" s="113"/>
      <c r="EF118" s="113"/>
      <c r="EG118" s="113"/>
      <c r="EH118" s="113"/>
      <c r="EI118" s="113"/>
      <c r="EJ118" s="113"/>
      <c r="EK118" s="113"/>
      <c r="EL118" s="113"/>
      <c r="EM118" s="113"/>
      <c r="EN118" s="113"/>
      <c r="EO118" s="113"/>
      <c r="EP118" s="113"/>
      <c r="EQ118" s="113"/>
      <c r="ER118" s="113"/>
      <c r="ES118" s="113"/>
      <c r="ET118" s="113"/>
      <c r="EU118" s="113"/>
      <c r="EV118" s="113"/>
      <c r="EW118" s="113"/>
      <c r="EX118" s="113"/>
      <c r="EY118" s="113"/>
      <c r="EZ118" s="113"/>
      <c r="FA118" s="113"/>
      <c r="FB118" s="113"/>
      <c r="FC118" s="113"/>
      <c r="FD118" s="113"/>
      <c r="FE118" s="113"/>
      <c r="FF118" s="113"/>
      <c r="FG118" s="113"/>
      <c r="FH118" s="113"/>
      <c r="FI118" s="113"/>
      <c r="FJ118" s="113"/>
      <c r="FK118" s="113"/>
      <c r="FL118" s="113"/>
      <c r="FM118" s="113"/>
      <c r="FN118" s="113"/>
      <c r="FO118" s="113"/>
      <c r="FP118" s="113"/>
      <c r="FQ118" s="113"/>
      <c r="FR118" s="113"/>
      <c r="FS118" s="113"/>
      <c r="FT118" s="113"/>
      <c r="FU118" s="113"/>
      <c r="FV118" s="113"/>
      <c r="FW118" s="113"/>
      <c r="FX118" s="113"/>
      <c r="FY118" s="113"/>
      <c r="FZ118" s="113"/>
      <c r="GA118" s="113"/>
      <c r="GB118" s="113"/>
      <c r="GC118" s="113"/>
      <c r="GD118" s="113"/>
      <c r="GE118" s="113"/>
      <c r="GF118" s="113"/>
      <c r="GG118" s="113"/>
      <c r="GH118" s="113"/>
      <c r="GI118" s="113"/>
      <c r="GJ118" s="113"/>
      <c r="GK118" s="113"/>
      <c r="GL118" s="113"/>
      <c r="GM118" s="113"/>
      <c r="GN118" s="113"/>
      <c r="GO118" s="113"/>
      <c r="GP118" s="113"/>
      <c r="GQ118" s="113"/>
      <c r="GR118" s="113"/>
    </row>
    <row r="119" spans="2:200" x14ac:dyDescent="0.2">
      <c r="B119" s="116"/>
      <c r="C119" s="116"/>
      <c r="D119" s="115"/>
      <c r="E119" s="115"/>
      <c r="F119" s="115"/>
      <c r="G119" s="115"/>
      <c r="H119" s="115"/>
      <c r="I119" s="115"/>
      <c r="J119" s="115"/>
      <c r="K119" s="115"/>
      <c r="L119" s="115"/>
      <c r="M119" s="115"/>
      <c r="N119" s="115"/>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c r="CO119" s="113"/>
      <c r="CP119" s="113"/>
      <c r="CQ119" s="113"/>
      <c r="CR119" s="113"/>
      <c r="CS119" s="113"/>
      <c r="CT119" s="113"/>
      <c r="CU119" s="113"/>
      <c r="CV119" s="113"/>
      <c r="CW119" s="113"/>
      <c r="CX119" s="113"/>
      <c r="CY119" s="113"/>
      <c r="CZ119" s="113"/>
      <c r="DA119" s="113"/>
      <c r="DB119" s="113"/>
      <c r="DC119" s="113"/>
      <c r="DD119" s="113"/>
      <c r="DE119" s="113"/>
      <c r="DF119" s="113"/>
      <c r="DG119" s="113"/>
      <c r="DH119" s="113"/>
      <c r="DI119" s="113"/>
      <c r="DJ119" s="113"/>
      <c r="DK119" s="113"/>
      <c r="DL119" s="113"/>
      <c r="DM119" s="113"/>
      <c r="DN119" s="113"/>
      <c r="DO119" s="113"/>
      <c r="DP119" s="113"/>
      <c r="DQ119" s="113"/>
      <c r="DR119" s="113"/>
      <c r="DS119" s="113"/>
      <c r="DT119" s="113"/>
      <c r="DU119" s="113"/>
      <c r="DV119" s="113"/>
      <c r="DW119" s="113"/>
      <c r="DX119" s="113"/>
      <c r="DY119" s="113"/>
      <c r="DZ119" s="113"/>
      <c r="EA119" s="113"/>
      <c r="EB119" s="113"/>
      <c r="EC119" s="113"/>
      <c r="ED119" s="113"/>
      <c r="EE119" s="113"/>
      <c r="EF119" s="113"/>
      <c r="EG119" s="113"/>
      <c r="EH119" s="113"/>
      <c r="EI119" s="113"/>
      <c r="EJ119" s="113"/>
      <c r="EK119" s="113"/>
      <c r="EL119" s="113"/>
      <c r="EM119" s="113"/>
      <c r="EN119" s="113"/>
      <c r="EO119" s="113"/>
      <c r="EP119" s="113"/>
      <c r="EQ119" s="113"/>
      <c r="ER119" s="113"/>
      <c r="ES119" s="113"/>
      <c r="ET119" s="113"/>
      <c r="EU119" s="113"/>
      <c r="EV119" s="113"/>
      <c r="EW119" s="113"/>
      <c r="EX119" s="113"/>
      <c r="EY119" s="113"/>
      <c r="EZ119" s="113"/>
      <c r="FA119" s="113"/>
      <c r="FB119" s="113"/>
      <c r="FC119" s="113"/>
      <c r="FD119" s="113"/>
      <c r="FE119" s="113"/>
      <c r="FF119" s="113"/>
      <c r="FG119" s="113"/>
      <c r="FH119" s="113"/>
      <c r="FI119" s="113"/>
      <c r="FJ119" s="113"/>
      <c r="FK119" s="113"/>
      <c r="FL119" s="113"/>
      <c r="FM119" s="113"/>
      <c r="FN119" s="113"/>
      <c r="FO119" s="113"/>
      <c r="FP119" s="113"/>
      <c r="FQ119" s="113"/>
      <c r="FR119" s="113"/>
      <c r="FS119" s="113"/>
      <c r="FT119" s="113"/>
      <c r="FU119" s="113"/>
      <c r="FV119" s="113"/>
      <c r="FW119" s="113"/>
      <c r="FX119" s="113"/>
      <c r="FY119" s="113"/>
      <c r="FZ119" s="113"/>
      <c r="GA119" s="113"/>
      <c r="GB119" s="113"/>
      <c r="GC119" s="113"/>
      <c r="GD119" s="113"/>
      <c r="GE119" s="113"/>
      <c r="GF119" s="113"/>
      <c r="GG119" s="113"/>
      <c r="GH119" s="113"/>
      <c r="GI119" s="113"/>
      <c r="GJ119" s="113"/>
      <c r="GK119" s="113"/>
      <c r="GL119" s="113"/>
      <c r="GM119" s="113"/>
      <c r="GN119" s="113"/>
      <c r="GO119" s="113"/>
      <c r="GP119" s="113"/>
      <c r="GQ119" s="113"/>
      <c r="GR119" s="113"/>
    </row>
    <row r="120" spans="2:200" x14ac:dyDescent="0.2">
      <c r="B120" s="116"/>
      <c r="C120" s="116"/>
      <c r="D120" s="115"/>
      <c r="E120" s="115"/>
      <c r="F120" s="115"/>
      <c r="G120" s="115"/>
      <c r="H120" s="115"/>
      <c r="I120" s="115"/>
      <c r="J120" s="115"/>
      <c r="K120" s="115"/>
      <c r="L120" s="115"/>
      <c r="M120" s="115"/>
      <c r="N120" s="115"/>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113"/>
      <c r="CC120" s="113"/>
      <c r="CD120" s="113"/>
      <c r="CE120" s="113"/>
      <c r="CF120" s="113"/>
      <c r="CG120" s="113"/>
      <c r="CH120" s="113"/>
      <c r="CI120" s="113"/>
      <c r="CJ120" s="113"/>
      <c r="CK120" s="113"/>
      <c r="CL120" s="113"/>
      <c r="CM120" s="113"/>
      <c r="CN120" s="113"/>
      <c r="CO120" s="113"/>
      <c r="CP120" s="113"/>
      <c r="CQ120" s="113"/>
      <c r="CR120" s="113"/>
      <c r="CS120" s="113"/>
      <c r="CT120" s="113"/>
      <c r="CU120" s="113"/>
      <c r="CV120" s="113"/>
      <c r="CW120" s="113"/>
      <c r="CX120" s="113"/>
      <c r="CY120" s="113"/>
      <c r="CZ120" s="113"/>
      <c r="DA120" s="113"/>
      <c r="DB120" s="113"/>
      <c r="DC120" s="113"/>
      <c r="DD120" s="113"/>
      <c r="DE120" s="113"/>
      <c r="DF120" s="113"/>
      <c r="DG120" s="113"/>
      <c r="DH120" s="113"/>
      <c r="DI120" s="113"/>
      <c r="DJ120" s="113"/>
      <c r="DK120" s="113"/>
      <c r="DL120" s="113"/>
      <c r="DM120" s="113"/>
      <c r="DN120" s="113"/>
      <c r="DO120" s="113"/>
      <c r="DP120" s="113"/>
      <c r="DQ120" s="113"/>
      <c r="DR120" s="113"/>
      <c r="DS120" s="113"/>
      <c r="DT120" s="113"/>
      <c r="DU120" s="113"/>
      <c r="DV120" s="113"/>
      <c r="DW120" s="113"/>
      <c r="DX120" s="113"/>
      <c r="DY120" s="113"/>
      <c r="DZ120" s="113"/>
      <c r="EA120" s="113"/>
      <c r="EB120" s="113"/>
      <c r="EC120" s="113"/>
      <c r="ED120" s="113"/>
      <c r="EE120" s="113"/>
      <c r="EF120" s="113"/>
      <c r="EG120" s="113"/>
      <c r="EH120" s="113"/>
      <c r="EI120" s="113"/>
      <c r="EJ120" s="113"/>
      <c r="EK120" s="113"/>
      <c r="EL120" s="113"/>
      <c r="EM120" s="113"/>
      <c r="EN120" s="113"/>
      <c r="EO120" s="113"/>
      <c r="EP120" s="113"/>
      <c r="EQ120" s="113"/>
      <c r="ER120" s="113"/>
      <c r="ES120" s="113"/>
      <c r="ET120" s="113"/>
      <c r="EU120" s="113"/>
      <c r="EV120" s="113"/>
      <c r="EW120" s="113"/>
      <c r="EX120" s="113"/>
      <c r="EY120" s="113"/>
      <c r="EZ120" s="113"/>
      <c r="FA120" s="113"/>
      <c r="FB120" s="113"/>
      <c r="FC120" s="113"/>
      <c r="FD120" s="113"/>
      <c r="FE120" s="113"/>
      <c r="FF120" s="113"/>
      <c r="FG120" s="113"/>
      <c r="FH120" s="113"/>
      <c r="FI120" s="113"/>
      <c r="FJ120" s="113"/>
      <c r="FK120" s="113"/>
      <c r="FL120" s="113"/>
      <c r="FM120" s="113"/>
      <c r="FN120" s="113"/>
      <c r="FO120" s="113"/>
      <c r="FP120" s="113"/>
      <c r="FQ120" s="113"/>
      <c r="FR120" s="113"/>
      <c r="FS120" s="113"/>
      <c r="FT120" s="113"/>
      <c r="FU120" s="113"/>
      <c r="FV120" s="113"/>
      <c r="FW120" s="113"/>
      <c r="FX120" s="113"/>
      <c r="FY120" s="113"/>
      <c r="FZ120" s="113"/>
      <c r="GA120" s="113"/>
      <c r="GB120" s="113"/>
      <c r="GC120" s="113"/>
      <c r="GD120" s="113"/>
      <c r="GE120" s="113"/>
      <c r="GF120" s="113"/>
      <c r="GG120" s="113"/>
      <c r="GH120" s="113"/>
      <c r="GI120" s="113"/>
      <c r="GJ120" s="113"/>
      <c r="GK120" s="113"/>
      <c r="GL120" s="113"/>
      <c r="GM120" s="113"/>
      <c r="GN120" s="113"/>
      <c r="GO120" s="113"/>
      <c r="GP120" s="113"/>
      <c r="GQ120" s="113"/>
      <c r="GR120" s="113"/>
    </row>
    <row r="121" spans="2:200" x14ac:dyDescent="0.2">
      <c r="B121" s="116"/>
      <c r="C121" s="116"/>
      <c r="D121" s="115"/>
      <c r="E121" s="115"/>
      <c r="F121" s="115"/>
      <c r="G121" s="115"/>
      <c r="H121" s="115"/>
      <c r="I121" s="115"/>
      <c r="J121" s="115"/>
      <c r="K121" s="115"/>
      <c r="L121" s="115"/>
      <c r="M121" s="115"/>
      <c r="N121" s="115"/>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c r="CN121" s="113"/>
      <c r="CO121" s="113"/>
      <c r="CP121" s="113"/>
      <c r="CQ121" s="113"/>
      <c r="CR121" s="113"/>
      <c r="CS121" s="113"/>
      <c r="CT121" s="113"/>
      <c r="CU121" s="113"/>
      <c r="CV121" s="113"/>
      <c r="CW121" s="113"/>
      <c r="CX121" s="113"/>
      <c r="CY121" s="113"/>
      <c r="CZ121" s="113"/>
      <c r="DA121" s="113"/>
      <c r="DB121" s="113"/>
      <c r="DC121" s="113"/>
      <c r="DD121" s="113"/>
      <c r="DE121" s="113"/>
      <c r="DF121" s="113"/>
      <c r="DG121" s="113"/>
      <c r="DH121" s="113"/>
      <c r="DI121" s="113"/>
      <c r="DJ121" s="113"/>
      <c r="DK121" s="113"/>
      <c r="DL121" s="113"/>
      <c r="DM121" s="113"/>
      <c r="DN121" s="113"/>
      <c r="DO121" s="113"/>
      <c r="DP121" s="113"/>
      <c r="DQ121" s="113"/>
      <c r="DR121" s="113"/>
      <c r="DS121" s="113"/>
      <c r="DT121" s="113"/>
      <c r="DU121" s="113"/>
      <c r="DV121" s="113"/>
      <c r="DW121" s="113"/>
      <c r="DX121" s="113"/>
      <c r="DY121" s="113"/>
      <c r="DZ121" s="113"/>
      <c r="EA121" s="113"/>
      <c r="EB121" s="113"/>
      <c r="EC121" s="113"/>
      <c r="ED121" s="113"/>
      <c r="EE121" s="113"/>
      <c r="EF121" s="113"/>
      <c r="EG121" s="113"/>
      <c r="EH121" s="113"/>
      <c r="EI121" s="113"/>
      <c r="EJ121" s="113"/>
      <c r="EK121" s="113"/>
      <c r="EL121" s="113"/>
      <c r="EM121" s="113"/>
      <c r="EN121" s="113"/>
      <c r="EO121" s="113"/>
      <c r="EP121" s="113"/>
      <c r="EQ121" s="113"/>
      <c r="ER121" s="113"/>
      <c r="ES121" s="113"/>
      <c r="ET121" s="113"/>
      <c r="EU121" s="113"/>
      <c r="EV121" s="113"/>
      <c r="EW121" s="113"/>
      <c r="EX121" s="113"/>
      <c r="EY121" s="113"/>
      <c r="EZ121" s="113"/>
      <c r="FA121" s="113"/>
      <c r="FB121" s="113"/>
      <c r="FC121" s="113"/>
      <c r="FD121" s="113"/>
      <c r="FE121" s="113"/>
      <c r="FF121" s="113"/>
      <c r="FG121" s="113"/>
      <c r="FH121" s="113"/>
      <c r="FI121" s="113"/>
      <c r="FJ121" s="113"/>
      <c r="FK121" s="113"/>
      <c r="FL121" s="113"/>
      <c r="FM121" s="113"/>
      <c r="FN121" s="113"/>
      <c r="FO121" s="113"/>
      <c r="FP121" s="113"/>
      <c r="FQ121" s="113"/>
      <c r="FR121" s="113"/>
      <c r="FS121" s="113"/>
      <c r="FT121" s="113"/>
      <c r="FU121" s="113"/>
      <c r="FV121" s="113"/>
      <c r="FW121" s="113"/>
      <c r="FX121" s="113"/>
      <c r="FY121" s="113"/>
      <c r="FZ121" s="113"/>
      <c r="GA121" s="113"/>
      <c r="GB121" s="113"/>
      <c r="GC121" s="113"/>
      <c r="GD121" s="113"/>
      <c r="GE121" s="113"/>
      <c r="GF121" s="113"/>
      <c r="GG121" s="113"/>
      <c r="GH121" s="113"/>
      <c r="GI121" s="113"/>
      <c r="GJ121" s="113"/>
      <c r="GK121" s="113"/>
      <c r="GL121" s="113"/>
      <c r="GM121" s="113"/>
      <c r="GN121" s="113"/>
      <c r="GO121" s="113"/>
      <c r="GP121" s="113"/>
      <c r="GQ121" s="113"/>
      <c r="GR121" s="113"/>
    </row>
    <row r="122" spans="2:200" x14ac:dyDescent="0.2">
      <c r="B122" s="116"/>
      <c r="C122" s="116"/>
      <c r="D122" s="115"/>
      <c r="E122" s="115"/>
      <c r="F122" s="115"/>
      <c r="G122" s="115"/>
      <c r="H122" s="115"/>
      <c r="I122" s="115"/>
      <c r="J122" s="115"/>
      <c r="K122" s="115"/>
      <c r="L122" s="115"/>
      <c r="M122" s="115"/>
      <c r="N122" s="115"/>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c r="CG122" s="113"/>
      <c r="CH122" s="113"/>
      <c r="CI122" s="113"/>
      <c r="CJ122" s="113"/>
      <c r="CK122" s="113"/>
      <c r="CL122" s="113"/>
      <c r="CM122" s="113"/>
      <c r="CN122" s="113"/>
      <c r="CO122" s="113"/>
      <c r="CP122" s="113"/>
      <c r="CQ122" s="113"/>
      <c r="CR122" s="113"/>
      <c r="CS122" s="113"/>
      <c r="CT122" s="113"/>
      <c r="CU122" s="113"/>
      <c r="CV122" s="113"/>
      <c r="CW122" s="113"/>
      <c r="CX122" s="113"/>
      <c r="CY122" s="113"/>
      <c r="CZ122" s="113"/>
      <c r="DA122" s="113"/>
      <c r="DB122" s="113"/>
      <c r="DC122" s="113"/>
      <c r="DD122" s="113"/>
      <c r="DE122" s="113"/>
      <c r="DF122" s="113"/>
      <c r="DG122" s="113"/>
      <c r="DH122" s="113"/>
      <c r="DI122" s="113"/>
      <c r="DJ122" s="113"/>
      <c r="DK122" s="113"/>
      <c r="DL122" s="113"/>
      <c r="DM122" s="113"/>
      <c r="DN122" s="113"/>
      <c r="DO122" s="113"/>
      <c r="DP122" s="113"/>
      <c r="DQ122" s="113"/>
      <c r="DR122" s="113"/>
      <c r="DS122" s="113"/>
      <c r="DT122" s="113"/>
      <c r="DU122" s="113"/>
      <c r="DV122" s="113"/>
      <c r="DW122" s="113"/>
      <c r="DX122" s="113"/>
      <c r="DY122" s="113"/>
      <c r="DZ122" s="113"/>
      <c r="EA122" s="113"/>
      <c r="EB122" s="113"/>
      <c r="EC122" s="113"/>
      <c r="ED122" s="113"/>
      <c r="EE122" s="113"/>
      <c r="EF122" s="113"/>
      <c r="EG122" s="113"/>
      <c r="EH122" s="113"/>
      <c r="EI122" s="113"/>
      <c r="EJ122" s="113"/>
      <c r="EK122" s="113"/>
      <c r="EL122" s="113"/>
      <c r="EM122" s="113"/>
      <c r="EN122" s="113"/>
      <c r="EO122" s="113"/>
      <c r="EP122" s="113"/>
      <c r="EQ122" s="113"/>
      <c r="ER122" s="113"/>
      <c r="ES122" s="113"/>
      <c r="ET122" s="113"/>
      <c r="EU122" s="113"/>
      <c r="EV122" s="113"/>
      <c r="EW122" s="113"/>
      <c r="EX122" s="113"/>
      <c r="EY122" s="113"/>
      <c r="EZ122" s="113"/>
      <c r="FA122" s="113"/>
      <c r="FB122" s="113"/>
      <c r="FC122" s="113"/>
      <c r="FD122" s="113"/>
      <c r="FE122" s="113"/>
      <c r="FF122" s="113"/>
      <c r="FG122" s="113"/>
      <c r="FH122" s="113"/>
      <c r="FI122" s="113"/>
      <c r="FJ122" s="113"/>
      <c r="FK122" s="113"/>
      <c r="FL122" s="113"/>
      <c r="FM122" s="113"/>
      <c r="FN122" s="113"/>
      <c r="FO122" s="113"/>
      <c r="FP122" s="113"/>
      <c r="FQ122" s="113"/>
      <c r="FR122" s="113"/>
      <c r="FS122" s="113"/>
      <c r="FT122" s="113"/>
      <c r="FU122" s="113"/>
      <c r="FV122" s="113"/>
      <c r="FW122" s="113"/>
      <c r="FX122" s="113"/>
      <c r="FY122" s="113"/>
      <c r="FZ122" s="113"/>
      <c r="GA122" s="113"/>
      <c r="GB122" s="113"/>
      <c r="GC122" s="113"/>
      <c r="GD122" s="113"/>
      <c r="GE122" s="113"/>
      <c r="GF122" s="113"/>
      <c r="GG122" s="113"/>
      <c r="GH122" s="113"/>
      <c r="GI122" s="113"/>
      <c r="GJ122" s="113"/>
      <c r="GK122" s="113"/>
      <c r="GL122" s="113"/>
      <c r="GM122" s="113"/>
      <c r="GN122" s="113"/>
      <c r="GO122" s="113"/>
      <c r="GP122" s="113"/>
      <c r="GQ122" s="113"/>
      <c r="GR122" s="113"/>
    </row>
    <row r="123" spans="2:200" x14ac:dyDescent="0.2">
      <c r="B123" s="116"/>
      <c r="C123" s="116"/>
      <c r="D123" s="115"/>
      <c r="E123" s="115"/>
      <c r="F123" s="115"/>
      <c r="G123" s="115"/>
      <c r="H123" s="115"/>
      <c r="I123" s="115"/>
      <c r="J123" s="115"/>
      <c r="K123" s="115"/>
      <c r="L123" s="115"/>
      <c r="M123" s="115"/>
      <c r="N123" s="115"/>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3"/>
      <c r="CI123" s="113"/>
      <c r="CJ123" s="113"/>
      <c r="CK123" s="113"/>
      <c r="CL123" s="113"/>
      <c r="CM123" s="113"/>
      <c r="CN123" s="113"/>
      <c r="CO123" s="113"/>
      <c r="CP123" s="113"/>
      <c r="CQ123" s="113"/>
      <c r="CR123" s="113"/>
      <c r="CS123" s="113"/>
      <c r="CT123" s="113"/>
      <c r="CU123" s="113"/>
      <c r="CV123" s="113"/>
      <c r="CW123" s="113"/>
      <c r="CX123" s="113"/>
      <c r="CY123" s="113"/>
      <c r="CZ123" s="113"/>
      <c r="DA123" s="113"/>
      <c r="DB123" s="113"/>
      <c r="DC123" s="113"/>
      <c r="DD123" s="113"/>
      <c r="DE123" s="113"/>
      <c r="DF123" s="113"/>
      <c r="DG123" s="113"/>
      <c r="DH123" s="113"/>
      <c r="DI123" s="113"/>
      <c r="DJ123" s="113"/>
      <c r="DK123" s="113"/>
      <c r="DL123" s="113"/>
      <c r="DM123" s="113"/>
      <c r="DN123" s="113"/>
      <c r="DO123" s="113"/>
      <c r="DP123" s="113"/>
      <c r="DQ123" s="113"/>
      <c r="DR123" s="113"/>
      <c r="DS123" s="113"/>
      <c r="DT123" s="113"/>
      <c r="DU123" s="113"/>
      <c r="DV123" s="113"/>
      <c r="DW123" s="113"/>
      <c r="DX123" s="113"/>
      <c r="DY123" s="113"/>
      <c r="DZ123" s="113"/>
      <c r="EA123" s="113"/>
      <c r="EB123" s="113"/>
      <c r="EC123" s="113"/>
      <c r="ED123" s="113"/>
      <c r="EE123" s="113"/>
      <c r="EF123" s="113"/>
      <c r="EG123" s="113"/>
      <c r="EH123" s="113"/>
      <c r="EI123" s="113"/>
      <c r="EJ123" s="113"/>
      <c r="EK123" s="113"/>
      <c r="EL123" s="113"/>
      <c r="EM123" s="113"/>
      <c r="EN123" s="113"/>
      <c r="EO123" s="113"/>
      <c r="EP123" s="113"/>
      <c r="EQ123" s="113"/>
      <c r="ER123" s="113"/>
      <c r="ES123" s="113"/>
      <c r="ET123" s="113"/>
      <c r="EU123" s="113"/>
      <c r="EV123" s="113"/>
      <c r="EW123" s="113"/>
      <c r="EX123" s="113"/>
      <c r="EY123" s="113"/>
      <c r="EZ123" s="113"/>
      <c r="FA123" s="113"/>
      <c r="FB123" s="113"/>
      <c r="FC123" s="113"/>
      <c r="FD123" s="113"/>
      <c r="FE123" s="113"/>
      <c r="FF123" s="113"/>
      <c r="FG123" s="113"/>
      <c r="FH123" s="113"/>
      <c r="FI123" s="113"/>
      <c r="FJ123" s="113"/>
      <c r="FK123" s="113"/>
      <c r="FL123" s="113"/>
      <c r="FM123" s="113"/>
      <c r="FN123" s="113"/>
      <c r="FO123" s="113"/>
      <c r="FP123" s="113"/>
      <c r="FQ123" s="113"/>
      <c r="FR123" s="113"/>
      <c r="FS123" s="113"/>
      <c r="FT123" s="113"/>
      <c r="FU123" s="113"/>
      <c r="FV123" s="113"/>
      <c r="FW123" s="113"/>
      <c r="FX123" s="113"/>
      <c r="FY123" s="113"/>
      <c r="FZ123" s="113"/>
      <c r="GA123" s="113"/>
      <c r="GB123" s="113"/>
      <c r="GC123" s="113"/>
      <c r="GD123" s="113"/>
      <c r="GE123" s="113"/>
      <c r="GF123" s="113"/>
      <c r="GG123" s="113"/>
      <c r="GH123" s="113"/>
      <c r="GI123" s="113"/>
      <c r="GJ123" s="113"/>
      <c r="GK123" s="113"/>
      <c r="GL123" s="113"/>
      <c r="GM123" s="113"/>
      <c r="GN123" s="113"/>
      <c r="GO123" s="113"/>
      <c r="GP123" s="113"/>
      <c r="GQ123" s="113"/>
      <c r="GR123" s="113"/>
    </row>
    <row r="124" spans="2:200" x14ac:dyDescent="0.2">
      <c r="B124" s="116"/>
      <c r="C124" s="116"/>
      <c r="D124" s="115"/>
      <c r="E124" s="115"/>
      <c r="F124" s="115"/>
      <c r="G124" s="115"/>
      <c r="H124" s="115"/>
      <c r="I124" s="115"/>
      <c r="J124" s="115"/>
      <c r="K124" s="115"/>
      <c r="L124" s="115"/>
      <c r="M124" s="115"/>
      <c r="N124" s="115"/>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3"/>
      <c r="CI124" s="113"/>
      <c r="CJ124" s="113"/>
      <c r="CK124" s="113"/>
      <c r="CL124" s="113"/>
      <c r="CM124" s="113"/>
      <c r="CN124" s="113"/>
      <c r="CO124" s="113"/>
      <c r="CP124" s="113"/>
      <c r="CQ124" s="113"/>
      <c r="CR124" s="113"/>
      <c r="CS124" s="113"/>
      <c r="CT124" s="113"/>
      <c r="CU124" s="113"/>
      <c r="CV124" s="113"/>
      <c r="CW124" s="113"/>
      <c r="CX124" s="113"/>
      <c r="CY124" s="113"/>
      <c r="CZ124" s="113"/>
      <c r="DA124" s="113"/>
      <c r="DB124" s="113"/>
      <c r="DC124" s="113"/>
      <c r="DD124" s="113"/>
      <c r="DE124" s="113"/>
      <c r="DF124" s="113"/>
      <c r="DG124" s="113"/>
      <c r="DH124" s="113"/>
      <c r="DI124" s="113"/>
      <c r="DJ124" s="113"/>
      <c r="DK124" s="113"/>
      <c r="DL124" s="113"/>
      <c r="DM124" s="113"/>
      <c r="DN124" s="113"/>
      <c r="DO124" s="113"/>
      <c r="DP124" s="113"/>
      <c r="DQ124" s="113"/>
      <c r="DR124" s="113"/>
      <c r="DS124" s="113"/>
      <c r="DT124" s="113"/>
      <c r="DU124" s="113"/>
      <c r="DV124" s="113"/>
      <c r="DW124" s="113"/>
      <c r="DX124" s="113"/>
      <c r="DY124" s="113"/>
      <c r="DZ124" s="113"/>
      <c r="EA124" s="113"/>
      <c r="EB124" s="113"/>
      <c r="EC124" s="113"/>
      <c r="ED124" s="113"/>
      <c r="EE124" s="113"/>
      <c r="EF124" s="113"/>
      <c r="EG124" s="113"/>
      <c r="EH124" s="113"/>
      <c r="EI124" s="113"/>
      <c r="EJ124" s="113"/>
      <c r="EK124" s="113"/>
      <c r="EL124" s="113"/>
      <c r="EM124" s="113"/>
      <c r="EN124" s="113"/>
      <c r="EO124" s="113"/>
      <c r="EP124" s="113"/>
      <c r="EQ124" s="113"/>
      <c r="ER124" s="113"/>
      <c r="ES124" s="113"/>
      <c r="ET124" s="113"/>
      <c r="EU124" s="113"/>
      <c r="EV124" s="113"/>
      <c r="EW124" s="113"/>
      <c r="EX124" s="113"/>
      <c r="EY124" s="113"/>
      <c r="EZ124" s="113"/>
      <c r="FA124" s="113"/>
      <c r="FB124" s="113"/>
      <c r="FC124" s="113"/>
      <c r="FD124" s="113"/>
      <c r="FE124" s="113"/>
      <c r="FF124" s="113"/>
      <c r="FG124" s="113"/>
      <c r="FH124" s="113"/>
      <c r="FI124" s="113"/>
      <c r="FJ124" s="113"/>
      <c r="FK124" s="113"/>
      <c r="FL124" s="113"/>
      <c r="FM124" s="113"/>
      <c r="FN124" s="113"/>
      <c r="FO124" s="113"/>
      <c r="FP124" s="113"/>
      <c r="FQ124" s="113"/>
      <c r="FR124" s="113"/>
      <c r="FS124" s="113"/>
      <c r="FT124" s="113"/>
      <c r="FU124" s="113"/>
      <c r="FV124" s="113"/>
      <c r="FW124" s="113"/>
      <c r="FX124" s="113"/>
      <c r="FY124" s="113"/>
      <c r="FZ124" s="113"/>
      <c r="GA124" s="113"/>
      <c r="GB124" s="113"/>
      <c r="GC124" s="113"/>
      <c r="GD124" s="113"/>
      <c r="GE124" s="113"/>
      <c r="GF124" s="113"/>
      <c r="GG124" s="113"/>
      <c r="GH124" s="113"/>
      <c r="GI124" s="113"/>
      <c r="GJ124" s="113"/>
      <c r="GK124" s="113"/>
      <c r="GL124" s="113"/>
      <c r="GM124" s="113"/>
      <c r="GN124" s="113"/>
      <c r="GO124" s="113"/>
      <c r="GP124" s="113"/>
      <c r="GQ124" s="113"/>
      <c r="GR124" s="113"/>
    </row>
    <row r="125" spans="2:200" x14ac:dyDescent="0.2">
      <c r="B125" s="116"/>
      <c r="C125" s="116"/>
      <c r="D125" s="115"/>
      <c r="E125" s="115"/>
      <c r="F125" s="115"/>
      <c r="G125" s="115"/>
      <c r="H125" s="115"/>
      <c r="I125" s="115"/>
      <c r="J125" s="115"/>
      <c r="K125" s="115"/>
      <c r="L125" s="115"/>
      <c r="M125" s="115"/>
      <c r="N125" s="115"/>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3"/>
      <c r="CK125" s="113"/>
      <c r="CL125" s="113"/>
      <c r="CM125" s="113"/>
      <c r="CN125" s="113"/>
      <c r="CO125" s="113"/>
      <c r="CP125" s="113"/>
      <c r="CQ125" s="113"/>
      <c r="CR125" s="113"/>
      <c r="CS125" s="113"/>
      <c r="CT125" s="113"/>
      <c r="CU125" s="113"/>
      <c r="CV125" s="113"/>
      <c r="CW125" s="113"/>
      <c r="CX125" s="113"/>
      <c r="CY125" s="113"/>
      <c r="CZ125" s="113"/>
      <c r="DA125" s="113"/>
      <c r="DB125" s="113"/>
      <c r="DC125" s="113"/>
      <c r="DD125" s="113"/>
      <c r="DE125" s="113"/>
      <c r="DF125" s="113"/>
      <c r="DG125" s="113"/>
      <c r="DH125" s="113"/>
      <c r="DI125" s="113"/>
      <c r="DJ125" s="113"/>
      <c r="DK125" s="113"/>
      <c r="DL125" s="113"/>
      <c r="DM125" s="113"/>
      <c r="DN125" s="113"/>
      <c r="DO125" s="113"/>
      <c r="DP125" s="113"/>
      <c r="DQ125" s="113"/>
      <c r="DR125" s="113"/>
      <c r="DS125" s="113"/>
      <c r="DT125" s="113"/>
      <c r="DU125" s="113"/>
      <c r="DV125" s="113"/>
      <c r="DW125" s="113"/>
      <c r="DX125" s="113"/>
      <c r="DY125" s="113"/>
      <c r="DZ125" s="113"/>
      <c r="EA125" s="113"/>
      <c r="EB125" s="113"/>
      <c r="EC125" s="113"/>
      <c r="ED125" s="113"/>
      <c r="EE125" s="113"/>
      <c r="EF125" s="113"/>
      <c r="EG125" s="113"/>
      <c r="EH125" s="113"/>
      <c r="EI125" s="113"/>
      <c r="EJ125" s="113"/>
      <c r="EK125" s="113"/>
      <c r="EL125" s="113"/>
      <c r="EM125" s="113"/>
      <c r="EN125" s="113"/>
      <c r="EO125" s="113"/>
      <c r="EP125" s="113"/>
      <c r="EQ125" s="113"/>
      <c r="ER125" s="113"/>
      <c r="ES125" s="113"/>
      <c r="ET125" s="113"/>
      <c r="EU125" s="113"/>
      <c r="EV125" s="113"/>
      <c r="EW125" s="113"/>
      <c r="EX125" s="113"/>
      <c r="EY125" s="113"/>
      <c r="EZ125" s="113"/>
      <c r="FA125" s="113"/>
      <c r="FB125" s="113"/>
      <c r="FC125" s="113"/>
      <c r="FD125" s="113"/>
      <c r="FE125" s="113"/>
      <c r="FF125" s="113"/>
      <c r="FG125" s="113"/>
      <c r="FH125" s="113"/>
      <c r="FI125" s="113"/>
      <c r="FJ125" s="113"/>
      <c r="FK125" s="113"/>
      <c r="FL125" s="113"/>
      <c r="FM125" s="113"/>
      <c r="FN125" s="113"/>
      <c r="FO125" s="113"/>
      <c r="FP125" s="113"/>
      <c r="FQ125" s="113"/>
      <c r="FR125" s="113"/>
      <c r="FS125" s="113"/>
      <c r="FT125" s="113"/>
      <c r="FU125" s="113"/>
      <c r="FV125" s="113"/>
      <c r="FW125" s="113"/>
      <c r="FX125" s="113"/>
      <c r="FY125" s="113"/>
      <c r="FZ125" s="113"/>
      <c r="GA125" s="113"/>
      <c r="GB125" s="113"/>
      <c r="GC125" s="113"/>
      <c r="GD125" s="113"/>
      <c r="GE125" s="113"/>
      <c r="GF125" s="113"/>
      <c r="GG125" s="113"/>
      <c r="GH125" s="113"/>
      <c r="GI125" s="113"/>
      <c r="GJ125" s="113"/>
      <c r="GK125" s="113"/>
      <c r="GL125" s="113"/>
      <c r="GM125" s="113"/>
      <c r="GN125" s="113"/>
      <c r="GO125" s="113"/>
      <c r="GP125" s="113"/>
      <c r="GQ125" s="113"/>
      <c r="GR125" s="113"/>
    </row>
    <row r="126" spans="2:200" x14ac:dyDescent="0.2">
      <c r="B126" s="116"/>
      <c r="C126" s="116"/>
      <c r="D126" s="115"/>
      <c r="E126" s="115"/>
      <c r="F126" s="115"/>
      <c r="G126" s="115"/>
      <c r="H126" s="115"/>
      <c r="I126" s="115"/>
      <c r="J126" s="115"/>
      <c r="K126" s="115"/>
      <c r="L126" s="115"/>
      <c r="M126" s="115"/>
      <c r="N126" s="115"/>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c r="CG126" s="113"/>
      <c r="CH126" s="113"/>
      <c r="CI126" s="113"/>
      <c r="CJ126" s="113"/>
      <c r="CK126" s="113"/>
      <c r="CL126" s="113"/>
      <c r="CM126" s="113"/>
      <c r="CN126" s="113"/>
      <c r="CO126" s="113"/>
      <c r="CP126" s="113"/>
      <c r="CQ126" s="113"/>
      <c r="CR126" s="113"/>
      <c r="CS126" s="113"/>
      <c r="CT126" s="113"/>
      <c r="CU126" s="113"/>
      <c r="CV126" s="113"/>
      <c r="CW126" s="113"/>
      <c r="CX126" s="113"/>
      <c r="CY126" s="113"/>
      <c r="CZ126" s="113"/>
      <c r="DA126" s="113"/>
      <c r="DB126" s="113"/>
      <c r="DC126" s="113"/>
      <c r="DD126" s="113"/>
      <c r="DE126" s="113"/>
      <c r="DF126" s="113"/>
      <c r="DG126" s="113"/>
      <c r="DH126" s="113"/>
      <c r="DI126" s="113"/>
      <c r="DJ126" s="113"/>
      <c r="DK126" s="113"/>
      <c r="DL126" s="113"/>
      <c r="DM126" s="113"/>
      <c r="DN126" s="113"/>
      <c r="DO126" s="113"/>
      <c r="DP126" s="113"/>
      <c r="DQ126" s="113"/>
      <c r="DR126" s="113"/>
      <c r="DS126" s="113"/>
      <c r="DT126" s="113"/>
      <c r="DU126" s="113"/>
      <c r="DV126" s="113"/>
      <c r="DW126" s="113"/>
      <c r="DX126" s="113"/>
      <c r="DY126" s="113"/>
      <c r="DZ126" s="113"/>
      <c r="EA126" s="113"/>
      <c r="EB126" s="113"/>
      <c r="EC126" s="113"/>
      <c r="ED126" s="113"/>
      <c r="EE126" s="113"/>
      <c r="EF126" s="113"/>
      <c r="EG126" s="113"/>
      <c r="EH126" s="113"/>
      <c r="EI126" s="113"/>
      <c r="EJ126" s="113"/>
      <c r="EK126" s="113"/>
      <c r="EL126" s="113"/>
      <c r="EM126" s="113"/>
      <c r="EN126" s="113"/>
      <c r="EO126" s="113"/>
      <c r="EP126" s="113"/>
      <c r="EQ126" s="113"/>
      <c r="ER126" s="113"/>
      <c r="ES126" s="113"/>
      <c r="ET126" s="113"/>
      <c r="EU126" s="113"/>
      <c r="EV126" s="113"/>
      <c r="EW126" s="113"/>
      <c r="EX126" s="113"/>
      <c r="EY126" s="113"/>
      <c r="EZ126" s="113"/>
      <c r="FA126" s="113"/>
      <c r="FB126" s="113"/>
      <c r="FC126" s="113"/>
      <c r="FD126" s="113"/>
      <c r="FE126" s="113"/>
      <c r="FF126" s="113"/>
      <c r="FG126" s="113"/>
      <c r="FH126" s="113"/>
      <c r="FI126" s="113"/>
      <c r="FJ126" s="113"/>
      <c r="FK126" s="113"/>
      <c r="FL126" s="113"/>
      <c r="FM126" s="113"/>
      <c r="FN126" s="113"/>
      <c r="FO126" s="113"/>
      <c r="FP126" s="113"/>
      <c r="FQ126" s="113"/>
      <c r="FR126" s="113"/>
      <c r="FS126" s="113"/>
      <c r="FT126" s="113"/>
      <c r="FU126" s="113"/>
      <c r="FV126" s="113"/>
      <c r="FW126" s="113"/>
      <c r="FX126" s="113"/>
      <c r="FY126" s="113"/>
      <c r="FZ126" s="113"/>
      <c r="GA126" s="113"/>
      <c r="GB126" s="113"/>
      <c r="GC126" s="113"/>
      <c r="GD126" s="113"/>
      <c r="GE126" s="113"/>
      <c r="GF126" s="113"/>
      <c r="GG126" s="113"/>
      <c r="GH126" s="113"/>
      <c r="GI126" s="113"/>
      <c r="GJ126" s="113"/>
      <c r="GK126" s="113"/>
      <c r="GL126" s="113"/>
      <c r="GM126" s="113"/>
      <c r="GN126" s="113"/>
      <c r="GO126" s="113"/>
      <c r="GP126" s="113"/>
      <c r="GQ126" s="113"/>
      <c r="GR126" s="113"/>
    </row>
    <row r="127" spans="2:200" x14ac:dyDescent="0.2">
      <c r="B127" s="116"/>
      <c r="C127" s="116"/>
      <c r="D127" s="115"/>
      <c r="E127" s="115"/>
      <c r="F127" s="115"/>
      <c r="G127" s="115"/>
      <c r="H127" s="115"/>
      <c r="I127" s="115"/>
      <c r="J127" s="115"/>
      <c r="K127" s="115"/>
      <c r="L127" s="115"/>
      <c r="M127" s="115"/>
      <c r="N127" s="115"/>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c r="CG127" s="113"/>
      <c r="CH127" s="113"/>
      <c r="CI127" s="113"/>
      <c r="CJ127" s="113"/>
      <c r="CK127" s="113"/>
      <c r="CL127" s="113"/>
      <c r="CM127" s="113"/>
      <c r="CN127" s="113"/>
      <c r="CO127" s="113"/>
      <c r="CP127" s="113"/>
      <c r="CQ127" s="113"/>
      <c r="CR127" s="113"/>
      <c r="CS127" s="113"/>
      <c r="CT127" s="113"/>
      <c r="CU127" s="113"/>
      <c r="CV127" s="113"/>
      <c r="CW127" s="113"/>
      <c r="CX127" s="113"/>
      <c r="CY127" s="113"/>
      <c r="CZ127" s="113"/>
      <c r="DA127" s="113"/>
      <c r="DB127" s="113"/>
      <c r="DC127" s="113"/>
      <c r="DD127" s="113"/>
      <c r="DE127" s="113"/>
      <c r="DF127" s="113"/>
      <c r="DG127" s="113"/>
      <c r="DH127" s="113"/>
      <c r="DI127" s="113"/>
      <c r="DJ127" s="113"/>
      <c r="DK127" s="113"/>
      <c r="DL127" s="113"/>
      <c r="DM127" s="113"/>
      <c r="DN127" s="113"/>
      <c r="DO127" s="113"/>
      <c r="DP127" s="113"/>
      <c r="DQ127" s="113"/>
      <c r="DR127" s="113"/>
      <c r="DS127" s="113"/>
      <c r="DT127" s="113"/>
      <c r="DU127" s="113"/>
      <c r="DV127" s="113"/>
      <c r="DW127" s="113"/>
      <c r="DX127" s="113"/>
      <c r="DY127" s="113"/>
      <c r="DZ127" s="113"/>
      <c r="EA127" s="113"/>
      <c r="EB127" s="113"/>
      <c r="EC127" s="113"/>
      <c r="ED127" s="113"/>
      <c r="EE127" s="113"/>
      <c r="EF127" s="113"/>
      <c r="EG127" s="113"/>
      <c r="EH127" s="113"/>
      <c r="EI127" s="113"/>
      <c r="EJ127" s="113"/>
      <c r="EK127" s="113"/>
      <c r="EL127" s="113"/>
      <c r="EM127" s="113"/>
      <c r="EN127" s="113"/>
      <c r="EO127" s="113"/>
      <c r="EP127" s="113"/>
      <c r="EQ127" s="113"/>
      <c r="ER127" s="113"/>
      <c r="ES127" s="113"/>
      <c r="ET127" s="113"/>
      <c r="EU127" s="113"/>
      <c r="EV127" s="113"/>
      <c r="EW127" s="113"/>
      <c r="EX127" s="113"/>
      <c r="EY127" s="113"/>
      <c r="EZ127" s="113"/>
      <c r="FA127" s="113"/>
      <c r="FB127" s="113"/>
      <c r="FC127" s="113"/>
      <c r="FD127" s="113"/>
      <c r="FE127" s="113"/>
      <c r="FF127" s="113"/>
      <c r="FG127" s="113"/>
      <c r="FH127" s="113"/>
      <c r="FI127" s="113"/>
      <c r="FJ127" s="113"/>
      <c r="FK127" s="113"/>
      <c r="FL127" s="113"/>
      <c r="FM127" s="113"/>
      <c r="FN127" s="113"/>
      <c r="FO127" s="113"/>
      <c r="FP127" s="113"/>
      <c r="FQ127" s="113"/>
      <c r="FR127" s="113"/>
      <c r="FS127" s="113"/>
      <c r="FT127" s="113"/>
      <c r="FU127" s="113"/>
      <c r="FV127" s="113"/>
      <c r="FW127" s="113"/>
      <c r="FX127" s="113"/>
      <c r="FY127" s="113"/>
      <c r="FZ127" s="113"/>
      <c r="GA127" s="113"/>
      <c r="GB127" s="113"/>
      <c r="GC127" s="113"/>
      <c r="GD127" s="113"/>
      <c r="GE127" s="113"/>
      <c r="GF127" s="113"/>
      <c r="GG127" s="113"/>
      <c r="GH127" s="113"/>
      <c r="GI127" s="113"/>
      <c r="GJ127" s="113"/>
      <c r="GK127" s="113"/>
      <c r="GL127" s="113"/>
      <c r="GM127" s="113"/>
      <c r="GN127" s="113"/>
      <c r="GO127" s="113"/>
      <c r="GP127" s="113"/>
      <c r="GQ127" s="113"/>
      <c r="GR127" s="113"/>
    </row>
    <row r="128" spans="2:200" x14ac:dyDescent="0.2">
      <c r="B128" s="116"/>
      <c r="C128" s="116"/>
      <c r="D128" s="115"/>
      <c r="E128" s="115"/>
      <c r="F128" s="115"/>
      <c r="G128" s="115"/>
      <c r="H128" s="115"/>
      <c r="I128" s="115"/>
      <c r="J128" s="115"/>
      <c r="K128" s="115"/>
      <c r="L128" s="115"/>
      <c r="M128" s="115"/>
      <c r="N128" s="115"/>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c r="CG128" s="113"/>
      <c r="CH128" s="113"/>
      <c r="CI128" s="113"/>
      <c r="CJ128" s="113"/>
      <c r="CK128" s="113"/>
      <c r="CL128" s="113"/>
      <c r="CM128" s="113"/>
      <c r="CN128" s="113"/>
      <c r="CO128" s="113"/>
      <c r="CP128" s="113"/>
      <c r="CQ128" s="113"/>
      <c r="CR128" s="113"/>
      <c r="CS128" s="113"/>
      <c r="CT128" s="113"/>
      <c r="CU128" s="113"/>
      <c r="CV128" s="113"/>
      <c r="CW128" s="113"/>
      <c r="CX128" s="113"/>
      <c r="CY128" s="113"/>
      <c r="CZ128" s="113"/>
      <c r="DA128" s="113"/>
      <c r="DB128" s="113"/>
      <c r="DC128" s="113"/>
      <c r="DD128" s="113"/>
      <c r="DE128" s="113"/>
      <c r="DF128" s="113"/>
      <c r="DG128" s="113"/>
      <c r="DH128" s="113"/>
      <c r="DI128" s="113"/>
      <c r="DJ128" s="113"/>
      <c r="DK128" s="113"/>
      <c r="DL128" s="113"/>
      <c r="DM128" s="113"/>
      <c r="DN128" s="113"/>
      <c r="DO128" s="113"/>
      <c r="DP128" s="113"/>
      <c r="DQ128" s="113"/>
      <c r="DR128" s="113"/>
      <c r="DS128" s="113"/>
      <c r="DT128" s="113"/>
      <c r="DU128" s="113"/>
      <c r="DV128" s="113"/>
      <c r="DW128" s="113"/>
      <c r="DX128" s="113"/>
      <c r="DY128" s="113"/>
      <c r="DZ128" s="113"/>
      <c r="EA128" s="113"/>
      <c r="EB128" s="113"/>
      <c r="EC128" s="113"/>
      <c r="ED128" s="113"/>
      <c r="EE128" s="113"/>
      <c r="EF128" s="113"/>
      <c r="EG128" s="113"/>
      <c r="EH128" s="113"/>
      <c r="EI128" s="113"/>
      <c r="EJ128" s="113"/>
      <c r="EK128" s="113"/>
      <c r="EL128" s="113"/>
      <c r="EM128" s="113"/>
      <c r="EN128" s="113"/>
      <c r="EO128" s="113"/>
      <c r="EP128" s="113"/>
      <c r="EQ128" s="113"/>
      <c r="ER128" s="113"/>
      <c r="ES128" s="113"/>
      <c r="ET128" s="113"/>
      <c r="EU128" s="113"/>
      <c r="EV128" s="113"/>
      <c r="EW128" s="113"/>
      <c r="EX128" s="113"/>
      <c r="EY128" s="113"/>
      <c r="EZ128" s="113"/>
      <c r="FA128" s="113"/>
      <c r="FB128" s="113"/>
      <c r="FC128" s="113"/>
      <c r="FD128" s="113"/>
      <c r="FE128" s="113"/>
      <c r="FF128" s="113"/>
      <c r="FG128" s="113"/>
      <c r="FH128" s="113"/>
      <c r="FI128" s="113"/>
      <c r="FJ128" s="113"/>
      <c r="FK128" s="113"/>
      <c r="FL128" s="113"/>
      <c r="FM128" s="113"/>
      <c r="FN128" s="113"/>
      <c r="FO128" s="113"/>
      <c r="FP128" s="113"/>
      <c r="FQ128" s="113"/>
      <c r="FR128" s="113"/>
      <c r="FS128" s="113"/>
      <c r="FT128" s="113"/>
      <c r="FU128" s="113"/>
      <c r="FV128" s="113"/>
      <c r="FW128" s="113"/>
      <c r="FX128" s="113"/>
      <c r="FY128" s="113"/>
      <c r="FZ128" s="113"/>
      <c r="GA128" s="113"/>
      <c r="GB128" s="113"/>
      <c r="GC128" s="113"/>
      <c r="GD128" s="113"/>
      <c r="GE128" s="113"/>
      <c r="GF128" s="113"/>
      <c r="GG128" s="113"/>
      <c r="GH128" s="113"/>
      <c r="GI128" s="113"/>
      <c r="GJ128" s="113"/>
      <c r="GK128" s="113"/>
      <c r="GL128" s="113"/>
      <c r="GM128" s="113"/>
      <c r="GN128" s="113"/>
      <c r="GO128" s="113"/>
      <c r="GP128" s="113"/>
      <c r="GQ128" s="113"/>
      <c r="GR128" s="113"/>
    </row>
    <row r="129" spans="2:200" x14ac:dyDescent="0.2">
      <c r="B129" s="116"/>
      <c r="C129" s="116"/>
      <c r="D129" s="115"/>
      <c r="E129" s="115"/>
      <c r="F129" s="115"/>
      <c r="G129" s="115"/>
      <c r="H129" s="115"/>
      <c r="I129" s="115"/>
      <c r="J129" s="115"/>
      <c r="K129" s="115"/>
      <c r="L129" s="115"/>
      <c r="M129" s="115"/>
      <c r="N129" s="115"/>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c r="CN129" s="113"/>
      <c r="CO129" s="113"/>
      <c r="CP129" s="113"/>
      <c r="CQ129" s="113"/>
      <c r="CR129" s="113"/>
      <c r="CS129" s="113"/>
      <c r="CT129" s="113"/>
      <c r="CU129" s="113"/>
      <c r="CV129" s="113"/>
      <c r="CW129" s="113"/>
      <c r="CX129" s="113"/>
      <c r="CY129" s="113"/>
      <c r="CZ129" s="113"/>
      <c r="DA129" s="113"/>
      <c r="DB129" s="113"/>
      <c r="DC129" s="113"/>
      <c r="DD129" s="113"/>
      <c r="DE129" s="113"/>
      <c r="DF129" s="113"/>
      <c r="DG129" s="113"/>
      <c r="DH129" s="113"/>
      <c r="DI129" s="113"/>
      <c r="DJ129" s="113"/>
      <c r="DK129" s="113"/>
      <c r="DL129" s="113"/>
      <c r="DM129" s="113"/>
      <c r="DN129" s="113"/>
      <c r="DO129" s="113"/>
      <c r="DP129" s="113"/>
      <c r="DQ129" s="113"/>
      <c r="DR129" s="113"/>
      <c r="DS129" s="113"/>
      <c r="DT129" s="113"/>
      <c r="DU129" s="113"/>
      <c r="DV129" s="113"/>
      <c r="DW129" s="113"/>
      <c r="DX129" s="113"/>
      <c r="DY129" s="113"/>
      <c r="DZ129" s="113"/>
      <c r="EA129" s="113"/>
      <c r="EB129" s="113"/>
      <c r="EC129" s="113"/>
      <c r="ED129" s="113"/>
      <c r="EE129" s="113"/>
      <c r="EF129" s="113"/>
      <c r="EG129" s="113"/>
      <c r="EH129" s="113"/>
      <c r="EI129" s="113"/>
      <c r="EJ129" s="113"/>
      <c r="EK129" s="113"/>
      <c r="EL129" s="113"/>
      <c r="EM129" s="113"/>
      <c r="EN129" s="113"/>
      <c r="EO129" s="113"/>
      <c r="EP129" s="113"/>
      <c r="EQ129" s="113"/>
      <c r="ER129" s="113"/>
      <c r="ES129" s="113"/>
      <c r="ET129" s="113"/>
      <c r="EU129" s="113"/>
      <c r="EV129" s="113"/>
      <c r="EW129" s="113"/>
      <c r="EX129" s="113"/>
      <c r="EY129" s="113"/>
      <c r="EZ129" s="113"/>
      <c r="FA129" s="113"/>
      <c r="FB129" s="113"/>
      <c r="FC129" s="113"/>
      <c r="FD129" s="113"/>
      <c r="FE129" s="113"/>
      <c r="FF129" s="113"/>
      <c r="FG129" s="113"/>
      <c r="FH129" s="113"/>
      <c r="FI129" s="113"/>
      <c r="FJ129" s="113"/>
      <c r="FK129" s="113"/>
      <c r="FL129" s="113"/>
      <c r="FM129" s="113"/>
      <c r="FN129" s="113"/>
      <c r="FO129" s="113"/>
      <c r="FP129" s="113"/>
      <c r="FQ129" s="113"/>
      <c r="FR129" s="113"/>
      <c r="FS129" s="113"/>
      <c r="FT129" s="113"/>
      <c r="FU129" s="113"/>
      <c r="FV129" s="113"/>
      <c r="FW129" s="113"/>
      <c r="FX129" s="113"/>
      <c r="FY129" s="113"/>
      <c r="FZ129" s="113"/>
      <c r="GA129" s="113"/>
      <c r="GB129" s="113"/>
      <c r="GC129" s="113"/>
      <c r="GD129" s="113"/>
      <c r="GE129" s="113"/>
      <c r="GF129" s="113"/>
      <c r="GG129" s="113"/>
      <c r="GH129" s="113"/>
      <c r="GI129" s="113"/>
      <c r="GJ129" s="113"/>
      <c r="GK129" s="113"/>
      <c r="GL129" s="113"/>
      <c r="GM129" s="113"/>
      <c r="GN129" s="113"/>
      <c r="GO129" s="113"/>
      <c r="GP129" s="113"/>
      <c r="GQ129" s="113"/>
      <c r="GR129" s="113"/>
    </row>
    <row r="130" spans="2:200" x14ac:dyDescent="0.2">
      <c r="B130" s="116"/>
      <c r="C130" s="116"/>
      <c r="D130" s="115"/>
      <c r="E130" s="115"/>
      <c r="F130" s="115"/>
      <c r="G130" s="115"/>
      <c r="H130" s="115"/>
      <c r="I130" s="115"/>
      <c r="J130" s="115"/>
      <c r="K130" s="115"/>
      <c r="L130" s="115"/>
      <c r="M130" s="115"/>
      <c r="N130" s="115"/>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c r="EH130" s="113"/>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3"/>
      <c r="FU130" s="113"/>
      <c r="FV130" s="113"/>
      <c r="FW130" s="113"/>
      <c r="FX130" s="113"/>
      <c r="FY130" s="113"/>
      <c r="FZ130" s="113"/>
      <c r="GA130" s="113"/>
      <c r="GB130" s="113"/>
      <c r="GC130" s="113"/>
      <c r="GD130" s="113"/>
      <c r="GE130" s="113"/>
      <c r="GF130" s="113"/>
      <c r="GG130" s="113"/>
      <c r="GH130" s="113"/>
      <c r="GI130" s="113"/>
      <c r="GJ130" s="113"/>
      <c r="GK130" s="113"/>
      <c r="GL130" s="113"/>
      <c r="GM130" s="113"/>
      <c r="GN130" s="113"/>
      <c r="GO130" s="113"/>
      <c r="GP130" s="113"/>
      <c r="GQ130" s="113"/>
      <c r="GR130" s="113"/>
    </row>
    <row r="131" spans="2:200" x14ac:dyDescent="0.2">
      <c r="B131" s="116"/>
      <c r="C131" s="116"/>
      <c r="D131" s="115"/>
      <c r="E131" s="115"/>
      <c r="F131" s="115"/>
      <c r="G131" s="115"/>
      <c r="H131" s="115"/>
      <c r="I131" s="115"/>
      <c r="J131" s="115"/>
      <c r="K131" s="115"/>
      <c r="L131" s="115"/>
      <c r="M131" s="115"/>
      <c r="N131" s="115"/>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c r="GH131" s="113"/>
      <c r="GI131" s="113"/>
      <c r="GJ131" s="113"/>
      <c r="GK131" s="113"/>
      <c r="GL131" s="113"/>
      <c r="GM131" s="113"/>
      <c r="GN131" s="113"/>
      <c r="GO131" s="113"/>
      <c r="GP131" s="113"/>
      <c r="GQ131" s="113"/>
      <c r="GR131" s="113"/>
    </row>
    <row r="132" spans="2:200" x14ac:dyDescent="0.2">
      <c r="B132" s="116"/>
      <c r="C132" s="116"/>
      <c r="D132" s="115"/>
      <c r="E132" s="115"/>
      <c r="F132" s="115"/>
      <c r="G132" s="115"/>
      <c r="H132" s="115"/>
      <c r="I132" s="115"/>
      <c r="J132" s="115"/>
      <c r="K132" s="115"/>
      <c r="L132" s="115"/>
      <c r="M132" s="115"/>
      <c r="N132" s="115"/>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c r="GH132" s="113"/>
      <c r="GI132" s="113"/>
      <c r="GJ132" s="113"/>
      <c r="GK132" s="113"/>
      <c r="GL132" s="113"/>
      <c r="GM132" s="113"/>
      <c r="GN132" s="113"/>
      <c r="GO132" s="113"/>
      <c r="GP132" s="113"/>
      <c r="GQ132" s="113"/>
      <c r="GR132" s="113"/>
    </row>
    <row r="133" spans="2:200" x14ac:dyDescent="0.2">
      <c r="B133" s="116"/>
      <c r="C133" s="116"/>
      <c r="D133" s="115"/>
      <c r="E133" s="115"/>
      <c r="F133" s="115"/>
      <c r="G133" s="115"/>
      <c r="H133" s="115"/>
      <c r="I133" s="115"/>
      <c r="J133" s="115"/>
      <c r="K133" s="115"/>
      <c r="L133" s="115"/>
      <c r="M133" s="115"/>
      <c r="N133" s="115"/>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c r="GH133" s="113"/>
      <c r="GI133" s="113"/>
      <c r="GJ133" s="113"/>
      <c r="GK133" s="113"/>
      <c r="GL133" s="113"/>
      <c r="GM133" s="113"/>
      <c r="GN133" s="113"/>
      <c r="GO133" s="113"/>
      <c r="GP133" s="113"/>
      <c r="GQ133" s="113"/>
      <c r="GR133" s="113"/>
    </row>
    <row r="134" spans="2:200" x14ac:dyDescent="0.2">
      <c r="B134" s="116"/>
      <c r="C134" s="116"/>
      <c r="D134" s="115"/>
      <c r="E134" s="115"/>
      <c r="F134" s="115"/>
      <c r="G134" s="115"/>
      <c r="H134" s="115"/>
      <c r="I134" s="115"/>
      <c r="J134" s="115"/>
      <c r="K134" s="115"/>
      <c r="L134" s="115"/>
      <c r="M134" s="115"/>
      <c r="N134" s="115"/>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c r="GH134" s="113"/>
      <c r="GI134" s="113"/>
      <c r="GJ134" s="113"/>
      <c r="GK134" s="113"/>
      <c r="GL134" s="113"/>
      <c r="GM134" s="113"/>
      <c r="GN134" s="113"/>
      <c r="GO134" s="113"/>
      <c r="GP134" s="113"/>
      <c r="GQ134" s="113"/>
      <c r="GR134" s="113"/>
    </row>
    <row r="135" spans="2:200" x14ac:dyDescent="0.2">
      <c r="B135" s="116"/>
      <c r="C135" s="116"/>
      <c r="D135" s="115"/>
      <c r="E135" s="115"/>
      <c r="F135" s="115"/>
      <c r="G135" s="115"/>
      <c r="H135" s="115"/>
      <c r="I135" s="115"/>
      <c r="J135" s="115"/>
      <c r="K135" s="115"/>
      <c r="L135" s="115"/>
      <c r="M135" s="115"/>
      <c r="N135" s="115"/>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c r="GH135" s="113"/>
      <c r="GI135" s="113"/>
      <c r="GJ135" s="113"/>
      <c r="GK135" s="113"/>
      <c r="GL135" s="113"/>
      <c r="GM135" s="113"/>
      <c r="GN135" s="113"/>
      <c r="GO135" s="113"/>
      <c r="GP135" s="113"/>
      <c r="GQ135" s="113"/>
      <c r="GR135" s="113"/>
    </row>
    <row r="136" spans="2:200" x14ac:dyDescent="0.2">
      <c r="B136" s="116"/>
      <c r="C136" s="116"/>
      <c r="D136" s="115"/>
      <c r="E136" s="115"/>
      <c r="F136" s="115"/>
      <c r="G136" s="115"/>
      <c r="H136" s="115"/>
      <c r="I136" s="115"/>
      <c r="J136" s="115"/>
      <c r="K136" s="115"/>
      <c r="L136" s="115"/>
      <c r="M136" s="115"/>
      <c r="N136" s="115"/>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c r="GP136" s="113"/>
      <c r="GQ136" s="113"/>
      <c r="GR136" s="113"/>
    </row>
    <row r="137" spans="2:200" x14ac:dyDescent="0.2">
      <c r="B137" s="116"/>
      <c r="C137" s="116"/>
      <c r="D137" s="115"/>
      <c r="E137" s="115"/>
      <c r="F137" s="115"/>
      <c r="G137" s="115"/>
      <c r="H137" s="115"/>
      <c r="I137" s="115"/>
      <c r="J137" s="115"/>
      <c r="K137" s="115"/>
      <c r="L137" s="115"/>
      <c r="M137" s="115"/>
      <c r="N137" s="115"/>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c r="CO137" s="113"/>
      <c r="CP137" s="113"/>
      <c r="CQ137" s="113"/>
      <c r="CR137" s="113"/>
      <c r="CS137" s="113"/>
      <c r="CT137" s="113"/>
      <c r="CU137" s="113"/>
      <c r="CV137" s="113"/>
      <c r="CW137" s="113"/>
      <c r="CX137" s="113"/>
      <c r="CY137" s="113"/>
      <c r="CZ137" s="113"/>
      <c r="DA137" s="113"/>
      <c r="DB137" s="113"/>
      <c r="DC137" s="113"/>
      <c r="DD137" s="113"/>
      <c r="DE137" s="113"/>
      <c r="DF137" s="113"/>
      <c r="DG137" s="113"/>
      <c r="DH137" s="113"/>
      <c r="DI137" s="113"/>
      <c r="DJ137" s="113"/>
      <c r="DK137" s="113"/>
      <c r="DL137" s="113"/>
      <c r="DM137" s="113"/>
      <c r="DN137" s="113"/>
      <c r="DO137" s="113"/>
      <c r="DP137" s="113"/>
      <c r="DQ137" s="113"/>
      <c r="DR137" s="113"/>
      <c r="DS137" s="113"/>
      <c r="DT137" s="113"/>
      <c r="DU137" s="113"/>
      <c r="DV137" s="113"/>
      <c r="DW137" s="113"/>
      <c r="DX137" s="113"/>
      <c r="DY137" s="113"/>
      <c r="DZ137" s="113"/>
      <c r="EA137" s="113"/>
      <c r="EB137" s="113"/>
      <c r="EC137" s="113"/>
      <c r="ED137" s="113"/>
      <c r="EE137" s="113"/>
      <c r="EF137" s="113"/>
      <c r="EG137" s="113"/>
      <c r="EH137" s="113"/>
      <c r="EI137" s="113"/>
      <c r="EJ137" s="113"/>
      <c r="EK137" s="113"/>
      <c r="EL137" s="113"/>
      <c r="EM137" s="113"/>
      <c r="EN137" s="113"/>
      <c r="EO137" s="113"/>
      <c r="EP137" s="113"/>
      <c r="EQ137" s="113"/>
      <c r="ER137" s="113"/>
      <c r="ES137" s="113"/>
      <c r="ET137" s="113"/>
      <c r="EU137" s="113"/>
      <c r="EV137" s="113"/>
      <c r="EW137" s="113"/>
      <c r="EX137" s="113"/>
      <c r="EY137" s="113"/>
      <c r="EZ137" s="113"/>
      <c r="FA137" s="113"/>
      <c r="FB137" s="113"/>
      <c r="FC137" s="113"/>
      <c r="FD137" s="113"/>
      <c r="FE137" s="113"/>
      <c r="FF137" s="113"/>
      <c r="FG137" s="113"/>
      <c r="FH137" s="113"/>
      <c r="FI137" s="113"/>
      <c r="FJ137" s="113"/>
      <c r="FK137" s="113"/>
      <c r="FL137" s="113"/>
      <c r="FM137" s="113"/>
      <c r="FN137" s="113"/>
      <c r="FO137" s="113"/>
      <c r="FP137" s="113"/>
      <c r="FQ137" s="113"/>
      <c r="FR137" s="113"/>
      <c r="FS137" s="113"/>
      <c r="FT137" s="113"/>
      <c r="FU137" s="113"/>
      <c r="FV137" s="113"/>
      <c r="FW137" s="113"/>
      <c r="FX137" s="113"/>
      <c r="FY137" s="113"/>
      <c r="FZ137" s="113"/>
      <c r="GA137" s="113"/>
      <c r="GB137" s="113"/>
      <c r="GC137" s="113"/>
      <c r="GD137" s="113"/>
      <c r="GE137" s="113"/>
      <c r="GF137" s="113"/>
      <c r="GG137" s="113"/>
      <c r="GH137" s="113"/>
      <c r="GI137" s="113"/>
      <c r="GJ137" s="113"/>
      <c r="GK137" s="113"/>
      <c r="GL137" s="113"/>
      <c r="GM137" s="113"/>
      <c r="GN137" s="113"/>
      <c r="GO137" s="113"/>
      <c r="GP137" s="113"/>
      <c r="GQ137" s="113"/>
      <c r="GR137" s="113"/>
    </row>
    <row r="138" spans="2:200" x14ac:dyDescent="0.2">
      <c r="B138" s="116"/>
      <c r="C138" s="116"/>
      <c r="D138" s="115"/>
      <c r="E138" s="115"/>
      <c r="F138" s="115"/>
      <c r="G138" s="115"/>
      <c r="H138" s="115"/>
      <c r="I138" s="115"/>
      <c r="J138" s="115"/>
      <c r="K138" s="115"/>
      <c r="L138" s="115"/>
      <c r="M138" s="115"/>
      <c r="N138" s="115"/>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c r="CN138" s="113"/>
      <c r="CO138" s="113"/>
      <c r="CP138" s="113"/>
      <c r="CQ138" s="113"/>
      <c r="CR138" s="113"/>
      <c r="CS138" s="113"/>
      <c r="CT138" s="113"/>
      <c r="CU138" s="113"/>
      <c r="CV138" s="113"/>
      <c r="CW138" s="113"/>
      <c r="CX138" s="113"/>
      <c r="CY138" s="113"/>
      <c r="CZ138" s="113"/>
      <c r="DA138" s="113"/>
      <c r="DB138" s="113"/>
      <c r="DC138" s="113"/>
      <c r="DD138" s="113"/>
      <c r="DE138" s="113"/>
      <c r="DF138" s="113"/>
      <c r="DG138" s="113"/>
      <c r="DH138" s="113"/>
      <c r="DI138" s="113"/>
      <c r="DJ138" s="113"/>
      <c r="DK138" s="113"/>
      <c r="DL138" s="113"/>
      <c r="DM138" s="113"/>
      <c r="DN138" s="113"/>
      <c r="DO138" s="113"/>
      <c r="DP138" s="113"/>
      <c r="DQ138" s="113"/>
      <c r="DR138" s="113"/>
      <c r="DS138" s="113"/>
      <c r="DT138" s="113"/>
      <c r="DU138" s="113"/>
      <c r="DV138" s="113"/>
      <c r="DW138" s="113"/>
      <c r="DX138" s="113"/>
      <c r="DY138" s="113"/>
      <c r="DZ138" s="113"/>
      <c r="EA138" s="113"/>
      <c r="EB138" s="113"/>
      <c r="EC138" s="113"/>
      <c r="ED138" s="113"/>
      <c r="EE138" s="113"/>
      <c r="EF138" s="113"/>
      <c r="EG138" s="113"/>
      <c r="EH138" s="113"/>
      <c r="EI138" s="113"/>
      <c r="EJ138" s="113"/>
      <c r="EK138" s="113"/>
      <c r="EL138" s="113"/>
      <c r="EM138" s="113"/>
      <c r="EN138" s="113"/>
      <c r="EO138" s="113"/>
      <c r="EP138" s="113"/>
      <c r="EQ138" s="113"/>
      <c r="ER138" s="113"/>
      <c r="ES138" s="113"/>
      <c r="ET138" s="113"/>
      <c r="EU138" s="113"/>
      <c r="EV138" s="113"/>
      <c r="EW138" s="113"/>
      <c r="EX138" s="113"/>
      <c r="EY138" s="113"/>
      <c r="EZ138" s="113"/>
      <c r="FA138" s="113"/>
      <c r="FB138" s="113"/>
      <c r="FC138" s="113"/>
      <c r="FD138" s="113"/>
      <c r="FE138" s="113"/>
      <c r="FF138" s="113"/>
      <c r="FG138" s="113"/>
      <c r="FH138" s="113"/>
      <c r="FI138" s="113"/>
      <c r="FJ138" s="113"/>
      <c r="FK138" s="113"/>
      <c r="FL138" s="113"/>
      <c r="FM138" s="113"/>
      <c r="FN138" s="113"/>
      <c r="FO138" s="113"/>
      <c r="FP138" s="113"/>
      <c r="FQ138" s="113"/>
      <c r="FR138" s="113"/>
      <c r="FS138" s="113"/>
      <c r="FT138" s="113"/>
      <c r="FU138" s="113"/>
      <c r="FV138" s="113"/>
      <c r="FW138" s="113"/>
      <c r="FX138" s="113"/>
      <c r="FY138" s="113"/>
      <c r="FZ138" s="113"/>
      <c r="GA138" s="113"/>
      <c r="GB138" s="113"/>
      <c r="GC138" s="113"/>
      <c r="GD138" s="113"/>
      <c r="GE138" s="113"/>
      <c r="GF138" s="113"/>
      <c r="GG138" s="113"/>
      <c r="GH138" s="113"/>
      <c r="GI138" s="113"/>
      <c r="GJ138" s="113"/>
      <c r="GK138" s="113"/>
      <c r="GL138" s="113"/>
      <c r="GM138" s="113"/>
      <c r="GN138" s="113"/>
      <c r="GO138" s="113"/>
      <c r="GP138" s="113"/>
      <c r="GQ138" s="113"/>
      <c r="GR138" s="113"/>
    </row>
    <row r="139" spans="2:200" x14ac:dyDescent="0.2">
      <c r="B139" s="116"/>
      <c r="C139" s="116"/>
      <c r="D139" s="115"/>
      <c r="E139" s="115"/>
      <c r="F139" s="115"/>
      <c r="G139" s="115"/>
      <c r="H139" s="115"/>
      <c r="I139" s="115"/>
      <c r="J139" s="115"/>
      <c r="K139" s="115"/>
      <c r="L139" s="115"/>
      <c r="M139" s="115"/>
      <c r="N139" s="115"/>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113"/>
      <c r="CC139" s="113"/>
      <c r="CD139" s="113"/>
      <c r="CE139" s="113"/>
      <c r="CF139" s="113"/>
      <c r="CG139" s="113"/>
      <c r="CH139" s="113"/>
      <c r="CI139" s="113"/>
      <c r="CJ139" s="113"/>
      <c r="CK139" s="113"/>
      <c r="CL139" s="113"/>
      <c r="CM139" s="113"/>
      <c r="CN139" s="113"/>
      <c r="CO139" s="113"/>
      <c r="CP139" s="113"/>
      <c r="CQ139" s="113"/>
      <c r="CR139" s="113"/>
      <c r="CS139" s="113"/>
      <c r="CT139" s="113"/>
      <c r="CU139" s="113"/>
      <c r="CV139" s="113"/>
      <c r="CW139" s="113"/>
      <c r="CX139" s="113"/>
      <c r="CY139" s="113"/>
      <c r="CZ139" s="113"/>
      <c r="DA139" s="113"/>
      <c r="DB139" s="113"/>
      <c r="DC139" s="113"/>
      <c r="DD139" s="113"/>
      <c r="DE139" s="113"/>
      <c r="DF139" s="113"/>
      <c r="DG139" s="113"/>
      <c r="DH139" s="113"/>
      <c r="DI139" s="113"/>
      <c r="DJ139" s="113"/>
      <c r="DK139" s="113"/>
      <c r="DL139" s="113"/>
      <c r="DM139" s="113"/>
      <c r="DN139" s="113"/>
      <c r="DO139" s="113"/>
      <c r="DP139" s="113"/>
      <c r="DQ139" s="113"/>
      <c r="DR139" s="113"/>
      <c r="DS139" s="113"/>
      <c r="DT139" s="113"/>
      <c r="DU139" s="113"/>
      <c r="DV139" s="113"/>
      <c r="DW139" s="113"/>
      <c r="DX139" s="113"/>
      <c r="DY139" s="113"/>
      <c r="DZ139" s="113"/>
      <c r="EA139" s="113"/>
      <c r="EB139" s="113"/>
      <c r="EC139" s="113"/>
      <c r="ED139" s="113"/>
      <c r="EE139" s="113"/>
      <c r="EF139" s="113"/>
      <c r="EG139" s="113"/>
      <c r="EH139" s="113"/>
      <c r="EI139" s="113"/>
      <c r="EJ139" s="113"/>
      <c r="EK139" s="113"/>
      <c r="EL139" s="113"/>
      <c r="EM139" s="113"/>
      <c r="EN139" s="113"/>
      <c r="EO139" s="113"/>
      <c r="EP139" s="113"/>
      <c r="EQ139" s="113"/>
      <c r="ER139" s="113"/>
      <c r="ES139" s="113"/>
      <c r="ET139" s="113"/>
      <c r="EU139" s="113"/>
      <c r="EV139" s="113"/>
      <c r="EW139" s="113"/>
      <c r="EX139" s="113"/>
      <c r="EY139" s="113"/>
      <c r="EZ139" s="113"/>
      <c r="FA139" s="113"/>
      <c r="FB139" s="113"/>
      <c r="FC139" s="113"/>
      <c r="FD139" s="113"/>
      <c r="FE139" s="113"/>
      <c r="FF139" s="113"/>
      <c r="FG139" s="113"/>
      <c r="FH139" s="113"/>
      <c r="FI139" s="113"/>
      <c r="FJ139" s="113"/>
      <c r="FK139" s="113"/>
      <c r="FL139" s="113"/>
      <c r="FM139" s="113"/>
      <c r="FN139" s="113"/>
      <c r="FO139" s="113"/>
      <c r="FP139" s="113"/>
      <c r="FQ139" s="113"/>
      <c r="FR139" s="113"/>
      <c r="FS139" s="113"/>
      <c r="FT139" s="113"/>
      <c r="FU139" s="113"/>
      <c r="FV139" s="113"/>
      <c r="FW139" s="113"/>
      <c r="FX139" s="113"/>
      <c r="FY139" s="113"/>
      <c r="FZ139" s="113"/>
      <c r="GA139" s="113"/>
      <c r="GB139" s="113"/>
      <c r="GC139" s="113"/>
      <c r="GD139" s="113"/>
      <c r="GE139" s="113"/>
      <c r="GF139" s="113"/>
      <c r="GG139" s="113"/>
      <c r="GH139" s="113"/>
      <c r="GI139" s="113"/>
      <c r="GJ139" s="113"/>
      <c r="GK139" s="113"/>
      <c r="GL139" s="113"/>
      <c r="GM139" s="113"/>
      <c r="GN139" s="113"/>
      <c r="GO139" s="113"/>
      <c r="GP139" s="113"/>
      <c r="GQ139" s="113"/>
      <c r="GR139" s="113"/>
    </row>
    <row r="140" spans="2:200" x14ac:dyDescent="0.2">
      <c r="B140" s="116"/>
      <c r="C140" s="116"/>
      <c r="D140" s="115"/>
      <c r="E140" s="115"/>
      <c r="F140" s="115"/>
      <c r="G140" s="115"/>
      <c r="H140" s="115"/>
      <c r="I140" s="115"/>
      <c r="J140" s="115"/>
      <c r="K140" s="115"/>
      <c r="L140" s="115"/>
      <c r="M140" s="115"/>
      <c r="N140" s="115"/>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c r="CF140" s="113"/>
      <c r="CG140" s="113"/>
      <c r="CH140" s="113"/>
      <c r="CI140" s="113"/>
      <c r="CJ140" s="113"/>
      <c r="CK140" s="113"/>
      <c r="CL140" s="113"/>
      <c r="CM140" s="113"/>
      <c r="CN140" s="113"/>
      <c r="CO140" s="113"/>
      <c r="CP140" s="113"/>
      <c r="CQ140" s="113"/>
      <c r="CR140" s="113"/>
      <c r="CS140" s="113"/>
      <c r="CT140" s="113"/>
      <c r="CU140" s="113"/>
      <c r="CV140" s="113"/>
      <c r="CW140" s="113"/>
      <c r="CX140" s="113"/>
      <c r="CY140" s="113"/>
      <c r="CZ140" s="113"/>
      <c r="DA140" s="113"/>
      <c r="DB140" s="113"/>
      <c r="DC140" s="113"/>
      <c r="DD140" s="113"/>
      <c r="DE140" s="113"/>
      <c r="DF140" s="113"/>
      <c r="DG140" s="113"/>
      <c r="DH140" s="113"/>
      <c r="DI140" s="113"/>
      <c r="DJ140" s="113"/>
      <c r="DK140" s="113"/>
      <c r="DL140" s="113"/>
      <c r="DM140" s="113"/>
      <c r="DN140" s="113"/>
      <c r="DO140" s="113"/>
      <c r="DP140" s="113"/>
      <c r="DQ140" s="113"/>
      <c r="DR140" s="113"/>
      <c r="DS140" s="113"/>
      <c r="DT140" s="113"/>
      <c r="DU140" s="113"/>
      <c r="DV140" s="113"/>
      <c r="DW140" s="113"/>
      <c r="DX140" s="113"/>
      <c r="DY140" s="113"/>
      <c r="DZ140" s="113"/>
      <c r="EA140" s="113"/>
      <c r="EB140" s="113"/>
      <c r="EC140" s="113"/>
      <c r="ED140" s="113"/>
      <c r="EE140" s="113"/>
      <c r="EF140" s="113"/>
      <c r="EG140" s="113"/>
      <c r="EH140" s="113"/>
      <c r="EI140" s="113"/>
      <c r="EJ140" s="113"/>
      <c r="EK140" s="113"/>
      <c r="EL140" s="113"/>
      <c r="EM140" s="113"/>
      <c r="EN140" s="113"/>
      <c r="EO140" s="113"/>
      <c r="EP140" s="113"/>
      <c r="EQ140" s="113"/>
      <c r="ER140" s="113"/>
      <c r="ES140" s="113"/>
      <c r="ET140" s="113"/>
      <c r="EU140" s="113"/>
      <c r="EV140" s="113"/>
      <c r="EW140" s="113"/>
      <c r="EX140" s="113"/>
      <c r="EY140" s="113"/>
      <c r="EZ140" s="113"/>
      <c r="FA140" s="113"/>
      <c r="FB140" s="113"/>
      <c r="FC140" s="113"/>
      <c r="FD140" s="113"/>
      <c r="FE140" s="113"/>
      <c r="FF140" s="113"/>
      <c r="FG140" s="113"/>
      <c r="FH140" s="113"/>
      <c r="FI140" s="113"/>
      <c r="FJ140" s="113"/>
      <c r="FK140" s="113"/>
      <c r="FL140" s="113"/>
      <c r="FM140" s="113"/>
      <c r="FN140" s="113"/>
      <c r="FO140" s="113"/>
      <c r="FP140" s="113"/>
      <c r="FQ140" s="113"/>
      <c r="FR140" s="113"/>
      <c r="FS140" s="113"/>
      <c r="FT140" s="113"/>
      <c r="FU140" s="113"/>
      <c r="FV140" s="113"/>
      <c r="FW140" s="113"/>
      <c r="FX140" s="113"/>
      <c r="FY140" s="113"/>
      <c r="FZ140" s="113"/>
      <c r="GA140" s="113"/>
      <c r="GB140" s="113"/>
      <c r="GC140" s="113"/>
      <c r="GD140" s="113"/>
      <c r="GE140" s="113"/>
      <c r="GF140" s="113"/>
      <c r="GG140" s="113"/>
      <c r="GH140" s="113"/>
      <c r="GI140" s="113"/>
      <c r="GJ140" s="113"/>
      <c r="GK140" s="113"/>
      <c r="GL140" s="113"/>
      <c r="GM140" s="113"/>
      <c r="GN140" s="113"/>
      <c r="GO140" s="113"/>
      <c r="GP140" s="113"/>
      <c r="GQ140" s="113"/>
      <c r="GR140" s="113"/>
    </row>
    <row r="141" spans="2:200" x14ac:dyDescent="0.2">
      <c r="B141" s="116"/>
      <c r="C141" s="116"/>
      <c r="D141" s="115"/>
      <c r="E141" s="115"/>
      <c r="F141" s="115"/>
      <c r="G141" s="115"/>
      <c r="H141" s="115"/>
      <c r="I141" s="115"/>
      <c r="J141" s="115"/>
      <c r="K141" s="115"/>
      <c r="L141" s="115"/>
      <c r="M141" s="115"/>
      <c r="N141" s="115"/>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c r="CF141" s="113"/>
      <c r="CG141" s="113"/>
      <c r="CH141" s="113"/>
      <c r="CI141" s="113"/>
      <c r="CJ141" s="113"/>
      <c r="CK141" s="113"/>
      <c r="CL141" s="113"/>
      <c r="CM141" s="113"/>
      <c r="CN141" s="113"/>
      <c r="CO141" s="113"/>
      <c r="CP141" s="113"/>
      <c r="CQ141" s="113"/>
      <c r="CR141" s="113"/>
      <c r="CS141" s="113"/>
      <c r="CT141" s="113"/>
      <c r="CU141" s="113"/>
      <c r="CV141" s="113"/>
      <c r="CW141" s="113"/>
      <c r="CX141" s="113"/>
      <c r="CY141" s="113"/>
      <c r="CZ141" s="113"/>
      <c r="DA141" s="113"/>
      <c r="DB141" s="113"/>
      <c r="DC141" s="113"/>
      <c r="DD141" s="113"/>
      <c r="DE141" s="113"/>
      <c r="DF141" s="113"/>
      <c r="DG141" s="113"/>
      <c r="DH141" s="113"/>
      <c r="DI141" s="113"/>
      <c r="DJ141" s="113"/>
      <c r="DK141" s="113"/>
      <c r="DL141" s="113"/>
      <c r="DM141" s="113"/>
      <c r="DN141" s="113"/>
      <c r="DO141" s="113"/>
      <c r="DP141" s="113"/>
      <c r="DQ141" s="113"/>
      <c r="DR141" s="113"/>
      <c r="DS141" s="113"/>
      <c r="DT141" s="113"/>
      <c r="DU141" s="113"/>
      <c r="DV141" s="113"/>
      <c r="DW141" s="113"/>
      <c r="DX141" s="113"/>
      <c r="DY141" s="113"/>
      <c r="DZ141" s="113"/>
      <c r="EA141" s="113"/>
      <c r="EB141" s="113"/>
      <c r="EC141" s="113"/>
      <c r="ED141" s="113"/>
      <c r="EE141" s="113"/>
      <c r="EF141" s="113"/>
      <c r="EG141" s="113"/>
      <c r="EH141" s="113"/>
      <c r="EI141" s="113"/>
      <c r="EJ141" s="113"/>
      <c r="EK141" s="113"/>
      <c r="EL141" s="113"/>
      <c r="EM141" s="113"/>
      <c r="EN141" s="113"/>
      <c r="EO141" s="113"/>
      <c r="EP141" s="113"/>
      <c r="EQ141" s="113"/>
      <c r="ER141" s="113"/>
      <c r="ES141" s="113"/>
      <c r="ET141" s="113"/>
      <c r="EU141" s="113"/>
      <c r="EV141" s="113"/>
      <c r="EW141" s="113"/>
      <c r="EX141" s="113"/>
      <c r="EY141" s="113"/>
      <c r="EZ141" s="113"/>
      <c r="FA141" s="113"/>
      <c r="FB141" s="113"/>
      <c r="FC141" s="113"/>
      <c r="FD141" s="113"/>
      <c r="FE141" s="113"/>
      <c r="FF141" s="113"/>
      <c r="FG141" s="113"/>
      <c r="FH141" s="113"/>
      <c r="FI141" s="113"/>
      <c r="FJ141" s="113"/>
      <c r="FK141" s="113"/>
      <c r="FL141" s="113"/>
      <c r="FM141" s="113"/>
      <c r="FN141" s="113"/>
      <c r="FO141" s="113"/>
      <c r="FP141" s="113"/>
      <c r="FQ141" s="113"/>
      <c r="FR141" s="113"/>
      <c r="FS141" s="113"/>
      <c r="FT141" s="113"/>
      <c r="FU141" s="113"/>
      <c r="FV141" s="113"/>
      <c r="FW141" s="113"/>
      <c r="FX141" s="113"/>
      <c r="FY141" s="113"/>
      <c r="FZ141" s="113"/>
      <c r="GA141" s="113"/>
      <c r="GB141" s="113"/>
      <c r="GC141" s="113"/>
      <c r="GD141" s="113"/>
      <c r="GE141" s="113"/>
      <c r="GF141" s="113"/>
      <c r="GG141" s="113"/>
      <c r="GH141" s="113"/>
      <c r="GI141" s="113"/>
      <c r="GJ141" s="113"/>
      <c r="GK141" s="113"/>
      <c r="GL141" s="113"/>
      <c r="GM141" s="113"/>
      <c r="GN141" s="113"/>
      <c r="GO141" s="113"/>
      <c r="GP141" s="113"/>
      <c r="GQ141" s="113"/>
      <c r="GR141" s="113"/>
    </row>
    <row r="142" spans="2:200" x14ac:dyDescent="0.2">
      <c r="B142" s="116"/>
      <c r="C142" s="116"/>
      <c r="D142" s="115"/>
      <c r="E142" s="115"/>
      <c r="F142" s="115"/>
      <c r="G142" s="115"/>
      <c r="H142" s="115"/>
      <c r="I142" s="115"/>
      <c r="J142" s="115"/>
      <c r="K142" s="115"/>
      <c r="L142" s="115"/>
      <c r="M142" s="115"/>
      <c r="N142" s="115"/>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c r="CG142" s="113"/>
      <c r="CH142" s="113"/>
      <c r="CI142" s="113"/>
      <c r="CJ142" s="113"/>
      <c r="CK142" s="113"/>
      <c r="CL142" s="113"/>
      <c r="CM142" s="113"/>
      <c r="CN142" s="113"/>
      <c r="CO142" s="113"/>
      <c r="CP142" s="113"/>
      <c r="CQ142" s="113"/>
      <c r="CR142" s="113"/>
      <c r="CS142" s="113"/>
      <c r="CT142" s="113"/>
      <c r="CU142" s="113"/>
      <c r="CV142" s="113"/>
      <c r="CW142" s="113"/>
      <c r="CX142" s="113"/>
      <c r="CY142" s="113"/>
      <c r="CZ142" s="113"/>
      <c r="DA142" s="113"/>
      <c r="DB142" s="113"/>
      <c r="DC142" s="113"/>
      <c r="DD142" s="113"/>
      <c r="DE142" s="113"/>
      <c r="DF142" s="113"/>
      <c r="DG142" s="113"/>
      <c r="DH142" s="113"/>
      <c r="DI142" s="113"/>
      <c r="DJ142" s="113"/>
      <c r="DK142" s="113"/>
      <c r="DL142" s="113"/>
      <c r="DM142" s="113"/>
      <c r="DN142" s="113"/>
      <c r="DO142" s="113"/>
      <c r="DP142" s="113"/>
      <c r="DQ142" s="113"/>
      <c r="DR142" s="113"/>
      <c r="DS142" s="113"/>
      <c r="DT142" s="113"/>
      <c r="DU142" s="113"/>
      <c r="DV142" s="113"/>
      <c r="DW142" s="113"/>
      <c r="DX142" s="113"/>
      <c r="DY142" s="113"/>
      <c r="DZ142" s="113"/>
      <c r="EA142" s="113"/>
      <c r="EB142" s="113"/>
      <c r="EC142" s="113"/>
      <c r="ED142" s="113"/>
      <c r="EE142" s="113"/>
      <c r="EF142" s="113"/>
      <c r="EG142" s="113"/>
      <c r="EH142" s="113"/>
      <c r="EI142" s="113"/>
      <c r="EJ142" s="113"/>
      <c r="EK142" s="113"/>
      <c r="EL142" s="113"/>
      <c r="EM142" s="113"/>
      <c r="EN142" s="113"/>
      <c r="EO142" s="113"/>
      <c r="EP142" s="113"/>
      <c r="EQ142" s="113"/>
      <c r="ER142" s="113"/>
      <c r="ES142" s="113"/>
      <c r="ET142" s="113"/>
      <c r="EU142" s="113"/>
      <c r="EV142" s="113"/>
      <c r="EW142" s="113"/>
      <c r="EX142" s="113"/>
      <c r="EY142" s="113"/>
      <c r="EZ142" s="113"/>
      <c r="FA142" s="113"/>
      <c r="FB142" s="113"/>
      <c r="FC142" s="113"/>
      <c r="FD142" s="113"/>
      <c r="FE142" s="113"/>
      <c r="FF142" s="113"/>
      <c r="FG142" s="113"/>
      <c r="FH142" s="113"/>
      <c r="FI142" s="113"/>
      <c r="FJ142" s="113"/>
      <c r="FK142" s="113"/>
      <c r="FL142" s="113"/>
      <c r="FM142" s="113"/>
      <c r="FN142" s="113"/>
      <c r="FO142" s="113"/>
      <c r="FP142" s="113"/>
      <c r="FQ142" s="113"/>
      <c r="FR142" s="113"/>
      <c r="FS142" s="113"/>
      <c r="FT142" s="113"/>
      <c r="FU142" s="113"/>
      <c r="FV142" s="113"/>
      <c r="FW142" s="113"/>
      <c r="FX142" s="113"/>
      <c r="FY142" s="113"/>
      <c r="FZ142" s="113"/>
      <c r="GA142" s="113"/>
      <c r="GB142" s="113"/>
      <c r="GC142" s="113"/>
      <c r="GD142" s="113"/>
      <c r="GE142" s="113"/>
      <c r="GF142" s="113"/>
      <c r="GG142" s="113"/>
      <c r="GH142" s="113"/>
      <c r="GI142" s="113"/>
      <c r="GJ142" s="113"/>
      <c r="GK142" s="113"/>
      <c r="GL142" s="113"/>
      <c r="GM142" s="113"/>
      <c r="GN142" s="113"/>
      <c r="GO142" s="113"/>
      <c r="GP142" s="113"/>
      <c r="GQ142" s="113"/>
      <c r="GR142" s="113"/>
    </row>
    <row r="143" spans="2:200" x14ac:dyDescent="0.2">
      <c r="B143" s="116"/>
      <c r="C143" s="116"/>
      <c r="D143" s="115"/>
      <c r="E143" s="115"/>
      <c r="F143" s="115"/>
      <c r="G143" s="115"/>
      <c r="H143" s="115"/>
      <c r="I143" s="115"/>
      <c r="J143" s="115"/>
      <c r="K143" s="115"/>
      <c r="L143" s="115"/>
      <c r="M143" s="115"/>
      <c r="N143" s="115"/>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c r="CO143" s="113"/>
      <c r="CP143" s="113"/>
      <c r="CQ143" s="113"/>
      <c r="CR143" s="113"/>
      <c r="CS143" s="113"/>
      <c r="CT143" s="113"/>
      <c r="CU143" s="113"/>
      <c r="CV143" s="113"/>
      <c r="CW143" s="113"/>
      <c r="CX143" s="113"/>
      <c r="CY143" s="113"/>
      <c r="CZ143" s="113"/>
      <c r="DA143" s="113"/>
      <c r="DB143" s="113"/>
      <c r="DC143" s="113"/>
      <c r="DD143" s="113"/>
      <c r="DE143" s="113"/>
      <c r="DF143" s="113"/>
      <c r="DG143" s="113"/>
      <c r="DH143" s="113"/>
      <c r="DI143" s="113"/>
      <c r="DJ143" s="113"/>
      <c r="DK143" s="113"/>
      <c r="DL143" s="113"/>
      <c r="DM143" s="113"/>
      <c r="DN143" s="113"/>
      <c r="DO143" s="113"/>
      <c r="DP143" s="113"/>
      <c r="DQ143" s="113"/>
      <c r="DR143" s="113"/>
      <c r="DS143" s="113"/>
      <c r="DT143" s="113"/>
      <c r="DU143" s="113"/>
      <c r="DV143" s="113"/>
      <c r="DW143" s="113"/>
      <c r="DX143" s="113"/>
      <c r="DY143" s="113"/>
      <c r="DZ143" s="113"/>
      <c r="EA143" s="113"/>
      <c r="EB143" s="113"/>
      <c r="EC143" s="113"/>
      <c r="ED143" s="113"/>
      <c r="EE143" s="113"/>
      <c r="EF143" s="113"/>
      <c r="EG143" s="113"/>
      <c r="EH143" s="113"/>
      <c r="EI143" s="113"/>
      <c r="EJ143" s="113"/>
      <c r="EK143" s="113"/>
      <c r="EL143" s="113"/>
      <c r="EM143" s="113"/>
      <c r="EN143" s="113"/>
      <c r="EO143" s="113"/>
      <c r="EP143" s="113"/>
      <c r="EQ143" s="113"/>
      <c r="ER143" s="113"/>
      <c r="ES143" s="113"/>
      <c r="ET143" s="113"/>
      <c r="EU143" s="113"/>
      <c r="EV143" s="113"/>
      <c r="EW143" s="113"/>
      <c r="EX143" s="113"/>
      <c r="EY143" s="113"/>
      <c r="EZ143" s="113"/>
      <c r="FA143" s="113"/>
      <c r="FB143" s="113"/>
      <c r="FC143" s="113"/>
      <c r="FD143" s="113"/>
      <c r="FE143" s="113"/>
      <c r="FF143" s="113"/>
      <c r="FG143" s="113"/>
      <c r="FH143" s="113"/>
      <c r="FI143" s="113"/>
      <c r="FJ143" s="113"/>
      <c r="FK143" s="113"/>
      <c r="FL143" s="113"/>
      <c r="FM143" s="113"/>
      <c r="FN143" s="113"/>
      <c r="FO143" s="113"/>
      <c r="FP143" s="113"/>
      <c r="FQ143" s="113"/>
      <c r="FR143" s="113"/>
      <c r="FS143" s="113"/>
      <c r="FT143" s="113"/>
      <c r="FU143" s="113"/>
      <c r="FV143" s="113"/>
      <c r="FW143" s="113"/>
      <c r="FX143" s="113"/>
      <c r="FY143" s="113"/>
      <c r="FZ143" s="113"/>
      <c r="GA143" s="113"/>
      <c r="GB143" s="113"/>
      <c r="GC143" s="113"/>
      <c r="GD143" s="113"/>
      <c r="GE143" s="113"/>
      <c r="GF143" s="113"/>
      <c r="GG143" s="113"/>
      <c r="GH143" s="113"/>
      <c r="GI143" s="113"/>
      <c r="GJ143" s="113"/>
      <c r="GK143" s="113"/>
      <c r="GL143" s="113"/>
      <c r="GM143" s="113"/>
      <c r="GN143" s="113"/>
      <c r="GO143" s="113"/>
      <c r="GP143" s="113"/>
      <c r="GQ143" s="113"/>
      <c r="GR143" s="113"/>
    </row>
    <row r="144" spans="2:200" x14ac:dyDescent="0.2">
      <c r="B144" s="116"/>
      <c r="C144" s="116"/>
      <c r="D144" s="115"/>
      <c r="E144" s="115"/>
      <c r="F144" s="115"/>
      <c r="G144" s="115"/>
      <c r="H144" s="115"/>
      <c r="I144" s="115"/>
      <c r="J144" s="115"/>
      <c r="K144" s="115"/>
      <c r="L144" s="115"/>
      <c r="M144" s="115"/>
      <c r="N144" s="115"/>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c r="CF144" s="113"/>
      <c r="CG144" s="113"/>
      <c r="CH144" s="113"/>
      <c r="CI144" s="113"/>
      <c r="CJ144" s="113"/>
      <c r="CK144" s="113"/>
      <c r="CL144" s="113"/>
      <c r="CM144" s="113"/>
      <c r="CN144" s="113"/>
      <c r="CO144" s="113"/>
      <c r="CP144" s="113"/>
      <c r="CQ144" s="113"/>
      <c r="CR144" s="113"/>
      <c r="CS144" s="113"/>
      <c r="CT144" s="113"/>
      <c r="CU144" s="113"/>
      <c r="CV144" s="113"/>
      <c r="CW144" s="113"/>
      <c r="CX144" s="113"/>
      <c r="CY144" s="113"/>
      <c r="CZ144" s="113"/>
      <c r="DA144" s="113"/>
      <c r="DB144" s="113"/>
      <c r="DC144" s="113"/>
      <c r="DD144" s="113"/>
      <c r="DE144" s="113"/>
      <c r="DF144" s="113"/>
      <c r="DG144" s="113"/>
      <c r="DH144" s="113"/>
      <c r="DI144" s="113"/>
      <c r="DJ144" s="113"/>
      <c r="DK144" s="113"/>
      <c r="DL144" s="113"/>
      <c r="DM144" s="113"/>
      <c r="DN144" s="113"/>
      <c r="DO144" s="113"/>
      <c r="DP144" s="113"/>
      <c r="DQ144" s="113"/>
      <c r="DR144" s="113"/>
      <c r="DS144" s="113"/>
      <c r="DT144" s="113"/>
      <c r="DU144" s="113"/>
      <c r="DV144" s="113"/>
      <c r="DW144" s="113"/>
      <c r="DX144" s="113"/>
      <c r="DY144" s="113"/>
      <c r="DZ144" s="113"/>
      <c r="EA144" s="113"/>
      <c r="EB144" s="113"/>
      <c r="EC144" s="113"/>
      <c r="ED144" s="113"/>
      <c r="EE144" s="113"/>
      <c r="EF144" s="113"/>
      <c r="EG144" s="113"/>
      <c r="EH144" s="113"/>
      <c r="EI144" s="113"/>
      <c r="EJ144" s="113"/>
      <c r="EK144" s="113"/>
      <c r="EL144" s="113"/>
      <c r="EM144" s="113"/>
      <c r="EN144" s="113"/>
      <c r="EO144" s="113"/>
      <c r="EP144" s="113"/>
      <c r="EQ144" s="113"/>
      <c r="ER144" s="113"/>
      <c r="ES144" s="113"/>
      <c r="ET144" s="113"/>
      <c r="EU144" s="113"/>
      <c r="EV144" s="113"/>
      <c r="EW144" s="113"/>
      <c r="EX144" s="113"/>
      <c r="EY144" s="113"/>
      <c r="EZ144" s="113"/>
      <c r="FA144" s="113"/>
      <c r="FB144" s="113"/>
      <c r="FC144" s="113"/>
      <c r="FD144" s="113"/>
      <c r="FE144" s="113"/>
      <c r="FF144" s="113"/>
      <c r="FG144" s="113"/>
      <c r="FH144" s="113"/>
      <c r="FI144" s="113"/>
      <c r="FJ144" s="113"/>
      <c r="FK144" s="113"/>
      <c r="FL144" s="113"/>
      <c r="FM144" s="113"/>
      <c r="FN144" s="113"/>
      <c r="FO144" s="113"/>
      <c r="FP144" s="113"/>
      <c r="FQ144" s="113"/>
      <c r="FR144" s="113"/>
      <c r="FS144" s="113"/>
      <c r="FT144" s="113"/>
      <c r="FU144" s="113"/>
      <c r="FV144" s="113"/>
      <c r="FW144" s="113"/>
      <c r="FX144" s="113"/>
      <c r="FY144" s="113"/>
      <c r="FZ144" s="113"/>
      <c r="GA144" s="113"/>
      <c r="GB144" s="113"/>
      <c r="GC144" s="113"/>
      <c r="GD144" s="113"/>
      <c r="GE144" s="113"/>
      <c r="GF144" s="113"/>
      <c r="GG144" s="113"/>
      <c r="GH144" s="113"/>
      <c r="GI144" s="113"/>
      <c r="GJ144" s="113"/>
      <c r="GK144" s="113"/>
      <c r="GL144" s="113"/>
      <c r="GM144" s="113"/>
      <c r="GN144" s="113"/>
      <c r="GO144" s="113"/>
      <c r="GP144" s="113"/>
      <c r="GQ144" s="113"/>
      <c r="GR144" s="113"/>
    </row>
    <row r="145" spans="2:200" x14ac:dyDescent="0.2">
      <c r="B145" s="116"/>
      <c r="C145" s="116"/>
      <c r="D145" s="115"/>
      <c r="E145" s="115"/>
      <c r="F145" s="115"/>
      <c r="G145" s="115"/>
      <c r="H145" s="115"/>
      <c r="I145" s="115"/>
      <c r="J145" s="115"/>
      <c r="K145" s="115"/>
      <c r="L145" s="115"/>
      <c r="M145" s="115"/>
      <c r="N145" s="115"/>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c r="CG145" s="113"/>
      <c r="CH145" s="113"/>
      <c r="CI145" s="113"/>
      <c r="CJ145" s="113"/>
      <c r="CK145" s="113"/>
      <c r="CL145" s="113"/>
      <c r="CM145" s="113"/>
      <c r="CN145" s="113"/>
      <c r="CO145" s="113"/>
      <c r="CP145" s="113"/>
      <c r="CQ145" s="113"/>
      <c r="CR145" s="113"/>
      <c r="CS145" s="113"/>
      <c r="CT145" s="113"/>
      <c r="CU145" s="113"/>
      <c r="CV145" s="113"/>
      <c r="CW145" s="113"/>
      <c r="CX145" s="113"/>
      <c r="CY145" s="113"/>
      <c r="CZ145" s="113"/>
      <c r="DA145" s="113"/>
      <c r="DB145" s="113"/>
      <c r="DC145" s="113"/>
      <c r="DD145" s="113"/>
      <c r="DE145" s="113"/>
      <c r="DF145" s="113"/>
      <c r="DG145" s="113"/>
      <c r="DH145" s="113"/>
      <c r="DI145" s="113"/>
      <c r="DJ145" s="113"/>
      <c r="DK145" s="113"/>
      <c r="DL145" s="113"/>
      <c r="DM145" s="113"/>
      <c r="DN145" s="113"/>
      <c r="DO145" s="113"/>
      <c r="DP145" s="113"/>
      <c r="DQ145" s="113"/>
      <c r="DR145" s="113"/>
      <c r="DS145" s="113"/>
      <c r="DT145" s="113"/>
      <c r="DU145" s="113"/>
      <c r="DV145" s="113"/>
      <c r="DW145" s="113"/>
      <c r="DX145" s="113"/>
      <c r="DY145" s="113"/>
      <c r="DZ145" s="113"/>
      <c r="EA145" s="113"/>
      <c r="EB145" s="113"/>
      <c r="EC145" s="113"/>
      <c r="ED145" s="113"/>
      <c r="EE145" s="113"/>
      <c r="EF145" s="113"/>
      <c r="EG145" s="113"/>
      <c r="EH145" s="113"/>
      <c r="EI145" s="113"/>
      <c r="EJ145" s="113"/>
      <c r="EK145" s="113"/>
      <c r="EL145" s="113"/>
      <c r="EM145" s="113"/>
      <c r="EN145" s="113"/>
      <c r="EO145" s="113"/>
      <c r="EP145" s="113"/>
      <c r="EQ145" s="113"/>
      <c r="ER145" s="113"/>
      <c r="ES145" s="113"/>
      <c r="ET145" s="113"/>
      <c r="EU145" s="113"/>
      <c r="EV145" s="113"/>
      <c r="EW145" s="113"/>
      <c r="EX145" s="113"/>
      <c r="EY145" s="113"/>
      <c r="EZ145" s="113"/>
      <c r="FA145" s="113"/>
      <c r="FB145" s="113"/>
      <c r="FC145" s="113"/>
      <c r="FD145" s="113"/>
      <c r="FE145" s="113"/>
      <c r="FF145" s="113"/>
      <c r="FG145" s="113"/>
      <c r="FH145" s="113"/>
      <c r="FI145" s="113"/>
      <c r="FJ145" s="113"/>
      <c r="FK145" s="113"/>
      <c r="FL145" s="113"/>
      <c r="FM145" s="113"/>
      <c r="FN145" s="113"/>
      <c r="FO145" s="113"/>
      <c r="FP145" s="113"/>
      <c r="FQ145" s="113"/>
      <c r="FR145" s="113"/>
      <c r="FS145" s="113"/>
      <c r="FT145" s="113"/>
      <c r="FU145" s="113"/>
      <c r="FV145" s="113"/>
      <c r="FW145" s="113"/>
      <c r="FX145" s="113"/>
      <c r="FY145" s="113"/>
      <c r="FZ145" s="113"/>
      <c r="GA145" s="113"/>
      <c r="GB145" s="113"/>
      <c r="GC145" s="113"/>
      <c r="GD145" s="113"/>
      <c r="GE145" s="113"/>
      <c r="GF145" s="113"/>
      <c r="GG145" s="113"/>
      <c r="GH145" s="113"/>
      <c r="GI145" s="113"/>
      <c r="GJ145" s="113"/>
      <c r="GK145" s="113"/>
      <c r="GL145" s="113"/>
      <c r="GM145" s="113"/>
      <c r="GN145" s="113"/>
      <c r="GO145" s="113"/>
      <c r="GP145" s="113"/>
      <c r="GQ145" s="113"/>
      <c r="GR145" s="113"/>
    </row>
    <row r="146" spans="2:200" x14ac:dyDescent="0.2">
      <c r="B146" s="116"/>
      <c r="C146" s="116"/>
      <c r="D146" s="115"/>
      <c r="E146" s="115"/>
      <c r="F146" s="115"/>
      <c r="G146" s="115"/>
      <c r="H146" s="115"/>
      <c r="I146" s="115"/>
      <c r="J146" s="115"/>
      <c r="K146" s="115"/>
      <c r="L146" s="115"/>
      <c r="M146" s="115"/>
      <c r="N146" s="115"/>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c r="CG146" s="113"/>
      <c r="CH146" s="113"/>
      <c r="CI146" s="113"/>
      <c r="CJ146" s="113"/>
      <c r="CK146" s="113"/>
      <c r="CL146" s="113"/>
      <c r="CM146" s="113"/>
      <c r="CN146" s="113"/>
      <c r="CO146" s="113"/>
      <c r="CP146" s="113"/>
      <c r="CQ146" s="113"/>
      <c r="CR146" s="113"/>
      <c r="CS146" s="113"/>
      <c r="CT146" s="113"/>
      <c r="CU146" s="113"/>
      <c r="CV146" s="113"/>
      <c r="CW146" s="113"/>
      <c r="CX146" s="113"/>
      <c r="CY146" s="113"/>
      <c r="CZ146" s="113"/>
      <c r="DA146" s="113"/>
      <c r="DB146" s="113"/>
      <c r="DC146" s="113"/>
      <c r="DD146" s="113"/>
      <c r="DE146" s="113"/>
      <c r="DF146" s="113"/>
      <c r="DG146" s="113"/>
      <c r="DH146" s="113"/>
      <c r="DI146" s="113"/>
      <c r="DJ146" s="113"/>
      <c r="DK146" s="113"/>
      <c r="DL146" s="113"/>
      <c r="DM146" s="113"/>
      <c r="DN146" s="113"/>
      <c r="DO146" s="113"/>
      <c r="DP146" s="113"/>
      <c r="DQ146" s="113"/>
      <c r="DR146" s="113"/>
      <c r="DS146" s="113"/>
      <c r="DT146" s="113"/>
      <c r="DU146" s="113"/>
      <c r="DV146" s="113"/>
      <c r="DW146" s="113"/>
      <c r="DX146" s="113"/>
      <c r="DY146" s="113"/>
      <c r="DZ146" s="113"/>
      <c r="EA146" s="113"/>
      <c r="EB146" s="113"/>
      <c r="EC146" s="113"/>
      <c r="ED146" s="113"/>
      <c r="EE146" s="113"/>
      <c r="EF146" s="113"/>
      <c r="EG146" s="113"/>
      <c r="EH146" s="113"/>
      <c r="EI146" s="113"/>
      <c r="EJ146" s="113"/>
      <c r="EK146" s="113"/>
      <c r="EL146" s="113"/>
      <c r="EM146" s="113"/>
      <c r="EN146" s="113"/>
      <c r="EO146" s="113"/>
      <c r="EP146" s="113"/>
      <c r="EQ146" s="113"/>
      <c r="ER146" s="113"/>
      <c r="ES146" s="113"/>
      <c r="ET146" s="113"/>
      <c r="EU146" s="113"/>
      <c r="EV146" s="113"/>
      <c r="EW146" s="113"/>
      <c r="EX146" s="113"/>
      <c r="EY146" s="113"/>
      <c r="EZ146" s="113"/>
      <c r="FA146" s="113"/>
      <c r="FB146" s="113"/>
      <c r="FC146" s="113"/>
      <c r="FD146" s="113"/>
      <c r="FE146" s="113"/>
      <c r="FF146" s="113"/>
      <c r="FG146" s="113"/>
      <c r="FH146" s="113"/>
      <c r="FI146" s="113"/>
      <c r="FJ146" s="113"/>
      <c r="FK146" s="113"/>
      <c r="FL146" s="113"/>
      <c r="FM146" s="113"/>
      <c r="FN146" s="113"/>
      <c r="FO146" s="113"/>
      <c r="FP146" s="113"/>
      <c r="FQ146" s="113"/>
      <c r="FR146" s="113"/>
      <c r="FS146" s="113"/>
      <c r="FT146" s="113"/>
      <c r="FU146" s="113"/>
      <c r="FV146" s="113"/>
      <c r="FW146" s="113"/>
      <c r="FX146" s="113"/>
      <c r="FY146" s="113"/>
      <c r="FZ146" s="113"/>
      <c r="GA146" s="113"/>
      <c r="GB146" s="113"/>
      <c r="GC146" s="113"/>
      <c r="GD146" s="113"/>
      <c r="GE146" s="113"/>
      <c r="GF146" s="113"/>
      <c r="GG146" s="113"/>
      <c r="GH146" s="113"/>
      <c r="GI146" s="113"/>
      <c r="GJ146" s="113"/>
      <c r="GK146" s="113"/>
      <c r="GL146" s="113"/>
      <c r="GM146" s="113"/>
      <c r="GN146" s="113"/>
      <c r="GO146" s="113"/>
      <c r="GP146" s="113"/>
      <c r="GQ146" s="113"/>
      <c r="GR146" s="113"/>
    </row>
    <row r="147" spans="2:200" x14ac:dyDescent="0.2">
      <c r="B147" s="116"/>
      <c r="C147" s="116"/>
      <c r="D147" s="115"/>
      <c r="E147" s="115"/>
      <c r="F147" s="115"/>
      <c r="G147" s="115"/>
      <c r="H147" s="115"/>
      <c r="I147" s="115"/>
      <c r="J147" s="115"/>
      <c r="K147" s="115"/>
      <c r="L147" s="115"/>
      <c r="M147" s="115"/>
      <c r="N147" s="115"/>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3"/>
      <c r="CI147" s="113"/>
      <c r="CJ147" s="113"/>
      <c r="CK147" s="113"/>
      <c r="CL147" s="113"/>
      <c r="CM147" s="113"/>
      <c r="CN147" s="113"/>
      <c r="CO147" s="113"/>
      <c r="CP147" s="113"/>
      <c r="CQ147" s="113"/>
      <c r="CR147" s="113"/>
      <c r="CS147" s="113"/>
      <c r="CT147" s="113"/>
      <c r="CU147" s="113"/>
      <c r="CV147" s="113"/>
      <c r="CW147" s="113"/>
      <c r="CX147" s="113"/>
      <c r="CY147" s="113"/>
      <c r="CZ147" s="113"/>
      <c r="DA147" s="113"/>
      <c r="DB147" s="113"/>
      <c r="DC147" s="113"/>
      <c r="DD147" s="113"/>
      <c r="DE147" s="113"/>
      <c r="DF147" s="113"/>
      <c r="DG147" s="113"/>
      <c r="DH147" s="113"/>
      <c r="DI147" s="113"/>
      <c r="DJ147" s="113"/>
      <c r="DK147" s="113"/>
      <c r="DL147" s="113"/>
      <c r="DM147" s="113"/>
      <c r="DN147" s="113"/>
      <c r="DO147" s="113"/>
      <c r="DP147" s="113"/>
      <c r="DQ147" s="113"/>
      <c r="DR147" s="113"/>
      <c r="DS147" s="113"/>
      <c r="DT147" s="113"/>
      <c r="DU147" s="113"/>
      <c r="DV147" s="113"/>
      <c r="DW147" s="113"/>
      <c r="DX147" s="113"/>
      <c r="DY147" s="113"/>
      <c r="DZ147" s="113"/>
      <c r="EA147" s="113"/>
      <c r="EB147" s="113"/>
      <c r="EC147" s="113"/>
      <c r="ED147" s="113"/>
      <c r="EE147" s="113"/>
      <c r="EF147" s="113"/>
      <c r="EG147" s="113"/>
      <c r="EH147" s="113"/>
      <c r="EI147" s="113"/>
      <c r="EJ147" s="113"/>
      <c r="EK147" s="113"/>
      <c r="EL147" s="113"/>
      <c r="EM147" s="113"/>
      <c r="EN147" s="113"/>
      <c r="EO147" s="113"/>
      <c r="EP147" s="113"/>
      <c r="EQ147" s="113"/>
      <c r="ER147" s="113"/>
      <c r="ES147" s="113"/>
      <c r="ET147" s="113"/>
      <c r="EU147" s="113"/>
      <c r="EV147" s="113"/>
      <c r="EW147" s="113"/>
      <c r="EX147" s="113"/>
      <c r="EY147" s="113"/>
      <c r="EZ147" s="113"/>
      <c r="FA147" s="113"/>
      <c r="FB147" s="113"/>
      <c r="FC147" s="113"/>
      <c r="FD147" s="113"/>
      <c r="FE147" s="113"/>
      <c r="FF147" s="113"/>
      <c r="FG147" s="113"/>
      <c r="FH147" s="113"/>
      <c r="FI147" s="113"/>
      <c r="FJ147" s="113"/>
      <c r="FK147" s="113"/>
      <c r="FL147" s="113"/>
      <c r="FM147" s="113"/>
      <c r="FN147" s="113"/>
      <c r="FO147" s="113"/>
      <c r="FP147" s="113"/>
      <c r="FQ147" s="113"/>
      <c r="FR147" s="113"/>
      <c r="FS147" s="113"/>
      <c r="FT147" s="113"/>
      <c r="FU147" s="113"/>
      <c r="FV147" s="113"/>
      <c r="FW147" s="113"/>
      <c r="FX147" s="113"/>
      <c r="FY147" s="113"/>
      <c r="FZ147" s="113"/>
      <c r="GA147" s="113"/>
      <c r="GB147" s="113"/>
      <c r="GC147" s="113"/>
      <c r="GD147" s="113"/>
      <c r="GE147" s="113"/>
      <c r="GF147" s="113"/>
      <c r="GG147" s="113"/>
      <c r="GH147" s="113"/>
      <c r="GI147" s="113"/>
      <c r="GJ147" s="113"/>
      <c r="GK147" s="113"/>
      <c r="GL147" s="113"/>
      <c r="GM147" s="113"/>
      <c r="GN147" s="113"/>
      <c r="GO147" s="113"/>
      <c r="GP147" s="113"/>
      <c r="GQ147" s="113"/>
      <c r="GR147" s="113"/>
    </row>
    <row r="148" spans="2:200" x14ac:dyDescent="0.2">
      <c r="B148" s="116"/>
      <c r="C148" s="116"/>
      <c r="D148" s="115"/>
      <c r="E148" s="115"/>
      <c r="F148" s="115"/>
      <c r="G148" s="115"/>
      <c r="H148" s="115"/>
      <c r="I148" s="115"/>
      <c r="J148" s="115"/>
      <c r="K148" s="115"/>
      <c r="L148" s="115"/>
      <c r="M148" s="115"/>
      <c r="N148" s="115"/>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113"/>
      <c r="CC148" s="113"/>
      <c r="CD148" s="113"/>
      <c r="CE148" s="113"/>
      <c r="CF148" s="113"/>
      <c r="CG148" s="113"/>
      <c r="CH148" s="113"/>
      <c r="CI148" s="113"/>
      <c r="CJ148" s="113"/>
      <c r="CK148" s="113"/>
      <c r="CL148" s="113"/>
      <c r="CM148" s="113"/>
      <c r="CN148" s="113"/>
      <c r="CO148" s="113"/>
      <c r="CP148" s="113"/>
      <c r="CQ148" s="113"/>
      <c r="CR148" s="113"/>
      <c r="CS148" s="113"/>
      <c r="CT148" s="113"/>
      <c r="CU148" s="113"/>
      <c r="CV148" s="113"/>
      <c r="CW148" s="113"/>
      <c r="CX148" s="113"/>
      <c r="CY148" s="113"/>
      <c r="CZ148" s="113"/>
      <c r="DA148" s="113"/>
      <c r="DB148" s="113"/>
      <c r="DC148" s="113"/>
      <c r="DD148" s="113"/>
      <c r="DE148" s="113"/>
      <c r="DF148" s="113"/>
      <c r="DG148" s="113"/>
      <c r="DH148" s="113"/>
      <c r="DI148" s="113"/>
      <c r="DJ148" s="113"/>
      <c r="DK148" s="113"/>
      <c r="DL148" s="113"/>
      <c r="DM148" s="113"/>
      <c r="DN148" s="113"/>
      <c r="DO148" s="113"/>
      <c r="DP148" s="113"/>
      <c r="DQ148" s="113"/>
      <c r="DR148" s="113"/>
      <c r="DS148" s="113"/>
      <c r="DT148" s="113"/>
      <c r="DU148" s="113"/>
      <c r="DV148" s="113"/>
      <c r="DW148" s="113"/>
      <c r="DX148" s="113"/>
      <c r="DY148" s="113"/>
      <c r="DZ148" s="113"/>
      <c r="EA148" s="113"/>
      <c r="EB148" s="113"/>
      <c r="EC148" s="113"/>
      <c r="ED148" s="113"/>
      <c r="EE148" s="113"/>
      <c r="EF148" s="113"/>
      <c r="EG148" s="113"/>
      <c r="EH148" s="113"/>
      <c r="EI148" s="113"/>
      <c r="EJ148" s="113"/>
      <c r="EK148" s="113"/>
      <c r="EL148" s="113"/>
      <c r="EM148" s="113"/>
      <c r="EN148" s="113"/>
      <c r="EO148" s="113"/>
      <c r="EP148" s="113"/>
      <c r="EQ148" s="113"/>
      <c r="ER148" s="113"/>
      <c r="ES148" s="113"/>
      <c r="ET148" s="113"/>
      <c r="EU148" s="113"/>
      <c r="EV148" s="113"/>
      <c r="EW148" s="113"/>
      <c r="EX148" s="113"/>
      <c r="EY148" s="113"/>
      <c r="EZ148" s="113"/>
      <c r="FA148" s="113"/>
      <c r="FB148" s="113"/>
      <c r="FC148" s="113"/>
      <c r="FD148" s="113"/>
      <c r="FE148" s="113"/>
      <c r="FF148" s="113"/>
      <c r="FG148" s="113"/>
      <c r="FH148" s="113"/>
      <c r="FI148" s="113"/>
      <c r="FJ148" s="113"/>
      <c r="FK148" s="113"/>
      <c r="FL148" s="113"/>
      <c r="FM148" s="113"/>
      <c r="FN148" s="113"/>
      <c r="FO148" s="113"/>
      <c r="FP148" s="113"/>
      <c r="FQ148" s="113"/>
      <c r="FR148" s="113"/>
      <c r="FS148" s="113"/>
      <c r="FT148" s="113"/>
      <c r="FU148" s="113"/>
      <c r="FV148" s="113"/>
      <c r="FW148" s="113"/>
      <c r="FX148" s="113"/>
      <c r="FY148" s="113"/>
      <c r="FZ148" s="113"/>
      <c r="GA148" s="113"/>
      <c r="GB148" s="113"/>
      <c r="GC148" s="113"/>
      <c r="GD148" s="113"/>
      <c r="GE148" s="113"/>
      <c r="GF148" s="113"/>
      <c r="GG148" s="113"/>
      <c r="GH148" s="113"/>
      <c r="GI148" s="113"/>
      <c r="GJ148" s="113"/>
      <c r="GK148" s="113"/>
      <c r="GL148" s="113"/>
      <c r="GM148" s="113"/>
      <c r="GN148" s="113"/>
      <c r="GO148" s="113"/>
      <c r="GP148" s="113"/>
      <c r="GQ148" s="113"/>
      <c r="GR148" s="113"/>
    </row>
    <row r="149" spans="2:200" x14ac:dyDescent="0.2">
      <c r="B149" s="116"/>
      <c r="C149" s="116"/>
      <c r="D149" s="115"/>
      <c r="E149" s="115"/>
      <c r="F149" s="115"/>
      <c r="G149" s="115"/>
      <c r="H149" s="115"/>
      <c r="I149" s="115"/>
      <c r="J149" s="115"/>
      <c r="K149" s="115"/>
      <c r="L149" s="115"/>
      <c r="M149" s="115"/>
      <c r="N149" s="115"/>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113"/>
      <c r="CC149" s="113"/>
      <c r="CD149" s="113"/>
      <c r="CE149" s="113"/>
      <c r="CF149" s="113"/>
      <c r="CG149" s="113"/>
      <c r="CH149" s="113"/>
      <c r="CI149" s="113"/>
      <c r="CJ149" s="113"/>
      <c r="CK149" s="113"/>
      <c r="CL149" s="113"/>
      <c r="CM149" s="113"/>
      <c r="CN149" s="113"/>
      <c r="CO149" s="113"/>
      <c r="CP149" s="113"/>
      <c r="CQ149" s="113"/>
      <c r="CR149" s="113"/>
      <c r="CS149" s="113"/>
      <c r="CT149" s="113"/>
      <c r="CU149" s="113"/>
      <c r="CV149" s="113"/>
      <c r="CW149" s="113"/>
      <c r="CX149" s="113"/>
      <c r="CY149" s="113"/>
      <c r="CZ149" s="113"/>
      <c r="DA149" s="113"/>
      <c r="DB149" s="113"/>
      <c r="DC149" s="113"/>
      <c r="DD149" s="113"/>
      <c r="DE149" s="113"/>
      <c r="DF149" s="113"/>
      <c r="DG149" s="113"/>
      <c r="DH149" s="113"/>
      <c r="DI149" s="113"/>
      <c r="DJ149" s="113"/>
      <c r="DK149" s="113"/>
      <c r="DL149" s="113"/>
      <c r="DM149" s="113"/>
      <c r="DN149" s="113"/>
      <c r="DO149" s="113"/>
      <c r="DP149" s="113"/>
      <c r="DQ149" s="113"/>
      <c r="DR149" s="113"/>
      <c r="DS149" s="113"/>
      <c r="DT149" s="113"/>
      <c r="DU149" s="113"/>
      <c r="DV149" s="113"/>
      <c r="DW149" s="113"/>
      <c r="DX149" s="113"/>
      <c r="DY149" s="113"/>
      <c r="DZ149" s="113"/>
      <c r="EA149" s="113"/>
      <c r="EB149" s="113"/>
      <c r="EC149" s="113"/>
      <c r="ED149" s="113"/>
      <c r="EE149" s="113"/>
      <c r="EF149" s="113"/>
      <c r="EG149" s="113"/>
      <c r="EH149" s="113"/>
      <c r="EI149" s="113"/>
      <c r="EJ149" s="113"/>
      <c r="EK149" s="113"/>
      <c r="EL149" s="113"/>
      <c r="EM149" s="113"/>
      <c r="EN149" s="113"/>
      <c r="EO149" s="113"/>
      <c r="EP149" s="113"/>
      <c r="EQ149" s="113"/>
      <c r="ER149" s="113"/>
      <c r="ES149" s="113"/>
      <c r="ET149" s="113"/>
      <c r="EU149" s="113"/>
      <c r="EV149" s="113"/>
      <c r="EW149" s="113"/>
      <c r="EX149" s="113"/>
      <c r="EY149" s="113"/>
      <c r="EZ149" s="113"/>
      <c r="FA149" s="113"/>
      <c r="FB149" s="113"/>
      <c r="FC149" s="113"/>
      <c r="FD149" s="113"/>
      <c r="FE149" s="113"/>
      <c r="FF149" s="113"/>
      <c r="FG149" s="113"/>
      <c r="FH149" s="113"/>
      <c r="FI149" s="113"/>
      <c r="FJ149" s="113"/>
      <c r="FK149" s="113"/>
      <c r="FL149" s="113"/>
      <c r="FM149" s="113"/>
      <c r="FN149" s="113"/>
      <c r="FO149" s="113"/>
      <c r="FP149" s="113"/>
      <c r="FQ149" s="113"/>
      <c r="FR149" s="113"/>
      <c r="FS149" s="113"/>
      <c r="FT149" s="113"/>
      <c r="FU149" s="113"/>
      <c r="FV149" s="113"/>
      <c r="FW149" s="113"/>
      <c r="FX149" s="113"/>
      <c r="FY149" s="113"/>
      <c r="FZ149" s="113"/>
      <c r="GA149" s="113"/>
      <c r="GB149" s="113"/>
      <c r="GC149" s="113"/>
      <c r="GD149" s="113"/>
      <c r="GE149" s="113"/>
      <c r="GF149" s="113"/>
      <c r="GG149" s="113"/>
      <c r="GH149" s="113"/>
      <c r="GI149" s="113"/>
      <c r="GJ149" s="113"/>
      <c r="GK149" s="113"/>
      <c r="GL149" s="113"/>
      <c r="GM149" s="113"/>
      <c r="GN149" s="113"/>
      <c r="GO149" s="113"/>
      <c r="GP149" s="113"/>
      <c r="GQ149" s="113"/>
      <c r="GR149" s="113"/>
    </row>
    <row r="150" spans="2:200" x14ac:dyDescent="0.2">
      <c r="B150" s="116"/>
      <c r="C150" s="116"/>
      <c r="D150" s="115"/>
      <c r="E150" s="115"/>
      <c r="F150" s="115"/>
      <c r="G150" s="115"/>
      <c r="H150" s="115"/>
      <c r="I150" s="115"/>
      <c r="J150" s="115"/>
      <c r="K150" s="115"/>
      <c r="L150" s="115"/>
      <c r="M150" s="115"/>
      <c r="N150" s="115"/>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113"/>
      <c r="CC150" s="113"/>
      <c r="CD150" s="113"/>
      <c r="CE150" s="113"/>
      <c r="CF150" s="113"/>
      <c r="CG150" s="113"/>
      <c r="CH150" s="113"/>
      <c r="CI150" s="113"/>
      <c r="CJ150" s="113"/>
      <c r="CK150" s="113"/>
      <c r="CL150" s="113"/>
      <c r="CM150" s="113"/>
      <c r="CN150" s="113"/>
      <c r="CO150" s="113"/>
      <c r="CP150" s="113"/>
      <c r="CQ150" s="113"/>
      <c r="CR150" s="113"/>
      <c r="CS150" s="113"/>
      <c r="CT150" s="113"/>
      <c r="CU150" s="113"/>
      <c r="CV150" s="113"/>
      <c r="CW150" s="113"/>
      <c r="CX150" s="113"/>
      <c r="CY150" s="113"/>
      <c r="CZ150" s="113"/>
      <c r="DA150" s="113"/>
      <c r="DB150" s="113"/>
      <c r="DC150" s="113"/>
      <c r="DD150" s="113"/>
      <c r="DE150" s="113"/>
      <c r="DF150" s="113"/>
      <c r="DG150" s="113"/>
      <c r="DH150" s="113"/>
      <c r="DI150" s="113"/>
      <c r="DJ150" s="113"/>
      <c r="DK150" s="113"/>
      <c r="DL150" s="113"/>
      <c r="DM150" s="113"/>
      <c r="DN150" s="113"/>
      <c r="DO150" s="113"/>
      <c r="DP150" s="113"/>
      <c r="DQ150" s="113"/>
      <c r="DR150" s="113"/>
      <c r="DS150" s="113"/>
      <c r="DT150" s="113"/>
      <c r="DU150" s="113"/>
      <c r="DV150" s="113"/>
      <c r="DW150" s="113"/>
      <c r="DX150" s="113"/>
      <c r="DY150" s="113"/>
      <c r="DZ150" s="113"/>
      <c r="EA150" s="113"/>
      <c r="EB150" s="113"/>
      <c r="EC150" s="113"/>
      <c r="ED150" s="113"/>
      <c r="EE150" s="113"/>
      <c r="EF150" s="113"/>
      <c r="EG150" s="113"/>
      <c r="EH150" s="113"/>
      <c r="EI150" s="113"/>
      <c r="EJ150" s="113"/>
      <c r="EK150" s="113"/>
      <c r="EL150" s="113"/>
      <c r="EM150" s="113"/>
      <c r="EN150" s="113"/>
      <c r="EO150" s="113"/>
      <c r="EP150" s="113"/>
      <c r="EQ150" s="113"/>
      <c r="ER150" s="113"/>
      <c r="ES150" s="113"/>
      <c r="ET150" s="113"/>
      <c r="EU150" s="113"/>
      <c r="EV150" s="113"/>
      <c r="EW150" s="113"/>
      <c r="EX150" s="113"/>
      <c r="EY150" s="113"/>
      <c r="EZ150" s="113"/>
      <c r="FA150" s="113"/>
      <c r="FB150" s="113"/>
      <c r="FC150" s="113"/>
      <c r="FD150" s="113"/>
      <c r="FE150" s="113"/>
      <c r="FF150" s="113"/>
      <c r="FG150" s="113"/>
      <c r="FH150" s="113"/>
      <c r="FI150" s="113"/>
      <c r="FJ150" s="113"/>
      <c r="FK150" s="113"/>
      <c r="FL150" s="113"/>
      <c r="FM150" s="113"/>
      <c r="FN150" s="113"/>
      <c r="FO150" s="113"/>
      <c r="FP150" s="113"/>
      <c r="FQ150" s="113"/>
      <c r="FR150" s="113"/>
      <c r="FS150" s="113"/>
      <c r="FT150" s="113"/>
      <c r="FU150" s="113"/>
      <c r="FV150" s="113"/>
      <c r="FW150" s="113"/>
      <c r="FX150" s="113"/>
      <c r="FY150" s="113"/>
      <c r="FZ150" s="113"/>
      <c r="GA150" s="113"/>
      <c r="GB150" s="113"/>
      <c r="GC150" s="113"/>
      <c r="GD150" s="113"/>
      <c r="GE150" s="113"/>
      <c r="GF150" s="113"/>
      <c r="GG150" s="113"/>
      <c r="GH150" s="113"/>
      <c r="GI150" s="113"/>
      <c r="GJ150" s="113"/>
      <c r="GK150" s="113"/>
      <c r="GL150" s="113"/>
      <c r="GM150" s="113"/>
      <c r="GN150" s="113"/>
      <c r="GO150" s="113"/>
      <c r="GP150" s="113"/>
      <c r="GQ150" s="113"/>
      <c r="GR150" s="113"/>
    </row>
    <row r="151" spans="2:200" x14ac:dyDescent="0.2">
      <c r="B151" s="116"/>
      <c r="C151" s="116"/>
      <c r="D151" s="115"/>
      <c r="E151" s="115"/>
      <c r="F151" s="115"/>
      <c r="G151" s="115"/>
      <c r="H151" s="115"/>
      <c r="I151" s="115"/>
      <c r="J151" s="115"/>
      <c r="K151" s="115"/>
      <c r="L151" s="115"/>
      <c r="M151" s="115"/>
      <c r="N151" s="115"/>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3"/>
      <c r="CF151" s="113"/>
      <c r="CG151" s="113"/>
      <c r="CH151" s="113"/>
      <c r="CI151" s="113"/>
      <c r="CJ151" s="113"/>
      <c r="CK151" s="113"/>
      <c r="CL151" s="113"/>
      <c r="CM151" s="113"/>
      <c r="CN151" s="113"/>
      <c r="CO151" s="113"/>
      <c r="CP151" s="113"/>
      <c r="CQ151" s="113"/>
      <c r="CR151" s="113"/>
      <c r="CS151" s="113"/>
      <c r="CT151" s="113"/>
      <c r="CU151" s="113"/>
      <c r="CV151" s="113"/>
      <c r="CW151" s="113"/>
      <c r="CX151" s="113"/>
      <c r="CY151" s="113"/>
      <c r="CZ151" s="113"/>
      <c r="DA151" s="113"/>
      <c r="DB151" s="113"/>
      <c r="DC151" s="113"/>
      <c r="DD151" s="113"/>
      <c r="DE151" s="113"/>
      <c r="DF151" s="113"/>
      <c r="DG151" s="113"/>
      <c r="DH151" s="113"/>
      <c r="DI151" s="113"/>
      <c r="DJ151" s="113"/>
      <c r="DK151" s="113"/>
      <c r="DL151" s="113"/>
      <c r="DM151" s="113"/>
      <c r="DN151" s="113"/>
      <c r="DO151" s="113"/>
      <c r="DP151" s="113"/>
      <c r="DQ151" s="113"/>
      <c r="DR151" s="113"/>
      <c r="DS151" s="113"/>
      <c r="DT151" s="113"/>
      <c r="DU151" s="113"/>
      <c r="DV151" s="113"/>
      <c r="DW151" s="113"/>
      <c r="DX151" s="113"/>
      <c r="DY151" s="113"/>
      <c r="DZ151" s="113"/>
      <c r="EA151" s="113"/>
      <c r="EB151" s="113"/>
      <c r="EC151" s="113"/>
      <c r="ED151" s="113"/>
      <c r="EE151" s="113"/>
      <c r="EF151" s="113"/>
      <c r="EG151" s="113"/>
      <c r="EH151" s="113"/>
      <c r="EI151" s="113"/>
      <c r="EJ151" s="113"/>
      <c r="EK151" s="113"/>
      <c r="EL151" s="113"/>
      <c r="EM151" s="113"/>
      <c r="EN151" s="113"/>
      <c r="EO151" s="113"/>
      <c r="EP151" s="113"/>
      <c r="EQ151" s="113"/>
      <c r="ER151" s="113"/>
      <c r="ES151" s="113"/>
      <c r="ET151" s="113"/>
      <c r="EU151" s="113"/>
      <c r="EV151" s="113"/>
      <c r="EW151" s="113"/>
      <c r="EX151" s="113"/>
      <c r="EY151" s="113"/>
      <c r="EZ151" s="113"/>
      <c r="FA151" s="113"/>
      <c r="FB151" s="113"/>
      <c r="FC151" s="113"/>
      <c r="FD151" s="113"/>
      <c r="FE151" s="113"/>
      <c r="FF151" s="113"/>
      <c r="FG151" s="113"/>
      <c r="FH151" s="113"/>
      <c r="FI151" s="113"/>
      <c r="FJ151" s="113"/>
      <c r="FK151" s="113"/>
      <c r="FL151" s="113"/>
      <c r="FM151" s="113"/>
      <c r="FN151" s="113"/>
      <c r="FO151" s="113"/>
      <c r="FP151" s="113"/>
      <c r="FQ151" s="113"/>
      <c r="FR151" s="113"/>
      <c r="FS151" s="113"/>
      <c r="FT151" s="113"/>
      <c r="FU151" s="113"/>
      <c r="FV151" s="113"/>
      <c r="FW151" s="113"/>
      <c r="FX151" s="113"/>
      <c r="FY151" s="113"/>
      <c r="FZ151" s="113"/>
      <c r="GA151" s="113"/>
      <c r="GB151" s="113"/>
      <c r="GC151" s="113"/>
      <c r="GD151" s="113"/>
      <c r="GE151" s="113"/>
      <c r="GF151" s="113"/>
      <c r="GG151" s="113"/>
      <c r="GH151" s="113"/>
      <c r="GI151" s="113"/>
      <c r="GJ151" s="113"/>
      <c r="GK151" s="113"/>
      <c r="GL151" s="113"/>
      <c r="GM151" s="113"/>
      <c r="GN151" s="113"/>
      <c r="GO151" s="113"/>
      <c r="GP151" s="113"/>
      <c r="GQ151" s="113"/>
      <c r="GR151" s="113"/>
    </row>
  </sheetData>
  <mergeCells count="15">
    <mergeCell ref="A1:G1"/>
    <mergeCell ref="A2:G2"/>
    <mergeCell ref="I8:K8"/>
    <mergeCell ref="I1:L1"/>
    <mergeCell ref="J11:L11"/>
    <mergeCell ref="C5:D5"/>
    <mergeCell ref="C6:D6"/>
    <mergeCell ref="C7:D7"/>
    <mergeCell ref="C68:D68"/>
    <mergeCell ref="J12:L12"/>
    <mergeCell ref="J10:L10"/>
    <mergeCell ref="C9:D9"/>
    <mergeCell ref="C10:D10"/>
    <mergeCell ref="C11:D11"/>
    <mergeCell ref="C12:D12"/>
  </mergeCells>
  <printOptions horizontalCentered="1"/>
  <pageMargins left="0.25" right="0.25" top="0.75" bottom="0.75" header="0.3" footer="0.3"/>
  <pageSetup scale="52" orientation="landscape" r:id="rId1"/>
  <headerFooter alignWithMargins="0">
    <oddFooter>&amp;L&amp;"Arial,Regular"&amp;8&amp;F&amp;C&amp;A&amp;R&amp;"Arial,Regular"Advice No. 18-xxxx
Page &amp;P of &amp;N</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AC37"/>
  <sheetViews>
    <sheetView workbookViewId="0">
      <selection activeCell="X42" sqref="X42"/>
    </sheetView>
  </sheetViews>
  <sheetFormatPr defaultRowHeight="11.25" x14ac:dyDescent="0.2"/>
  <cols>
    <col min="1" max="1" width="0.5703125" style="21" customWidth="1"/>
    <col min="2" max="2" width="9" style="21" customWidth="1"/>
    <col min="3" max="3" width="0.5703125" style="21" customWidth="1"/>
    <col min="4" max="4" width="41.5703125" style="21" bestFit="1" customWidth="1"/>
    <col min="5" max="5" width="0.5703125" style="21" customWidth="1"/>
    <col min="6" max="6" width="11.42578125" style="21" customWidth="1"/>
    <col min="7" max="7" width="0.5703125" style="21" customWidth="1"/>
    <col min="8" max="8" width="9.140625" style="21"/>
    <col min="9" max="9" width="0.5703125" style="21" customWidth="1"/>
    <col min="10" max="10" width="9.140625" style="21"/>
    <col min="11" max="11" width="0.5703125" style="21" customWidth="1"/>
    <col min="12" max="12" width="18.7109375" style="21" bestFit="1" customWidth="1"/>
    <col min="13" max="13" width="0.5703125" style="21" customWidth="1"/>
    <col min="14" max="14" width="14.5703125" style="21" bestFit="1" customWidth="1"/>
    <col min="15" max="15" width="0.5703125" style="21" customWidth="1"/>
    <col min="16" max="16" width="12" style="21" bestFit="1" customWidth="1"/>
    <col min="17" max="17" width="0.5703125" style="21" customWidth="1"/>
    <col min="18" max="18" width="11" style="21" bestFit="1" customWidth="1"/>
    <col min="19" max="19" width="0.5703125" style="21" customWidth="1"/>
    <col min="20" max="20" width="8.85546875" style="21" bestFit="1" customWidth="1"/>
    <col min="21" max="21" width="0.5703125" style="21" customWidth="1"/>
    <col min="22" max="22" width="16.5703125" style="21" customWidth="1"/>
    <col min="23" max="23" width="0.5703125" style="21" customWidth="1"/>
    <col min="24" max="24" width="9.140625" style="21"/>
    <col min="25" max="25" width="1.140625" style="21" customWidth="1"/>
    <col min="26" max="26" width="19.7109375" style="21" bestFit="1" customWidth="1"/>
    <col min="27" max="16384" width="9.140625" style="21"/>
  </cols>
  <sheetData>
    <row r="1" spans="2:29" ht="12" thickBot="1" x14ac:dyDescent="0.25"/>
    <row r="2" spans="2:29" ht="13.5" customHeight="1" x14ac:dyDescent="0.25">
      <c r="B2" s="286" t="s">
        <v>68</v>
      </c>
      <c r="C2" s="287"/>
      <c r="D2" s="287"/>
      <c r="E2" s="287"/>
      <c r="F2" s="287"/>
      <c r="G2" s="287"/>
      <c r="H2" s="287"/>
      <c r="I2" s="287"/>
      <c r="J2" s="287"/>
      <c r="K2" s="287"/>
      <c r="L2" s="287"/>
      <c r="M2" s="287"/>
      <c r="N2" s="287"/>
      <c r="O2" s="287"/>
      <c r="P2" s="287"/>
      <c r="Q2" s="287"/>
      <c r="R2" s="287"/>
      <c r="S2" s="287"/>
      <c r="T2" s="287"/>
      <c r="U2" s="287"/>
      <c r="V2" s="287"/>
      <c r="W2" s="287"/>
      <c r="X2" s="288"/>
    </row>
    <row r="3" spans="2:29" ht="13.5" customHeight="1" x14ac:dyDescent="0.25">
      <c r="B3" s="283" t="s">
        <v>142</v>
      </c>
      <c r="C3" s="284"/>
      <c r="D3" s="284"/>
      <c r="E3" s="284"/>
      <c r="F3" s="284"/>
      <c r="G3" s="284"/>
      <c r="H3" s="284"/>
      <c r="I3" s="284"/>
      <c r="J3" s="284"/>
      <c r="K3" s="284"/>
      <c r="L3" s="284"/>
      <c r="M3" s="284"/>
      <c r="N3" s="284"/>
      <c r="O3" s="284"/>
      <c r="P3" s="284"/>
      <c r="Q3" s="284"/>
      <c r="R3" s="284"/>
      <c r="S3" s="284"/>
      <c r="T3" s="284"/>
      <c r="U3" s="284"/>
      <c r="V3" s="284"/>
      <c r="W3" s="284"/>
      <c r="X3" s="285"/>
    </row>
    <row r="4" spans="2:29" ht="13.5" customHeight="1" x14ac:dyDescent="0.25">
      <c r="B4" s="283" t="s">
        <v>143</v>
      </c>
      <c r="C4" s="284"/>
      <c r="D4" s="284"/>
      <c r="E4" s="284"/>
      <c r="F4" s="284"/>
      <c r="G4" s="284"/>
      <c r="H4" s="284"/>
      <c r="I4" s="284"/>
      <c r="J4" s="284"/>
      <c r="K4" s="284"/>
      <c r="L4" s="284"/>
      <c r="M4" s="284"/>
      <c r="N4" s="284"/>
      <c r="O4" s="284"/>
      <c r="P4" s="284"/>
      <c r="Q4" s="284"/>
      <c r="R4" s="284"/>
      <c r="S4" s="284"/>
      <c r="T4" s="284"/>
      <c r="U4" s="284"/>
      <c r="V4" s="284"/>
      <c r="W4" s="284"/>
      <c r="X4" s="285"/>
    </row>
    <row r="5" spans="2:29" ht="13.5" customHeight="1" x14ac:dyDescent="0.25">
      <c r="B5" s="283" t="s">
        <v>69</v>
      </c>
      <c r="C5" s="284"/>
      <c r="D5" s="284"/>
      <c r="E5" s="284"/>
      <c r="F5" s="284"/>
      <c r="G5" s="284"/>
      <c r="H5" s="284"/>
      <c r="I5" s="284"/>
      <c r="J5" s="284"/>
      <c r="K5" s="284"/>
      <c r="L5" s="284"/>
      <c r="M5" s="284"/>
      <c r="N5" s="284"/>
      <c r="O5" s="284"/>
      <c r="P5" s="284"/>
      <c r="Q5" s="284"/>
      <c r="R5" s="284"/>
      <c r="S5" s="284"/>
      <c r="T5" s="284"/>
      <c r="U5" s="284"/>
      <c r="V5" s="284"/>
      <c r="W5" s="284"/>
      <c r="X5" s="285"/>
    </row>
    <row r="6" spans="2:29" ht="13.5" customHeight="1" x14ac:dyDescent="0.25">
      <c r="B6" s="283" t="s">
        <v>134</v>
      </c>
      <c r="C6" s="284"/>
      <c r="D6" s="284"/>
      <c r="E6" s="284"/>
      <c r="F6" s="284"/>
      <c r="G6" s="284"/>
      <c r="H6" s="284"/>
      <c r="I6" s="284"/>
      <c r="J6" s="284"/>
      <c r="K6" s="284"/>
      <c r="L6" s="284"/>
      <c r="M6" s="284"/>
      <c r="N6" s="284"/>
      <c r="O6" s="284"/>
      <c r="P6" s="284"/>
      <c r="Q6" s="284"/>
      <c r="R6" s="284"/>
      <c r="S6" s="284"/>
      <c r="T6" s="284"/>
      <c r="U6" s="284"/>
      <c r="V6" s="284"/>
      <c r="W6" s="284"/>
      <c r="X6" s="285"/>
    </row>
    <row r="7" spans="2:29" ht="13.5" customHeight="1" x14ac:dyDescent="0.25">
      <c r="B7" s="283" t="s">
        <v>144</v>
      </c>
      <c r="C7" s="284"/>
      <c r="D7" s="284"/>
      <c r="E7" s="284"/>
      <c r="F7" s="284"/>
      <c r="G7" s="284"/>
      <c r="H7" s="284"/>
      <c r="I7" s="284"/>
      <c r="J7" s="284"/>
      <c r="K7" s="284"/>
      <c r="L7" s="284"/>
      <c r="M7" s="284"/>
      <c r="N7" s="284"/>
      <c r="O7" s="284"/>
      <c r="P7" s="284"/>
      <c r="Q7" s="284"/>
      <c r="R7" s="284"/>
      <c r="S7" s="284"/>
      <c r="T7" s="284"/>
      <c r="U7" s="284"/>
      <c r="V7" s="284" t="s">
        <v>70</v>
      </c>
      <c r="W7" s="284"/>
      <c r="X7" s="285"/>
    </row>
    <row r="8" spans="2:29" x14ac:dyDescent="0.2">
      <c r="B8" s="25"/>
      <c r="C8" s="26"/>
      <c r="D8" s="26"/>
      <c r="E8" s="26"/>
      <c r="F8" s="27"/>
      <c r="G8" s="26"/>
      <c r="H8" s="26"/>
      <c r="I8" s="26"/>
      <c r="J8" s="28"/>
      <c r="K8" s="26"/>
      <c r="L8" s="26"/>
      <c r="M8" s="26"/>
      <c r="N8" s="29"/>
      <c r="O8" s="29"/>
      <c r="P8" s="29"/>
      <c r="Q8" s="29"/>
      <c r="R8" s="30"/>
      <c r="S8" s="19"/>
      <c r="T8" s="19"/>
      <c r="U8" s="19"/>
      <c r="V8" s="22" t="s">
        <v>135</v>
      </c>
      <c r="W8" s="23"/>
      <c r="X8" s="24"/>
    </row>
    <row r="9" spans="2:29" x14ac:dyDescent="0.2">
      <c r="B9" s="31"/>
      <c r="C9" s="18"/>
      <c r="D9" s="32"/>
      <c r="E9" s="7"/>
      <c r="F9" s="7" t="s">
        <v>71</v>
      </c>
      <c r="G9" s="7"/>
      <c r="H9" s="7"/>
      <c r="I9" s="7"/>
      <c r="J9" s="16" t="s">
        <v>72</v>
      </c>
      <c r="K9" s="7"/>
      <c r="L9" s="7" t="s">
        <v>73</v>
      </c>
      <c r="M9" s="7"/>
      <c r="N9" s="15" t="s">
        <v>74</v>
      </c>
      <c r="O9" s="15"/>
      <c r="P9" s="15"/>
      <c r="Q9" s="15"/>
      <c r="R9" s="33" t="s">
        <v>75</v>
      </c>
      <c r="S9" s="34"/>
      <c r="T9" s="34"/>
      <c r="U9" s="35"/>
      <c r="V9" s="22" t="s">
        <v>76</v>
      </c>
      <c r="W9" s="22"/>
      <c r="X9" s="36" t="s">
        <v>77</v>
      </c>
    </row>
    <row r="10" spans="2:29" x14ac:dyDescent="0.2">
      <c r="B10" s="31"/>
      <c r="C10" s="18"/>
      <c r="D10" s="7"/>
      <c r="E10" s="7"/>
      <c r="F10" s="7" t="s">
        <v>78</v>
      </c>
      <c r="G10" s="7"/>
      <c r="H10" s="7" t="s">
        <v>79</v>
      </c>
      <c r="I10" s="7"/>
      <c r="J10" s="16" t="s">
        <v>80</v>
      </c>
      <c r="K10" s="7"/>
      <c r="L10" s="7" t="s">
        <v>81</v>
      </c>
      <c r="M10" s="7"/>
      <c r="N10" s="15" t="s">
        <v>82</v>
      </c>
      <c r="O10" s="15"/>
      <c r="P10" s="15" t="s">
        <v>83</v>
      </c>
      <c r="Q10" s="15"/>
      <c r="R10" s="8" t="s">
        <v>84</v>
      </c>
      <c r="S10" s="9"/>
      <c r="T10" s="10" t="s">
        <v>85</v>
      </c>
      <c r="U10" s="35"/>
      <c r="V10" s="22" t="s">
        <v>80</v>
      </c>
      <c r="W10" s="22"/>
      <c r="X10" s="36" t="s">
        <v>86</v>
      </c>
      <c r="AA10" s="56"/>
      <c r="AB10" s="56" t="s">
        <v>125</v>
      </c>
    </row>
    <row r="11" spans="2:29" ht="12" thickBot="1" x14ac:dyDescent="0.25">
      <c r="B11" s="31"/>
      <c r="C11" s="18"/>
      <c r="D11" s="7" t="s">
        <v>87</v>
      </c>
      <c r="E11" s="7"/>
      <c r="F11" s="11" t="s">
        <v>88</v>
      </c>
      <c r="G11" s="7"/>
      <c r="H11" s="7" t="s">
        <v>89</v>
      </c>
      <c r="I11" s="7"/>
      <c r="J11" s="16" t="s">
        <v>90</v>
      </c>
      <c r="K11" s="7"/>
      <c r="L11" s="156" t="s">
        <v>91</v>
      </c>
      <c r="M11" s="7"/>
      <c r="N11" s="15" t="s">
        <v>92</v>
      </c>
      <c r="O11" s="15"/>
      <c r="P11" s="15" t="s">
        <v>93</v>
      </c>
      <c r="Q11" s="15"/>
      <c r="R11" s="15" t="s">
        <v>94</v>
      </c>
      <c r="S11" s="7"/>
      <c r="T11" s="32" t="s">
        <v>95</v>
      </c>
      <c r="U11" s="35"/>
      <c r="V11" s="12" t="s">
        <v>95</v>
      </c>
      <c r="W11" s="22"/>
      <c r="X11" s="37" t="s">
        <v>95</v>
      </c>
      <c r="AA11" s="56" t="s">
        <v>124</v>
      </c>
      <c r="AB11" s="56" t="s">
        <v>126</v>
      </c>
    </row>
    <row r="12" spans="2:29" x14ac:dyDescent="0.2">
      <c r="B12" s="31"/>
      <c r="C12" s="18"/>
      <c r="D12" s="8">
        <v>-1</v>
      </c>
      <c r="E12" s="17"/>
      <c r="F12" s="8">
        <v>-2</v>
      </c>
      <c r="G12" s="17"/>
      <c r="H12" s="13">
        <v>-3</v>
      </c>
      <c r="I12" s="17"/>
      <c r="J12" s="8">
        <v>-4</v>
      </c>
      <c r="K12" s="17"/>
      <c r="L12" s="8">
        <v>-5</v>
      </c>
      <c r="M12" s="15"/>
      <c r="N12" s="8">
        <v>-6</v>
      </c>
      <c r="O12" s="15"/>
      <c r="P12" s="8">
        <v>-7</v>
      </c>
      <c r="Q12" s="30"/>
      <c r="R12" s="8">
        <v>-8</v>
      </c>
      <c r="S12" s="17"/>
      <c r="T12" s="14" t="s">
        <v>96</v>
      </c>
      <c r="U12" s="19"/>
      <c r="V12" s="8">
        <v>-10</v>
      </c>
      <c r="W12" s="23"/>
      <c r="X12" s="38">
        <v>-11</v>
      </c>
      <c r="Z12" s="39" t="s">
        <v>60</v>
      </c>
      <c r="AA12" s="182">
        <f>T18/100</f>
        <v>2.0400000000000001E-2</v>
      </c>
      <c r="AB12" s="59">
        <f>ROUND(1/AA12,0)</f>
        <v>49</v>
      </c>
      <c r="AC12" s="40" t="s">
        <v>66</v>
      </c>
    </row>
    <row r="13" spans="2:29" x14ac:dyDescent="0.2">
      <c r="B13" s="31"/>
      <c r="C13" s="18"/>
      <c r="D13" s="43" t="s">
        <v>97</v>
      </c>
      <c r="E13" s="17"/>
      <c r="F13" s="15"/>
      <c r="G13" s="17"/>
      <c r="H13" s="16"/>
      <c r="I13" s="17"/>
      <c r="J13" s="15"/>
      <c r="K13" s="17"/>
      <c r="L13" s="15"/>
      <c r="M13" s="15"/>
      <c r="N13" s="15"/>
      <c r="O13" s="15"/>
      <c r="P13" s="15"/>
      <c r="Q13" s="30"/>
      <c r="R13" s="15"/>
      <c r="S13" s="17"/>
      <c r="T13" s="17"/>
      <c r="U13" s="19"/>
      <c r="V13" s="23"/>
      <c r="W13" s="23"/>
      <c r="X13" s="24"/>
      <c r="Z13" s="31"/>
      <c r="AA13" s="58"/>
      <c r="AB13" s="57"/>
      <c r="AC13" s="42"/>
    </row>
    <row r="14" spans="2:29" x14ac:dyDescent="0.2">
      <c r="B14" s="31"/>
      <c r="C14" s="19"/>
      <c r="D14" s="43"/>
      <c r="E14" s="19"/>
      <c r="F14" s="44"/>
      <c r="G14" s="19"/>
      <c r="H14" s="19"/>
      <c r="I14" s="19"/>
      <c r="J14" s="45"/>
      <c r="K14" s="19"/>
      <c r="L14" s="19"/>
      <c r="M14" s="19"/>
      <c r="N14" s="46"/>
      <c r="O14" s="46"/>
      <c r="P14" s="46"/>
      <c r="Q14" s="46"/>
      <c r="R14" s="46"/>
      <c r="S14" s="19"/>
      <c r="T14" s="19"/>
      <c r="U14" s="19"/>
      <c r="V14" s="23"/>
      <c r="W14" s="23"/>
      <c r="X14" s="24"/>
      <c r="Z14" s="47" t="s">
        <v>61</v>
      </c>
      <c r="AA14" s="183">
        <f>T20/100</f>
        <v>3.1400000000000004E-2</v>
      </c>
      <c r="AB14" s="57">
        <f t="shared" ref="AB14:AB17" si="0">ROUND(1/AA14,0)</f>
        <v>32</v>
      </c>
      <c r="AC14" s="42" t="s">
        <v>66</v>
      </c>
    </row>
    <row r="15" spans="2:29" x14ac:dyDescent="0.2">
      <c r="B15" s="31"/>
      <c r="C15" s="157"/>
      <c r="D15" s="20" t="s">
        <v>111</v>
      </c>
      <c r="E15" s="157"/>
      <c r="F15" s="157"/>
      <c r="G15" s="157"/>
      <c r="H15" s="157"/>
      <c r="I15" s="157"/>
      <c r="J15" s="157"/>
      <c r="K15" s="157"/>
      <c r="L15" s="157"/>
      <c r="M15" s="157"/>
      <c r="N15" s="157"/>
      <c r="O15" s="157"/>
      <c r="P15" s="157"/>
      <c r="Q15" s="157"/>
      <c r="R15" s="157"/>
      <c r="S15" s="157"/>
      <c r="T15" s="157"/>
      <c r="U15" s="157"/>
      <c r="V15" s="157"/>
      <c r="W15" s="157"/>
      <c r="X15" s="158"/>
      <c r="Z15" s="47" t="s">
        <v>62</v>
      </c>
      <c r="AA15" s="183">
        <f>T21/100</f>
        <v>3.7400000000000003E-2</v>
      </c>
      <c r="AB15" s="57">
        <f t="shared" si="0"/>
        <v>27</v>
      </c>
      <c r="AC15" s="42" t="s">
        <v>66</v>
      </c>
    </row>
    <row r="16" spans="2:29" x14ac:dyDescent="0.2">
      <c r="B16" s="48">
        <v>360.1</v>
      </c>
      <c r="C16" s="19"/>
      <c r="D16" s="49" t="s">
        <v>98</v>
      </c>
      <c r="E16" s="157"/>
      <c r="F16" s="157"/>
      <c r="G16" s="157"/>
      <c r="H16" s="162" t="s">
        <v>145</v>
      </c>
      <c r="I16" s="163"/>
      <c r="J16" s="164">
        <v>0</v>
      </c>
      <c r="K16" s="165"/>
      <c r="L16" s="166">
        <v>6192997.7800000003</v>
      </c>
      <c r="M16" s="167"/>
      <c r="N16" s="166">
        <v>3154464.1</v>
      </c>
      <c r="O16" s="167"/>
      <c r="P16" s="168">
        <v>3038534</v>
      </c>
      <c r="Q16" s="169"/>
      <c r="R16" s="168">
        <v>69962</v>
      </c>
      <c r="S16" s="165"/>
      <c r="T16" s="170">
        <v>1.1299999999999999</v>
      </c>
      <c r="U16" s="171"/>
      <c r="V16" s="170">
        <v>1.1299999999999999</v>
      </c>
      <c r="W16" s="171"/>
      <c r="X16" s="172">
        <v>0</v>
      </c>
      <c r="Z16" s="47" t="s">
        <v>64</v>
      </c>
      <c r="AA16" s="183">
        <f>T22/100</f>
        <v>1.77E-2</v>
      </c>
      <c r="AB16" s="57">
        <f t="shared" si="0"/>
        <v>56</v>
      </c>
      <c r="AC16" s="42" t="s">
        <v>66</v>
      </c>
    </row>
    <row r="17" spans="2:29" x14ac:dyDescent="0.2">
      <c r="B17" s="48">
        <v>361</v>
      </c>
      <c r="C17" s="19"/>
      <c r="D17" s="19" t="s">
        <v>99</v>
      </c>
      <c r="E17" s="157"/>
      <c r="F17" s="157"/>
      <c r="G17" s="157"/>
      <c r="H17" s="162" t="s">
        <v>146</v>
      </c>
      <c r="I17" s="163"/>
      <c r="J17" s="164">
        <v>-10</v>
      </c>
      <c r="K17" s="165"/>
      <c r="L17" s="166">
        <v>7980826.7300000004</v>
      </c>
      <c r="M17" s="167"/>
      <c r="N17" s="166">
        <v>2327040.6800000002</v>
      </c>
      <c r="O17" s="167"/>
      <c r="P17" s="168">
        <v>6451869</v>
      </c>
      <c r="Q17" s="169"/>
      <c r="R17" s="168">
        <v>140499</v>
      </c>
      <c r="S17" s="165"/>
      <c r="T17" s="170">
        <v>1.76</v>
      </c>
      <c r="U17" s="171"/>
      <c r="V17" s="170">
        <v>1.6</v>
      </c>
      <c r="W17" s="171"/>
      <c r="X17" s="172">
        <v>0.16</v>
      </c>
      <c r="Z17" s="41" t="s">
        <v>63</v>
      </c>
      <c r="AA17" s="183">
        <f>T23/100</f>
        <v>3.9300000000000002E-2</v>
      </c>
      <c r="AB17" s="57">
        <f t="shared" si="0"/>
        <v>25</v>
      </c>
      <c r="AC17" s="42" t="s">
        <v>66</v>
      </c>
    </row>
    <row r="18" spans="2:29" ht="12" thickBot="1" x14ac:dyDescent="0.25">
      <c r="B18" s="48">
        <v>362</v>
      </c>
      <c r="C18" s="19"/>
      <c r="D18" s="19" t="s">
        <v>100</v>
      </c>
      <c r="E18" s="157"/>
      <c r="F18" s="157"/>
      <c r="G18" s="157"/>
      <c r="H18" s="162" t="s">
        <v>147</v>
      </c>
      <c r="I18" s="163"/>
      <c r="J18" s="164">
        <v>-15</v>
      </c>
      <c r="K18" s="165"/>
      <c r="L18" s="166">
        <v>434912648.51999998</v>
      </c>
      <c r="M18" s="167"/>
      <c r="N18" s="166">
        <v>125213289.48</v>
      </c>
      <c r="O18" s="167"/>
      <c r="P18" s="168">
        <v>374936256</v>
      </c>
      <c r="Q18" s="169"/>
      <c r="R18" s="168">
        <v>8871422</v>
      </c>
      <c r="S18" s="165"/>
      <c r="T18" s="170">
        <v>2.04</v>
      </c>
      <c r="U18" s="171"/>
      <c r="V18" s="170">
        <v>1.681304347826087</v>
      </c>
      <c r="W18" s="171"/>
      <c r="X18" s="172">
        <v>0.35478260869565215</v>
      </c>
      <c r="Z18" s="50" t="s">
        <v>65</v>
      </c>
      <c r="AA18" s="51"/>
      <c r="AB18" s="52">
        <f>ROUND(AVERAGE(AB14:AB17),0)</f>
        <v>35</v>
      </c>
      <c r="AC18" s="53" t="s">
        <v>66</v>
      </c>
    </row>
    <row r="19" spans="2:29" x14ac:dyDescent="0.2">
      <c r="B19" s="48">
        <v>363</v>
      </c>
      <c r="C19" s="19"/>
      <c r="D19" s="19" t="s">
        <v>101</v>
      </c>
      <c r="E19" s="157"/>
      <c r="F19" s="157"/>
      <c r="G19" s="157"/>
      <c r="H19" s="162" t="s">
        <v>148</v>
      </c>
      <c r="I19" s="163"/>
      <c r="J19" s="164">
        <v>0</v>
      </c>
      <c r="K19" s="165"/>
      <c r="L19" s="166">
        <v>1194182.8600000001</v>
      </c>
      <c r="M19" s="167"/>
      <c r="N19" s="166">
        <v>23908.84</v>
      </c>
      <c r="O19" s="167"/>
      <c r="P19" s="168">
        <v>1170274</v>
      </c>
      <c r="Q19" s="169"/>
      <c r="R19" s="168">
        <v>59617</v>
      </c>
      <c r="S19" s="165"/>
      <c r="T19" s="170">
        <v>4.99</v>
      </c>
      <c r="U19" s="171"/>
      <c r="V19" s="170">
        <v>4.99</v>
      </c>
      <c r="W19" s="171"/>
      <c r="X19" s="172">
        <v>0</v>
      </c>
    </row>
    <row r="20" spans="2:29" x14ac:dyDescent="0.2">
      <c r="B20" s="48">
        <v>364</v>
      </c>
      <c r="C20" s="19"/>
      <c r="D20" s="19" t="s">
        <v>102</v>
      </c>
      <c r="E20" s="157"/>
      <c r="F20" s="157"/>
      <c r="G20" s="157"/>
      <c r="H20" s="162" t="s">
        <v>149</v>
      </c>
      <c r="I20" s="163"/>
      <c r="J20" s="164">
        <v>-50</v>
      </c>
      <c r="K20" s="165"/>
      <c r="L20" s="166">
        <v>340904415.12</v>
      </c>
      <c r="M20" s="167"/>
      <c r="N20" s="166">
        <v>146427146.66</v>
      </c>
      <c r="O20" s="167"/>
      <c r="P20" s="168">
        <v>364929476</v>
      </c>
      <c r="Q20" s="169"/>
      <c r="R20" s="168">
        <v>10713901</v>
      </c>
      <c r="S20" s="165"/>
      <c r="T20" s="170">
        <v>3.14</v>
      </c>
      <c r="U20" s="171"/>
      <c r="V20" s="170">
        <v>2.0499999999999998</v>
      </c>
      <c r="W20" s="171"/>
      <c r="X20" s="172">
        <v>1.0900000000000001</v>
      </c>
    </row>
    <row r="21" spans="2:29" x14ac:dyDescent="0.2">
      <c r="B21" s="48">
        <v>365</v>
      </c>
      <c r="C21" s="19"/>
      <c r="D21" s="19" t="s">
        <v>103</v>
      </c>
      <c r="E21" s="157"/>
      <c r="F21" s="157"/>
      <c r="G21" s="157"/>
      <c r="H21" s="162" t="s">
        <v>150</v>
      </c>
      <c r="I21" s="163"/>
      <c r="J21" s="164">
        <v>-25</v>
      </c>
      <c r="K21" s="165"/>
      <c r="L21" s="166">
        <v>409216186.50999999</v>
      </c>
      <c r="M21" s="167"/>
      <c r="N21" s="166">
        <v>120401104.94</v>
      </c>
      <c r="O21" s="167"/>
      <c r="P21" s="168">
        <v>391119128</v>
      </c>
      <c r="Q21" s="169"/>
      <c r="R21" s="168">
        <v>15306553</v>
      </c>
      <c r="S21" s="165"/>
      <c r="T21" s="170">
        <v>3.74</v>
      </c>
      <c r="U21" s="171"/>
      <c r="V21" s="170">
        <v>2.9000000000000004</v>
      </c>
      <c r="W21" s="171"/>
      <c r="X21" s="172">
        <v>0.84</v>
      </c>
    </row>
    <row r="22" spans="2:29" x14ac:dyDescent="0.2">
      <c r="B22" s="48">
        <v>366</v>
      </c>
      <c r="C22" s="19"/>
      <c r="D22" s="19" t="s">
        <v>104</v>
      </c>
      <c r="E22" s="157"/>
      <c r="F22" s="157"/>
      <c r="G22" s="157"/>
      <c r="H22" s="162" t="s">
        <v>151</v>
      </c>
      <c r="I22" s="163"/>
      <c r="J22" s="164">
        <v>-10</v>
      </c>
      <c r="K22" s="165"/>
      <c r="L22" s="166">
        <v>672272622.88</v>
      </c>
      <c r="M22" s="167"/>
      <c r="N22" s="166">
        <v>261027349.00999999</v>
      </c>
      <c r="O22" s="167"/>
      <c r="P22" s="168">
        <v>478472536</v>
      </c>
      <c r="Q22" s="169"/>
      <c r="R22" s="168">
        <v>11912719</v>
      </c>
      <c r="S22" s="165"/>
      <c r="T22" s="170">
        <v>1.77</v>
      </c>
      <c r="U22" s="171"/>
      <c r="V22" s="170">
        <v>1.61</v>
      </c>
      <c r="W22" s="171"/>
      <c r="X22" s="172">
        <v>0.16</v>
      </c>
    </row>
    <row r="23" spans="2:29" x14ac:dyDescent="0.2">
      <c r="B23" s="48">
        <v>367</v>
      </c>
      <c r="C23" s="19"/>
      <c r="D23" s="19" t="s">
        <v>105</v>
      </c>
      <c r="E23" s="157"/>
      <c r="F23" s="157"/>
      <c r="G23" s="157"/>
      <c r="H23" s="162" t="s">
        <v>150</v>
      </c>
      <c r="I23" s="163"/>
      <c r="J23" s="164">
        <v>-40</v>
      </c>
      <c r="K23" s="165"/>
      <c r="L23" s="166">
        <v>844856752.28999996</v>
      </c>
      <c r="M23" s="167"/>
      <c r="N23" s="166">
        <v>341308279.60000002</v>
      </c>
      <c r="O23" s="167"/>
      <c r="P23" s="168">
        <v>841491174</v>
      </c>
      <c r="Q23" s="169"/>
      <c r="R23" s="168">
        <v>33220993</v>
      </c>
      <c r="S23" s="165"/>
      <c r="T23" s="170">
        <v>3.93</v>
      </c>
      <c r="U23" s="171"/>
      <c r="V23" s="170">
        <v>2.75</v>
      </c>
      <c r="W23" s="171"/>
      <c r="X23" s="172">
        <v>1.18</v>
      </c>
    </row>
    <row r="24" spans="2:29" x14ac:dyDescent="0.2">
      <c r="B24" s="48">
        <v>368</v>
      </c>
      <c r="C24" s="19"/>
      <c r="D24" s="19" t="s">
        <v>106</v>
      </c>
      <c r="E24" s="157"/>
      <c r="F24" s="157"/>
      <c r="G24" s="157"/>
      <c r="H24" s="162" t="s">
        <v>152</v>
      </c>
      <c r="I24" s="163"/>
      <c r="J24" s="164">
        <v>-50</v>
      </c>
      <c r="K24" s="165"/>
      <c r="L24" s="166">
        <v>462673680.60000002</v>
      </c>
      <c r="M24" s="167"/>
      <c r="N24" s="166">
        <v>181111959.47999999</v>
      </c>
      <c r="O24" s="167"/>
      <c r="P24" s="168">
        <v>512898561</v>
      </c>
      <c r="Q24" s="169"/>
      <c r="R24" s="168">
        <v>18805777</v>
      </c>
      <c r="S24" s="165"/>
      <c r="T24" s="170">
        <v>4.0599999999999996</v>
      </c>
      <c r="U24" s="171"/>
      <c r="V24" s="170">
        <v>2.6558666666666668</v>
      </c>
      <c r="W24" s="171"/>
      <c r="X24" s="172">
        <v>1.4074666666666666</v>
      </c>
    </row>
    <row r="25" spans="2:29" x14ac:dyDescent="0.2">
      <c r="B25" s="48">
        <v>369</v>
      </c>
      <c r="C25" s="19"/>
      <c r="D25" s="19" t="s">
        <v>107</v>
      </c>
      <c r="E25" s="157"/>
      <c r="F25" s="157"/>
      <c r="G25" s="157"/>
      <c r="H25" s="162" t="s">
        <v>151</v>
      </c>
      <c r="I25" s="163"/>
      <c r="J25" s="164">
        <v>-60</v>
      </c>
      <c r="K25" s="165"/>
      <c r="L25" s="166">
        <v>182057677.19</v>
      </c>
      <c r="M25" s="167"/>
      <c r="N25" s="166">
        <v>116569686.06999999</v>
      </c>
      <c r="O25" s="167"/>
      <c r="P25" s="168">
        <v>174722597</v>
      </c>
      <c r="Q25" s="169"/>
      <c r="R25" s="168">
        <v>5727599</v>
      </c>
      <c r="S25" s="165"/>
      <c r="T25" s="170">
        <v>3.15</v>
      </c>
      <c r="U25" s="171"/>
      <c r="V25" s="170">
        <v>1.97</v>
      </c>
      <c r="W25" s="171"/>
      <c r="X25" s="172">
        <v>1.18</v>
      </c>
    </row>
    <row r="26" spans="2:29" x14ac:dyDescent="0.2">
      <c r="B26" s="48">
        <v>370</v>
      </c>
      <c r="C26" s="19"/>
      <c r="D26" s="54" t="s">
        <v>108</v>
      </c>
      <c r="E26" s="157"/>
      <c r="F26" s="157"/>
      <c r="G26" s="157"/>
      <c r="H26" s="162" t="s">
        <v>153</v>
      </c>
      <c r="I26" s="163"/>
      <c r="J26" s="164">
        <v>-10</v>
      </c>
      <c r="K26" s="165"/>
      <c r="L26" s="166">
        <v>140665913.55000001</v>
      </c>
      <c r="M26" s="167"/>
      <c r="N26" s="166">
        <v>34679835.299999997</v>
      </c>
      <c r="O26" s="167"/>
      <c r="P26" s="168">
        <v>120052670</v>
      </c>
      <c r="Q26" s="169"/>
      <c r="R26" s="168">
        <v>11730432</v>
      </c>
      <c r="S26" s="165"/>
      <c r="T26" s="170">
        <v>8.34</v>
      </c>
      <c r="U26" s="171"/>
      <c r="V26" s="170">
        <v>7.58</v>
      </c>
      <c r="W26" s="171"/>
      <c r="X26" s="172">
        <v>0.76</v>
      </c>
    </row>
    <row r="27" spans="2:29" x14ac:dyDescent="0.2">
      <c r="B27" s="48">
        <v>373</v>
      </c>
      <c r="C27" s="19"/>
      <c r="D27" s="19" t="s">
        <v>109</v>
      </c>
      <c r="E27" s="157"/>
      <c r="F27" s="157"/>
      <c r="G27" s="157"/>
      <c r="H27" s="162" t="s">
        <v>154</v>
      </c>
      <c r="I27" s="163"/>
      <c r="J27" s="164">
        <v>-15</v>
      </c>
      <c r="K27" s="165"/>
      <c r="L27" s="166">
        <v>53727968.479999997</v>
      </c>
      <c r="M27" s="167"/>
      <c r="N27" s="166">
        <v>18793323.43</v>
      </c>
      <c r="O27" s="167"/>
      <c r="P27" s="168">
        <v>42993840</v>
      </c>
      <c r="Q27" s="169"/>
      <c r="R27" s="168">
        <v>2552518</v>
      </c>
      <c r="S27" s="165"/>
      <c r="T27" s="170">
        <v>4.75</v>
      </c>
      <c r="U27" s="171"/>
      <c r="V27" s="170">
        <v>4.09</v>
      </c>
      <c r="W27" s="171"/>
      <c r="X27" s="172">
        <v>0.66</v>
      </c>
    </row>
    <row r="28" spans="2:29" x14ac:dyDescent="0.2">
      <c r="B28" s="48"/>
      <c r="C28" s="19"/>
      <c r="D28" s="19"/>
      <c r="E28" s="157"/>
      <c r="F28" s="157"/>
      <c r="G28" s="157"/>
      <c r="H28" s="165"/>
      <c r="I28" s="165"/>
      <c r="J28" s="173"/>
      <c r="K28" s="165"/>
      <c r="L28" s="174"/>
      <c r="M28" s="174"/>
      <c r="N28" s="174"/>
      <c r="O28" s="174"/>
      <c r="P28" s="174"/>
      <c r="Q28" s="174"/>
      <c r="R28" s="174"/>
      <c r="S28" s="174"/>
      <c r="T28" s="174"/>
      <c r="U28" s="165"/>
      <c r="V28" s="165"/>
      <c r="W28" s="165"/>
      <c r="X28" s="175"/>
    </row>
    <row r="29" spans="2:29" x14ac:dyDescent="0.2">
      <c r="B29" s="48"/>
      <c r="C29" s="19"/>
      <c r="D29" s="43" t="s">
        <v>110</v>
      </c>
      <c r="E29" s="157"/>
      <c r="F29" s="157"/>
      <c r="G29" s="157"/>
      <c r="H29" s="165"/>
      <c r="I29" s="165"/>
      <c r="J29" s="165"/>
      <c r="K29" s="165"/>
      <c r="L29" s="176">
        <f>+SUBTOTAL(9,L16:L27)</f>
        <v>3556655872.5100002</v>
      </c>
      <c r="M29" s="177"/>
      <c r="N29" s="178">
        <f>+SUBTOTAL(9,N16:N27)</f>
        <v>1351037387.5899999</v>
      </c>
      <c r="O29" s="179"/>
      <c r="P29" s="178">
        <f>+SUBTOTAL(9,P16:P27)</f>
        <v>3312276915</v>
      </c>
      <c r="Q29" s="179"/>
      <c r="R29" s="178">
        <f>+SUBTOTAL(9,R16:R27)</f>
        <v>119111992</v>
      </c>
      <c r="S29" s="177"/>
      <c r="T29" s="180">
        <f>ROUND(R29/L29*100,2)</f>
        <v>3.35</v>
      </c>
      <c r="U29" s="181"/>
      <c r="V29" s="165"/>
      <c r="W29" s="165"/>
      <c r="X29" s="175"/>
    </row>
    <row r="30" spans="2:29" ht="12" thickBot="1" x14ac:dyDescent="0.25">
      <c r="B30" s="159"/>
      <c r="C30" s="160"/>
      <c r="D30" s="160"/>
      <c r="E30" s="160"/>
      <c r="F30" s="160"/>
      <c r="G30" s="160"/>
      <c r="H30" s="160"/>
      <c r="I30" s="160"/>
      <c r="J30" s="160"/>
      <c r="K30" s="160"/>
      <c r="L30" s="160"/>
      <c r="M30" s="160"/>
      <c r="N30" s="160"/>
      <c r="O30" s="160"/>
      <c r="P30" s="160"/>
      <c r="Q30" s="160"/>
      <c r="R30" s="160"/>
      <c r="S30" s="160"/>
      <c r="T30" s="160"/>
      <c r="U30" s="160"/>
      <c r="V30" s="160"/>
      <c r="W30" s="160"/>
      <c r="X30" s="161"/>
    </row>
    <row r="37" spans="16:16" x14ac:dyDescent="0.2">
      <c r="P37" s="55"/>
    </row>
  </sheetData>
  <mergeCells count="6">
    <mergeCell ref="B7:X7"/>
    <mergeCell ref="B2:X2"/>
    <mergeCell ref="B3:X3"/>
    <mergeCell ref="B4:X4"/>
    <mergeCell ref="B5:X5"/>
    <mergeCell ref="B6:X6"/>
  </mergeCells>
  <printOptions horizontalCentered="1"/>
  <pageMargins left="0.25" right="0.25" top="0.75" bottom="0.75" header="0.3" footer="0.3"/>
  <pageSetup scale="78" orientation="landscape" r:id="rId1"/>
  <headerFooter alignWithMargins="0">
    <oddFooter>&amp;L&amp;"Arial,Regular"&amp;8&amp;F&amp;C&amp;A&amp;R&amp;"Arial,Regular"Advice No. 18-xxxx
Page &amp;P of &amp;N</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105DEC3ACBCFC40BE307F9D01316B49" ma:contentTypeVersion="16" ma:contentTypeDescription="" ma:contentTypeScope="" ma:versionID="f04a3c6f7b8dfc4e1b6feeee8f158e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2023-03-01T08:00:00+00:00</OpenedDate>
    <SignificantOrder xmlns="dc463f71-b30c-4ab2-9473-d307f9d35888">false</SignificantOrder>
    <Date1 xmlns="dc463f71-b30c-4ab2-9473-d307f9d35888">2023-03-01T08:00:00+00:00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230138</DocketNumber>
    <DelegatedOrder xmlns="dc463f71-b30c-4ab2-9473-d307f9d35888">false</DelegatedOrder>
  </documentManagement>
</p:properties>
</file>

<file path=customXml/itemProps1.xml><?xml version="1.0" encoding="utf-8"?>
<ds:datastoreItem xmlns:ds="http://schemas.openxmlformats.org/officeDocument/2006/customXml" ds:itemID="{2A9903B9-2796-4360-8774-60F27E760D95}">
  <ds:schemaRefs>
    <ds:schemaRef ds:uri="http://schemas.microsoft.com/PowerBIAddIn"/>
  </ds:schemaRefs>
</ds:datastoreItem>
</file>

<file path=customXml/itemProps2.xml><?xml version="1.0" encoding="utf-8"?>
<ds:datastoreItem xmlns:ds="http://schemas.openxmlformats.org/officeDocument/2006/customXml" ds:itemID="{630A08C6-C086-4121-9A4B-C8F29048D8E8}"/>
</file>

<file path=customXml/itemProps3.xml><?xml version="1.0" encoding="utf-8"?>
<ds:datastoreItem xmlns:ds="http://schemas.openxmlformats.org/officeDocument/2006/customXml" ds:itemID="{F10618AE-8BB8-401A-8A13-1ABE676CF1ED}"/>
</file>

<file path=customXml/itemProps4.xml><?xml version="1.0" encoding="utf-8"?>
<ds:datastoreItem xmlns:ds="http://schemas.openxmlformats.org/officeDocument/2006/customXml" ds:itemID="{BD999B8A-90D9-40F3-95E0-822A19E14E20}"/>
</file>

<file path=customXml/itemProps5.xml><?xml version="1.0" encoding="utf-8"?>
<ds:datastoreItem xmlns:ds="http://schemas.openxmlformats.org/officeDocument/2006/customXml" ds:itemID="{00E15087-6D1A-470B-9F5F-1DF68EEF3D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FCR Read Me</vt:lpstr>
      <vt:lpstr>Sch 62 FCR Table</vt:lpstr>
      <vt:lpstr>Workpapers -&gt;</vt:lpstr>
      <vt:lpstr>FCR Rates Feeder</vt:lpstr>
      <vt:lpstr>FCR Rates Sub</vt:lpstr>
      <vt:lpstr>Lvl FCR Sub Equip</vt:lpstr>
      <vt:lpstr>Lvl FCR Feeder</vt:lpstr>
      <vt:lpstr>LvlFCR Land</vt:lpstr>
      <vt:lpstr>Sub &amp; Feeder Depr Life</vt:lpstr>
      <vt:lpstr>'FCR Rates Feeder'!Print_Area</vt:lpstr>
      <vt:lpstr>'FCR Rates Sub'!Print_Area</vt:lpstr>
      <vt:lpstr>'FCR Read Me'!Print_Area</vt:lpstr>
      <vt:lpstr>'Lvl FCR Feeder'!Print_Area</vt:lpstr>
      <vt:lpstr>'Lvl FCR Sub Equip'!Print_Area</vt:lpstr>
      <vt:lpstr>'LvlFCR Land'!Print_Area</vt:lpstr>
      <vt:lpstr>'Sch 62 FCR Table'!Print_Area</vt:lpstr>
      <vt:lpstr>'Sub &amp; Feeder Depr Life'!Print_Area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Zakharova, Lena</cp:lastModifiedBy>
  <cp:lastPrinted>2017-12-29T01:11:20Z</cp:lastPrinted>
  <dcterms:created xsi:type="dcterms:W3CDTF">2013-09-13T17:20:41Z</dcterms:created>
  <dcterms:modified xsi:type="dcterms:W3CDTF">2023-02-21T15:21:54Z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0x0101006E56B4D1795A2E4DB2F0B01679ED314A008105DEC3ACBCFC40BE307F9D01316B49</vt:lpwstr>
  </property>
  <property fmtid="{D5CDD505-2E9C-101B-9397-08002B2CF9AE}" pid="3" name="IsEFSEC">
    <vt:bool>false</vt:bool>
  </property>
  <property fmtid="{D5CDD505-2E9C-101B-9397-08002B2CF9AE}" pid="4" name="_docset_NoMedatataSyncRequired">
    <vt:lpwstr>False</vt:lpwstr>
  </property>
</Properties>
</file>