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orport01fps01\public\Evan Burmester\WUTC\"/>
    </mc:Choice>
  </mc:AlternateContent>
  <xr:revisionPtr revIDLastSave="0" documentId="8_{366CF796-ED53-416B-83D3-1807125DAE5C}" xr6:coauthVersionLast="47" xr6:coauthVersionMax="47" xr10:uidLastSave="{00000000-0000-0000-0000-000000000000}"/>
  <bookViews>
    <workbookView xWindow="51480" yWindow="-3225" windowWidth="16440" windowHeight="28440" firstSheet="1" activeTab="1" xr2:uid="{00000000-000D-0000-FFFF-FFFF00000000}"/>
  </bookViews>
  <sheets>
    <sheet name="Rebate (Charge) Analysis" sheetId="24" state="hidden" r:id="rId1"/>
    <sheet name="Rate Sheet Summary" sheetId="27" r:id="rId2"/>
    <sheet name="Rebate (charge) Calculation" sheetId="28" r:id="rId3"/>
    <sheet name="2021-2022 Recy. Tons &amp; Revenue" sheetId="11" r:id="rId4"/>
    <sheet name="KC Tonnage - Enspire" sheetId="25" r:id="rId5"/>
    <sheet name="SC Tonnage - Enspire" sheetId="26" r:id="rId6"/>
    <sheet name="Customer Counts - Enspire" sheetId="9" r:id="rId7"/>
    <sheet name="Prices - Recy. Acct. Analysis" sheetId="8" r:id="rId8"/>
    <sheet name="Composition-Rec. Acct. Analysis" sheetId="5" r:id="rId9"/>
    <sheet name="SC 2022-2023 Budget" sheetId="18" r:id="rId10"/>
    <sheet name="KC 2022-2023 Budget" sheetId="17" r:id="rId11"/>
  </sheets>
  <externalReferences>
    <externalReference r:id="rId12"/>
  </externalReferenc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9" i="27" l="1"/>
  <c r="J38" i="27"/>
  <c r="J10" i="27"/>
  <c r="L6" i="27"/>
  <c r="K20" i="27"/>
  <c r="K19" i="27"/>
  <c r="K18" i="27"/>
  <c r="K17" i="27"/>
  <c r="K16" i="27"/>
  <c r="K15" i="27"/>
  <c r="G39" i="27"/>
  <c r="G38" i="27"/>
  <c r="G11" i="27"/>
  <c r="G12" i="27"/>
  <c r="G13" i="27"/>
  <c r="G14" i="27"/>
  <c r="G15" i="27"/>
  <c r="G16" i="27"/>
  <c r="G17" i="27"/>
  <c r="G18" i="27"/>
  <c r="G19" i="27"/>
  <c r="G20" i="27"/>
  <c r="D54" i="27"/>
  <c r="D55" i="27"/>
  <c r="D56" i="27"/>
  <c r="D57" i="27"/>
  <c r="D58" i="27"/>
  <c r="D59" i="27"/>
  <c r="D60" i="27"/>
  <c r="D61" i="27"/>
  <c r="D53" i="27"/>
  <c r="F41" i="27"/>
  <c r="D41" i="27"/>
  <c r="F25" i="27"/>
  <c r="F26" i="27"/>
  <c r="F27" i="27"/>
  <c r="F28" i="27"/>
  <c r="F29" i="27"/>
  <c r="F32" i="27"/>
  <c r="F35" i="27"/>
  <c r="D25" i="27"/>
  <c r="D26" i="27"/>
  <c r="D27" i="27"/>
  <c r="D28" i="27"/>
  <c r="D29" i="27"/>
  <c r="D30" i="27"/>
  <c r="F30" i="27" s="1"/>
  <c r="D31" i="27"/>
  <c r="F31" i="27" s="1"/>
  <c r="D32" i="27"/>
  <c r="D33" i="27"/>
  <c r="F33" i="27" s="1"/>
  <c r="D34" i="27"/>
  <c r="F34" i="27" s="1"/>
  <c r="D35" i="27"/>
  <c r="D24" i="27"/>
  <c r="F24" i="27" s="1"/>
  <c r="D15" i="27"/>
  <c r="D16" i="27"/>
  <c r="D17" i="27"/>
  <c r="D18" i="27"/>
  <c r="D19" i="27"/>
  <c r="D20" i="27"/>
  <c r="F7" i="27"/>
  <c r="E26" i="27"/>
  <c r="I6" i="27"/>
  <c r="D9" i="27"/>
  <c r="F6" i="27"/>
  <c r="E11" i="27"/>
  <c r="J6" i="27"/>
  <c r="G6" i="27"/>
  <c r="D7" i="27"/>
  <c r="D6" i="27"/>
  <c r="Q48" i="25" l="1"/>
  <c r="M17" i="9"/>
  <c r="N17" i="9"/>
  <c r="R17" i="9"/>
  <c r="Q17" i="9"/>
  <c r="G17" i="9"/>
  <c r="F17" i="9"/>
  <c r="S16" i="9"/>
  <c r="H16" i="9"/>
  <c r="S17" i="9"/>
  <c r="H17" i="9"/>
  <c r="Y16" i="5"/>
  <c r="A115" i="28" l="1"/>
  <c r="O61" i="11"/>
  <c r="N61" i="11"/>
  <c r="H61" i="11"/>
  <c r="G61" i="11"/>
  <c r="D61" i="11"/>
  <c r="C61" i="11"/>
  <c r="Y6" i="5"/>
  <c r="H52" i="8"/>
  <c r="L52" i="8"/>
  <c r="C52" i="8"/>
  <c r="H18" i="8"/>
  <c r="L18" i="8"/>
  <c r="C18" i="8"/>
  <c r="C92" i="28"/>
  <c r="E93" i="28"/>
  <c r="E92" i="28"/>
  <c r="C54" i="28"/>
  <c r="C53" i="28"/>
  <c r="E54" i="28"/>
  <c r="E53" i="28"/>
  <c r="C12" i="28" l="1"/>
  <c r="C11" i="28"/>
  <c r="E12" i="28"/>
  <c r="E11" i="28"/>
  <c r="R43" i="11"/>
  <c r="S43" i="11"/>
  <c r="R44" i="11"/>
  <c r="S44" i="11"/>
  <c r="R45" i="11"/>
  <c r="W16" i="5"/>
  <c r="U16" i="5"/>
  <c r="S16" i="5"/>
  <c r="R16" i="9" l="1"/>
  <c r="Q16" i="9"/>
  <c r="G16" i="9"/>
  <c r="F16" i="9"/>
  <c r="R15" i="9"/>
  <c r="Q15" i="9"/>
  <c r="G15" i="9"/>
  <c r="F15" i="9"/>
  <c r="R14" i="9"/>
  <c r="Q14" i="9"/>
  <c r="G14" i="9"/>
  <c r="F14" i="9"/>
  <c r="S15" i="9"/>
  <c r="S14" i="9"/>
  <c r="N16" i="9"/>
  <c r="N15" i="9"/>
  <c r="N14" i="9"/>
  <c r="M16" i="9"/>
  <c r="M15" i="9"/>
  <c r="M14" i="9"/>
  <c r="F44" i="26"/>
  <c r="F43" i="26"/>
  <c r="F40" i="26"/>
  <c r="F39" i="26"/>
  <c r="F36" i="26"/>
  <c r="F35" i="26"/>
  <c r="Q36" i="25"/>
  <c r="Q40" i="25"/>
  <c r="Q44" i="25"/>
  <c r="S40" i="11" l="1"/>
  <c r="S41" i="11"/>
  <c r="S42" i="11"/>
  <c r="R40" i="11"/>
  <c r="R41" i="11"/>
  <c r="R42" i="11"/>
  <c r="H40" i="11"/>
  <c r="H41" i="11"/>
  <c r="H42" i="11"/>
  <c r="H14" i="11"/>
  <c r="H13" i="11"/>
  <c r="H12" i="11"/>
  <c r="H31" i="26"/>
  <c r="F32" i="26"/>
  <c r="F31" i="26"/>
  <c r="H27" i="26"/>
  <c r="F28" i="26"/>
  <c r="F27" i="26"/>
  <c r="H23" i="26"/>
  <c r="F24" i="26"/>
  <c r="F23" i="26"/>
  <c r="R11" i="9"/>
  <c r="Q11" i="9"/>
  <c r="G11" i="9"/>
  <c r="F11" i="9"/>
  <c r="Q12" i="9"/>
  <c r="R12" i="9"/>
  <c r="G12" i="9"/>
  <c r="F12" i="9"/>
  <c r="Q13" i="9"/>
  <c r="R13" i="9"/>
  <c r="F13" i="9"/>
  <c r="G13" i="9"/>
  <c r="S12" i="9"/>
  <c r="H12" i="9"/>
  <c r="S11" i="9"/>
  <c r="H11" i="9"/>
  <c r="N13" i="9"/>
  <c r="N12" i="9"/>
  <c r="N11" i="9"/>
  <c r="M13" i="9"/>
  <c r="M12" i="9"/>
  <c r="M11" i="9"/>
  <c r="R10" i="9" l="1"/>
  <c r="Q10" i="9"/>
  <c r="G10" i="9"/>
  <c r="F10" i="9"/>
  <c r="S10" i="9"/>
  <c r="N10" i="9"/>
  <c r="M10" i="9"/>
  <c r="P19" i="25"/>
  <c r="H19" i="26"/>
  <c r="F20" i="26"/>
  <c r="F19" i="26"/>
  <c r="R8" i="9"/>
  <c r="R7" i="9"/>
  <c r="Q8" i="9"/>
  <c r="Q7" i="9"/>
  <c r="G7" i="9"/>
  <c r="G8" i="9"/>
  <c r="F8" i="9"/>
  <c r="F7" i="9"/>
  <c r="R9" i="9"/>
  <c r="Q9" i="9"/>
  <c r="G9" i="9"/>
  <c r="F9" i="9"/>
  <c r="S9" i="9"/>
  <c r="H9" i="9"/>
  <c r="S8" i="9"/>
  <c r="H8" i="9"/>
  <c r="S7" i="9"/>
  <c r="H7" i="9"/>
  <c r="N7" i="9"/>
  <c r="N8" i="9"/>
  <c r="N9" i="9"/>
  <c r="M9" i="9"/>
  <c r="M8" i="9"/>
  <c r="M7" i="9"/>
  <c r="A85" i="28" l="1"/>
  <c r="A52" i="28"/>
  <c r="A46" i="28"/>
  <c r="O66" i="11"/>
  <c r="N66" i="11"/>
  <c r="H66" i="11"/>
  <c r="G66" i="11"/>
  <c r="D66" i="11"/>
  <c r="C66" i="11"/>
  <c r="T7" i="26" l="1"/>
  <c r="T8" i="26"/>
  <c r="T11" i="26"/>
  <c r="T12" i="26"/>
  <c r="T15" i="26"/>
  <c r="T16" i="26"/>
  <c r="T19" i="26"/>
  <c r="T20" i="26"/>
  <c r="T23" i="26"/>
  <c r="T24" i="26"/>
  <c r="T27" i="26"/>
  <c r="T28" i="26"/>
  <c r="T31" i="26"/>
  <c r="T32" i="26"/>
  <c r="T35" i="26"/>
  <c r="T36" i="26"/>
  <c r="T39" i="26"/>
  <c r="T40" i="26"/>
  <c r="T43" i="26"/>
  <c r="T44" i="26"/>
  <c r="T47" i="26"/>
  <c r="T48" i="26"/>
  <c r="T51" i="26"/>
  <c r="T52" i="26"/>
  <c r="T55" i="26"/>
  <c r="T56" i="26"/>
  <c r="T59" i="26"/>
  <c r="T60" i="26"/>
  <c r="T63" i="26"/>
  <c r="T64" i="26"/>
  <c r="T67" i="26"/>
  <c r="T68" i="26"/>
  <c r="T71" i="26"/>
  <c r="T72" i="26"/>
  <c r="T75" i="26"/>
  <c r="T76" i="26"/>
  <c r="T79" i="26"/>
  <c r="T80" i="26"/>
  <c r="T83" i="26"/>
  <c r="T84" i="26"/>
  <c r="T87" i="26"/>
  <c r="T88" i="26"/>
  <c r="T91" i="26"/>
  <c r="T92" i="26"/>
  <c r="T95" i="26"/>
  <c r="T96" i="26"/>
  <c r="T4" i="26"/>
  <c r="T3" i="26"/>
  <c r="P4" i="26"/>
  <c r="P3" i="26"/>
  <c r="H3" i="26"/>
  <c r="F4" i="26"/>
  <c r="F3" i="26"/>
  <c r="S6" i="9"/>
  <c r="H6" i="9"/>
  <c r="R6" i="9"/>
  <c r="Q6" i="9"/>
  <c r="G6" i="9"/>
  <c r="F6" i="9"/>
  <c r="N6" i="9"/>
  <c r="M6" i="9"/>
  <c r="B6" i="9"/>
  <c r="A98" i="28" l="1"/>
  <c r="A97" i="28"/>
  <c r="A96" i="28"/>
  <c r="A91" i="28"/>
  <c r="A71" i="28"/>
  <c r="A110" i="28" s="1"/>
  <c r="A59" i="28"/>
  <c r="A58" i="28"/>
  <c r="A57" i="28"/>
  <c r="F54" i="28"/>
  <c r="C55" i="28"/>
  <c r="F66" i="28" s="1"/>
  <c r="F74" i="28" s="1"/>
  <c r="C13" i="28"/>
  <c r="F24" i="28" s="1"/>
  <c r="F32" i="28" s="1"/>
  <c r="F12" i="28" l="1"/>
  <c r="F53" i="28"/>
  <c r="F55" i="28" s="1"/>
  <c r="F92" i="28"/>
  <c r="F11" i="28"/>
  <c r="F13" i="28" l="1"/>
  <c r="D128" i="11"/>
  <c r="C128" i="11"/>
  <c r="D97" i="11"/>
  <c r="C97" i="11"/>
  <c r="L31" i="8"/>
  <c r="J31" i="8"/>
  <c r="J65" i="8"/>
  <c r="K65" i="8"/>
  <c r="D31" i="8"/>
  <c r="E31" i="8"/>
  <c r="F31" i="8"/>
  <c r="G31" i="8"/>
  <c r="I31" i="8"/>
  <c r="K31" i="8"/>
  <c r="D65" i="8"/>
  <c r="E65" i="8"/>
  <c r="F65" i="8"/>
  <c r="G65" i="8"/>
  <c r="H65" i="8"/>
  <c r="I65" i="8"/>
  <c r="C97" i="8"/>
  <c r="B170" i="8"/>
  <c r="B182" i="8"/>
  <c r="I32" i="8" l="1"/>
  <c r="L65" i="8"/>
  <c r="I66" i="8" s="1"/>
  <c r="C65" i="8"/>
  <c r="C31" i="8"/>
  <c r="R96" i="26"/>
  <c r="R95" i="26"/>
  <c r="V96" i="25"/>
  <c r="T96" i="25"/>
  <c r="V95" i="25"/>
  <c r="C58" i="11" s="1"/>
  <c r="T95" i="25"/>
  <c r="C30" i="11" s="1"/>
  <c r="M166" i="8" s="1"/>
  <c r="V5" i="25"/>
  <c r="V6" i="25"/>
  <c r="V7" i="25"/>
  <c r="V8" i="25"/>
  <c r="V9" i="25"/>
  <c r="V10" i="25"/>
  <c r="V11" i="25"/>
  <c r="V12" i="25"/>
  <c r="V13" i="25"/>
  <c r="V14" i="25"/>
  <c r="V15" i="25"/>
  <c r="V16" i="25"/>
  <c r="V17" i="25"/>
  <c r="V18" i="25"/>
  <c r="V19" i="25"/>
  <c r="V20" i="25"/>
  <c r="V21" i="25"/>
  <c r="V22" i="25"/>
  <c r="V23" i="25"/>
  <c r="V24" i="25"/>
  <c r="V25" i="25"/>
  <c r="V26" i="25"/>
  <c r="V27" i="25"/>
  <c r="V28" i="25"/>
  <c r="V31" i="25"/>
  <c r="V32"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91" i="25"/>
  <c r="C57" i="11" s="1"/>
  <c r="V92" i="25"/>
  <c r="V3" i="25"/>
  <c r="V4" i="25"/>
  <c r="D127" i="11"/>
  <c r="C127" i="11"/>
  <c r="D96" i="11"/>
  <c r="C96" i="11"/>
  <c r="D30" i="11" l="1"/>
  <c r="M263" i="8" s="1"/>
  <c r="D58" i="11"/>
  <c r="G97" i="11"/>
  <c r="C166" i="8"/>
  <c r="H31" i="8"/>
  <c r="R92" i="26"/>
  <c r="T91" i="25"/>
  <c r="C263" i="8" l="1"/>
  <c r="C264" i="8" s="1"/>
  <c r="R91" i="26"/>
  <c r="D29" i="11" s="1"/>
  <c r="M259" i="8" s="1"/>
  <c r="T92" i="25"/>
  <c r="C29" i="11" s="1"/>
  <c r="M162" i="8" s="1"/>
  <c r="G96" i="11" l="1"/>
  <c r="D57" i="11"/>
  <c r="C259" i="8"/>
  <c r="C260" i="8" s="1"/>
  <c r="I115" i="28" l="1"/>
  <c r="I98" i="28"/>
  <c r="I97" i="28"/>
  <c r="I96" i="28"/>
  <c r="I91" i="28"/>
  <c r="I71" i="28"/>
  <c r="I110" i="28" s="1"/>
  <c r="I59" i="28"/>
  <c r="I58" i="28"/>
  <c r="I57" i="28"/>
  <c r="Q115" i="28"/>
  <c r="AD113" i="28"/>
  <c r="AM112" i="28"/>
  <c r="AM117" i="28" s="1"/>
  <c r="AD110" i="28"/>
  <c r="AD111" i="28" s="1"/>
  <c r="Q98" i="28"/>
  <c r="AD97" i="28"/>
  <c r="AD98" i="28" s="1"/>
  <c r="Q97" i="28"/>
  <c r="V97" i="28"/>
  <c r="Q96" i="28"/>
  <c r="AI94" i="28"/>
  <c r="AL105" i="28" s="1"/>
  <c r="AA94" i="28"/>
  <c r="AL93" i="28"/>
  <c r="AL92" i="28"/>
  <c r="AC92" i="28"/>
  <c r="AD92" i="28" s="1"/>
  <c r="Q91" i="28"/>
  <c r="AD74" i="28"/>
  <c r="AM73" i="28"/>
  <c r="AC54" i="28" s="1"/>
  <c r="AD71" i="28"/>
  <c r="AE75" i="28" s="1"/>
  <c r="U54" i="28" s="1"/>
  <c r="M53" i="28" s="1"/>
  <c r="Q71" i="28"/>
  <c r="Q110" i="28" s="1"/>
  <c r="Q59" i="28"/>
  <c r="AD58" i="28"/>
  <c r="AD59" i="28" s="1"/>
  <c r="Q58" i="28"/>
  <c r="V58" i="28"/>
  <c r="Q57" i="28"/>
  <c r="AI55" i="28"/>
  <c r="AL66" i="28" s="1"/>
  <c r="AA55" i="28"/>
  <c r="AL54" i="28"/>
  <c r="AL53" i="28"/>
  <c r="AC53" i="28"/>
  <c r="AD53" i="28" s="1"/>
  <c r="AL29" i="28"/>
  <c r="AD29" i="28"/>
  <c r="AD30" i="28" s="1"/>
  <c r="AD31" i="28" s="1"/>
  <c r="AD24" i="28"/>
  <c r="AD32" i="28" s="1"/>
  <c r="AA21" i="28"/>
  <c r="AD17" i="28"/>
  <c r="AD18" i="28" s="1"/>
  <c r="V29" i="28"/>
  <c r="AI13" i="28"/>
  <c r="AK34" i="28" s="1"/>
  <c r="AM34" i="28" s="1"/>
  <c r="AA13" i="28"/>
  <c r="AL12" i="28"/>
  <c r="AL11" i="28"/>
  <c r="AC11" i="28"/>
  <c r="AD11" i="28" s="1"/>
  <c r="AL55" i="28" l="1"/>
  <c r="AL64" i="28" s="1"/>
  <c r="AM68" i="28" s="1"/>
  <c r="AM74" i="28" s="1"/>
  <c r="K55" i="28"/>
  <c r="N66" i="28" s="1"/>
  <c r="N74" i="28" s="1"/>
  <c r="N53" i="28"/>
  <c r="K13" i="28"/>
  <c r="N24" i="28" s="1"/>
  <c r="N32" i="28" s="1"/>
  <c r="AL94" i="28"/>
  <c r="AL103" i="28" s="1"/>
  <c r="AM107" i="28" s="1"/>
  <c r="AM113" i="28" s="1"/>
  <c r="AL13" i="28"/>
  <c r="AL22" i="28" s="1"/>
  <c r="AK115" i="28"/>
  <c r="AM115" i="28" s="1"/>
  <c r="S94" i="28"/>
  <c r="V105" i="28" s="1"/>
  <c r="V113" i="28" s="1"/>
  <c r="AC93" i="28"/>
  <c r="V71" i="28"/>
  <c r="V72" i="28" s="1"/>
  <c r="V73" i="28" s="1"/>
  <c r="AM78" i="28"/>
  <c r="AD112" i="28"/>
  <c r="AE114" i="28"/>
  <c r="U93" i="28" s="1"/>
  <c r="M92" i="28" s="1"/>
  <c r="N92" i="28" s="1"/>
  <c r="V30" i="28"/>
  <c r="V31" i="28" s="1"/>
  <c r="V98" i="28"/>
  <c r="V110" i="28"/>
  <c r="W114" i="28" s="1"/>
  <c r="M93" i="28" s="1"/>
  <c r="V17" i="28"/>
  <c r="V18" i="28" s="1"/>
  <c r="S55" i="28"/>
  <c r="V66" i="28" s="1"/>
  <c r="V74" i="28" s="1"/>
  <c r="AE33" i="28"/>
  <c r="V54" i="28"/>
  <c r="U53" i="28"/>
  <c r="V53" i="28" s="1"/>
  <c r="V55" i="28" s="1"/>
  <c r="AD54" i="28"/>
  <c r="AD55" i="28" s="1"/>
  <c r="AD61" i="28" s="1"/>
  <c r="AL24" i="28"/>
  <c r="AL30" i="28"/>
  <c r="AM31" i="28" s="1"/>
  <c r="V59" i="28"/>
  <c r="AK76" i="28"/>
  <c r="AM76" i="28" s="1"/>
  <c r="S13" i="28"/>
  <c r="V24" i="28" s="1"/>
  <c r="V32" i="28" s="1"/>
  <c r="W33" i="28" s="1"/>
  <c r="AD72" i="28"/>
  <c r="AD73" i="28" s="1"/>
  <c r="AM119" i="28" l="1"/>
  <c r="AC101" i="28" s="1"/>
  <c r="AD101" i="28" s="1"/>
  <c r="AM26" i="28"/>
  <c r="AM32" i="28" s="1"/>
  <c r="V93" i="28"/>
  <c r="W75" i="28"/>
  <c r="M54" i="28" s="1"/>
  <c r="N54" i="28" s="1"/>
  <c r="N55" i="28" s="1"/>
  <c r="W37" i="28"/>
  <c r="M12" i="28"/>
  <c r="N12" i="28" s="1"/>
  <c r="AM80" i="28"/>
  <c r="AC62" i="28" s="1"/>
  <c r="AD62" i="28" s="1"/>
  <c r="AD64" i="28" s="1"/>
  <c r="AE68" i="28" s="1"/>
  <c r="AE76" i="28" s="1"/>
  <c r="AD93" i="28"/>
  <c r="AD94" i="28" s="1"/>
  <c r="AD100" i="28" s="1"/>
  <c r="AD103" i="28" s="1"/>
  <c r="AE107" i="28" s="1"/>
  <c r="AE115" i="28" s="1"/>
  <c r="U92" i="28"/>
  <c r="V92" i="28" s="1"/>
  <c r="V111" i="28"/>
  <c r="V112" i="28" s="1"/>
  <c r="AM36" i="28"/>
  <c r="AC12" i="28"/>
  <c r="AE37" i="28"/>
  <c r="U12" i="28"/>
  <c r="V64" i="28"/>
  <c r="W68" i="28" s="1"/>
  <c r="W76" i="28" s="1"/>
  <c r="V94" i="28" l="1"/>
  <c r="V103" i="28" s="1"/>
  <c r="W107" i="28" s="1"/>
  <c r="W115" i="28" s="1"/>
  <c r="V12" i="28"/>
  <c r="M11" i="28"/>
  <c r="N11" i="28" s="1"/>
  <c r="N13" i="28" s="1"/>
  <c r="AM40" i="28"/>
  <c r="AM38" i="28"/>
  <c r="AC21" i="28" s="1"/>
  <c r="AD21" i="28" s="1"/>
  <c r="AD12" i="28"/>
  <c r="AD13" i="28" s="1"/>
  <c r="AD20" i="28" s="1"/>
  <c r="U11" i="28"/>
  <c r="V11" i="28" s="1"/>
  <c r="V13" i="28" l="1"/>
  <c r="V22" i="28" s="1"/>
  <c r="W26" i="28" s="1"/>
  <c r="W34" i="28" s="1"/>
  <c r="W39" i="28" s="1"/>
  <c r="AD22" i="28"/>
  <c r="AE26" i="28" s="1"/>
  <c r="AE34" i="28" s="1"/>
  <c r="AE39" i="28" s="1"/>
  <c r="D126" i="11" l="1"/>
  <c r="C126" i="11"/>
  <c r="D95" i="11"/>
  <c r="C95" i="11"/>
  <c r="C56" i="11"/>
  <c r="T87" i="25" l="1"/>
  <c r="R88" i="26"/>
  <c r="R87" i="26"/>
  <c r="G95" i="11" l="1"/>
  <c r="D56" i="11"/>
  <c r="C28" i="11"/>
  <c r="M158" i="8" s="1"/>
  <c r="D28" i="11"/>
  <c r="M255" i="8" s="1"/>
  <c r="T88" i="25"/>
  <c r="C255" i="8" l="1"/>
  <c r="C256" i="8" s="1"/>
  <c r="D125" i="11"/>
  <c r="C125" i="11"/>
  <c r="D94" i="11"/>
  <c r="D93" i="11"/>
  <c r="C94" i="11"/>
  <c r="C55" i="11"/>
  <c r="R84" i="26" l="1"/>
  <c r="R83" i="26"/>
  <c r="T84" i="25"/>
  <c r="D55" i="11" l="1"/>
  <c r="G94" i="11"/>
  <c r="D27" i="11"/>
  <c r="M251" i="8" s="1"/>
  <c r="T83" i="25"/>
  <c r="C27" i="11" s="1"/>
  <c r="M154" i="8" s="1"/>
  <c r="C251" i="8" l="1"/>
  <c r="C252" i="8" s="1"/>
  <c r="D124" i="11" l="1"/>
  <c r="C124" i="11"/>
  <c r="C93" i="11"/>
  <c r="C54" i="11"/>
  <c r="T79" i="25"/>
  <c r="R80" i="26"/>
  <c r="R79" i="26"/>
  <c r="D26" i="11" s="1"/>
  <c r="M247" i="8" s="1"/>
  <c r="C247" i="8" l="1"/>
  <c r="C248" i="8" s="1"/>
  <c r="T80" i="25"/>
  <c r="C26" i="11" s="1"/>
  <c r="M150" i="8" s="1"/>
  <c r="G93" i="11" l="1"/>
  <c r="D54" i="11"/>
  <c r="D123" i="11"/>
  <c r="C123" i="11"/>
  <c r="D92" i="11"/>
  <c r="C92" i="11"/>
  <c r="C53" i="11"/>
  <c r="C52" i="11"/>
  <c r="T76" i="25" l="1"/>
  <c r="T75" i="25"/>
  <c r="C25" i="11" s="1"/>
  <c r="M146" i="8" s="1"/>
  <c r="R75" i="26"/>
  <c r="G92" i="11" l="1"/>
  <c r="D53" i="11"/>
  <c r="R76" i="26"/>
  <c r="D25" i="11" s="1"/>
  <c r="M243" i="8" s="1"/>
  <c r="C243" i="8" l="1"/>
  <c r="C244" i="8" s="1"/>
  <c r="D122" i="11" l="1"/>
  <c r="C122" i="11"/>
  <c r="D91" i="11"/>
  <c r="C91" i="11"/>
  <c r="R71" i="26" l="1"/>
  <c r="T72" i="25"/>
  <c r="T71" i="25"/>
  <c r="C24" i="11" l="1"/>
  <c r="M142" i="8" s="1"/>
  <c r="D24" i="11"/>
  <c r="M239" i="8" s="1"/>
  <c r="D52" i="11"/>
  <c r="G91" i="11"/>
  <c r="R72" i="26"/>
  <c r="A52" i="11"/>
  <c r="C239" i="8" l="1"/>
  <c r="C240" i="8" s="1"/>
  <c r="D121" i="11"/>
  <c r="C121" i="11"/>
  <c r="D90" i="11"/>
  <c r="C90" i="11"/>
  <c r="C51" i="11"/>
  <c r="R67" i="26" l="1"/>
  <c r="T68" i="25"/>
  <c r="T67" i="25"/>
  <c r="C23" i="11" s="1"/>
  <c r="M138" i="8" s="1"/>
  <c r="C138" i="8" l="1"/>
  <c r="G90" i="11"/>
  <c r="D51" i="11"/>
  <c r="R68" i="26"/>
  <c r="D23" i="11" s="1"/>
  <c r="M235" i="8" s="1"/>
  <c r="D120" i="11"/>
  <c r="D119" i="11"/>
  <c r="D118" i="11"/>
  <c r="D117" i="11"/>
  <c r="C120" i="11"/>
  <c r="C119" i="11"/>
  <c r="C118" i="11"/>
  <c r="C117" i="11"/>
  <c r="D89" i="11"/>
  <c r="D88" i="11"/>
  <c r="D87" i="11"/>
  <c r="D86" i="11"/>
  <c r="C89" i="11"/>
  <c r="C88" i="11"/>
  <c r="C87" i="11"/>
  <c r="C86" i="11"/>
  <c r="C50" i="11"/>
  <c r="G89" i="11"/>
  <c r="R63" i="26"/>
  <c r="T64" i="25"/>
  <c r="C22" i="11" s="1"/>
  <c r="M134" i="8" s="1"/>
  <c r="T63" i="25"/>
  <c r="D50" i="11" l="1"/>
  <c r="C235" i="8"/>
  <c r="C236" i="8" s="1"/>
  <c r="C134" i="8"/>
  <c r="R64" i="26"/>
  <c r="D22" i="11" s="1"/>
  <c r="M231" i="8" s="1"/>
  <c r="C231" i="8" l="1"/>
  <c r="C232" i="8" s="1"/>
  <c r="C49" i="11"/>
  <c r="C48" i="11"/>
  <c r="C47" i="11"/>
  <c r="R52" i="26" l="1"/>
  <c r="R51" i="26"/>
  <c r="D19" i="11" s="1"/>
  <c r="M219" i="8" s="1"/>
  <c r="C219" i="8" l="1"/>
  <c r="C220" i="8" s="1"/>
  <c r="R60" i="26"/>
  <c r="R59" i="26"/>
  <c r="R56" i="26"/>
  <c r="R55" i="26"/>
  <c r="T60" i="25"/>
  <c r="T59" i="25"/>
  <c r="C21" i="11" s="1"/>
  <c r="M130" i="8" s="1"/>
  <c r="T56" i="25"/>
  <c r="T55" i="25"/>
  <c r="C20" i="11" s="1"/>
  <c r="M126" i="8" s="1"/>
  <c r="T52" i="25"/>
  <c r="T51" i="25"/>
  <c r="G86" i="11" l="1"/>
  <c r="D47" i="11"/>
  <c r="D20" i="11"/>
  <c r="M223" i="8" s="1"/>
  <c r="D21" i="11"/>
  <c r="M227" i="8" s="1"/>
  <c r="G87" i="11"/>
  <c r="D48" i="11"/>
  <c r="G88" i="11"/>
  <c r="D49" i="11"/>
  <c r="C126" i="8"/>
  <c r="C130" i="8"/>
  <c r="C19" i="11"/>
  <c r="M122" i="8" s="1"/>
  <c r="C227" i="8" l="1"/>
  <c r="C228" i="8" s="1"/>
  <c r="C223" i="8"/>
  <c r="C224" i="8" s="1"/>
  <c r="C122" i="8"/>
  <c r="D116" i="11" l="1"/>
  <c r="C116" i="11"/>
  <c r="D85" i="11"/>
  <c r="C85" i="11"/>
  <c r="D115" i="11" l="1"/>
  <c r="C115" i="11"/>
  <c r="C84" i="11"/>
  <c r="D84" i="11" l="1"/>
  <c r="R43" i="26"/>
  <c r="R48" i="26"/>
  <c r="R47" i="26"/>
  <c r="R44" i="26"/>
  <c r="T48" i="25"/>
  <c r="T47" i="25"/>
  <c r="T44" i="25"/>
  <c r="D18" i="11" l="1"/>
  <c r="M215" i="8" s="1"/>
  <c r="C215" i="8" s="1"/>
  <c r="C216" i="8" s="1"/>
  <c r="C18" i="11"/>
  <c r="M118" i="8" s="1"/>
  <c r="C118" i="8" s="1"/>
  <c r="D17" i="11"/>
  <c r="M211" i="8" s="1"/>
  <c r="T43" i="25"/>
  <c r="C17" i="11" s="1"/>
  <c r="M114" i="8" s="1"/>
  <c r="C45" i="11"/>
  <c r="C46" i="11"/>
  <c r="G85" i="11"/>
  <c r="D46" i="11"/>
  <c r="D114" i="11"/>
  <c r="C114" i="11"/>
  <c r="D83" i="11"/>
  <c r="C83" i="11"/>
  <c r="C211" i="8" l="1"/>
  <c r="C212" i="8" s="1"/>
  <c r="C114" i="8"/>
  <c r="G84" i="11"/>
  <c r="D45" i="11"/>
  <c r="R40" i="26"/>
  <c r="R39" i="26"/>
  <c r="T40" i="25"/>
  <c r="C44" i="11"/>
  <c r="T39" i="25"/>
  <c r="D16" i="11" l="1"/>
  <c r="C16" i="11"/>
  <c r="M110" i="8" s="1"/>
  <c r="C110" i="8" s="1"/>
  <c r="G83" i="11"/>
  <c r="D44" i="11"/>
  <c r="D113" i="11"/>
  <c r="C113" i="11"/>
  <c r="D82" i="11"/>
  <c r="C82" i="11"/>
  <c r="T4" i="25"/>
  <c r="T7" i="25"/>
  <c r="T8" i="25"/>
  <c r="T12" i="25"/>
  <c r="T15" i="25"/>
  <c r="T16" i="25"/>
  <c r="T20" i="25"/>
  <c r="T24" i="25"/>
  <c r="T27" i="25"/>
  <c r="T28" i="25"/>
  <c r="T31" i="25"/>
  <c r="T32" i="25"/>
  <c r="T35" i="25"/>
  <c r="T36" i="25"/>
  <c r="M207" i="8" l="1"/>
  <c r="C207" i="8" s="1"/>
  <c r="C208" i="8" s="1"/>
  <c r="C15" i="11"/>
  <c r="M106" i="8" s="1"/>
  <c r="C106" i="8" s="1"/>
  <c r="R36" i="26" l="1"/>
  <c r="R35" i="26"/>
  <c r="C43" i="11"/>
  <c r="D15" i="11" l="1"/>
  <c r="D43" i="11"/>
  <c r="G82" i="11"/>
  <c r="D112" i="11"/>
  <c r="E112" i="11" s="1"/>
  <c r="C112" i="11"/>
  <c r="D81" i="11"/>
  <c r="C81" i="11"/>
  <c r="E81" i="11" s="1"/>
  <c r="C80" i="11"/>
  <c r="E80" i="11" s="1"/>
  <c r="C14" i="11"/>
  <c r="M102" i="8" s="1"/>
  <c r="R32" i="26"/>
  <c r="C42" i="11"/>
  <c r="R31" i="26"/>
  <c r="D111" i="11"/>
  <c r="C111" i="11"/>
  <c r="D80" i="11"/>
  <c r="C13" i="11"/>
  <c r="M98" i="8" s="1"/>
  <c r="R27" i="26"/>
  <c r="R28" i="26"/>
  <c r="G80" i="11"/>
  <c r="C41" i="11"/>
  <c r="D110" i="11"/>
  <c r="C110" i="11"/>
  <c r="C79" i="11"/>
  <c r="T23" i="25"/>
  <c r="C12" i="11" s="1"/>
  <c r="M94" i="8" s="1"/>
  <c r="G79" i="11"/>
  <c r="R23" i="26"/>
  <c r="D109" i="11"/>
  <c r="C109" i="11"/>
  <c r="D78" i="11"/>
  <c r="E78" i="11" s="1"/>
  <c r="C78" i="11"/>
  <c r="R20" i="26"/>
  <c r="G78" i="11"/>
  <c r="R19" i="26"/>
  <c r="C39" i="11"/>
  <c r="T19" i="25"/>
  <c r="C11" i="11" s="1"/>
  <c r="M90" i="8" s="1"/>
  <c r="D108" i="11"/>
  <c r="C108" i="11"/>
  <c r="D77" i="11"/>
  <c r="C77" i="11"/>
  <c r="C10" i="11"/>
  <c r="M86" i="8" s="1"/>
  <c r="R16" i="26"/>
  <c r="G77" i="11"/>
  <c r="R15" i="26"/>
  <c r="C38" i="11"/>
  <c r="J61" i="11"/>
  <c r="S61" i="11"/>
  <c r="S66" i="11" s="1"/>
  <c r="D107" i="11"/>
  <c r="D106" i="11"/>
  <c r="D105" i="11"/>
  <c r="C107" i="11"/>
  <c r="C106" i="11"/>
  <c r="C105" i="11"/>
  <c r="D76" i="11"/>
  <c r="D75" i="11"/>
  <c r="D74" i="11"/>
  <c r="C76" i="11"/>
  <c r="C75" i="11"/>
  <c r="C74" i="11"/>
  <c r="C8" i="11"/>
  <c r="M78" i="8" s="1"/>
  <c r="R12" i="26"/>
  <c r="R11" i="26"/>
  <c r="D36" i="11"/>
  <c r="R8" i="26"/>
  <c r="G75" i="11"/>
  <c r="R7" i="26"/>
  <c r="R4" i="26"/>
  <c r="G74" i="11"/>
  <c r="R3" i="26"/>
  <c r="C37" i="11"/>
  <c r="T11" i="25"/>
  <c r="C9" i="11" s="1"/>
  <c r="M82" i="8" s="1"/>
  <c r="C36" i="11"/>
  <c r="C35" i="11"/>
  <c r="T3" i="25"/>
  <c r="C7" i="11" s="1"/>
  <c r="M74" i="8" s="1"/>
  <c r="F113" i="24"/>
  <c r="F74" i="24"/>
  <c r="F32" i="24"/>
  <c r="O112" i="24"/>
  <c r="O117" i="24"/>
  <c r="K94" i="24"/>
  <c r="N105" i="24" s="1"/>
  <c r="N93" i="24"/>
  <c r="N92" i="24"/>
  <c r="N94" i="24" s="1"/>
  <c r="N103" i="24" s="1"/>
  <c r="O107" i="24" s="1"/>
  <c r="O113" i="24" s="1"/>
  <c r="E92" i="24"/>
  <c r="O78" i="24"/>
  <c r="O73" i="24"/>
  <c r="N66" i="24"/>
  <c r="K55" i="24"/>
  <c r="M76" i="24"/>
  <c r="O76" i="24" s="1"/>
  <c r="N54" i="24"/>
  <c r="E54" i="24"/>
  <c r="N53" i="24"/>
  <c r="N55" i="24" s="1"/>
  <c r="N64" i="24" s="1"/>
  <c r="O68" i="24" s="1"/>
  <c r="E53" i="24"/>
  <c r="N29" i="24"/>
  <c r="K13" i="24"/>
  <c r="N12" i="24"/>
  <c r="N11" i="24"/>
  <c r="N13" i="24" s="1"/>
  <c r="N22" i="24" s="1"/>
  <c r="E11" i="24"/>
  <c r="F11" i="24"/>
  <c r="AM17" i="5"/>
  <c r="AN7" i="5" s="1"/>
  <c r="D242" i="8" s="1"/>
  <c r="S17" i="5"/>
  <c r="T11" i="5" s="1"/>
  <c r="H202" i="8" s="1"/>
  <c r="H105" i="8" s="1"/>
  <c r="H106" i="8" s="1"/>
  <c r="K17" i="5"/>
  <c r="E97" i="11"/>
  <c r="H97" i="11" s="1"/>
  <c r="R97" i="11" s="1"/>
  <c r="S97" i="11" s="1"/>
  <c r="E58" i="11"/>
  <c r="E125" i="11"/>
  <c r="E94" i="11"/>
  <c r="H94" i="11" s="1"/>
  <c r="R94" i="11" s="1"/>
  <c r="S94" i="11" s="1"/>
  <c r="E93" i="11"/>
  <c r="H93" i="11" s="1"/>
  <c r="R93" i="11" s="1"/>
  <c r="S93" i="11" s="1"/>
  <c r="E53" i="11"/>
  <c r="E92" i="11"/>
  <c r="E91" i="11"/>
  <c r="H91" i="11" s="1"/>
  <c r="R91" i="11" s="1"/>
  <c r="S91" i="11" s="1"/>
  <c r="E90" i="11"/>
  <c r="H90" i="11" s="1"/>
  <c r="R90" i="11" s="1"/>
  <c r="S90" i="11" s="1"/>
  <c r="E120" i="11"/>
  <c r="E89" i="11"/>
  <c r="H89" i="11" s="1"/>
  <c r="R89" i="11" s="1"/>
  <c r="S89" i="11" s="1"/>
  <c r="E50" i="11"/>
  <c r="G119" i="11"/>
  <c r="E88" i="11"/>
  <c r="H88" i="11" s="1"/>
  <c r="R88" i="11" s="1"/>
  <c r="S88" i="11" s="1"/>
  <c r="T19" i="9"/>
  <c r="O19" i="9"/>
  <c r="I19" i="9"/>
  <c r="D19" i="9"/>
  <c r="N48" i="11" s="1"/>
  <c r="T20" i="9"/>
  <c r="O20" i="9"/>
  <c r="I20" i="9"/>
  <c r="D20" i="9"/>
  <c r="N49" i="11" s="1"/>
  <c r="G118" i="11"/>
  <c r="E87" i="11"/>
  <c r="H87" i="11" s="1"/>
  <c r="R87" i="11" s="1"/>
  <c r="S87" i="11" s="1"/>
  <c r="E48" i="11"/>
  <c r="E117" i="11"/>
  <c r="E86" i="11"/>
  <c r="H86" i="11" s="1"/>
  <c r="R86" i="11" s="1"/>
  <c r="S86" i="11" s="1"/>
  <c r="E47" i="11"/>
  <c r="E116" i="11"/>
  <c r="G116" i="11"/>
  <c r="E85" i="11"/>
  <c r="E115" i="11"/>
  <c r="G115" i="11"/>
  <c r="E84" i="11"/>
  <c r="G114" i="11"/>
  <c r="E83" i="11"/>
  <c r="H83" i="11" s="1"/>
  <c r="R83" i="11" s="1"/>
  <c r="S83" i="11" s="1"/>
  <c r="E113" i="11"/>
  <c r="O30" i="11"/>
  <c r="S30" i="11" s="1"/>
  <c r="O58" i="11"/>
  <c r="AY7" i="5"/>
  <c r="AY8" i="5"/>
  <c r="AY11" i="5"/>
  <c r="AY12" i="5"/>
  <c r="AY15" i="5"/>
  <c r="AW17" i="5"/>
  <c r="AX9" i="5" s="1"/>
  <c r="F262" i="8" s="1"/>
  <c r="O57" i="11"/>
  <c r="O29" i="11"/>
  <c r="S29" i="11" s="1"/>
  <c r="O56" i="11"/>
  <c r="O28" i="11"/>
  <c r="S28" i="11" s="1"/>
  <c r="O55" i="11"/>
  <c r="O27" i="11"/>
  <c r="S27" i="11" s="1"/>
  <c r="O54" i="11"/>
  <c r="O26" i="11"/>
  <c r="S26" i="11" s="1"/>
  <c r="AO17" i="5"/>
  <c r="AP16" i="5" s="1"/>
  <c r="O25" i="11"/>
  <c r="S25" i="11" s="1"/>
  <c r="O53" i="11"/>
  <c r="O52" i="11"/>
  <c r="O24" i="11"/>
  <c r="S24" i="11" s="1"/>
  <c r="O51" i="11"/>
  <c r="O23" i="11"/>
  <c r="S23" i="11" s="1"/>
  <c r="O50" i="11"/>
  <c r="O22" i="11"/>
  <c r="S22" i="11" s="1"/>
  <c r="O49" i="11"/>
  <c r="O21" i="11"/>
  <c r="S21" i="11" s="1"/>
  <c r="O48" i="11"/>
  <c r="O20" i="11"/>
  <c r="S20" i="11" s="1"/>
  <c r="O47" i="11"/>
  <c r="O19" i="11"/>
  <c r="S19" i="11" s="1"/>
  <c r="O46" i="11"/>
  <c r="S46" i="11" s="1"/>
  <c r="O18" i="11"/>
  <c r="S18" i="11" s="1"/>
  <c r="O45" i="11"/>
  <c r="S45" i="11" s="1"/>
  <c r="O17" i="11"/>
  <c r="S17" i="11" s="1"/>
  <c r="O43" i="11"/>
  <c r="O44" i="11"/>
  <c r="O15" i="11"/>
  <c r="O16" i="11"/>
  <c r="S16" i="11" s="1"/>
  <c r="D6" i="9"/>
  <c r="I6" i="9"/>
  <c r="O6" i="9"/>
  <c r="T6" i="9"/>
  <c r="D7" i="9"/>
  <c r="I7" i="9"/>
  <c r="O7" i="9"/>
  <c r="T7" i="9"/>
  <c r="D8" i="9"/>
  <c r="I8" i="9"/>
  <c r="O8" i="9"/>
  <c r="T8" i="9"/>
  <c r="D9" i="9"/>
  <c r="I9" i="9"/>
  <c r="O9" i="9"/>
  <c r="T9" i="9"/>
  <c r="D10" i="9"/>
  <c r="I10" i="9"/>
  <c r="O10" i="9"/>
  <c r="T10" i="9"/>
  <c r="Y10" i="9" s="1"/>
  <c r="Z10" i="9" s="1"/>
  <c r="D11" i="9"/>
  <c r="N40" i="11" s="1"/>
  <c r="I11" i="9"/>
  <c r="O11" i="9"/>
  <c r="T11" i="9"/>
  <c r="D12" i="9"/>
  <c r="I12" i="9"/>
  <c r="O12" i="9"/>
  <c r="T12" i="9"/>
  <c r="Y12" i="9" s="1"/>
  <c r="D13" i="9"/>
  <c r="I13" i="9"/>
  <c r="O13" i="9"/>
  <c r="T13" i="9"/>
  <c r="D14" i="9"/>
  <c r="O14" i="9"/>
  <c r="T14" i="9"/>
  <c r="D15" i="9"/>
  <c r="I15" i="9"/>
  <c r="O15" i="9"/>
  <c r="T15" i="9"/>
  <c r="D16" i="9"/>
  <c r="N17" i="11" s="1"/>
  <c r="I16" i="9"/>
  <c r="O16" i="9"/>
  <c r="D17" i="9"/>
  <c r="C93" i="28" s="1"/>
  <c r="I17" i="9"/>
  <c r="O17" i="9"/>
  <c r="D18" i="9"/>
  <c r="I18" i="9"/>
  <c r="O18" i="9"/>
  <c r="T18" i="9"/>
  <c r="D21" i="9"/>
  <c r="I21" i="9"/>
  <c r="O21" i="9"/>
  <c r="T21" i="9"/>
  <c r="D22" i="9"/>
  <c r="I22" i="9"/>
  <c r="O22" i="9"/>
  <c r="T22" i="9"/>
  <c r="D23" i="9"/>
  <c r="I23" i="9"/>
  <c r="O23" i="9"/>
  <c r="T23" i="9"/>
  <c r="D24" i="9"/>
  <c r="N53" i="11" s="1"/>
  <c r="I24" i="9"/>
  <c r="O24" i="9"/>
  <c r="N25" i="11" s="1"/>
  <c r="T24" i="9"/>
  <c r="D25" i="9"/>
  <c r="N54" i="11" s="1"/>
  <c r="I25" i="9"/>
  <c r="K25" i="9" s="1"/>
  <c r="O25" i="9"/>
  <c r="T25" i="9"/>
  <c r="D26" i="9"/>
  <c r="N55" i="11" s="1"/>
  <c r="I26" i="9"/>
  <c r="O26" i="9"/>
  <c r="T26" i="9"/>
  <c r="D27" i="9"/>
  <c r="N56" i="11" s="1"/>
  <c r="I27" i="9"/>
  <c r="O27" i="9"/>
  <c r="T27" i="9"/>
  <c r="D28" i="9"/>
  <c r="N57" i="11" s="1"/>
  <c r="I28" i="9"/>
  <c r="O28" i="9"/>
  <c r="T28" i="9"/>
  <c r="D29" i="9"/>
  <c r="I29" i="9"/>
  <c r="O29" i="9"/>
  <c r="T29" i="9"/>
  <c r="B30" i="9"/>
  <c r="C30" i="9"/>
  <c r="F30" i="9"/>
  <c r="G30" i="9"/>
  <c r="M30" i="9"/>
  <c r="N30" i="9"/>
  <c r="R30" i="9"/>
  <c r="S30" i="9"/>
  <c r="B32" i="9"/>
  <c r="C32" i="9"/>
  <c r="F32" i="9"/>
  <c r="I37" i="9" s="1"/>
  <c r="G32" i="9"/>
  <c r="M32" i="9"/>
  <c r="N32" i="9"/>
  <c r="R32" i="9"/>
  <c r="S32" i="9"/>
  <c r="O7" i="11"/>
  <c r="O8" i="11"/>
  <c r="O9" i="11"/>
  <c r="O10" i="11"/>
  <c r="O11" i="11"/>
  <c r="O12" i="11"/>
  <c r="O13" i="11"/>
  <c r="O14" i="11"/>
  <c r="A35" i="11"/>
  <c r="A74" i="11"/>
  <c r="A105" i="11" s="1"/>
  <c r="O35" i="11"/>
  <c r="A36" i="11"/>
  <c r="A75" i="11"/>
  <c r="A106" i="11"/>
  <c r="O36" i="11"/>
  <c r="A37" i="11"/>
  <c r="A76" i="11"/>
  <c r="A107" i="11" s="1"/>
  <c r="O37" i="11"/>
  <c r="A38" i="11"/>
  <c r="A77" i="11" s="1"/>
  <c r="A108" i="11" s="1"/>
  <c r="O38" i="11"/>
  <c r="A39" i="11"/>
  <c r="A78" i="11"/>
  <c r="A109" i="11"/>
  <c r="O39" i="11"/>
  <c r="A40" i="11"/>
  <c r="A79" i="11"/>
  <c r="A110" i="11"/>
  <c r="O40" i="11"/>
  <c r="A41" i="11"/>
  <c r="A80" i="11"/>
  <c r="A111" i="11"/>
  <c r="O41" i="11"/>
  <c r="A42" i="11"/>
  <c r="A81" i="11"/>
  <c r="A112" i="11"/>
  <c r="O42" i="11"/>
  <c r="A43" i="11"/>
  <c r="A82" i="11"/>
  <c r="A113" i="11" s="1"/>
  <c r="A44" i="11"/>
  <c r="A83" i="11"/>
  <c r="A114" i="11"/>
  <c r="A45" i="11"/>
  <c r="A84" i="11"/>
  <c r="A115" i="11"/>
  <c r="A46" i="11"/>
  <c r="A85" i="11" s="1"/>
  <c r="A116" i="11" s="1"/>
  <c r="A47" i="11"/>
  <c r="A86" i="11"/>
  <c r="A117" i="11" s="1"/>
  <c r="A48" i="11"/>
  <c r="A87" i="11"/>
  <c r="A118" i="11"/>
  <c r="A49" i="11"/>
  <c r="A88" i="11"/>
  <c r="A119" i="11"/>
  <c r="A50" i="11"/>
  <c r="A89" i="11" s="1"/>
  <c r="A51" i="11"/>
  <c r="A90" i="11"/>
  <c r="A121" i="11" s="1"/>
  <c r="A91" i="11"/>
  <c r="A122" i="11"/>
  <c r="A53" i="11"/>
  <c r="A92" i="11"/>
  <c r="A123" i="11"/>
  <c r="A54" i="11"/>
  <c r="A93" i="11" s="1"/>
  <c r="A124" i="11" s="1"/>
  <c r="A55" i="11"/>
  <c r="A94" i="11"/>
  <c r="A125" i="11" s="1"/>
  <c r="A56" i="11"/>
  <c r="A95" i="11"/>
  <c r="A126" i="11"/>
  <c r="A57" i="11"/>
  <c r="A96" i="11"/>
  <c r="A127" i="11"/>
  <c r="A58" i="11"/>
  <c r="A97" i="11" s="1"/>
  <c r="A128" i="11" s="1"/>
  <c r="T17" i="9"/>
  <c r="Y17" i="9" s="1"/>
  <c r="Q30" i="9"/>
  <c r="Q32" i="9"/>
  <c r="T16" i="9"/>
  <c r="E55" i="11"/>
  <c r="G128" i="11"/>
  <c r="E128" i="11"/>
  <c r="Y15" i="9"/>
  <c r="M17" i="5"/>
  <c r="N7" i="5" s="1"/>
  <c r="D190" i="8" s="1"/>
  <c r="W17" i="5"/>
  <c r="X11" i="5" s="1"/>
  <c r="H210" i="8" s="1"/>
  <c r="AG17" i="5"/>
  <c r="AH12" i="5" s="1"/>
  <c r="I230" i="8" s="1"/>
  <c r="AK17" i="5"/>
  <c r="AL12" i="5" s="1"/>
  <c r="I238" i="8" s="1"/>
  <c r="AY16" i="5"/>
  <c r="U17" i="5"/>
  <c r="V6" i="5" s="1"/>
  <c r="G117" i="11"/>
  <c r="E25" i="11"/>
  <c r="E21" i="11"/>
  <c r="E56" i="11"/>
  <c r="E96" i="11"/>
  <c r="H96" i="11" s="1"/>
  <c r="R96" i="11" s="1"/>
  <c r="S96" i="11" s="1"/>
  <c r="G122" i="11"/>
  <c r="E23" i="11"/>
  <c r="E51" i="11"/>
  <c r="G121" i="11"/>
  <c r="E82" i="11"/>
  <c r="E114" i="11"/>
  <c r="E119" i="11"/>
  <c r="H119" i="11" s="1"/>
  <c r="E121" i="11"/>
  <c r="E95" i="11"/>
  <c r="H95" i="11" s="1"/>
  <c r="R95" i="11" s="1"/>
  <c r="S95" i="11" s="1"/>
  <c r="E126" i="11"/>
  <c r="E18" i="11"/>
  <c r="G123" i="11"/>
  <c r="G127" i="11"/>
  <c r="E57" i="11"/>
  <c r="E22" i="11"/>
  <c r="G120" i="11"/>
  <c r="H120" i="11" s="1"/>
  <c r="E122" i="11"/>
  <c r="E123" i="11"/>
  <c r="G125" i="11"/>
  <c r="H125" i="11" s="1"/>
  <c r="G126" i="11"/>
  <c r="E29" i="11"/>
  <c r="E49" i="11"/>
  <c r="G124" i="11"/>
  <c r="E127" i="11"/>
  <c r="E54" i="11"/>
  <c r="E17" i="11"/>
  <c r="E124" i="11"/>
  <c r="E27" i="11"/>
  <c r="E24" i="11"/>
  <c r="E20" i="11"/>
  <c r="E52" i="11"/>
  <c r="E26" i="11"/>
  <c r="E28" i="11"/>
  <c r="E118" i="11"/>
  <c r="E19" i="11"/>
  <c r="E16" i="11"/>
  <c r="E46" i="11"/>
  <c r="E45" i="11"/>
  <c r="E43" i="11"/>
  <c r="E44" i="11"/>
  <c r="E30" i="11"/>
  <c r="AU17" i="5"/>
  <c r="AV9" i="5" s="1"/>
  <c r="F258" i="8" s="1"/>
  <c r="AY6" i="5"/>
  <c r="AS17" i="5"/>
  <c r="AT10" i="5" s="1"/>
  <c r="G254" i="8" s="1"/>
  <c r="AQ17" i="5"/>
  <c r="AR16" i="5" s="1"/>
  <c r="AN15" i="5"/>
  <c r="L242" i="8" s="1"/>
  <c r="AI17" i="5"/>
  <c r="AJ12" i="5" s="1"/>
  <c r="I234" i="8" s="1"/>
  <c r="AH11" i="5"/>
  <c r="H230" i="8" s="1"/>
  <c r="AE17" i="5"/>
  <c r="AF6" i="5" s="1"/>
  <c r="AC17" i="5"/>
  <c r="AD9" i="5" s="1"/>
  <c r="F222" i="8" s="1"/>
  <c r="AA17" i="5"/>
  <c r="AB8" i="5" s="1"/>
  <c r="E218" i="8" s="1"/>
  <c r="Y17" i="5"/>
  <c r="Z9" i="5" s="1"/>
  <c r="F214" i="8" s="1"/>
  <c r="Q17" i="5"/>
  <c r="R15" i="5" s="1"/>
  <c r="L198" i="8" s="1"/>
  <c r="L101" i="8" s="1"/>
  <c r="O17" i="5"/>
  <c r="I17" i="5"/>
  <c r="AY13" i="5"/>
  <c r="G17" i="5"/>
  <c r="H7" i="5" s="1"/>
  <c r="D178" i="8" s="1"/>
  <c r="D81" i="8" s="1"/>
  <c r="E17" i="5"/>
  <c r="F8" i="5" s="1"/>
  <c r="E174" i="8" s="1"/>
  <c r="E77" i="8" s="1"/>
  <c r="AY9" i="5"/>
  <c r="AY14" i="5"/>
  <c r="AY10" i="5"/>
  <c r="C17" i="5"/>
  <c r="D14" i="5" s="1"/>
  <c r="K170" i="8" s="1"/>
  <c r="K73" i="8" s="1"/>
  <c r="AR15" i="5"/>
  <c r="L250" i="8" s="1"/>
  <c r="AJ14" i="5"/>
  <c r="K234" i="8" s="1"/>
  <c r="AB11" i="5"/>
  <c r="H218" i="8" s="1"/>
  <c r="P10" i="5"/>
  <c r="G194" i="8" s="1"/>
  <c r="G97" i="8" s="1"/>
  <c r="C13" i="24"/>
  <c r="F53" i="24"/>
  <c r="F55" i="24"/>
  <c r="O26" i="24"/>
  <c r="N24" i="24"/>
  <c r="N30" i="24"/>
  <c r="O31" i="24" s="1"/>
  <c r="M34" i="24"/>
  <c r="O34" i="24" s="1"/>
  <c r="O74" i="24"/>
  <c r="O80" i="24" s="1"/>
  <c r="E62" i="24" s="1"/>
  <c r="F62" i="24" s="1"/>
  <c r="F54" i="24"/>
  <c r="C55" i="24"/>
  <c r="E93" i="24"/>
  <c r="F93" i="24" s="1"/>
  <c r="F94" i="24" s="1"/>
  <c r="C94" i="24"/>
  <c r="F92" i="24"/>
  <c r="O32" i="24"/>
  <c r="F29" i="24"/>
  <c r="G33" i="24" s="1"/>
  <c r="F17" i="24"/>
  <c r="F18" i="24"/>
  <c r="F110" i="24"/>
  <c r="F97" i="24"/>
  <c r="F98" i="24"/>
  <c r="F71" i="24"/>
  <c r="G75" i="24"/>
  <c r="F58" i="24"/>
  <c r="F59" i="24" s="1"/>
  <c r="F72" i="24"/>
  <c r="F73" i="24"/>
  <c r="N12" i="11"/>
  <c r="N22" i="11"/>
  <c r="R22" i="11" s="1"/>
  <c r="N50" i="11"/>
  <c r="AR11" i="5"/>
  <c r="H250" i="8" s="1"/>
  <c r="AJ13" i="5"/>
  <c r="J234" i="8" s="1"/>
  <c r="AJ16" i="5"/>
  <c r="AJ15" i="5"/>
  <c r="L234" i="8" s="1"/>
  <c r="AJ7" i="5"/>
  <c r="D234" i="8" s="1"/>
  <c r="AH8" i="5"/>
  <c r="E230" i="8" s="1"/>
  <c r="AH9" i="5"/>
  <c r="F230" i="8" s="1"/>
  <c r="AH13" i="5"/>
  <c r="J230" i="8" s="1"/>
  <c r="AH10" i="5"/>
  <c r="G230" i="8" s="1"/>
  <c r="AH6" i="5"/>
  <c r="AH7" i="5"/>
  <c r="D230" i="8" s="1"/>
  <c r="AB10" i="5"/>
  <c r="G218" i="8" s="1"/>
  <c r="P7" i="5"/>
  <c r="D194" i="8" s="1"/>
  <c r="D97" i="8" s="1"/>
  <c r="P13" i="5"/>
  <c r="J194" i="8" s="1"/>
  <c r="J97" i="8" s="1"/>
  <c r="J8" i="5"/>
  <c r="E182" i="8" s="1"/>
  <c r="E85" i="8" s="1"/>
  <c r="J7" i="5"/>
  <c r="D182" i="8" s="1"/>
  <c r="J9" i="5"/>
  <c r="F182" i="8" s="1"/>
  <c r="F85" i="8" s="1"/>
  <c r="J11" i="5"/>
  <c r="H182" i="8" s="1"/>
  <c r="H85" i="8" s="1"/>
  <c r="H10" i="5"/>
  <c r="G178" i="8" s="1"/>
  <c r="G81" i="8" s="1"/>
  <c r="H6" i="5"/>
  <c r="H11" i="5"/>
  <c r="H178" i="8" s="1"/>
  <c r="H81" i="8" s="1"/>
  <c r="F100" i="24"/>
  <c r="F61" i="24"/>
  <c r="F30" i="24"/>
  <c r="F31" i="24" s="1"/>
  <c r="H9" i="5"/>
  <c r="F178" i="8" s="1"/>
  <c r="F81" i="8" s="1"/>
  <c r="H12" i="5"/>
  <c r="I178" i="8" s="1"/>
  <c r="I81" i="8" s="1"/>
  <c r="F14" i="5"/>
  <c r="K174" i="8" s="1"/>
  <c r="K77" i="8" s="1"/>
  <c r="F16" i="5"/>
  <c r="F6" i="5"/>
  <c r="F12" i="5"/>
  <c r="I174" i="8" s="1"/>
  <c r="I77" i="8" s="1"/>
  <c r="D7" i="5"/>
  <c r="D170" i="8" s="1"/>
  <c r="D73" i="8" s="1"/>
  <c r="D8" i="5"/>
  <c r="E170" i="8" s="1"/>
  <c r="E73" i="8" s="1"/>
  <c r="P66" i="11"/>
  <c r="J66" i="11"/>
  <c r="N9" i="11"/>
  <c r="E105" i="11"/>
  <c r="J6" i="5"/>
  <c r="X10" i="9"/>
  <c r="N11" i="11"/>
  <c r="N39" i="11"/>
  <c r="K10" i="9"/>
  <c r="N10" i="5"/>
  <c r="G190" i="8" s="1"/>
  <c r="G93" i="8" s="1"/>
  <c r="N15" i="5"/>
  <c r="L190" i="8" s="1"/>
  <c r="L93" i="8" s="1"/>
  <c r="N16" i="5"/>
  <c r="N11" i="5"/>
  <c r="H190" i="8" s="1"/>
  <c r="H93" i="8" s="1"/>
  <c r="N6" i="5"/>
  <c r="N14" i="5"/>
  <c r="K190" i="8" s="1"/>
  <c r="K93" i="8" s="1"/>
  <c r="N8" i="5"/>
  <c r="E190" i="8" s="1"/>
  <c r="E93" i="8" s="1"/>
  <c r="N9" i="5"/>
  <c r="F190" i="8" s="1"/>
  <c r="F93" i="8" s="1"/>
  <c r="N12" i="5"/>
  <c r="I190" i="8" s="1"/>
  <c r="I93" i="8" s="1"/>
  <c r="N13" i="5"/>
  <c r="J190" i="8" s="1"/>
  <c r="J93" i="8" s="1"/>
  <c r="X12" i="9"/>
  <c r="N41" i="11"/>
  <c r="K12" i="9"/>
  <c r="N13" i="11"/>
  <c r="E108" i="11"/>
  <c r="E76" i="11"/>
  <c r="H92" i="11"/>
  <c r="R92" i="11" s="1"/>
  <c r="S92" i="11" s="1"/>
  <c r="H126" i="11"/>
  <c r="X13" i="9"/>
  <c r="K13" i="9"/>
  <c r="N42" i="11"/>
  <c r="P42" i="11" s="1"/>
  <c r="N14" i="11"/>
  <c r="R9" i="5"/>
  <c r="F198" i="8" s="1"/>
  <c r="F101" i="8" s="1"/>
  <c r="R12" i="5"/>
  <c r="I198" i="8" s="1"/>
  <c r="I101" i="8" s="1"/>
  <c r="R7" i="5"/>
  <c r="D198" i="8" s="1"/>
  <c r="D101" i="8" s="1"/>
  <c r="R6" i="5"/>
  <c r="R10" i="5"/>
  <c r="G198" i="8" s="1"/>
  <c r="G101" i="8" s="1"/>
  <c r="R13" i="5"/>
  <c r="J198" i="8" s="1"/>
  <c r="J101" i="8" s="1"/>
  <c r="R16" i="5"/>
  <c r="R11" i="5"/>
  <c r="H198" i="8" s="1"/>
  <c r="H101" i="8" s="1"/>
  <c r="R8" i="5"/>
  <c r="E198" i="8" s="1"/>
  <c r="E101" i="8" s="1"/>
  <c r="R14" i="5"/>
  <c r="K198" i="8" s="1"/>
  <c r="K101" i="8" s="1"/>
  <c r="M203" i="8" l="1"/>
  <c r="C203" i="8" s="1"/>
  <c r="C204" i="8" s="1"/>
  <c r="F93" i="28"/>
  <c r="F94" i="28" s="1"/>
  <c r="C94" i="28"/>
  <c r="F105" i="28" s="1"/>
  <c r="F113" i="28" s="1"/>
  <c r="X16" i="5"/>
  <c r="X14" i="5"/>
  <c r="K210" i="8" s="1"/>
  <c r="X10" i="5"/>
  <c r="G210" i="8" s="1"/>
  <c r="G113" i="8" s="1"/>
  <c r="G114" i="8" s="1"/>
  <c r="X15" i="5"/>
  <c r="L210" i="8" s="1"/>
  <c r="L211" i="8" s="1"/>
  <c r="L212" i="8" s="1"/>
  <c r="X9" i="5"/>
  <c r="F210" i="8" s="1"/>
  <c r="F113" i="8" s="1"/>
  <c r="F114" i="8" s="1"/>
  <c r="X13" i="5"/>
  <c r="J210" i="8" s="1"/>
  <c r="J211" i="8" s="1"/>
  <c r="J212" i="8" s="1"/>
  <c r="X7" i="5"/>
  <c r="D210" i="8" s="1"/>
  <c r="D113" i="8" s="1"/>
  <c r="X12" i="5"/>
  <c r="I210" i="8" s="1"/>
  <c r="I211" i="8" s="1"/>
  <c r="I212" i="8" s="1"/>
  <c r="X6" i="5"/>
  <c r="X8" i="5"/>
  <c r="E210" i="8" s="1"/>
  <c r="E113" i="8" s="1"/>
  <c r="E114" i="8" s="1"/>
  <c r="H114" i="11"/>
  <c r="G113" i="11"/>
  <c r="H82" i="11"/>
  <c r="R82" i="11" s="1"/>
  <c r="S82" i="11" s="1"/>
  <c r="S15" i="11"/>
  <c r="E15" i="11"/>
  <c r="R14" i="11"/>
  <c r="D129" i="11"/>
  <c r="E111" i="11"/>
  <c r="R13" i="11"/>
  <c r="P12" i="11"/>
  <c r="P41" i="11"/>
  <c r="V13" i="9"/>
  <c r="P40" i="11"/>
  <c r="V11" i="9"/>
  <c r="K11" i="9"/>
  <c r="M101" i="8"/>
  <c r="M198" i="8" s="1"/>
  <c r="R39" i="11"/>
  <c r="H78" i="11"/>
  <c r="R78" i="11" s="1"/>
  <c r="S78" i="11" s="1"/>
  <c r="C129" i="11"/>
  <c r="R11" i="11"/>
  <c r="E77" i="11"/>
  <c r="H77" i="11" s="1"/>
  <c r="R77" i="11" s="1"/>
  <c r="S77" i="11" s="1"/>
  <c r="E106" i="11"/>
  <c r="C98" i="11"/>
  <c r="E75" i="11"/>
  <c r="D10" i="11"/>
  <c r="M183" i="8" s="1"/>
  <c r="E183" i="8" s="1"/>
  <c r="E184" i="8" s="1"/>
  <c r="D9" i="11"/>
  <c r="D8" i="11"/>
  <c r="M175" i="8" s="1"/>
  <c r="Y7" i="9"/>
  <c r="Y9" i="9"/>
  <c r="Y8" i="9"/>
  <c r="H15" i="5"/>
  <c r="L178" i="8" s="1"/>
  <c r="L81" i="8" s="1"/>
  <c r="D7" i="11"/>
  <c r="E74" i="11"/>
  <c r="H74" i="11" s="1"/>
  <c r="R74" i="11" s="1"/>
  <c r="S74" i="11" s="1"/>
  <c r="D15" i="5"/>
  <c r="L170" i="8" s="1"/>
  <c r="L73" i="8" s="1"/>
  <c r="D12" i="5"/>
  <c r="I170" i="8" s="1"/>
  <c r="I73" i="8" s="1"/>
  <c r="F13" i="5"/>
  <c r="J174" i="8" s="1"/>
  <c r="J77" i="8" s="1"/>
  <c r="F9" i="5"/>
  <c r="F174" i="8" s="1"/>
  <c r="F77" i="8" s="1"/>
  <c r="F15" i="5"/>
  <c r="L174" i="8" s="1"/>
  <c r="L77" i="8" s="1"/>
  <c r="F7" i="5"/>
  <c r="D174" i="8" s="1"/>
  <c r="D77" i="8" s="1"/>
  <c r="P61" i="11"/>
  <c r="G157" i="8"/>
  <c r="G158" i="8" s="1"/>
  <c r="G255" i="8"/>
  <c r="G256" i="8" s="1"/>
  <c r="AX12" i="5"/>
  <c r="I262" i="8" s="1"/>
  <c r="F165" i="8"/>
  <c r="F166" i="8" s="1"/>
  <c r="F263" i="8"/>
  <c r="F264" i="8" s="1"/>
  <c r="AX13" i="5"/>
  <c r="J262" i="8" s="1"/>
  <c r="F161" i="8"/>
  <c r="F162" i="8" s="1"/>
  <c r="F259" i="8"/>
  <c r="F260" i="8" s="1"/>
  <c r="H153" i="8"/>
  <c r="H154" i="8" s="1"/>
  <c r="H251" i="8"/>
  <c r="H252" i="8" s="1"/>
  <c r="L153" i="8"/>
  <c r="L154" i="8" s="1"/>
  <c r="L251" i="8"/>
  <c r="L252" i="8" s="1"/>
  <c r="L145" i="8"/>
  <c r="L146" i="8" s="1"/>
  <c r="L243" i="8"/>
  <c r="L244" i="8" s="1"/>
  <c r="D145" i="8"/>
  <c r="M242" i="8"/>
  <c r="D243" i="8"/>
  <c r="D244" i="8" s="1"/>
  <c r="M244" i="8" s="1"/>
  <c r="I141" i="8"/>
  <c r="I142" i="8" s="1"/>
  <c r="I239" i="8"/>
  <c r="I240" i="8" s="1"/>
  <c r="K137" i="8"/>
  <c r="K138" i="8" s="1"/>
  <c r="K235" i="8"/>
  <c r="K236" i="8" s="1"/>
  <c r="J137" i="8"/>
  <c r="J138" i="8" s="1"/>
  <c r="J235" i="8"/>
  <c r="J236" i="8" s="1"/>
  <c r="D137" i="8"/>
  <c r="M234" i="8"/>
  <c r="D235" i="8"/>
  <c r="D236" i="8" s="1"/>
  <c r="M236" i="8" s="1"/>
  <c r="I137" i="8"/>
  <c r="I138" i="8" s="1"/>
  <c r="I235" i="8"/>
  <c r="I236" i="8" s="1"/>
  <c r="L137" i="8"/>
  <c r="L138" i="8" s="1"/>
  <c r="L235" i="8"/>
  <c r="L236" i="8" s="1"/>
  <c r="F133" i="8"/>
  <c r="F134" i="8" s="1"/>
  <c r="F231" i="8"/>
  <c r="F232" i="8" s="1"/>
  <c r="G133" i="8"/>
  <c r="G134" i="8" s="1"/>
  <c r="G231" i="8"/>
  <c r="G232" i="8" s="1"/>
  <c r="E133" i="8"/>
  <c r="E134" i="8" s="1"/>
  <c r="E231" i="8"/>
  <c r="E232" i="8" s="1"/>
  <c r="H133" i="8"/>
  <c r="H134" i="8" s="1"/>
  <c r="H231" i="8"/>
  <c r="H232" i="8" s="1"/>
  <c r="D133" i="8"/>
  <c r="M230" i="8"/>
  <c r="D231" i="8"/>
  <c r="D232" i="8" s="1"/>
  <c r="M232" i="8" s="1"/>
  <c r="J133" i="8"/>
  <c r="J134" i="8" s="1"/>
  <c r="J231" i="8"/>
  <c r="J232" i="8" s="1"/>
  <c r="I133" i="8"/>
  <c r="I134" i="8" s="1"/>
  <c r="I231" i="8"/>
  <c r="I232" i="8" s="1"/>
  <c r="AH15" i="5"/>
  <c r="L230" i="8" s="1"/>
  <c r="AH16" i="5"/>
  <c r="F125" i="8"/>
  <c r="F126" i="8" s="1"/>
  <c r="F223" i="8"/>
  <c r="F224" i="8" s="1"/>
  <c r="G121" i="8"/>
  <c r="G122" i="8" s="1"/>
  <c r="G219" i="8"/>
  <c r="G220" i="8" s="1"/>
  <c r="E121" i="8"/>
  <c r="E122" i="8" s="1"/>
  <c r="E219" i="8"/>
  <c r="E220" i="8" s="1"/>
  <c r="H121" i="8"/>
  <c r="H122" i="8" s="1"/>
  <c r="H219" i="8"/>
  <c r="H220" i="8" s="1"/>
  <c r="F117" i="8"/>
  <c r="F118" i="8" s="1"/>
  <c r="F215" i="8"/>
  <c r="F216" i="8" s="1"/>
  <c r="K113" i="8"/>
  <c r="K114" i="8" s="1"/>
  <c r="K211" i="8"/>
  <c r="K212" i="8" s="1"/>
  <c r="G211" i="8"/>
  <c r="G212" i="8" s="1"/>
  <c r="J113" i="8"/>
  <c r="J114" i="8" s="1"/>
  <c r="H113" i="8"/>
  <c r="H114" i="8" s="1"/>
  <c r="H211" i="8"/>
  <c r="H212" i="8" s="1"/>
  <c r="H203" i="8"/>
  <c r="H204" i="8" s="1"/>
  <c r="D93" i="8"/>
  <c r="M93" i="8" s="1"/>
  <c r="M190" i="8"/>
  <c r="D85" i="8"/>
  <c r="Y6" i="9"/>
  <c r="Y19" i="9"/>
  <c r="K20" i="9"/>
  <c r="X11" i="9"/>
  <c r="N27" i="11"/>
  <c r="R27" i="11" s="1"/>
  <c r="N35" i="11"/>
  <c r="R35" i="11" s="1"/>
  <c r="M171" i="8"/>
  <c r="E7" i="11"/>
  <c r="H183" i="8"/>
  <c r="H184" i="8" s="1"/>
  <c r="S7" i="11"/>
  <c r="H124" i="11"/>
  <c r="H75" i="11"/>
  <c r="R75" i="11" s="1"/>
  <c r="S75" i="11" s="1"/>
  <c r="D11" i="11"/>
  <c r="M187" i="8" s="1"/>
  <c r="D39" i="11"/>
  <c r="C82" i="8"/>
  <c r="H82" i="8"/>
  <c r="I82" i="8"/>
  <c r="D82" i="8"/>
  <c r="G82" i="8"/>
  <c r="F82" i="8"/>
  <c r="L82" i="8"/>
  <c r="C90" i="8"/>
  <c r="C94" i="8"/>
  <c r="F94" i="8"/>
  <c r="H94" i="8"/>
  <c r="K94" i="8"/>
  <c r="J94" i="8"/>
  <c r="I94" i="8"/>
  <c r="E94" i="8"/>
  <c r="L94" i="8"/>
  <c r="G94" i="8"/>
  <c r="D94" i="8"/>
  <c r="C98" i="8"/>
  <c r="D98" i="8"/>
  <c r="J98" i="8"/>
  <c r="G98" i="8"/>
  <c r="C102" i="8"/>
  <c r="L102" i="8"/>
  <c r="J102" i="8"/>
  <c r="F102" i="8"/>
  <c r="I102" i="8"/>
  <c r="E102" i="8"/>
  <c r="H102" i="8"/>
  <c r="D102" i="8"/>
  <c r="G102" i="8"/>
  <c r="K102" i="8"/>
  <c r="C74" i="8"/>
  <c r="K74" i="8"/>
  <c r="L74" i="8"/>
  <c r="E74" i="8"/>
  <c r="I74" i="8"/>
  <c r="D74" i="8"/>
  <c r="E109" i="11"/>
  <c r="E107" i="11"/>
  <c r="C78" i="8"/>
  <c r="I78" i="8"/>
  <c r="K78" i="8"/>
  <c r="J78" i="8"/>
  <c r="E78" i="8"/>
  <c r="L78" i="8"/>
  <c r="F78" i="8"/>
  <c r="D78" i="8"/>
  <c r="C86" i="8"/>
  <c r="H86" i="8"/>
  <c r="F86" i="8"/>
  <c r="E86" i="8"/>
  <c r="E110" i="11"/>
  <c r="A120" i="11"/>
  <c r="V61" i="11"/>
  <c r="N58" i="11"/>
  <c r="P25" i="11"/>
  <c r="T25" i="11" s="1"/>
  <c r="R25" i="11"/>
  <c r="T54" i="11"/>
  <c r="P11" i="11"/>
  <c r="P53" i="11"/>
  <c r="T53" i="11"/>
  <c r="AX16" i="5"/>
  <c r="AV6" i="5"/>
  <c r="AV8" i="5"/>
  <c r="E258" i="8" s="1"/>
  <c r="AV10" i="5"/>
  <c r="G258" i="8" s="1"/>
  <c r="AV13" i="5"/>
  <c r="J258" i="8" s="1"/>
  <c r="AV14" i="5"/>
  <c r="K258" i="8" s="1"/>
  <c r="AV12" i="5"/>
  <c r="I258" i="8" s="1"/>
  <c r="AV7" i="5"/>
  <c r="D258" i="8" s="1"/>
  <c r="AV16" i="5"/>
  <c r="AV11" i="5"/>
  <c r="H258" i="8" s="1"/>
  <c r="AV15" i="5"/>
  <c r="L258" i="8" s="1"/>
  <c r="N29" i="11"/>
  <c r="R29" i="11" s="1"/>
  <c r="P57" i="11"/>
  <c r="T57" i="11" s="1"/>
  <c r="E61" i="11"/>
  <c r="L61" i="11" s="1"/>
  <c r="E66" i="11"/>
  <c r="L66" i="11" s="1"/>
  <c r="R61" i="11"/>
  <c r="R66" i="11" s="1"/>
  <c r="X61" i="11"/>
  <c r="AX15" i="5"/>
  <c r="L262" i="8" s="1"/>
  <c r="AX11" i="5"/>
  <c r="H262" i="8" s="1"/>
  <c r="AX14" i="5"/>
  <c r="K262" i="8" s="1"/>
  <c r="AX8" i="5"/>
  <c r="E262" i="8" s="1"/>
  <c r="AX10" i="5"/>
  <c r="G262" i="8" s="1"/>
  <c r="H128" i="11"/>
  <c r="Y29" i="9"/>
  <c r="V29" i="9"/>
  <c r="V28" i="9"/>
  <c r="X28" i="9"/>
  <c r="N28" i="11"/>
  <c r="P56" i="11"/>
  <c r="T56" i="11" s="1"/>
  <c r="K27" i="9"/>
  <c r="V27" i="9"/>
  <c r="AT16" i="5"/>
  <c r="P55" i="11"/>
  <c r="T55" i="11" s="1"/>
  <c r="V26" i="9"/>
  <c r="AR8" i="5"/>
  <c r="E250" i="8" s="1"/>
  <c r="AR13" i="5"/>
  <c r="J250" i="8" s="1"/>
  <c r="AR14" i="5"/>
  <c r="K250" i="8" s="1"/>
  <c r="AR12" i="5"/>
  <c r="I250" i="8" s="1"/>
  <c r="AR10" i="5"/>
  <c r="G250" i="8" s="1"/>
  <c r="AR9" i="5"/>
  <c r="F250" i="8" s="1"/>
  <c r="AR6" i="5"/>
  <c r="AR7" i="5"/>
  <c r="D250" i="8" s="1"/>
  <c r="H62" i="11"/>
  <c r="G62" i="11"/>
  <c r="P54" i="11"/>
  <c r="V25" i="9"/>
  <c r="AP15" i="5"/>
  <c r="L246" i="8" s="1"/>
  <c r="AP11" i="5"/>
  <c r="H246" i="8" s="1"/>
  <c r="AP9" i="5"/>
  <c r="F246" i="8" s="1"/>
  <c r="AP14" i="5"/>
  <c r="K246" i="8" s="1"/>
  <c r="AP12" i="5"/>
  <c r="I246" i="8" s="1"/>
  <c r="AP10" i="5"/>
  <c r="G246" i="8" s="1"/>
  <c r="AP8" i="5"/>
  <c r="E246" i="8" s="1"/>
  <c r="AP7" i="5"/>
  <c r="D246" i="8" s="1"/>
  <c r="AP13" i="5"/>
  <c r="J246" i="8" s="1"/>
  <c r="AP6" i="5"/>
  <c r="H123" i="11"/>
  <c r="V20" i="9"/>
  <c r="Y18" i="9"/>
  <c r="AN6" i="5"/>
  <c r="AN16" i="5"/>
  <c r="AN11" i="5"/>
  <c r="H242" i="8" s="1"/>
  <c r="AN12" i="5"/>
  <c r="I242" i="8" s="1"/>
  <c r="AN13" i="5"/>
  <c r="J242" i="8" s="1"/>
  <c r="AN14" i="5"/>
  <c r="K242" i="8" s="1"/>
  <c r="AN9" i="5"/>
  <c r="F242" i="8" s="1"/>
  <c r="AN10" i="5"/>
  <c r="G242" i="8" s="1"/>
  <c r="AN8" i="5"/>
  <c r="E242" i="8" s="1"/>
  <c r="Y23" i="9"/>
  <c r="K23" i="9"/>
  <c r="AL10" i="5"/>
  <c r="G238" i="8" s="1"/>
  <c r="AL7" i="5"/>
  <c r="D238" i="8" s="1"/>
  <c r="AL13" i="5"/>
  <c r="J238" i="8" s="1"/>
  <c r="AL11" i="5"/>
  <c r="H238" i="8" s="1"/>
  <c r="AL8" i="5"/>
  <c r="E238" i="8" s="1"/>
  <c r="AL16" i="5"/>
  <c r="AL15" i="5"/>
  <c r="L238" i="8" s="1"/>
  <c r="AL9" i="5"/>
  <c r="F238" i="8" s="1"/>
  <c r="AL6" i="5"/>
  <c r="AL14" i="5"/>
  <c r="K238" i="8" s="1"/>
  <c r="H122" i="11"/>
  <c r="H121" i="11"/>
  <c r="AJ6" i="5"/>
  <c r="AJ8" i="5"/>
  <c r="E234" i="8" s="1"/>
  <c r="AJ10" i="5"/>
  <c r="G234" i="8" s="1"/>
  <c r="AJ11" i="5"/>
  <c r="H234" i="8" s="1"/>
  <c r="AJ9" i="5"/>
  <c r="F234" i="8" s="1"/>
  <c r="Y22" i="9"/>
  <c r="X22" i="9"/>
  <c r="V22" i="9"/>
  <c r="H117" i="11"/>
  <c r="H118" i="11"/>
  <c r="Y21" i="9"/>
  <c r="AH14" i="5"/>
  <c r="K230" i="8" s="1"/>
  <c r="AD15" i="5"/>
  <c r="L222" i="8" s="1"/>
  <c r="AD7" i="5"/>
  <c r="D222" i="8" s="1"/>
  <c r="AD14" i="5"/>
  <c r="K222" i="8" s="1"/>
  <c r="AD13" i="5"/>
  <c r="J222" i="8" s="1"/>
  <c r="AD6" i="5"/>
  <c r="AB9" i="5"/>
  <c r="F218" i="8" s="1"/>
  <c r="AB12" i="5"/>
  <c r="I218" i="8" s="1"/>
  <c r="AD10" i="5"/>
  <c r="G222" i="8" s="1"/>
  <c r="AD12" i="5"/>
  <c r="I222" i="8" s="1"/>
  <c r="AB7" i="5"/>
  <c r="D218" i="8" s="1"/>
  <c r="AB16" i="5"/>
  <c r="AB6" i="5"/>
  <c r="AF10" i="5"/>
  <c r="G226" i="8" s="1"/>
  <c r="AF7" i="5"/>
  <c r="D226" i="8" s="1"/>
  <c r="AF9" i="5"/>
  <c r="F226" i="8" s="1"/>
  <c r="AF14" i="5"/>
  <c r="K226" i="8" s="1"/>
  <c r="AF12" i="5"/>
  <c r="I226" i="8" s="1"/>
  <c r="AF13" i="5"/>
  <c r="J226" i="8" s="1"/>
  <c r="AF8" i="5"/>
  <c r="E226" i="8" s="1"/>
  <c r="AF16" i="5"/>
  <c r="AF11" i="5"/>
  <c r="H226" i="8" s="1"/>
  <c r="AD11" i="5"/>
  <c r="H222" i="8" s="1"/>
  <c r="AB14" i="5"/>
  <c r="K218" i="8" s="1"/>
  <c r="AB15" i="5"/>
  <c r="L218" i="8" s="1"/>
  <c r="X20" i="9"/>
  <c r="P13" i="11"/>
  <c r="P9" i="11"/>
  <c r="X27" i="9"/>
  <c r="K28" i="9"/>
  <c r="X6" i="9"/>
  <c r="Y28" i="9"/>
  <c r="Y26" i="9"/>
  <c r="K16" i="9"/>
  <c r="X18" i="9"/>
  <c r="Z18" i="9" s="1"/>
  <c r="Y13" i="9"/>
  <c r="Z13" i="9" s="1"/>
  <c r="Y11" i="9"/>
  <c r="Z11" i="9" s="1"/>
  <c r="V12" i="9"/>
  <c r="X25" i="9"/>
  <c r="Y27" i="9"/>
  <c r="N45" i="11"/>
  <c r="X23" i="9"/>
  <c r="P14" i="11"/>
  <c r="N7" i="11"/>
  <c r="P7" i="11" s="1"/>
  <c r="X16" i="9"/>
  <c r="X15" i="9"/>
  <c r="V10" i="9"/>
  <c r="P27" i="11"/>
  <c r="T27" i="11" s="1"/>
  <c r="R12" i="11"/>
  <c r="Z12" i="9"/>
  <c r="P49" i="11"/>
  <c r="T49" i="11" s="1"/>
  <c r="P22" i="11"/>
  <c r="T22" i="11" s="1"/>
  <c r="P48" i="11"/>
  <c r="T48" i="11" s="1"/>
  <c r="V19" i="9"/>
  <c r="X19" i="9"/>
  <c r="Z19" i="9" s="1"/>
  <c r="N20" i="11"/>
  <c r="K19" i="9"/>
  <c r="D32" i="9"/>
  <c r="I36" i="9" s="1"/>
  <c r="K18" i="9"/>
  <c r="AF15" i="5"/>
  <c r="L226" i="8" s="1"/>
  <c r="AB13" i="5"/>
  <c r="J218" i="8" s="1"/>
  <c r="L6" i="5"/>
  <c r="L10" i="5"/>
  <c r="G186" i="8" s="1"/>
  <c r="G89" i="8" s="1"/>
  <c r="G90" i="8" s="1"/>
  <c r="L13" i="5"/>
  <c r="J186" i="8" s="1"/>
  <c r="J89" i="8" s="1"/>
  <c r="J90" i="8" s="1"/>
  <c r="L14" i="5"/>
  <c r="K186" i="8" s="1"/>
  <c r="K89" i="8" s="1"/>
  <c r="K90" i="8" s="1"/>
  <c r="L15" i="5"/>
  <c r="L186" i="8" s="1"/>
  <c r="L89" i="8" s="1"/>
  <c r="L90" i="8" s="1"/>
  <c r="L9" i="5"/>
  <c r="F186" i="8" s="1"/>
  <c r="F89" i="8" s="1"/>
  <c r="F90" i="8" s="1"/>
  <c r="L16" i="5"/>
  <c r="L7" i="5"/>
  <c r="D186" i="8" s="1"/>
  <c r="L12" i="5"/>
  <c r="I186" i="8" s="1"/>
  <c r="I89" i="8" s="1"/>
  <c r="I90" i="8" s="1"/>
  <c r="L11" i="5"/>
  <c r="H186" i="8" s="1"/>
  <c r="H89" i="8" s="1"/>
  <c r="H90" i="8" s="1"/>
  <c r="D37" i="11"/>
  <c r="G76" i="11"/>
  <c r="H80" i="11"/>
  <c r="R80" i="11" s="1"/>
  <c r="S80" i="11" s="1"/>
  <c r="G106" i="11"/>
  <c r="H106" i="11" s="1"/>
  <c r="S36" i="11"/>
  <c r="E36" i="11"/>
  <c r="R17" i="5"/>
  <c r="L8" i="5"/>
  <c r="E186" i="8" s="1"/>
  <c r="E89" i="8" s="1"/>
  <c r="E90" i="8" s="1"/>
  <c r="X24" i="9"/>
  <c r="K24" i="9"/>
  <c r="X21" i="9"/>
  <c r="K21" i="9"/>
  <c r="V21" i="9"/>
  <c r="X9" i="9"/>
  <c r="Z9" i="9" s="1"/>
  <c r="N38" i="11"/>
  <c r="R38" i="11" s="1"/>
  <c r="K9" i="9"/>
  <c r="N10" i="11"/>
  <c r="P10" i="11" s="1"/>
  <c r="V9" i="9"/>
  <c r="N37" i="11"/>
  <c r="P37" i="11" s="1"/>
  <c r="V8" i="9"/>
  <c r="X8" i="9"/>
  <c r="K8" i="9"/>
  <c r="N36" i="11"/>
  <c r="P36" i="11" s="1"/>
  <c r="V7" i="9"/>
  <c r="K7" i="9"/>
  <c r="N8" i="11"/>
  <c r="P8" i="11" s="1"/>
  <c r="X7" i="9"/>
  <c r="Z7" i="9" s="1"/>
  <c r="R9" i="11"/>
  <c r="N17" i="5"/>
  <c r="F64" i="24"/>
  <c r="G68" i="24" s="1"/>
  <c r="G76" i="24" s="1"/>
  <c r="P15" i="5"/>
  <c r="L194" i="8" s="1"/>
  <c r="L97" i="8" s="1"/>
  <c r="L98" i="8" s="1"/>
  <c r="P16" i="5"/>
  <c r="P11" i="5"/>
  <c r="H194" i="8" s="1"/>
  <c r="H97" i="8" s="1"/>
  <c r="H98" i="8" s="1"/>
  <c r="P14" i="5"/>
  <c r="K194" i="8" s="1"/>
  <c r="K97" i="8" s="1"/>
  <c r="K98" i="8" s="1"/>
  <c r="P6" i="5"/>
  <c r="P8" i="5"/>
  <c r="E194" i="8" s="1"/>
  <c r="E97" i="8" s="1"/>
  <c r="M97" i="8" s="1"/>
  <c r="M194" i="8" s="1"/>
  <c r="P9" i="5"/>
  <c r="F194" i="8" s="1"/>
  <c r="F97" i="8" s="1"/>
  <c r="F98" i="8" s="1"/>
  <c r="P12" i="5"/>
  <c r="I194" i="8" s="1"/>
  <c r="I97" i="8" s="1"/>
  <c r="I98" i="8" s="1"/>
  <c r="O40" i="24"/>
  <c r="O36" i="24"/>
  <c r="O38" i="24" s="1"/>
  <c r="E21" i="24"/>
  <c r="F21" i="24" s="1"/>
  <c r="E12" i="24"/>
  <c r="F12" i="24" s="1"/>
  <c r="F13" i="24" s="1"/>
  <c r="F20" i="24" s="1"/>
  <c r="D9" i="5"/>
  <c r="F170" i="8" s="1"/>
  <c r="F73" i="8" s="1"/>
  <c r="F74" i="8" s="1"/>
  <c r="D13" i="5"/>
  <c r="J170" i="8" s="1"/>
  <c r="J73" i="8" s="1"/>
  <c r="J74" i="8" s="1"/>
  <c r="J14" i="5"/>
  <c r="K182" i="8" s="1"/>
  <c r="K85" i="8" s="1"/>
  <c r="K86" i="8" s="1"/>
  <c r="J13" i="5"/>
  <c r="J182" i="8" s="1"/>
  <c r="J85" i="8" s="1"/>
  <c r="J86" i="8" s="1"/>
  <c r="AT15" i="5"/>
  <c r="L254" i="8" s="1"/>
  <c r="AT13" i="5"/>
  <c r="J254" i="8" s="1"/>
  <c r="AT9" i="5"/>
  <c r="F254" i="8" s="1"/>
  <c r="AT8" i="5"/>
  <c r="E254" i="8" s="1"/>
  <c r="AT11" i="5"/>
  <c r="H254" i="8" s="1"/>
  <c r="Y24" i="9"/>
  <c r="V24" i="9"/>
  <c r="N52" i="11"/>
  <c r="N24" i="11"/>
  <c r="K22" i="9"/>
  <c r="N23" i="11"/>
  <c r="N51" i="11"/>
  <c r="N21" i="11"/>
  <c r="Y20" i="9"/>
  <c r="D10" i="5"/>
  <c r="G170" i="8" s="1"/>
  <c r="G73" i="8" s="1"/>
  <c r="G74" i="8" s="1"/>
  <c r="D16" i="5"/>
  <c r="J12" i="5"/>
  <c r="I182" i="8" s="1"/>
  <c r="I85" i="8" s="1"/>
  <c r="I86" i="8" s="1"/>
  <c r="J10" i="5"/>
  <c r="G182" i="8" s="1"/>
  <c r="G85" i="8" s="1"/>
  <c r="G86" i="8" s="1"/>
  <c r="P17" i="11"/>
  <c r="T17" i="11" s="1"/>
  <c r="R17" i="11"/>
  <c r="AT12" i="5"/>
  <c r="I254" i="8" s="1"/>
  <c r="F11" i="5"/>
  <c r="H174" i="8" s="1"/>
  <c r="H77" i="8" s="1"/>
  <c r="H78" i="8" s="1"/>
  <c r="F10" i="5"/>
  <c r="G174" i="8" s="1"/>
  <c r="G77" i="8" s="1"/>
  <c r="G78" i="8" s="1"/>
  <c r="H127" i="11"/>
  <c r="P39" i="11"/>
  <c r="O59" i="11"/>
  <c r="O63" i="11" s="1"/>
  <c r="O64" i="11" s="1"/>
  <c r="K29" i="9"/>
  <c r="X29" i="9"/>
  <c r="Z29" i="9" s="1"/>
  <c r="K26" i="9"/>
  <c r="X26" i="9"/>
  <c r="Z26" i="9" s="1"/>
  <c r="N26" i="11"/>
  <c r="Y25" i="9"/>
  <c r="Z22" i="9"/>
  <c r="N47" i="11"/>
  <c r="N19" i="11"/>
  <c r="P50" i="11"/>
  <c r="T50" i="11" s="1"/>
  <c r="AX7" i="5"/>
  <c r="D262" i="8" s="1"/>
  <c r="AX6" i="5"/>
  <c r="H84" i="11"/>
  <c r="R84" i="11" s="1"/>
  <c r="S84" i="11" s="1"/>
  <c r="D11" i="5"/>
  <c r="H170" i="8" s="1"/>
  <c r="H73" i="8" s="1"/>
  <c r="H74" i="8" s="1"/>
  <c r="D6" i="5"/>
  <c r="J16" i="5"/>
  <c r="J15" i="5"/>
  <c r="L182" i="8" s="1"/>
  <c r="L85" i="8" s="1"/>
  <c r="L86" i="8" s="1"/>
  <c r="F111" i="24"/>
  <c r="F112" i="24" s="1"/>
  <c r="G114" i="24"/>
  <c r="V23" i="9"/>
  <c r="AT14" i="5"/>
  <c r="K254" i="8" s="1"/>
  <c r="AT6" i="5"/>
  <c r="AT7" i="5"/>
  <c r="D254" i="8" s="1"/>
  <c r="H16" i="5"/>
  <c r="H14" i="5"/>
  <c r="K178" i="8" s="1"/>
  <c r="K81" i="8" s="1"/>
  <c r="K82" i="8" s="1"/>
  <c r="H13" i="5"/>
  <c r="J178" i="8" s="1"/>
  <c r="J81" i="8" s="1"/>
  <c r="J82" i="8" s="1"/>
  <c r="H8" i="5"/>
  <c r="E178" i="8" s="1"/>
  <c r="E81" i="8" s="1"/>
  <c r="E82" i="8" s="1"/>
  <c r="AD16" i="5"/>
  <c r="AD8" i="5"/>
  <c r="E222" i="8" s="1"/>
  <c r="V18" i="9"/>
  <c r="K6" i="9"/>
  <c r="V6" i="9"/>
  <c r="G81" i="11"/>
  <c r="H81" i="11" s="1"/>
  <c r="N30" i="11"/>
  <c r="Y16" i="9"/>
  <c r="D13" i="11"/>
  <c r="D14" i="11"/>
  <c r="M199" i="8" s="1"/>
  <c r="N18" i="11"/>
  <c r="R18" i="11" s="1"/>
  <c r="D41" i="11"/>
  <c r="M115" i="24"/>
  <c r="O115" i="24" s="1"/>
  <c r="O119" i="24" s="1"/>
  <c r="E101" i="24" s="1"/>
  <c r="F101" i="24" s="1"/>
  <c r="F103" i="24" s="1"/>
  <c r="G107" i="24" s="1"/>
  <c r="G115" i="24" s="1"/>
  <c r="D35" i="11"/>
  <c r="R24" i="26"/>
  <c r="D12" i="11" s="1"/>
  <c r="M191" i="8" s="1"/>
  <c r="C40" i="11"/>
  <c r="D79" i="11"/>
  <c r="D42" i="11"/>
  <c r="D38" i="11"/>
  <c r="D40" i="11"/>
  <c r="Z16" i="5"/>
  <c r="Z10" i="5"/>
  <c r="G214" i="8" s="1"/>
  <c r="Z12" i="5"/>
  <c r="I214" i="8" s="1"/>
  <c r="Z13" i="5"/>
  <c r="J214" i="8" s="1"/>
  <c r="Z14" i="5"/>
  <c r="K214" i="8" s="1"/>
  <c r="Z15" i="5"/>
  <c r="L214" i="8" s="1"/>
  <c r="Z11" i="5"/>
  <c r="H214" i="8" s="1"/>
  <c r="Z7" i="5"/>
  <c r="D214" i="8" s="1"/>
  <c r="Z8" i="5"/>
  <c r="E214" i="8" s="1"/>
  <c r="Z6" i="5"/>
  <c r="H85" i="11"/>
  <c r="R85" i="11" s="1"/>
  <c r="S85" i="11" s="1"/>
  <c r="N46" i="11"/>
  <c r="R46" i="11" s="1"/>
  <c r="H116" i="11"/>
  <c r="O32" i="9"/>
  <c r="V17" i="9"/>
  <c r="K17" i="9"/>
  <c r="X17" i="9"/>
  <c r="Z17" i="9" s="1"/>
  <c r="H115" i="11"/>
  <c r="T30" i="9"/>
  <c r="O30" i="9"/>
  <c r="V16" i="9"/>
  <c r="O31" i="11"/>
  <c r="Z15" i="9"/>
  <c r="K15" i="9"/>
  <c r="V15" i="9"/>
  <c r="N16" i="11"/>
  <c r="N44" i="11"/>
  <c r="V12" i="5"/>
  <c r="I206" i="8" s="1"/>
  <c r="V11" i="5"/>
  <c r="H206" i="8" s="1"/>
  <c r="V13" i="5"/>
  <c r="J206" i="8" s="1"/>
  <c r="V8" i="5"/>
  <c r="E206" i="8" s="1"/>
  <c r="V14" i="5"/>
  <c r="K206" i="8" s="1"/>
  <c r="V10" i="5"/>
  <c r="G206" i="8" s="1"/>
  <c r="V15" i="5"/>
  <c r="L206" i="8" s="1"/>
  <c r="V16" i="5"/>
  <c r="V9" i="5"/>
  <c r="F206" i="8" s="1"/>
  <c r="V7" i="5"/>
  <c r="D206" i="8" s="1"/>
  <c r="H113" i="11"/>
  <c r="R10" i="11"/>
  <c r="C31" i="11"/>
  <c r="E10" i="11"/>
  <c r="AY17" i="5"/>
  <c r="AZ13" i="5" s="1"/>
  <c r="T6" i="5"/>
  <c r="T15" i="5"/>
  <c r="L202" i="8" s="1"/>
  <c r="T8" i="5"/>
  <c r="E202" i="8" s="1"/>
  <c r="T16" i="5"/>
  <c r="T14" i="5"/>
  <c r="K202" i="8" s="1"/>
  <c r="T10" i="5"/>
  <c r="G202" i="8" s="1"/>
  <c r="T9" i="5"/>
  <c r="F202" i="8" s="1"/>
  <c r="T13" i="5"/>
  <c r="J202" i="8" s="1"/>
  <c r="T7" i="5"/>
  <c r="D202" i="8" s="1"/>
  <c r="T12" i="5"/>
  <c r="I202" i="8" s="1"/>
  <c r="T32" i="9"/>
  <c r="Y14" i="9"/>
  <c r="N15" i="11"/>
  <c r="D30" i="9"/>
  <c r="N43" i="11"/>
  <c r="I113" i="8" l="1"/>
  <c r="I114" i="8" s="1"/>
  <c r="L113" i="8"/>
  <c r="L114" i="8" s="1"/>
  <c r="F211" i="8"/>
  <c r="F212" i="8" s="1"/>
  <c r="D211" i="8"/>
  <c r="D212" i="8" s="1"/>
  <c r="E211" i="8"/>
  <c r="E212" i="8" s="1"/>
  <c r="X17" i="5"/>
  <c r="E129" i="11"/>
  <c r="C130" i="11" s="1"/>
  <c r="E98" i="8"/>
  <c r="S11" i="11"/>
  <c r="E11" i="11"/>
  <c r="T11" i="11" s="1"/>
  <c r="E8" i="11"/>
  <c r="S8" i="11"/>
  <c r="D183" i="8"/>
  <c r="D184" i="8" s="1"/>
  <c r="F183" i="8"/>
  <c r="F184" i="8" s="1"/>
  <c r="C183" i="8"/>
  <c r="C184" i="8" s="1"/>
  <c r="S10" i="11"/>
  <c r="M179" i="8"/>
  <c r="K179" i="8" s="1"/>
  <c r="K180" i="8" s="1"/>
  <c r="E9" i="11"/>
  <c r="T9" i="11" s="1"/>
  <c r="S9" i="11"/>
  <c r="R8" i="11"/>
  <c r="T8" i="11"/>
  <c r="Z8" i="9"/>
  <c r="P38" i="11"/>
  <c r="M81" i="8"/>
  <c r="M178" i="8" s="1"/>
  <c r="M85" i="8"/>
  <c r="D86" i="8"/>
  <c r="M182" i="8"/>
  <c r="T7" i="11"/>
  <c r="Z6" i="9"/>
  <c r="M77" i="8"/>
  <c r="M174" i="8" s="1"/>
  <c r="M73" i="8"/>
  <c r="M170" i="8" s="1"/>
  <c r="D62" i="11"/>
  <c r="T61" i="11"/>
  <c r="T66" i="11" s="1"/>
  <c r="C62" i="11"/>
  <c r="H157" i="8"/>
  <c r="H158" i="8" s="1"/>
  <c r="H255" i="8"/>
  <c r="H256" i="8" s="1"/>
  <c r="G165" i="8"/>
  <c r="G166" i="8" s="1"/>
  <c r="G263" i="8"/>
  <c r="G264" i="8" s="1"/>
  <c r="L165" i="8"/>
  <c r="L166" i="8" s="1"/>
  <c r="L263" i="8"/>
  <c r="L264" i="8" s="1"/>
  <c r="L161" i="8"/>
  <c r="L162" i="8" s="1"/>
  <c r="L259" i="8"/>
  <c r="L260" i="8" s="1"/>
  <c r="I161" i="8"/>
  <c r="I162" i="8" s="1"/>
  <c r="I259" i="8"/>
  <c r="I260" i="8" s="1"/>
  <c r="E161" i="8"/>
  <c r="E162" i="8" s="1"/>
  <c r="E259" i="8"/>
  <c r="E260" i="8" s="1"/>
  <c r="I165" i="8"/>
  <c r="I166" i="8" s="1"/>
  <c r="I263" i="8"/>
  <c r="I264" i="8" s="1"/>
  <c r="I157" i="8"/>
  <c r="I158" i="8" s="1"/>
  <c r="I255" i="8"/>
  <c r="I256" i="8" s="1"/>
  <c r="D161" i="8"/>
  <c r="M258" i="8"/>
  <c r="D259" i="8"/>
  <c r="D260" i="8" s="1"/>
  <c r="E157" i="8"/>
  <c r="E158" i="8" s="1"/>
  <c r="E255" i="8"/>
  <c r="E256" i="8" s="1"/>
  <c r="F157" i="8"/>
  <c r="F158" i="8" s="1"/>
  <c r="F255" i="8"/>
  <c r="F256" i="8" s="1"/>
  <c r="E165" i="8"/>
  <c r="E166" i="8" s="1"/>
  <c r="E263" i="8"/>
  <c r="E264" i="8" s="1"/>
  <c r="H161" i="8"/>
  <c r="H162" i="8" s="1"/>
  <c r="H259" i="8"/>
  <c r="H260" i="8" s="1"/>
  <c r="K161" i="8"/>
  <c r="K162" i="8" s="1"/>
  <c r="K259" i="8"/>
  <c r="K260" i="8" s="1"/>
  <c r="J165" i="8"/>
  <c r="J166" i="8" s="1"/>
  <c r="J263" i="8"/>
  <c r="J264" i="8" s="1"/>
  <c r="L157" i="8"/>
  <c r="L158" i="8" s="1"/>
  <c r="L255" i="8"/>
  <c r="L256" i="8" s="1"/>
  <c r="H165" i="8"/>
  <c r="H166" i="8" s="1"/>
  <c r="H263" i="8"/>
  <c r="H264" i="8" s="1"/>
  <c r="G161" i="8"/>
  <c r="G162" i="8" s="1"/>
  <c r="G259" i="8"/>
  <c r="G260" i="8" s="1"/>
  <c r="K157" i="8"/>
  <c r="K158" i="8" s="1"/>
  <c r="K255" i="8"/>
  <c r="K256" i="8" s="1"/>
  <c r="D157" i="8"/>
  <c r="M254" i="8"/>
  <c r="D255" i="8"/>
  <c r="D256" i="8" s="1"/>
  <c r="M256" i="8" s="1"/>
  <c r="D165" i="8"/>
  <c r="M262" i="8"/>
  <c r="D263" i="8"/>
  <c r="D264" i="8" s="1"/>
  <c r="J157" i="8"/>
  <c r="J158" i="8" s="1"/>
  <c r="J255" i="8"/>
  <c r="J256" i="8" s="1"/>
  <c r="K165" i="8"/>
  <c r="K166" i="8" s="1"/>
  <c r="K263" i="8"/>
  <c r="K264" i="8" s="1"/>
  <c r="J161" i="8"/>
  <c r="J162" i="8" s="1"/>
  <c r="J259" i="8"/>
  <c r="J260" i="8" s="1"/>
  <c r="G153" i="8"/>
  <c r="G154" i="8" s="1"/>
  <c r="G251" i="8"/>
  <c r="G252" i="8" s="1"/>
  <c r="E153" i="8"/>
  <c r="E154" i="8" s="1"/>
  <c r="E251" i="8"/>
  <c r="E252" i="8" s="1"/>
  <c r="D153" i="8"/>
  <c r="M250" i="8"/>
  <c r="D251" i="8"/>
  <c r="D252" i="8" s="1"/>
  <c r="M252" i="8" s="1"/>
  <c r="I153" i="8"/>
  <c r="I154" i="8" s="1"/>
  <c r="I251" i="8"/>
  <c r="I252" i="8" s="1"/>
  <c r="K153" i="8"/>
  <c r="K154" i="8" s="1"/>
  <c r="K251" i="8"/>
  <c r="K252" i="8" s="1"/>
  <c r="F153" i="8"/>
  <c r="F154" i="8" s="1"/>
  <c r="F251" i="8"/>
  <c r="F252" i="8" s="1"/>
  <c r="J153" i="8"/>
  <c r="J154" i="8" s="1"/>
  <c r="J251" i="8"/>
  <c r="J252" i="8" s="1"/>
  <c r="E149" i="8"/>
  <c r="E150" i="8" s="1"/>
  <c r="E247" i="8"/>
  <c r="E248" i="8" s="1"/>
  <c r="F149" i="8"/>
  <c r="F150" i="8" s="1"/>
  <c r="F247" i="8"/>
  <c r="F248" i="8" s="1"/>
  <c r="G149" i="8"/>
  <c r="G150" i="8" s="1"/>
  <c r="G247" i="8"/>
  <c r="G248" i="8" s="1"/>
  <c r="H149" i="8"/>
  <c r="H150" i="8" s="1"/>
  <c r="H247" i="8"/>
  <c r="H248" i="8" s="1"/>
  <c r="J149" i="8"/>
  <c r="J150" i="8" s="1"/>
  <c r="J247" i="8"/>
  <c r="J248" i="8" s="1"/>
  <c r="I149" i="8"/>
  <c r="I150" i="8" s="1"/>
  <c r="I247" i="8"/>
  <c r="I248" i="8" s="1"/>
  <c r="L149" i="8"/>
  <c r="L150" i="8" s="1"/>
  <c r="L247" i="8"/>
  <c r="L248" i="8" s="1"/>
  <c r="D149" i="8"/>
  <c r="M246" i="8"/>
  <c r="D247" i="8"/>
  <c r="D248" i="8" s="1"/>
  <c r="M248" i="8" s="1"/>
  <c r="K149" i="8"/>
  <c r="K150" i="8" s="1"/>
  <c r="K247" i="8"/>
  <c r="K248" i="8" s="1"/>
  <c r="K145" i="8"/>
  <c r="K146" i="8" s="1"/>
  <c r="K243" i="8"/>
  <c r="K244" i="8" s="1"/>
  <c r="E145" i="8"/>
  <c r="E146" i="8" s="1"/>
  <c r="E243" i="8"/>
  <c r="E244" i="8" s="1"/>
  <c r="J145" i="8"/>
  <c r="J146" i="8" s="1"/>
  <c r="J243" i="8"/>
  <c r="J244" i="8" s="1"/>
  <c r="M145" i="8"/>
  <c r="D146" i="8"/>
  <c r="G145" i="8"/>
  <c r="G146" i="8" s="1"/>
  <c r="G243" i="8"/>
  <c r="G244" i="8" s="1"/>
  <c r="I145" i="8"/>
  <c r="I146" i="8" s="1"/>
  <c r="I243" i="8"/>
  <c r="I244" i="8" s="1"/>
  <c r="F145" i="8"/>
  <c r="F146" i="8" s="1"/>
  <c r="F243" i="8"/>
  <c r="F244" i="8" s="1"/>
  <c r="H145" i="8"/>
  <c r="H146" i="8" s="1"/>
  <c r="H243" i="8"/>
  <c r="H244" i="8" s="1"/>
  <c r="F141" i="8"/>
  <c r="F142" i="8" s="1"/>
  <c r="F239" i="8"/>
  <c r="F240" i="8" s="1"/>
  <c r="H141" i="8"/>
  <c r="H142" i="8" s="1"/>
  <c r="H239" i="8"/>
  <c r="H240" i="8" s="1"/>
  <c r="L141" i="8"/>
  <c r="L142" i="8" s="1"/>
  <c r="L239" i="8"/>
  <c r="L240" i="8" s="1"/>
  <c r="J141" i="8"/>
  <c r="J142" i="8" s="1"/>
  <c r="J239" i="8"/>
  <c r="J240" i="8" s="1"/>
  <c r="K141" i="8"/>
  <c r="K142" i="8" s="1"/>
  <c r="K239" i="8"/>
  <c r="K240" i="8" s="1"/>
  <c r="D141" i="8"/>
  <c r="M238" i="8"/>
  <c r="D239" i="8"/>
  <c r="D240" i="8" s="1"/>
  <c r="M240" i="8" s="1"/>
  <c r="E141" i="8"/>
  <c r="E142" i="8" s="1"/>
  <c r="E239" i="8"/>
  <c r="E240" i="8" s="1"/>
  <c r="G141" i="8"/>
  <c r="G142" i="8" s="1"/>
  <c r="G239" i="8"/>
  <c r="G240" i="8" s="1"/>
  <c r="E137" i="8"/>
  <c r="E138" i="8" s="1"/>
  <c r="E235" i="8"/>
  <c r="E236" i="8" s="1"/>
  <c r="F137" i="8"/>
  <c r="F138" i="8" s="1"/>
  <c r="F235" i="8"/>
  <c r="F236" i="8" s="1"/>
  <c r="H137" i="8"/>
  <c r="H138" i="8" s="1"/>
  <c r="H235" i="8"/>
  <c r="H236" i="8" s="1"/>
  <c r="G137" i="8"/>
  <c r="G138" i="8" s="1"/>
  <c r="G235" i="8"/>
  <c r="G236" i="8" s="1"/>
  <c r="M137" i="8"/>
  <c r="D138" i="8"/>
  <c r="K133" i="8"/>
  <c r="K134" i="8" s="1"/>
  <c r="K231" i="8"/>
  <c r="K232" i="8" s="1"/>
  <c r="L133" i="8"/>
  <c r="L134" i="8" s="1"/>
  <c r="L231" i="8"/>
  <c r="L232" i="8" s="1"/>
  <c r="M133" i="8"/>
  <c r="D134" i="8"/>
  <c r="J129" i="8"/>
  <c r="J130" i="8" s="1"/>
  <c r="J227" i="8"/>
  <c r="J228" i="8" s="1"/>
  <c r="D129" i="8"/>
  <c r="D227" i="8"/>
  <c r="D228" i="8" s="1"/>
  <c r="M228" i="8" s="1"/>
  <c r="H129" i="8"/>
  <c r="H130" i="8" s="1"/>
  <c r="H227" i="8"/>
  <c r="H228" i="8" s="1"/>
  <c r="I129" i="8"/>
  <c r="I130" i="8" s="1"/>
  <c r="I227" i="8"/>
  <c r="I228" i="8" s="1"/>
  <c r="G129" i="8"/>
  <c r="G130" i="8" s="1"/>
  <c r="G227" i="8"/>
  <c r="G228" i="8" s="1"/>
  <c r="K129" i="8"/>
  <c r="K130" i="8" s="1"/>
  <c r="K227" i="8"/>
  <c r="K228" i="8" s="1"/>
  <c r="L129" i="8"/>
  <c r="L130" i="8" s="1"/>
  <c r="L227" i="8"/>
  <c r="L228" i="8" s="1"/>
  <c r="E129" i="8"/>
  <c r="E130" i="8" s="1"/>
  <c r="E227" i="8"/>
  <c r="E228" i="8" s="1"/>
  <c r="F129" i="8"/>
  <c r="F130" i="8" s="1"/>
  <c r="F227" i="8"/>
  <c r="F228" i="8" s="1"/>
  <c r="E125" i="8"/>
  <c r="E126" i="8" s="1"/>
  <c r="E223" i="8"/>
  <c r="E224" i="8" s="1"/>
  <c r="H125" i="8"/>
  <c r="H126" i="8" s="1"/>
  <c r="H223" i="8"/>
  <c r="H224" i="8" s="1"/>
  <c r="D125" i="8"/>
  <c r="D223" i="8"/>
  <c r="D224" i="8" s="1"/>
  <c r="M224" i="8" s="1"/>
  <c r="I125" i="8"/>
  <c r="I126" i="8" s="1"/>
  <c r="I223" i="8"/>
  <c r="I224" i="8" s="1"/>
  <c r="L125" i="8"/>
  <c r="L126" i="8" s="1"/>
  <c r="L223" i="8"/>
  <c r="L224" i="8" s="1"/>
  <c r="G125" i="8"/>
  <c r="G126" i="8" s="1"/>
  <c r="G223" i="8"/>
  <c r="G224" i="8" s="1"/>
  <c r="J125" i="8"/>
  <c r="J126" i="8" s="1"/>
  <c r="J223" i="8"/>
  <c r="J224" i="8" s="1"/>
  <c r="K125" i="8"/>
  <c r="K126" i="8" s="1"/>
  <c r="K223" i="8"/>
  <c r="K224" i="8" s="1"/>
  <c r="J121" i="8"/>
  <c r="J122" i="8" s="1"/>
  <c r="J219" i="8"/>
  <c r="J220" i="8" s="1"/>
  <c r="L121" i="8"/>
  <c r="L122" i="8" s="1"/>
  <c r="L219" i="8"/>
  <c r="L220" i="8" s="1"/>
  <c r="K121" i="8"/>
  <c r="K122" i="8" s="1"/>
  <c r="K219" i="8"/>
  <c r="K220" i="8" s="1"/>
  <c r="I121" i="8"/>
  <c r="I122" i="8" s="1"/>
  <c r="I219" i="8"/>
  <c r="I220" i="8" s="1"/>
  <c r="D121" i="8"/>
  <c r="D219" i="8"/>
  <c r="D220" i="8" s="1"/>
  <c r="M220" i="8" s="1"/>
  <c r="F121" i="8"/>
  <c r="F122" i="8" s="1"/>
  <c r="F219" i="8"/>
  <c r="F220" i="8" s="1"/>
  <c r="J117" i="8"/>
  <c r="J118" i="8" s="1"/>
  <c r="J215" i="8"/>
  <c r="J216" i="8" s="1"/>
  <c r="I117" i="8"/>
  <c r="I118" i="8" s="1"/>
  <c r="I215" i="8"/>
  <c r="I216" i="8" s="1"/>
  <c r="L117" i="8"/>
  <c r="L118" i="8" s="1"/>
  <c r="L215" i="8"/>
  <c r="L216" i="8" s="1"/>
  <c r="G117" i="8"/>
  <c r="G118" i="8" s="1"/>
  <c r="G215" i="8"/>
  <c r="G216" i="8" s="1"/>
  <c r="D117" i="8"/>
  <c r="D215" i="8"/>
  <c r="D216" i="8" s="1"/>
  <c r="H117" i="8"/>
  <c r="H118" i="8" s="1"/>
  <c r="H215" i="8"/>
  <c r="H216" i="8" s="1"/>
  <c r="E117" i="8"/>
  <c r="E118" i="8" s="1"/>
  <c r="E215" i="8"/>
  <c r="E216" i="8" s="1"/>
  <c r="K117" i="8"/>
  <c r="K118" i="8" s="1"/>
  <c r="K215" i="8"/>
  <c r="K216" i="8" s="1"/>
  <c r="M113" i="8"/>
  <c r="M210" i="8" s="1"/>
  <c r="D114" i="8"/>
  <c r="E109" i="8"/>
  <c r="E110" i="8" s="1"/>
  <c r="E207" i="8"/>
  <c r="E208" i="8" s="1"/>
  <c r="L109" i="8"/>
  <c r="L110" i="8" s="1"/>
  <c r="L207" i="8"/>
  <c r="L208" i="8" s="1"/>
  <c r="J109" i="8"/>
  <c r="J110" i="8" s="1"/>
  <c r="J207" i="8"/>
  <c r="J208" i="8" s="1"/>
  <c r="D109" i="8"/>
  <c r="D207" i="8"/>
  <c r="D208" i="8" s="1"/>
  <c r="H109" i="8"/>
  <c r="H110" i="8" s="1"/>
  <c r="H207" i="8"/>
  <c r="H208" i="8" s="1"/>
  <c r="G109" i="8"/>
  <c r="G110" i="8" s="1"/>
  <c r="G207" i="8"/>
  <c r="G208" i="8" s="1"/>
  <c r="F109" i="8"/>
  <c r="F110" i="8" s="1"/>
  <c r="F207" i="8"/>
  <c r="F208" i="8" s="1"/>
  <c r="K109" i="8"/>
  <c r="K110" i="8" s="1"/>
  <c r="K207" i="8"/>
  <c r="K208" i="8" s="1"/>
  <c r="I109" i="8"/>
  <c r="I110" i="8" s="1"/>
  <c r="I207" i="8"/>
  <c r="I208" i="8" s="1"/>
  <c r="J105" i="8"/>
  <c r="J106" i="8" s="1"/>
  <c r="J203" i="8"/>
  <c r="J204" i="8" s="1"/>
  <c r="F105" i="8"/>
  <c r="F106" i="8" s="1"/>
  <c r="F203" i="8"/>
  <c r="F204" i="8" s="1"/>
  <c r="E105" i="8"/>
  <c r="E106" i="8" s="1"/>
  <c r="E203" i="8"/>
  <c r="E204" i="8" s="1"/>
  <c r="G105" i="8"/>
  <c r="G106" i="8" s="1"/>
  <c r="G203" i="8"/>
  <c r="G204" i="8" s="1"/>
  <c r="L105" i="8"/>
  <c r="L106" i="8" s="1"/>
  <c r="L203" i="8"/>
  <c r="L204" i="8" s="1"/>
  <c r="I105" i="8"/>
  <c r="I106" i="8" s="1"/>
  <c r="I203" i="8"/>
  <c r="I204" i="8" s="1"/>
  <c r="D105" i="8"/>
  <c r="D203" i="8"/>
  <c r="D204" i="8" s="1"/>
  <c r="K105" i="8"/>
  <c r="K106" i="8" s="1"/>
  <c r="K203" i="8"/>
  <c r="K204" i="8" s="1"/>
  <c r="D89" i="8"/>
  <c r="M186" i="8"/>
  <c r="G183" i="8"/>
  <c r="G184" i="8" s="1"/>
  <c r="L183" i="8"/>
  <c r="L184" i="8" s="1"/>
  <c r="I183" i="8"/>
  <c r="I184" i="8" s="1"/>
  <c r="J183" i="8"/>
  <c r="J184" i="8" s="1"/>
  <c r="K183" i="8"/>
  <c r="K184" i="8" s="1"/>
  <c r="J179" i="8"/>
  <c r="J180" i="8" s="1"/>
  <c r="E179" i="8"/>
  <c r="E180" i="8" s="1"/>
  <c r="Z23" i="9"/>
  <c r="P18" i="11"/>
  <c r="T18" i="11" s="1"/>
  <c r="P35" i="11"/>
  <c r="Z16" i="9"/>
  <c r="D34" i="17"/>
  <c r="P46" i="11"/>
  <c r="T46" i="11" s="1"/>
  <c r="Z20" i="9"/>
  <c r="P58" i="11"/>
  <c r="T58" i="11" s="1"/>
  <c r="P45" i="11"/>
  <c r="T45" i="11" s="1"/>
  <c r="E13" i="11"/>
  <c r="T13" i="11" s="1"/>
  <c r="M195" i="8"/>
  <c r="C191" i="8"/>
  <c r="C192" i="8" s="1"/>
  <c r="L191" i="8"/>
  <c r="L192" i="8" s="1"/>
  <c r="D191" i="8"/>
  <c r="D192" i="8" s="1"/>
  <c r="J191" i="8"/>
  <c r="J192" i="8" s="1"/>
  <c r="K191" i="8"/>
  <c r="K192" i="8" s="1"/>
  <c r="I191" i="8"/>
  <c r="I192" i="8" s="1"/>
  <c r="F191" i="8"/>
  <c r="F192" i="8" s="1"/>
  <c r="G191" i="8"/>
  <c r="G192" i="8" s="1"/>
  <c r="E191" i="8"/>
  <c r="E192" i="8" s="1"/>
  <c r="H191" i="8"/>
  <c r="H192" i="8" s="1"/>
  <c r="E175" i="8"/>
  <c r="E176" i="8" s="1"/>
  <c r="D175" i="8"/>
  <c r="D176" i="8" s="1"/>
  <c r="C175" i="8"/>
  <c r="C176" i="8" s="1"/>
  <c r="J175" i="8"/>
  <c r="J176" i="8" s="1"/>
  <c r="F175" i="8"/>
  <c r="F176" i="8" s="1"/>
  <c r="L175" i="8"/>
  <c r="L176" i="8" s="1"/>
  <c r="K175" i="8"/>
  <c r="K176" i="8" s="1"/>
  <c r="H175" i="8"/>
  <c r="H176" i="8" s="1"/>
  <c r="G175" i="8"/>
  <c r="G176" i="8" s="1"/>
  <c r="I175" i="8"/>
  <c r="I176" i="8" s="1"/>
  <c r="S39" i="11"/>
  <c r="E39" i="11"/>
  <c r="T39" i="11" s="1"/>
  <c r="G109" i="11"/>
  <c r="H109" i="11" s="1"/>
  <c r="C199" i="8"/>
  <c r="C200" i="8" s="1"/>
  <c r="L199" i="8"/>
  <c r="L200" i="8" s="1"/>
  <c r="J199" i="8"/>
  <c r="J200" i="8" s="1"/>
  <c r="G199" i="8"/>
  <c r="G200" i="8" s="1"/>
  <c r="I199" i="8"/>
  <c r="I200" i="8" s="1"/>
  <c r="H199" i="8"/>
  <c r="H200" i="8" s="1"/>
  <c r="F199" i="8"/>
  <c r="F200" i="8" s="1"/>
  <c r="E199" i="8"/>
  <c r="E200" i="8" s="1"/>
  <c r="D199" i="8"/>
  <c r="D200" i="8" s="1"/>
  <c r="K199" i="8"/>
  <c r="K200" i="8" s="1"/>
  <c r="C187" i="8"/>
  <c r="C188" i="8" s="1"/>
  <c r="D187" i="8"/>
  <c r="D188" i="8" s="1"/>
  <c r="G187" i="8"/>
  <c r="G188" i="8" s="1"/>
  <c r="E187" i="8"/>
  <c r="E188" i="8" s="1"/>
  <c r="F187" i="8"/>
  <c r="F188" i="8" s="1"/>
  <c r="J187" i="8"/>
  <c r="J188" i="8" s="1"/>
  <c r="H187" i="8"/>
  <c r="H188" i="8" s="1"/>
  <c r="L187" i="8"/>
  <c r="L188" i="8" s="1"/>
  <c r="K187" i="8"/>
  <c r="K188" i="8" s="1"/>
  <c r="I187" i="8"/>
  <c r="I188" i="8" s="1"/>
  <c r="E171" i="8"/>
  <c r="E172" i="8" s="1"/>
  <c r="I171" i="8"/>
  <c r="I172" i="8" s="1"/>
  <c r="L171" i="8"/>
  <c r="L172" i="8" s="1"/>
  <c r="K171" i="8"/>
  <c r="K172" i="8" s="1"/>
  <c r="H171" i="8"/>
  <c r="H172" i="8" s="1"/>
  <c r="G171" i="8"/>
  <c r="G172" i="8" s="1"/>
  <c r="J171" i="8"/>
  <c r="J172" i="8" s="1"/>
  <c r="D171" i="8"/>
  <c r="D172" i="8" s="1"/>
  <c r="C171" i="8"/>
  <c r="C172" i="8" s="1"/>
  <c r="F171" i="8"/>
  <c r="F172" i="8" s="1"/>
  <c r="P26" i="11"/>
  <c r="T26" i="11" s="1"/>
  <c r="R26" i="11"/>
  <c r="P51" i="11"/>
  <c r="T51" i="11" s="1"/>
  <c r="P23" i="11"/>
  <c r="T23" i="11" s="1"/>
  <c r="R23" i="11"/>
  <c r="P20" i="11"/>
  <c r="T20" i="11" s="1"/>
  <c r="R20" i="11"/>
  <c r="P47" i="11"/>
  <c r="T47" i="11" s="1"/>
  <c r="P52" i="11"/>
  <c r="T52" i="11" s="1"/>
  <c r="P19" i="11"/>
  <c r="T19" i="11" s="1"/>
  <c r="R19" i="11"/>
  <c r="P24" i="11"/>
  <c r="T24" i="11" s="1"/>
  <c r="R24" i="11"/>
  <c r="P28" i="11"/>
  <c r="T28" i="11" s="1"/>
  <c r="R28" i="11"/>
  <c r="P29" i="11"/>
  <c r="T29" i="11" s="1"/>
  <c r="F17" i="5"/>
  <c r="AH17" i="5"/>
  <c r="AJ17" i="5"/>
  <c r="H17" i="5"/>
  <c r="D17" i="5"/>
  <c r="AV17" i="5"/>
  <c r="K94" i="28"/>
  <c r="N105" i="28" s="1"/>
  <c r="N113" i="28" s="1"/>
  <c r="N93" i="28"/>
  <c r="N94" i="28" s="1"/>
  <c r="P30" i="11"/>
  <c r="T30" i="11" s="1"/>
  <c r="R30" i="11"/>
  <c r="AX17" i="5"/>
  <c r="Z28" i="9"/>
  <c r="AT17" i="5"/>
  <c r="AR17" i="5"/>
  <c r="J62" i="11"/>
  <c r="Z25" i="9"/>
  <c r="AP17" i="5"/>
  <c r="Z21" i="9"/>
  <c r="Z24" i="9"/>
  <c r="AN17" i="5"/>
  <c r="AL17" i="5"/>
  <c r="AD17" i="5"/>
  <c r="AF17" i="5"/>
  <c r="AB17" i="5"/>
  <c r="P21" i="11"/>
  <c r="T21" i="11" s="1"/>
  <c r="R21" i="11"/>
  <c r="R7" i="11"/>
  <c r="Z27" i="9"/>
  <c r="T10" i="11"/>
  <c r="R36" i="11"/>
  <c r="R37" i="11"/>
  <c r="G112" i="11"/>
  <c r="H112" i="11" s="1"/>
  <c r="E42" i="11"/>
  <c r="T42" i="11" s="1"/>
  <c r="S12" i="11"/>
  <c r="E12" i="11"/>
  <c r="T12" i="11" s="1"/>
  <c r="D31" i="11"/>
  <c r="G111" i="11"/>
  <c r="H111" i="11" s="1"/>
  <c r="E41" i="11"/>
  <c r="T41" i="11" s="1"/>
  <c r="P17" i="5"/>
  <c r="T36" i="11"/>
  <c r="C59" i="11"/>
  <c r="C33" i="9"/>
  <c r="G110" i="11"/>
  <c r="H110" i="11" s="1"/>
  <c r="E40" i="11"/>
  <c r="T40" i="11" s="1"/>
  <c r="D98" i="11"/>
  <c r="E79" i="11"/>
  <c r="J17" i="5"/>
  <c r="G108" i="11"/>
  <c r="H108" i="11" s="1"/>
  <c r="S38" i="11"/>
  <c r="E38" i="11"/>
  <c r="R81" i="11"/>
  <c r="S81" i="11" s="1"/>
  <c r="G98" i="11"/>
  <c r="H76" i="11"/>
  <c r="R76" i="11" s="1"/>
  <c r="S76" i="11" s="1"/>
  <c r="P44" i="11"/>
  <c r="T44" i="11" s="1"/>
  <c r="S13" i="11"/>
  <c r="P15" i="11"/>
  <c r="T15" i="11" s="1"/>
  <c r="R15" i="11"/>
  <c r="B33" i="9"/>
  <c r="D33" i="9"/>
  <c r="Y30" i="9"/>
  <c r="E35" i="11"/>
  <c r="G105" i="11"/>
  <c r="S35" i="11"/>
  <c r="D59" i="11"/>
  <c r="S14" i="11"/>
  <c r="E14" i="11"/>
  <c r="T14" i="11" s="1"/>
  <c r="F22" i="24"/>
  <c r="G26" i="24" s="1"/>
  <c r="G34" i="24" s="1"/>
  <c r="S37" i="11"/>
  <c r="E37" i="11"/>
  <c r="T37" i="11" s="1"/>
  <c r="G107" i="11"/>
  <c r="H107" i="11" s="1"/>
  <c r="L17" i="5"/>
  <c r="Z17" i="5"/>
  <c r="Y32" i="9"/>
  <c r="R16" i="11"/>
  <c r="P16" i="11"/>
  <c r="T16" i="11" s="1"/>
  <c r="V17" i="5"/>
  <c r="AZ9" i="5"/>
  <c r="AZ7" i="5"/>
  <c r="AZ8" i="5"/>
  <c r="AZ14" i="5"/>
  <c r="AZ6" i="5"/>
  <c r="AZ10" i="5"/>
  <c r="AZ11" i="5"/>
  <c r="AZ16" i="5"/>
  <c r="AZ15" i="5"/>
  <c r="AZ12" i="5"/>
  <c r="T17" i="5"/>
  <c r="N31" i="11"/>
  <c r="R31" i="11" s="1"/>
  <c r="P43" i="11"/>
  <c r="N59" i="11"/>
  <c r="D130" i="11" l="1"/>
  <c r="M216" i="8"/>
  <c r="H18" i="11" s="1"/>
  <c r="E62" i="11"/>
  <c r="M212" i="8"/>
  <c r="H17" i="11" s="1"/>
  <c r="H45" i="11" s="1"/>
  <c r="M208" i="8"/>
  <c r="H16" i="11" s="1"/>
  <c r="H44" i="11" s="1"/>
  <c r="M204" i="8"/>
  <c r="H15" i="11" s="1"/>
  <c r="H43" i="11" s="1"/>
  <c r="M184" i="8"/>
  <c r="D179" i="8"/>
  <c r="D180" i="8" s="1"/>
  <c r="F179" i="8"/>
  <c r="F180" i="8" s="1"/>
  <c r="C179" i="8"/>
  <c r="C180" i="8" s="1"/>
  <c r="L179" i="8"/>
  <c r="L180" i="8" s="1"/>
  <c r="H179" i="8"/>
  <c r="H180" i="8" s="1"/>
  <c r="I179" i="8"/>
  <c r="I180" i="8" s="1"/>
  <c r="G179" i="8"/>
  <c r="G180" i="8" s="1"/>
  <c r="T38" i="11"/>
  <c r="E31" i="11"/>
  <c r="C32" i="11" s="1"/>
  <c r="M157" i="8"/>
  <c r="D158" i="8"/>
  <c r="M165" i="8"/>
  <c r="D166" i="8"/>
  <c r="M260" i="8"/>
  <c r="M264" i="8"/>
  <c r="M161" i="8"/>
  <c r="D162" i="8"/>
  <c r="M153" i="8"/>
  <c r="D154" i="8"/>
  <c r="M149" i="8"/>
  <c r="D150" i="8"/>
  <c r="M141" i="8"/>
  <c r="D142" i="8"/>
  <c r="M129" i="8"/>
  <c r="M226" i="8" s="1"/>
  <c r="D130" i="8"/>
  <c r="M125" i="8"/>
  <c r="M222" i="8" s="1"/>
  <c r="D126" i="8"/>
  <c r="M121" i="8"/>
  <c r="M218" i="8" s="1"/>
  <c r="D122" i="8"/>
  <c r="M117" i="8"/>
  <c r="M214" i="8" s="1"/>
  <c r="D118" i="8"/>
  <c r="M109" i="8"/>
  <c r="M206" i="8" s="1"/>
  <c r="D110" i="8"/>
  <c r="M105" i="8"/>
  <c r="M202" i="8" s="1"/>
  <c r="D106" i="8"/>
  <c r="M89" i="8"/>
  <c r="D90" i="8"/>
  <c r="M200" i="8"/>
  <c r="M176" i="8"/>
  <c r="M192" i="8"/>
  <c r="M188" i="8"/>
  <c r="M172" i="8"/>
  <c r="C195" i="8"/>
  <c r="C196" i="8" s="1"/>
  <c r="J195" i="8"/>
  <c r="J196" i="8" s="1"/>
  <c r="D195" i="8"/>
  <c r="D196" i="8" s="1"/>
  <c r="E195" i="8"/>
  <c r="E196" i="8" s="1"/>
  <c r="H195" i="8"/>
  <c r="H196" i="8" s="1"/>
  <c r="K195" i="8"/>
  <c r="K196" i="8" s="1"/>
  <c r="F195" i="8"/>
  <c r="F196" i="8" s="1"/>
  <c r="L195" i="8"/>
  <c r="L196" i="8" s="1"/>
  <c r="G195" i="8"/>
  <c r="G196" i="8" s="1"/>
  <c r="I195" i="8"/>
  <c r="I196" i="8" s="1"/>
  <c r="C63" i="11"/>
  <c r="C64" i="11" s="1"/>
  <c r="S31" i="11"/>
  <c r="E130" i="11"/>
  <c r="G99" i="11"/>
  <c r="P59" i="11"/>
  <c r="O60" i="11" s="1"/>
  <c r="T43" i="11"/>
  <c r="H105" i="11"/>
  <c r="H129" i="11" s="1"/>
  <c r="G129" i="11"/>
  <c r="H79" i="11"/>
  <c r="E98" i="11"/>
  <c r="D63" i="11"/>
  <c r="D64" i="11" s="1"/>
  <c r="S59" i="11"/>
  <c r="S63" i="11" s="1"/>
  <c r="S64" i="11" s="1"/>
  <c r="E59" i="11"/>
  <c r="T35" i="11"/>
  <c r="P31" i="11"/>
  <c r="AZ17" i="5"/>
  <c r="R59" i="11"/>
  <c r="R63" i="11" s="1"/>
  <c r="R64" i="11" s="1"/>
  <c r="N63" i="11"/>
  <c r="N64" i="11" s="1"/>
  <c r="O85" i="11" l="1"/>
  <c r="H46" i="11"/>
  <c r="M180" i="8"/>
  <c r="T31" i="11"/>
  <c r="D32" i="11"/>
  <c r="M196" i="8"/>
  <c r="G130" i="11"/>
  <c r="E63" i="11"/>
  <c r="E64" i="11" s="1"/>
  <c r="D60" i="11"/>
  <c r="C60" i="11"/>
  <c r="N60" i="11"/>
  <c r="P60" i="11" s="1"/>
  <c r="T59" i="11"/>
  <c r="T63" i="11" s="1"/>
  <c r="T64" i="11" s="1"/>
  <c r="P63" i="11"/>
  <c r="P64" i="11" s="1"/>
  <c r="R79" i="11"/>
  <c r="S79" i="11" s="1"/>
  <c r="H98" i="11"/>
  <c r="C101" i="11"/>
  <c r="E99" i="11"/>
  <c r="H130" i="11"/>
  <c r="H11" i="11" l="1"/>
  <c r="E60" i="11"/>
  <c r="O86" i="11"/>
  <c r="D101" i="11"/>
  <c r="E101" i="11" s="1"/>
  <c r="H99" i="11"/>
  <c r="R98" i="11"/>
  <c r="X28" i="11" l="1"/>
  <c r="O95" i="11"/>
  <c r="X47" i="11"/>
  <c r="X19" i="11"/>
  <c r="O87" i="11"/>
  <c r="O88" i="11"/>
  <c r="X11" i="11"/>
  <c r="H39" i="11"/>
  <c r="X39" i="11" s="1"/>
  <c r="O78" i="11"/>
  <c r="O83" i="11"/>
  <c r="X44" i="11"/>
  <c r="X16" i="11"/>
  <c r="H7" i="11"/>
  <c r="S98" i="11"/>
  <c r="S101" i="11" s="1"/>
  <c r="R101" i="11"/>
  <c r="X26" i="11" l="1"/>
  <c r="O93" i="11"/>
  <c r="X25" i="11"/>
  <c r="O92" i="11"/>
  <c r="X27" i="11"/>
  <c r="O94" i="11"/>
  <c r="X29" i="11"/>
  <c r="O96" i="11"/>
  <c r="X30" i="11"/>
  <c r="O97" i="11"/>
  <c r="X56" i="11"/>
  <c r="O126" i="11"/>
  <c r="X24" i="11"/>
  <c r="O91" i="11"/>
  <c r="X23" i="11"/>
  <c r="O90" i="11"/>
  <c r="X22" i="11"/>
  <c r="O89" i="11"/>
  <c r="X50" i="11"/>
  <c r="X21" i="11"/>
  <c r="X49" i="11"/>
  <c r="X48" i="11"/>
  <c r="X20" i="11"/>
  <c r="O117" i="11"/>
  <c r="X12" i="11"/>
  <c r="O79" i="11"/>
  <c r="X40" i="11"/>
  <c r="O74" i="11"/>
  <c r="X7" i="11"/>
  <c r="H35" i="11"/>
  <c r="X35" i="11" s="1"/>
  <c r="H8" i="11"/>
  <c r="X13" i="11"/>
  <c r="X41" i="11"/>
  <c r="O80" i="11"/>
  <c r="O109" i="11"/>
  <c r="H9" i="11"/>
  <c r="H10" i="11"/>
  <c r="O82" i="11"/>
  <c r="X15" i="11"/>
  <c r="X43" i="11"/>
  <c r="X17" i="11"/>
  <c r="O84" i="11"/>
  <c r="F16" i="28" s="1"/>
  <c r="X45" i="11"/>
  <c r="O114" i="11"/>
  <c r="X14" i="11"/>
  <c r="O81" i="11"/>
  <c r="X42" i="11"/>
  <c r="F29" i="28" l="1"/>
  <c r="F17" i="28"/>
  <c r="F18" i="28" s="1"/>
  <c r="F22" i="28" s="1"/>
  <c r="G26" i="28" s="1"/>
  <c r="X54" i="11"/>
  <c r="O124" i="11"/>
  <c r="X53" i="11"/>
  <c r="O123" i="11"/>
  <c r="X55" i="11"/>
  <c r="O125" i="11"/>
  <c r="N17" i="28"/>
  <c r="X58" i="11"/>
  <c r="O128" i="11"/>
  <c r="X57" i="11"/>
  <c r="O127" i="11"/>
  <c r="X52" i="11"/>
  <c r="O122" i="11"/>
  <c r="X51" i="11"/>
  <c r="O121" i="11"/>
  <c r="O120" i="11"/>
  <c r="O119" i="11"/>
  <c r="O118" i="11"/>
  <c r="O110" i="11"/>
  <c r="X18" i="11"/>
  <c r="X46" i="11"/>
  <c r="O115" i="11"/>
  <c r="O113" i="11"/>
  <c r="X9" i="11"/>
  <c r="O76" i="11"/>
  <c r="H37" i="11"/>
  <c r="X37" i="11" s="1"/>
  <c r="O111" i="11"/>
  <c r="X8" i="11"/>
  <c r="O75" i="11"/>
  <c r="H36" i="11"/>
  <c r="X36" i="11" s="1"/>
  <c r="H31" i="11"/>
  <c r="X31" i="11" s="1"/>
  <c r="O112" i="11"/>
  <c r="O77" i="11"/>
  <c r="X10" i="11"/>
  <c r="H38" i="11"/>
  <c r="X38" i="11" s="1"/>
  <c r="O105" i="11"/>
  <c r="F30" i="28" l="1"/>
  <c r="F31" i="28" s="1"/>
  <c r="G33" i="28"/>
  <c r="G37" i="28" s="1"/>
  <c r="H59" i="11"/>
  <c r="D18" i="18"/>
  <c r="D38" i="18"/>
  <c r="N18" i="28"/>
  <c r="N22" i="28" s="1"/>
  <c r="O26" i="28" s="1"/>
  <c r="N29" i="28"/>
  <c r="O116" i="11"/>
  <c r="O98" i="11"/>
  <c r="O108" i="11"/>
  <c r="O106" i="11"/>
  <c r="O107" i="11"/>
  <c r="G34" i="28" l="1"/>
  <c r="G39" i="28" s="1"/>
  <c r="N30" i="28"/>
  <c r="O33" i="28"/>
  <c r="O37" i="28" s="1"/>
  <c r="D32" i="18"/>
  <c r="D20" i="18" s="1"/>
  <c r="N58" i="28"/>
  <c r="N59" i="28" s="1"/>
  <c r="N64" i="28" s="1"/>
  <c r="O68" i="28" s="1"/>
  <c r="X59" i="11"/>
  <c r="H63" i="11"/>
  <c r="H68" i="11" s="1"/>
  <c r="N31" i="28"/>
  <c r="O129" i="11"/>
  <c r="O99" i="11"/>
  <c r="D21" i="18" l="1"/>
  <c r="D34" i="18" s="1"/>
  <c r="N71" i="28"/>
  <c r="N72" i="28" s="1"/>
  <c r="N73" i="28" s="1"/>
  <c r="H64" i="11"/>
  <c r="N110" i="28"/>
  <c r="N111" i="28" s="1"/>
  <c r="N112" i="28" s="1"/>
  <c r="O34" i="28"/>
  <c r="O39" i="28" s="1"/>
  <c r="O130" i="11"/>
  <c r="O75" i="28" l="1"/>
  <c r="O76" i="28" s="1"/>
  <c r="O114" i="28"/>
  <c r="O115" i="28" s="1"/>
  <c r="J14" i="27" l="1"/>
  <c r="D47" i="27"/>
  <c r="F47" i="27" s="1"/>
  <c r="J15" i="27" l="1"/>
  <c r="L15" i="27" s="1"/>
  <c r="D45" i="27"/>
  <c r="F45" i="27" s="1"/>
  <c r="D49" i="27"/>
  <c r="F49" i="27" s="1"/>
  <c r="D44" i="27"/>
  <c r="F44" i="27" s="1"/>
  <c r="D46" i="27"/>
  <c r="F46" i="27" s="1"/>
  <c r="D14" i="27"/>
  <c r="D43" i="27"/>
  <c r="F43" i="27" s="1"/>
  <c r="D42" i="27"/>
  <c r="F42" i="27" s="1"/>
  <c r="D48" i="27"/>
  <c r="F48" i="27" s="1"/>
  <c r="J13" i="27"/>
  <c r="J12" i="27" s="1"/>
  <c r="L12" i="27" s="1"/>
  <c r="J18" i="27"/>
  <c r="L18" i="27" s="1"/>
  <c r="J20" i="27"/>
  <c r="L20" i="27" s="1"/>
  <c r="J17" i="27"/>
  <c r="L17" i="27" s="1"/>
  <c r="L14" i="27"/>
  <c r="J19" i="27"/>
  <c r="L19" i="27" s="1"/>
  <c r="J16" i="27"/>
  <c r="L16" i="27" s="1"/>
  <c r="G10" i="27"/>
  <c r="I39" i="27" s="1"/>
  <c r="I15" i="27"/>
  <c r="I14" i="27"/>
  <c r="I11" i="27"/>
  <c r="D30" i="17"/>
  <c r="D21" i="17" s="1"/>
  <c r="D10" i="27"/>
  <c r="D13" i="27"/>
  <c r="D11" i="27"/>
  <c r="F59" i="27"/>
  <c r="L10" i="27"/>
  <c r="J11" i="27"/>
  <c r="L11" i="27" s="1"/>
  <c r="L39" i="27"/>
  <c r="L38" i="27"/>
  <c r="F61" i="27" l="1"/>
  <c r="F57" i="27"/>
  <c r="F19" i="27"/>
  <c r="F56" i="27"/>
  <c r="F18" i="27"/>
  <c r="F14" i="27"/>
  <c r="F53" i="27"/>
  <c r="F54" i="27"/>
  <c r="F60" i="27"/>
  <c r="F55" i="27"/>
  <c r="I20" i="27"/>
  <c r="F20" i="27"/>
  <c r="L13" i="27"/>
  <c r="I19" i="27"/>
  <c r="I18" i="27"/>
  <c r="I16" i="27"/>
  <c r="F58" i="27"/>
  <c r="I38" i="27"/>
  <c r="I10" i="27"/>
  <c r="I17" i="27"/>
  <c r="F11" i="27"/>
  <c r="D12" i="27"/>
  <c r="F13" i="27"/>
  <c r="F10" i="27"/>
  <c r="H32" i="9"/>
  <c r="I32" i="9" s="1"/>
  <c r="I14" i="9"/>
  <c r="I30" i="9" s="1"/>
  <c r="H30" i="9"/>
  <c r="F17" i="27" l="1"/>
  <c r="K14" i="9"/>
  <c r="K30" i="9" s="1"/>
  <c r="F15" i="27"/>
  <c r="F16" i="27"/>
  <c r="I13" i="27"/>
  <c r="I12" i="27"/>
  <c r="F12" i="27"/>
  <c r="F9" i="27"/>
  <c r="V32" i="9"/>
  <c r="X32" i="9"/>
  <c r="Z32" i="9" s="1"/>
  <c r="K32" i="9"/>
  <c r="I38" i="9"/>
  <c r="V14" i="9"/>
  <c r="V30" i="9" s="1"/>
  <c r="X14" i="9"/>
  <c r="I39" i="9" l="1"/>
  <c r="Z14" i="9"/>
  <c r="Z30" i="9" s="1"/>
  <c r="X30" i="9"/>
  <c r="K37" i="9" l="1"/>
  <c r="K38" i="9"/>
  <c r="K39" i="9"/>
  <c r="K36" i="9"/>
  <c r="D36" i="18"/>
  <c r="C68" i="8" l="1"/>
  <c r="C69" i="8" s="1"/>
  <c r="F167" i="8" l="1"/>
  <c r="E127" i="8"/>
  <c r="J151" i="8"/>
  <c r="L87" i="8"/>
  <c r="H87" i="8"/>
  <c r="F87" i="8"/>
  <c r="I155" i="8"/>
  <c r="K107" i="8"/>
  <c r="I83" i="8"/>
  <c r="K151" i="8"/>
  <c r="K115" i="8"/>
  <c r="D151" i="8"/>
  <c r="M151" i="8" s="1"/>
  <c r="K103" i="8"/>
  <c r="G167" i="8"/>
  <c r="G143" i="8"/>
  <c r="F123" i="8"/>
  <c r="K99" i="8"/>
  <c r="H75" i="8"/>
  <c r="I127" i="8"/>
  <c r="F159" i="8"/>
  <c r="K135" i="8"/>
  <c r="F75" i="8"/>
  <c r="H147" i="8"/>
  <c r="E75" i="8"/>
  <c r="E151" i="8"/>
  <c r="D127" i="8"/>
  <c r="K139" i="8"/>
  <c r="K87" i="8"/>
  <c r="G91" i="8"/>
  <c r="L139" i="8"/>
  <c r="H115" i="8"/>
  <c r="I99" i="8"/>
  <c r="F151" i="8"/>
  <c r="F111" i="8"/>
  <c r="K83" i="8"/>
  <c r="J111" i="8"/>
  <c r="I163" i="8"/>
  <c r="L103" i="8"/>
  <c r="I111" i="8"/>
  <c r="J155" i="8"/>
  <c r="G135" i="8"/>
  <c r="K147" i="8"/>
  <c r="E95" i="8"/>
  <c r="D99" i="8"/>
  <c r="J115" i="8"/>
  <c r="F99" i="8"/>
  <c r="E139" i="8"/>
  <c r="L119" i="8"/>
  <c r="K79" i="8"/>
  <c r="K127" i="8"/>
  <c r="L155" i="8"/>
  <c r="H103" i="8"/>
  <c r="H91" i="8"/>
  <c r="F91" i="8"/>
  <c r="J107" i="8"/>
  <c r="H135" i="8"/>
  <c r="K123" i="8"/>
  <c r="H111" i="8"/>
  <c r="J103" i="8"/>
  <c r="J147" i="8"/>
  <c r="F103" i="8"/>
  <c r="E155" i="8"/>
  <c r="J135" i="8"/>
  <c r="I147" i="8"/>
  <c r="H167" i="8"/>
  <c r="E143" i="8"/>
  <c r="F107" i="8"/>
  <c r="E87" i="8"/>
  <c r="F135" i="8"/>
  <c r="L107" i="8"/>
  <c r="L111" i="8"/>
  <c r="E119" i="8"/>
  <c r="I91" i="8"/>
  <c r="J167" i="8"/>
  <c r="K75" i="8"/>
  <c r="F155" i="8"/>
  <c r="G155" i="8"/>
  <c r="L115" i="8"/>
  <c r="H159" i="8"/>
  <c r="H143" i="8"/>
  <c r="H107" i="8"/>
  <c r="D163" i="8"/>
  <c r="G107" i="8"/>
  <c r="L83" i="8"/>
  <c r="H95" i="8"/>
  <c r="H131" i="8"/>
  <c r="I143" i="8"/>
  <c r="D143" i="8"/>
  <c r="M143" i="8" s="1"/>
  <c r="E123" i="8"/>
  <c r="H127" i="8"/>
  <c r="J95" i="8"/>
  <c r="E99" i="8"/>
  <c r="G95" i="8"/>
  <c r="F95" i="8"/>
  <c r="I123" i="8"/>
  <c r="G75" i="8"/>
  <c r="G159" i="8"/>
  <c r="G79" i="8"/>
  <c r="E83" i="8"/>
  <c r="H123" i="8"/>
  <c r="J123" i="8"/>
  <c r="E135" i="8"/>
  <c r="J87" i="8"/>
  <c r="D91" i="8"/>
  <c r="J119" i="8"/>
  <c r="H151" i="8"/>
  <c r="J91" i="8"/>
  <c r="E79" i="8"/>
  <c r="D159" i="8"/>
  <c r="M159" i="8" s="1"/>
  <c r="H163" i="8"/>
  <c r="E131" i="8"/>
  <c r="L135" i="8"/>
  <c r="J127" i="8"/>
  <c r="D79" i="8"/>
  <c r="L143" i="8"/>
  <c r="J163" i="8"/>
  <c r="K91" i="8"/>
  <c r="H79" i="8"/>
  <c r="K159" i="8"/>
  <c r="G115" i="8"/>
  <c r="L75" i="8"/>
  <c r="I107" i="8"/>
  <c r="D103" i="8"/>
  <c r="F119" i="8"/>
  <c r="J83" i="8"/>
  <c r="E107" i="8"/>
  <c r="E103" i="8"/>
  <c r="K155" i="8"/>
  <c r="F115" i="8"/>
  <c r="J131" i="8"/>
  <c r="E163" i="8"/>
  <c r="J143" i="8"/>
  <c r="F83" i="8"/>
  <c r="K163" i="8"/>
  <c r="H139" i="8"/>
  <c r="J75" i="8"/>
  <c r="E147" i="8"/>
  <c r="D87" i="8"/>
  <c r="D119" i="8"/>
  <c r="K143" i="8"/>
  <c r="I167" i="8"/>
  <c r="J79" i="8"/>
  <c r="L147" i="8"/>
  <c r="F147" i="8"/>
  <c r="I95" i="8"/>
  <c r="L159" i="8"/>
  <c r="G83" i="8"/>
  <c r="D139" i="8"/>
  <c r="M139" i="8" s="1"/>
  <c r="E111" i="8"/>
  <c r="G111" i="8"/>
  <c r="L151" i="8"/>
  <c r="D147" i="8"/>
  <c r="M147" i="8" s="1"/>
  <c r="L95" i="8"/>
  <c r="D107" i="8"/>
  <c r="E115" i="8"/>
  <c r="I115" i="8"/>
  <c r="F127" i="8"/>
  <c r="L127" i="8"/>
  <c r="F139" i="8"/>
  <c r="E167" i="8"/>
  <c r="L99" i="8"/>
  <c r="J139" i="8"/>
  <c r="D155" i="8"/>
  <c r="M155" i="8" s="1"/>
  <c r="I79" i="8"/>
  <c r="D135" i="8"/>
  <c r="M135" i="8" s="1"/>
  <c r="L167" i="8"/>
  <c r="G123" i="8"/>
  <c r="G103" i="8"/>
  <c r="K111" i="8"/>
  <c r="J159" i="8"/>
  <c r="K95" i="8"/>
  <c r="F131" i="8"/>
  <c r="G139" i="8"/>
  <c r="I159" i="8"/>
  <c r="G87" i="8"/>
  <c r="K119" i="8"/>
  <c r="D95" i="8"/>
  <c r="I119" i="8"/>
  <c r="H99" i="8"/>
  <c r="H155" i="8"/>
  <c r="D131" i="8"/>
  <c r="M131" i="8" s="1"/>
  <c r="E91" i="8"/>
  <c r="L79" i="8"/>
  <c r="I151" i="8"/>
  <c r="G131" i="8"/>
  <c r="H119" i="8"/>
  <c r="L91" i="8"/>
  <c r="J99" i="8"/>
  <c r="G99" i="8"/>
  <c r="I103" i="8"/>
  <c r="G127" i="8"/>
  <c r="L131" i="8"/>
  <c r="I131" i="8"/>
  <c r="G163" i="8"/>
  <c r="D167" i="8"/>
  <c r="M167" i="8" s="1"/>
  <c r="I75" i="8"/>
  <c r="I139" i="8"/>
  <c r="G147" i="8"/>
  <c r="L123" i="8"/>
  <c r="D115" i="8"/>
  <c r="M115" i="8" s="1"/>
  <c r="G17" i="11" s="1"/>
  <c r="G45" i="11" s="1"/>
  <c r="F79" i="8"/>
  <c r="E159" i="8"/>
  <c r="I135" i="8"/>
  <c r="F143" i="8"/>
  <c r="D123" i="8"/>
  <c r="M123" i="8" s="1"/>
  <c r="K167" i="8"/>
  <c r="G151" i="8"/>
  <c r="F163" i="8"/>
  <c r="I87" i="8"/>
  <c r="K131" i="8"/>
  <c r="M127" i="8"/>
  <c r="L163" i="8"/>
  <c r="D83" i="8"/>
  <c r="M163" i="8"/>
  <c r="D111" i="8"/>
  <c r="G119" i="8"/>
  <c r="H83" i="8"/>
  <c r="D75" i="8"/>
  <c r="M111" i="8" l="1"/>
  <c r="G16" i="11" s="1"/>
  <c r="G44" i="11" s="1"/>
  <c r="M107" i="8"/>
  <c r="G15" i="11" s="1"/>
  <c r="G43" i="11" s="1"/>
  <c r="M103" i="8"/>
  <c r="G14" i="11" s="1"/>
  <c r="G42" i="11" s="1"/>
  <c r="M99" i="8"/>
  <c r="G13" i="11" s="1"/>
  <c r="G41" i="11" s="1"/>
  <c r="M95" i="8"/>
  <c r="G12" i="11" s="1"/>
  <c r="G40" i="11" s="1"/>
  <c r="M91" i="8"/>
  <c r="G11" i="11" s="1"/>
  <c r="V11" i="11" s="1"/>
  <c r="M119" i="8"/>
  <c r="M79" i="8"/>
  <c r="G8" i="11" s="1"/>
  <c r="J8" i="11" s="1"/>
  <c r="L8" i="11" s="1"/>
  <c r="M87" i="8"/>
  <c r="G10" i="11" s="1"/>
  <c r="G38" i="11" s="1"/>
  <c r="J38" i="11" s="1"/>
  <c r="L38" i="11" s="1"/>
  <c r="J26" i="11"/>
  <c r="L26" i="11" s="1"/>
  <c r="M75" i="8"/>
  <c r="G7" i="11" s="1"/>
  <c r="G35" i="11" s="1"/>
  <c r="N93" i="11"/>
  <c r="N124" i="11" s="1"/>
  <c r="V26" i="11"/>
  <c r="J23" i="11"/>
  <c r="L23" i="11" s="1"/>
  <c r="V23" i="11"/>
  <c r="N90" i="11"/>
  <c r="M83" i="8"/>
  <c r="G9" i="11" s="1"/>
  <c r="N84" i="11"/>
  <c r="V17" i="11"/>
  <c r="J17" i="11"/>
  <c r="L17" i="11" s="1"/>
  <c r="V54" i="11"/>
  <c r="J54" i="11"/>
  <c r="J27" i="11"/>
  <c r="L27" i="11" s="1"/>
  <c r="V27" i="11"/>
  <c r="N94" i="11"/>
  <c r="J30" i="11"/>
  <c r="L30" i="11" s="1"/>
  <c r="V30" i="11"/>
  <c r="N97" i="11"/>
  <c r="V16" i="11"/>
  <c r="N83" i="11"/>
  <c r="J16" i="11"/>
  <c r="L16" i="11" s="1"/>
  <c r="J24" i="11"/>
  <c r="L24" i="11" s="1"/>
  <c r="V24" i="11"/>
  <c r="N91" i="11"/>
  <c r="N87" i="11"/>
  <c r="J20" i="11"/>
  <c r="L20" i="11" s="1"/>
  <c r="V20" i="11"/>
  <c r="J15" i="11"/>
  <c r="L15" i="11" s="1"/>
  <c r="V15" i="11"/>
  <c r="N82" i="11"/>
  <c r="N92" i="11"/>
  <c r="V25" i="11"/>
  <c r="J25" i="11"/>
  <c r="L25" i="11" s="1"/>
  <c r="V21" i="11"/>
  <c r="J21" i="11"/>
  <c r="L21" i="11" s="1"/>
  <c r="N88" i="11"/>
  <c r="N89" i="11"/>
  <c r="J22" i="11"/>
  <c r="L22" i="11" s="1"/>
  <c r="V22" i="11"/>
  <c r="V28" i="11"/>
  <c r="N95" i="11"/>
  <c r="J28" i="11"/>
  <c r="L28" i="11" s="1"/>
  <c r="J29" i="11"/>
  <c r="L29" i="11" s="1"/>
  <c r="N96" i="11"/>
  <c r="V29" i="11"/>
  <c r="V19" i="11"/>
  <c r="N86" i="11"/>
  <c r="J19" i="11"/>
  <c r="L19" i="11" s="1"/>
  <c r="N81" i="11"/>
  <c r="G18" i="11" l="1"/>
  <c r="V14" i="11"/>
  <c r="N79" i="11"/>
  <c r="J14" i="11"/>
  <c r="L14" i="11" s="1"/>
  <c r="N80" i="11"/>
  <c r="N111" i="11" s="1"/>
  <c r="V12" i="11"/>
  <c r="J12" i="11"/>
  <c r="L12" i="11" s="1"/>
  <c r="J13" i="11"/>
  <c r="L13" i="11" s="1"/>
  <c r="V13" i="11"/>
  <c r="N75" i="11"/>
  <c r="J75" i="11" s="1"/>
  <c r="L75" i="11" s="1"/>
  <c r="G36" i="11"/>
  <c r="V36" i="11" s="1"/>
  <c r="G39" i="11"/>
  <c r="J39" i="11" s="1"/>
  <c r="L39" i="11" s="1"/>
  <c r="J11" i="11"/>
  <c r="L11" i="11" s="1"/>
  <c r="N78" i="11"/>
  <c r="P78" i="11" s="1"/>
  <c r="V38" i="11"/>
  <c r="V8" i="11"/>
  <c r="V10" i="11"/>
  <c r="P93" i="11"/>
  <c r="J93" i="11"/>
  <c r="L93" i="11" s="1"/>
  <c r="J10" i="11"/>
  <c r="L10" i="11" s="1"/>
  <c r="N77" i="11"/>
  <c r="J7" i="11"/>
  <c r="L7" i="11" s="1"/>
  <c r="N74" i="11"/>
  <c r="J74" i="11" s="1"/>
  <c r="V7" i="11"/>
  <c r="V42" i="11"/>
  <c r="J42" i="11"/>
  <c r="L42" i="11" s="1"/>
  <c r="N112" i="11"/>
  <c r="J44" i="11"/>
  <c r="L44" i="11" s="1"/>
  <c r="N114" i="11"/>
  <c r="V44" i="11"/>
  <c r="J94" i="11"/>
  <c r="L94" i="11" s="1"/>
  <c r="P94" i="11"/>
  <c r="V40" i="11"/>
  <c r="J40" i="11"/>
  <c r="L40" i="11" s="1"/>
  <c r="N110" i="11"/>
  <c r="J47" i="11"/>
  <c r="V47" i="11"/>
  <c r="N117" i="11"/>
  <c r="N119" i="11"/>
  <c r="V49" i="11"/>
  <c r="J49" i="11"/>
  <c r="V41" i="11"/>
  <c r="J41" i="11"/>
  <c r="L41" i="11" s="1"/>
  <c r="J53" i="11"/>
  <c r="V53" i="11"/>
  <c r="N123" i="11"/>
  <c r="N118" i="11"/>
  <c r="V48" i="11"/>
  <c r="J48" i="11"/>
  <c r="J51" i="11"/>
  <c r="V51" i="11"/>
  <c r="N121" i="11"/>
  <c r="J50" i="11"/>
  <c r="V50" i="11"/>
  <c r="N120" i="11"/>
  <c r="J52" i="11"/>
  <c r="N122" i="11"/>
  <c r="V52" i="11"/>
  <c r="P97" i="11"/>
  <c r="J97" i="11"/>
  <c r="L97" i="11" s="1"/>
  <c r="J90" i="11"/>
  <c r="L90" i="11" s="1"/>
  <c r="P90" i="11"/>
  <c r="J57" i="11"/>
  <c r="V57" i="11"/>
  <c r="N127" i="11"/>
  <c r="J95" i="11"/>
  <c r="L95" i="11" s="1"/>
  <c r="P95" i="11"/>
  <c r="J36" i="11"/>
  <c r="L36" i="11" s="1"/>
  <c r="J81" i="11"/>
  <c r="L81" i="11" s="1"/>
  <c r="P81" i="11"/>
  <c r="P86" i="11"/>
  <c r="J86" i="11"/>
  <c r="L86" i="11" s="1"/>
  <c r="J89" i="11"/>
  <c r="L89" i="11" s="1"/>
  <c r="P89" i="11"/>
  <c r="P92" i="11"/>
  <c r="J92" i="11"/>
  <c r="L92" i="11" s="1"/>
  <c r="V43" i="11"/>
  <c r="N113" i="11"/>
  <c r="J43" i="11"/>
  <c r="L43" i="11" s="1"/>
  <c r="P87" i="11"/>
  <c r="J87" i="11"/>
  <c r="L87" i="11" s="1"/>
  <c r="J91" i="11"/>
  <c r="L91" i="11" s="1"/>
  <c r="P91" i="11"/>
  <c r="J55" i="11"/>
  <c r="V55" i="11"/>
  <c r="N125" i="11"/>
  <c r="J84" i="11"/>
  <c r="L84" i="11" s="1"/>
  <c r="P84" i="11"/>
  <c r="J56" i="11"/>
  <c r="V56" i="11"/>
  <c r="N126" i="11"/>
  <c r="J124" i="11"/>
  <c r="L124" i="11" s="1"/>
  <c r="P124" i="11"/>
  <c r="P96" i="11"/>
  <c r="J96" i="11"/>
  <c r="L96" i="11" s="1"/>
  <c r="N97" i="28" s="1"/>
  <c r="N98" i="28" s="1"/>
  <c r="N103" i="28" s="1"/>
  <c r="O107" i="28" s="1"/>
  <c r="V35" i="11"/>
  <c r="J35" i="11"/>
  <c r="J88" i="11"/>
  <c r="L88" i="11" s="1"/>
  <c r="P88" i="11"/>
  <c r="J82" i="11"/>
  <c r="L82" i="11" s="1"/>
  <c r="P82" i="11"/>
  <c r="J83" i="11"/>
  <c r="L83" i="11" s="1"/>
  <c r="P83" i="11"/>
  <c r="J58" i="11"/>
  <c r="V58" i="11"/>
  <c r="N128" i="11"/>
  <c r="V45" i="11"/>
  <c r="N115" i="11"/>
  <c r="J45" i="11"/>
  <c r="L45" i="11" s="1"/>
  <c r="P79" i="11"/>
  <c r="J79" i="11"/>
  <c r="L79" i="11" s="1"/>
  <c r="N76" i="11"/>
  <c r="V9" i="11"/>
  <c r="G37" i="11"/>
  <c r="J9" i="11"/>
  <c r="L9" i="11" s="1"/>
  <c r="G31" i="11" l="1"/>
  <c r="V31" i="11" s="1"/>
  <c r="G46" i="11"/>
  <c r="N85" i="11"/>
  <c r="N98" i="11" s="1"/>
  <c r="P98" i="11" s="1"/>
  <c r="J18" i="11"/>
  <c r="L18" i="11" s="1"/>
  <c r="V18" i="11"/>
  <c r="P80" i="11"/>
  <c r="J80" i="11"/>
  <c r="L80" i="11" s="1"/>
  <c r="P75" i="11"/>
  <c r="J78" i="11"/>
  <c r="L78" i="11" s="1"/>
  <c r="V39" i="11"/>
  <c r="N106" i="11"/>
  <c r="P106" i="11" s="1"/>
  <c r="G59" i="11"/>
  <c r="V59" i="11" s="1"/>
  <c r="N109" i="11"/>
  <c r="P109" i="11" s="1"/>
  <c r="N108" i="11"/>
  <c r="J77" i="11"/>
  <c r="L77" i="11" s="1"/>
  <c r="P77" i="11"/>
  <c r="N105" i="11"/>
  <c r="J105" i="11" s="1"/>
  <c r="P74" i="11"/>
  <c r="L35" i="11"/>
  <c r="J126" i="11"/>
  <c r="L126" i="11" s="1"/>
  <c r="P126" i="11"/>
  <c r="J125" i="11"/>
  <c r="L125" i="11" s="1"/>
  <c r="P125" i="11"/>
  <c r="J113" i="11"/>
  <c r="L113" i="11" s="1"/>
  <c r="P113" i="11"/>
  <c r="L74" i="11"/>
  <c r="P121" i="11"/>
  <c r="J121" i="11"/>
  <c r="L121" i="11" s="1"/>
  <c r="V37" i="11"/>
  <c r="N107" i="11"/>
  <c r="J37" i="11"/>
  <c r="L37" i="11" s="1"/>
  <c r="P120" i="11"/>
  <c r="J120" i="11"/>
  <c r="L120" i="11" s="1"/>
  <c r="P118" i="11"/>
  <c r="J118" i="11"/>
  <c r="L118" i="11" s="1"/>
  <c r="P111" i="11"/>
  <c r="J111" i="11"/>
  <c r="L111" i="11" s="1"/>
  <c r="D19" i="17"/>
  <c r="D22" i="17" s="1"/>
  <c r="D32" i="17" s="1"/>
  <c r="D36" i="17"/>
  <c r="J114" i="11"/>
  <c r="L114" i="11" s="1"/>
  <c r="P114" i="11"/>
  <c r="J112" i="11"/>
  <c r="L112" i="11" s="1"/>
  <c r="P112" i="11"/>
  <c r="J115" i="11"/>
  <c r="L115" i="11" s="1"/>
  <c r="P115" i="11"/>
  <c r="J127" i="11"/>
  <c r="L127" i="11" s="1"/>
  <c r="P127" i="11"/>
  <c r="J123" i="11"/>
  <c r="L123" i="11" s="1"/>
  <c r="P123" i="11"/>
  <c r="P119" i="11"/>
  <c r="J119" i="11"/>
  <c r="L119" i="11" s="1"/>
  <c r="P117" i="11"/>
  <c r="J117" i="11"/>
  <c r="L117" i="11" s="1"/>
  <c r="P128" i="11"/>
  <c r="J128" i="11"/>
  <c r="L128" i="11" s="1"/>
  <c r="J76" i="11"/>
  <c r="L76" i="11" s="1"/>
  <c r="P76" i="11"/>
  <c r="J122" i="11"/>
  <c r="L122" i="11" s="1"/>
  <c r="P122" i="11"/>
  <c r="P110" i="11"/>
  <c r="J110" i="11"/>
  <c r="L110" i="11" s="1"/>
  <c r="V46" i="11" l="1"/>
  <c r="J46" i="11"/>
  <c r="L46" i="11" s="1"/>
  <c r="J31" i="11"/>
  <c r="L31" i="11" s="1"/>
  <c r="J85" i="11"/>
  <c r="L85" i="11" s="1"/>
  <c r="N116" i="11"/>
  <c r="P85" i="11"/>
  <c r="J106" i="11"/>
  <c r="L106" i="11" s="1"/>
  <c r="P105" i="11"/>
  <c r="G63" i="11"/>
  <c r="G68" i="11" s="1"/>
  <c r="J59" i="11"/>
  <c r="G60" i="11" s="1"/>
  <c r="J109" i="11"/>
  <c r="L109" i="11" s="1"/>
  <c r="P108" i="11"/>
  <c r="J108" i="11"/>
  <c r="L108" i="11" s="1"/>
  <c r="N99" i="11"/>
  <c r="L105" i="11"/>
  <c r="J107" i="11"/>
  <c r="L107" i="11" s="1"/>
  <c r="P107" i="11"/>
  <c r="H32" i="11" l="1"/>
  <c r="F57" i="28"/>
  <c r="F71" i="28" s="1"/>
  <c r="J98" i="11"/>
  <c r="G32" i="11"/>
  <c r="F96" i="28"/>
  <c r="F97" i="28" s="1"/>
  <c r="F98" i="28" s="1"/>
  <c r="F103" i="28" s="1"/>
  <c r="G107" i="28" s="1"/>
  <c r="L98" i="11"/>
  <c r="J116" i="11"/>
  <c r="L116" i="11" s="1"/>
  <c r="L129" i="11" s="1"/>
  <c r="P116" i="11"/>
  <c r="N129" i="11"/>
  <c r="P129" i="11" s="1"/>
  <c r="F58" i="28"/>
  <c r="F59" i="28" s="1"/>
  <c r="F64" i="28" s="1"/>
  <c r="G68" i="28" s="1"/>
  <c r="G64" i="11"/>
  <c r="J63" i="11"/>
  <c r="J64" i="11" s="1"/>
  <c r="L59" i="11"/>
  <c r="L63" i="11" s="1"/>
  <c r="L64" i="11" s="1"/>
  <c r="H60" i="11"/>
  <c r="J60" i="11" s="1"/>
  <c r="N130" i="11" l="1"/>
  <c r="F110" i="28"/>
  <c r="F111" i="28" s="1"/>
  <c r="F112" i="28" s="1"/>
  <c r="J129" i="11"/>
  <c r="F72" i="28"/>
  <c r="F73" i="28" s="1"/>
  <c r="G75" i="28"/>
  <c r="G76" i="28" s="1"/>
  <c r="G114" i="28" l="1"/>
  <c r="G115"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s>
  <commentList>
    <comment ref="M11" authorId="0" shapeId="0" xr:uid="{00000000-0006-0000-0100-000001000000}">
      <text>
        <r>
          <rPr>
            <b/>
            <sz val="9"/>
            <color indexed="81"/>
            <rFont val="Tahoma"/>
            <family val="2"/>
          </rPr>
          <t>Weinstein, Mike:</t>
        </r>
        <r>
          <rPr>
            <sz val="9"/>
            <color indexed="81"/>
            <rFont val="Tahoma"/>
            <family val="2"/>
          </rPr>
          <t xml:space="preserve">
Projected commodity values Oct - Dec. 2017. Per prior workpapers in TG-161132</t>
        </r>
      </text>
    </comment>
    <comment ref="C12" authorId="1" shapeId="0" xr:uid="{00000000-0006-0000-0100-000002000000}">
      <text>
        <r>
          <rPr>
            <b/>
            <sz val="9"/>
            <color indexed="81"/>
            <rFont val="Tahoma"/>
            <family val="2"/>
          </rPr>
          <t>Young, Mike (UTC):</t>
        </r>
        <r>
          <rPr>
            <sz val="9"/>
            <color indexed="81"/>
            <rFont val="Tahoma"/>
            <family val="2"/>
          </rPr>
          <t xml:space="preserve">
company included Jan and Feb even though amount was suspended. Staff adjusted</t>
        </r>
      </text>
    </comment>
    <comment ref="M12" authorId="0" shapeId="0" xr:uid="{00000000-0006-0000-0100-000003000000}">
      <text>
        <r>
          <rPr>
            <b/>
            <sz val="9"/>
            <color indexed="81"/>
            <rFont val="Tahoma"/>
            <family val="2"/>
          </rPr>
          <t>Weinstein, Mike:</t>
        </r>
        <r>
          <rPr>
            <sz val="9"/>
            <color indexed="81"/>
            <rFont val="Tahoma"/>
            <family val="2"/>
          </rPr>
          <t xml:space="preserve">
Projected commodity values Jan - Sep. 2018. Per prior workpapers in TG-171132</t>
        </r>
      </text>
    </comment>
    <comment ref="E21" authorId="1" shapeId="0" xr:uid="{00000000-0006-0000-0100-000004000000}">
      <text>
        <r>
          <rPr>
            <b/>
            <sz val="9"/>
            <color indexed="81"/>
            <rFont val="Tahoma"/>
            <family val="2"/>
          </rPr>
          <t>Young, Mike (UTC):</t>
        </r>
        <r>
          <rPr>
            <sz val="9"/>
            <color indexed="81"/>
            <rFont val="Tahoma"/>
            <family val="2"/>
          </rPr>
          <t xml:space="preserve">
Staff believes the company double counted in their calculation last year, but it was accepted due to the suspension and allowed as filed.</t>
        </r>
      </text>
    </comment>
    <comment ref="M53" authorId="0" shapeId="0" xr:uid="{00000000-0006-0000-0100-000005000000}">
      <text>
        <r>
          <rPr>
            <b/>
            <sz val="9"/>
            <color indexed="81"/>
            <rFont val="Tahoma"/>
            <family val="2"/>
          </rPr>
          <t>Weinstein, Mike:</t>
        </r>
        <r>
          <rPr>
            <sz val="9"/>
            <color indexed="81"/>
            <rFont val="Tahoma"/>
            <family val="2"/>
          </rPr>
          <t xml:space="preserve">
Projected commodity values Oct - Dec. 2017. Per prior workpapers in TG-161132</t>
        </r>
      </text>
    </comment>
    <comment ref="M54" authorId="0" shapeId="0" xr:uid="{00000000-0006-0000-0100-000006000000}">
      <text>
        <r>
          <rPr>
            <b/>
            <sz val="9"/>
            <color indexed="81"/>
            <rFont val="Tahoma"/>
            <family val="2"/>
          </rPr>
          <t>Weinstein, Mike:</t>
        </r>
        <r>
          <rPr>
            <sz val="9"/>
            <color indexed="81"/>
            <rFont val="Tahoma"/>
            <family val="2"/>
          </rPr>
          <t xml:space="preserve">
Projected commodity values Jan - Sep. 2018. Per prior workpapers in TG-171132</t>
        </r>
      </text>
    </comment>
    <comment ref="M92" authorId="0" shapeId="0" xr:uid="{00000000-0006-0000-0100-000007000000}">
      <text>
        <r>
          <rPr>
            <b/>
            <sz val="9"/>
            <color indexed="81"/>
            <rFont val="Tahoma"/>
            <family val="2"/>
          </rPr>
          <t>Weinstein, Mike:</t>
        </r>
        <r>
          <rPr>
            <sz val="9"/>
            <color indexed="81"/>
            <rFont val="Tahoma"/>
            <family val="2"/>
          </rPr>
          <t xml:space="preserve">
Projected commodity values Oct - Dec. 2017. Per prior workpapers in TG-161134</t>
        </r>
      </text>
    </comment>
    <comment ref="M93" authorId="0" shapeId="0" xr:uid="{00000000-0006-0000-0100-000008000000}">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tc={EDEBCA1D-CC85-4BF7-944B-BAF87FDE560C}</author>
  </authors>
  <commentList>
    <comment ref="AK11" authorId="0" shapeId="0" xr:uid="{CADF4B68-FC4E-4B67-B1F0-73EB60A70FA5}">
      <text>
        <r>
          <rPr>
            <b/>
            <sz val="9"/>
            <color indexed="81"/>
            <rFont val="Tahoma"/>
            <family val="2"/>
          </rPr>
          <t>Weinstein, Mike:</t>
        </r>
        <r>
          <rPr>
            <sz val="9"/>
            <color indexed="81"/>
            <rFont val="Tahoma"/>
            <family val="2"/>
          </rPr>
          <t xml:space="preserve">
Projected commodity values Oct - Dec. 2017. Per prior workpapers in TG-161132</t>
        </r>
      </text>
    </comment>
    <comment ref="AA12" authorId="1" shapeId="0" xr:uid="{2CFEE090-5F90-45DF-A291-8E97C0DBAA49}">
      <text>
        <r>
          <rPr>
            <b/>
            <sz val="9"/>
            <color indexed="81"/>
            <rFont val="Tahoma"/>
            <family val="2"/>
          </rPr>
          <t>Young, Mike (UTC):</t>
        </r>
        <r>
          <rPr>
            <sz val="9"/>
            <color indexed="81"/>
            <rFont val="Tahoma"/>
            <family val="2"/>
          </rPr>
          <t xml:space="preserve">
company included Jan and Feb even though amount was suspended. Staff adjusted</t>
        </r>
      </text>
    </comment>
    <comment ref="AK12" authorId="0" shapeId="0" xr:uid="{7963BCF0-EE5A-43C6-A120-973FB16933A7}">
      <text>
        <r>
          <rPr>
            <b/>
            <sz val="9"/>
            <color indexed="81"/>
            <rFont val="Tahoma"/>
            <family val="2"/>
          </rPr>
          <t>Weinstein, Mike:</t>
        </r>
        <r>
          <rPr>
            <sz val="9"/>
            <color indexed="81"/>
            <rFont val="Tahoma"/>
            <family val="2"/>
          </rPr>
          <t xml:space="preserve">
Projected commodity values Jan - Sep. 2018. Per prior workpapers in TG-171132</t>
        </r>
      </text>
    </comment>
    <comment ref="AC21" authorId="1" shapeId="0" xr:uid="{9946619D-9721-4F20-B6D1-CBC1B1771A54}">
      <text>
        <r>
          <rPr>
            <b/>
            <sz val="9"/>
            <color indexed="81"/>
            <rFont val="Tahoma"/>
            <family val="2"/>
          </rPr>
          <t>Young, Mike (UTC):</t>
        </r>
        <r>
          <rPr>
            <sz val="9"/>
            <color indexed="81"/>
            <rFont val="Tahoma"/>
            <family val="2"/>
          </rPr>
          <t xml:space="preserve">
true-up not collected in Jan &amp; Feb</t>
        </r>
      </text>
    </comment>
    <comment ref="V22" authorId="2" shapeId="0" xr:uid="{EDEBCA1D-CC85-4BF7-944B-BAF87FDE560C}">
      <text>
        <t>[Threaded comment]
Your version of Excel allows you to read this threaded comment; however, any edits to it will get removed if the file is opened in a newer version of Excel. Learn more: https://go.microsoft.com/fwlink/?linkid=870924
Comment:
    Company calculation was pulling from a blank cell, corrected to include cell F18, net commodity revenue</t>
      </text>
    </comment>
    <comment ref="AK53" authorId="0" shapeId="0" xr:uid="{4C109EE6-0F0E-4131-BAF7-1D70DC025A10}">
      <text>
        <r>
          <rPr>
            <b/>
            <sz val="9"/>
            <color indexed="81"/>
            <rFont val="Tahoma"/>
            <family val="2"/>
          </rPr>
          <t>Weinstein, Mike:</t>
        </r>
        <r>
          <rPr>
            <sz val="9"/>
            <color indexed="81"/>
            <rFont val="Tahoma"/>
            <family val="2"/>
          </rPr>
          <t xml:space="preserve">
Projected commodity values Oct - Dec. 2017. Per prior workpapers in TG-161132</t>
        </r>
      </text>
    </comment>
    <comment ref="AK54" authorId="0" shapeId="0" xr:uid="{71EC04DE-9AE2-4BA2-9E9B-3BF98AA894A0}">
      <text>
        <r>
          <rPr>
            <b/>
            <sz val="9"/>
            <color indexed="81"/>
            <rFont val="Tahoma"/>
            <family val="2"/>
          </rPr>
          <t>Weinstein, Mike:</t>
        </r>
        <r>
          <rPr>
            <sz val="9"/>
            <color indexed="81"/>
            <rFont val="Tahoma"/>
            <family val="2"/>
          </rPr>
          <t xml:space="preserve">
Projected commodity values Jan - Sep. 2018. Per prior workpapers in TG-171132</t>
        </r>
      </text>
    </comment>
    <comment ref="AK92" authorId="0" shapeId="0" xr:uid="{02DC019C-05D5-41DD-A1D9-0D2B923AA522}">
      <text>
        <r>
          <rPr>
            <b/>
            <sz val="9"/>
            <color indexed="81"/>
            <rFont val="Tahoma"/>
            <family val="2"/>
          </rPr>
          <t>Weinstein, Mike:</t>
        </r>
        <r>
          <rPr>
            <sz val="9"/>
            <color indexed="81"/>
            <rFont val="Tahoma"/>
            <family val="2"/>
          </rPr>
          <t xml:space="preserve">
Projected commodity values Oct - Dec. 2017. Per prior workpapers in TG-161134</t>
        </r>
      </text>
    </comment>
    <comment ref="AK93" authorId="0" shapeId="0" xr:uid="{195A9625-CEF6-4FE1-87E5-BD115EC544B1}">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Weinstein, Mike</author>
  </authors>
  <commentList>
    <comment ref="B72" authorId="0" shapeId="0" xr:uid="{BBBA153B-6175-4D68-BAC4-3C4591379B83}">
      <text>
        <r>
          <rPr>
            <b/>
            <sz val="9"/>
            <color indexed="81"/>
            <rFont val="Tahoma"/>
            <charset val="1"/>
          </rPr>
          <t>Weinstein, Mike:</t>
        </r>
        <r>
          <rPr>
            <sz val="9"/>
            <color indexed="81"/>
            <rFont val="Tahoma"/>
            <charset val="1"/>
          </rPr>
          <t xml:space="preserve">
Composition based on CRC mix as all  materials delivered to CRC are representative of our Puget Sound Recycling programs. However the commodity prices are based on the mix of materials sold at JMK and CRC</t>
        </r>
      </text>
    </comment>
  </commentList>
</comments>
</file>

<file path=xl/sharedStrings.xml><?xml version="1.0" encoding="utf-8"?>
<sst xmlns="http://schemas.openxmlformats.org/spreadsheetml/2006/main" count="1195" uniqueCount="283">
  <si>
    <t>Aluminum</t>
  </si>
  <si>
    <t>OCC</t>
  </si>
  <si>
    <t>Glass</t>
  </si>
  <si>
    <t>Newspaper</t>
  </si>
  <si>
    <t>Tin Cans</t>
  </si>
  <si>
    <t>Residue</t>
  </si>
  <si>
    <t>Mix Paper</t>
  </si>
  <si>
    <t>Tons</t>
  </si>
  <si>
    <t>PET</t>
  </si>
  <si>
    <t>#3 - 7</t>
  </si>
  <si>
    <t>HDPE Natl</t>
  </si>
  <si>
    <t>HDPE Col</t>
  </si>
  <si>
    <t>King County Revenue Sharing Plan Budget</t>
  </si>
  <si>
    <t xml:space="preserve">King </t>
  </si>
  <si>
    <t>Seattle/</t>
  </si>
  <si>
    <t>County</t>
  </si>
  <si>
    <t>North Sound</t>
  </si>
  <si>
    <t>South Sound</t>
  </si>
  <si>
    <t>Customer Counts:</t>
  </si>
  <si>
    <t>Residential</t>
  </si>
  <si>
    <t>Tonnage:</t>
  </si>
  <si>
    <t>Revenues:</t>
  </si>
  <si>
    <t>Total Projected Commodity Revenue (based most recent 12 months average commodity values)</t>
  </si>
  <si>
    <t>Expenditures Budget:</t>
  </si>
  <si>
    <t xml:space="preserve">Estimated Revenue Sharing retained by Company </t>
  </si>
  <si>
    <t>Detailed Expenditures:</t>
  </si>
  <si>
    <t>Tasks As Outlined In RSA</t>
  </si>
  <si>
    <t>Total RSA Task Fees (excluding capital)</t>
  </si>
  <si>
    <t>Avg. lbs./customer/mo.</t>
  </si>
  <si>
    <t>Avg. revenue/ton</t>
  </si>
  <si>
    <t>Snohomish County Revenue Sharing Plan Budget</t>
  </si>
  <si>
    <t>Snohomish</t>
  </si>
  <si>
    <t>Passback Price/ton schedule</t>
  </si>
  <si>
    <t>Natural</t>
  </si>
  <si>
    <t>Colored</t>
  </si>
  <si>
    <t>Mixed</t>
  </si>
  <si>
    <t>Month</t>
  </si>
  <si>
    <t>ONP 6</t>
  </si>
  <si>
    <t>Mixed Paper</t>
  </si>
  <si>
    <t>Alum.</t>
  </si>
  <si>
    <t>Tin</t>
  </si>
  <si>
    <t>HDPE</t>
  </si>
  <si>
    <t>Plastics 3-7</t>
  </si>
  <si>
    <t>Average</t>
  </si>
  <si>
    <t>Overall Plastic Average</t>
  </si>
  <si>
    <t>King County:</t>
  </si>
  <si>
    <t>Oct</t>
  </si>
  <si>
    <t>Nov</t>
  </si>
  <si>
    <t>Dec.</t>
  </si>
  <si>
    <t>Feb.</t>
  </si>
  <si>
    <t>Mar.</t>
  </si>
  <si>
    <t>Apr.</t>
  </si>
  <si>
    <t>May</t>
  </si>
  <si>
    <t>Jun.</t>
  </si>
  <si>
    <t>Jul.</t>
  </si>
  <si>
    <t>Aug.</t>
  </si>
  <si>
    <t>Sep.</t>
  </si>
  <si>
    <t>Oct.</t>
  </si>
  <si>
    <t>Nov.</t>
  </si>
  <si>
    <t>Jun</t>
  </si>
  <si>
    <t>Jul</t>
  </si>
  <si>
    <t>Aug</t>
  </si>
  <si>
    <t>Sep</t>
  </si>
  <si>
    <t>Snohomish County:</t>
  </si>
  <si>
    <t>Dec</t>
  </si>
  <si>
    <t>WUTC</t>
  </si>
  <si>
    <t>Non-WUTC</t>
  </si>
  <si>
    <t>WM - Seattle/South Sound</t>
  </si>
  <si>
    <t>Grand</t>
  </si>
  <si>
    <t>SS</t>
  </si>
  <si>
    <t>Seattle</t>
  </si>
  <si>
    <t>Total</t>
  </si>
  <si>
    <t>Marysville</t>
  </si>
  <si>
    <t>Non-Reg</t>
  </si>
  <si>
    <t>Everett</t>
  </si>
  <si>
    <t>Feb</t>
  </si>
  <si>
    <t>Mar</t>
  </si>
  <si>
    <t>Apr</t>
  </si>
  <si>
    <t>Actual Average:</t>
  </si>
  <si>
    <t>WUTC - Snohomish County</t>
  </si>
  <si>
    <t>Summary of Recycling Tonnages and Revenue</t>
  </si>
  <si>
    <t>Total Counties:</t>
  </si>
  <si>
    <t>King</t>
  </si>
  <si>
    <t>Single Stream Tonnage</t>
  </si>
  <si>
    <t>Single Stream Revenue</t>
  </si>
  <si>
    <t>Revenue</t>
  </si>
  <si>
    <t>per Ton</t>
  </si>
  <si>
    <t>Customers</t>
  </si>
  <si>
    <t>lbs./cust/mo.</t>
  </si>
  <si>
    <t>Regulated WUTC:</t>
  </si>
  <si>
    <t>Difference - over (under)</t>
  </si>
  <si>
    <t>Regulated WUTC (Single Family):</t>
  </si>
  <si>
    <t>% of Total</t>
  </si>
  <si>
    <t>Regulated WUTC (Multi-Family):</t>
  </si>
  <si>
    <t>Less: Performance Incentive Earned (5% of Expenditures)</t>
  </si>
  <si>
    <t>WM - North Sound/Marysville</t>
  </si>
  <si>
    <t>King County</t>
  </si>
  <si>
    <t>King Cty</t>
  </si>
  <si>
    <t>Sno.Cty</t>
  </si>
  <si>
    <t>North Sound/</t>
  </si>
  <si>
    <t>Snohomish County</t>
  </si>
  <si>
    <t>Residential (average)</t>
  </si>
  <si>
    <t>Budget</t>
  </si>
  <si>
    <t>Grand Total</t>
  </si>
  <si>
    <t>%</t>
  </si>
  <si>
    <t>CRC Prices</t>
  </si>
  <si>
    <t>JMK Prices</t>
  </si>
  <si>
    <t>Amount Over (under) spent</t>
  </si>
  <si>
    <t>WM North Sound (Snohomish County)</t>
  </si>
  <si>
    <t>2018 - 2019 Rebate Calculation</t>
  </si>
  <si>
    <t>Commodity</t>
  </si>
  <si>
    <t>Credit</t>
  </si>
  <si>
    <t>Credits</t>
  </si>
  <si>
    <t>Projected Revenue Oct. 2017 - Sep. 2018</t>
  </si>
  <si>
    <t>Oct. - Dec projected value without adjustment factor</t>
  </si>
  <si>
    <t>Jan. - Sep. projected value without adjustment factor</t>
  </si>
  <si>
    <t xml:space="preserve">Actual Commodity Revenue </t>
  </si>
  <si>
    <t>Owe Customer (company)</t>
  </si>
  <si>
    <t>Total Customers</t>
  </si>
  <si>
    <t>Commodity Adjustment</t>
  </si>
  <si>
    <t>Projected Revenue Oct. 2018 - Sep. 2019 (based on most recent 6 months due to "China Sword")</t>
  </si>
  <si>
    <t>Projected Value to Rebate to Customers</t>
  </si>
  <si>
    <t>Residential Commodity Adjustment</t>
  </si>
  <si>
    <t>Estimated Cost of Customer notices - per customer</t>
  </si>
  <si>
    <t>Less: Revenue Sharing Agreement (amount retained including incentive)</t>
  </si>
  <si>
    <t>WM North Sound (King County)</t>
  </si>
  <si>
    <t>WM Seattle / South Sound (King County)</t>
  </si>
  <si>
    <t>Projected Revenue Oct. 2018 - Sep. 2019</t>
  </si>
  <si>
    <t>2019 - 2020 Rebate Calculation</t>
  </si>
  <si>
    <t xml:space="preserve">Actual Commodity Revenue (Oct. 2018 - Sept. 2019) </t>
  </si>
  <si>
    <t>Projected Revenue Oct. 2019 - Sep. 2020 (based on most recent 12 months)</t>
  </si>
  <si>
    <t>Residential and Multi-Family WUTC tonnage (based on most recent 12 months)</t>
  </si>
  <si>
    <t xml:space="preserve">Amount available to spend </t>
  </si>
  <si>
    <t>Task 3 - Multifamily Recycling and Reduction of Contamination</t>
  </si>
  <si>
    <t>Task 4 - Community Events- Reducing Contamination &amp; Waste, and Encouraging Composting</t>
  </si>
  <si>
    <t>Task 6 - Focused Education for Younger Minds</t>
  </si>
  <si>
    <t>Single Stream Composition-CRC</t>
  </si>
  <si>
    <t>Processed</t>
  </si>
  <si>
    <t>@ CRC</t>
  </si>
  <si>
    <t>@ JMK</t>
  </si>
  <si>
    <t>% of Total processed at CRC/JMK</t>
  </si>
  <si>
    <t>CRC</t>
  </si>
  <si>
    <t>JMK</t>
  </si>
  <si>
    <t xml:space="preserve">Overall </t>
  </si>
  <si>
    <t>Net Residential Commodity Rebate (charge) - Snohomish County</t>
  </si>
  <si>
    <t>Net Residential Commodity Rebate (charge) - City of Everett</t>
  </si>
  <si>
    <t xml:space="preserve">Net Residential Commodity Rebate (charge) </t>
  </si>
  <si>
    <t>Note: The cumulative methodology historically used in filings over the past 20+ years is not sustainable going forward. With this filing we are converting to the new methodology used in most WUTC filings as reflected below carrying forward the approved rates reflected in the prior years filing. (see columns I - O)</t>
  </si>
  <si>
    <t>Less: Amount underspent during the 2018 - 2019 RSA plan</t>
  </si>
  <si>
    <t>per TG-180923</t>
  </si>
  <si>
    <t>Less: 50% retained by company</t>
  </si>
  <si>
    <t>Add: Net Suspended charges (Jan-Feb. 2019)</t>
  </si>
  <si>
    <t>Amount passed back to customers</t>
  </si>
  <si>
    <t>Net Commodity Revenue</t>
  </si>
  <si>
    <t>Total Owe Customer (Company)</t>
  </si>
  <si>
    <t>Customer Type</t>
  </si>
  <si>
    <t>Material</t>
  </si>
  <si>
    <t>Algona</t>
  </si>
  <si>
    <t>Auburn</t>
  </si>
  <si>
    <t>Bothell</t>
  </si>
  <si>
    <t>Duvall</t>
  </si>
  <si>
    <t>Federal Way</t>
  </si>
  <si>
    <t>Kirkland</t>
  </si>
  <si>
    <t>Newcastle</t>
  </si>
  <si>
    <t>Normandy Park</t>
  </si>
  <si>
    <t>Pacific</t>
  </si>
  <si>
    <t>Redmond</t>
  </si>
  <si>
    <t>Sammamish</t>
  </si>
  <si>
    <t>Snoqualmie</t>
  </si>
  <si>
    <t>Tukwila</t>
  </si>
  <si>
    <t>UTC South Sound</t>
  </si>
  <si>
    <t>UTC Seattle</t>
  </si>
  <si>
    <t>UTC North Sound</t>
  </si>
  <si>
    <t>Grand total</t>
  </si>
  <si>
    <t>October:</t>
  </si>
  <si>
    <t>Recycle</t>
  </si>
  <si>
    <t>Multifamily</t>
  </si>
  <si>
    <t>November:</t>
  </si>
  <si>
    <t>December:</t>
  </si>
  <si>
    <t>Arlington</t>
  </si>
  <si>
    <t>Granite Falls</t>
  </si>
  <si>
    <t>Lake Stevens</t>
  </si>
  <si>
    <t>Mill Creek</t>
  </si>
  <si>
    <t>Mountlake Terrace</t>
  </si>
  <si>
    <t>Mukilteo</t>
  </si>
  <si>
    <t>Darrington</t>
  </si>
  <si>
    <t>Stanwood</t>
  </si>
  <si>
    <t>UTC Marysville</t>
  </si>
  <si>
    <t>December</t>
  </si>
  <si>
    <t>January:</t>
  </si>
  <si>
    <t>February:</t>
  </si>
  <si>
    <t>March</t>
  </si>
  <si>
    <t>April</t>
  </si>
  <si>
    <t>Processed at CRC</t>
  </si>
  <si>
    <t>Processed at JMK</t>
  </si>
  <si>
    <t>KC</t>
  </si>
  <si>
    <t>SC</t>
  </si>
  <si>
    <t>June</t>
  </si>
  <si>
    <t>July</t>
  </si>
  <si>
    <t>August</t>
  </si>
  <si>
    <t>September</t>
  </si>
  <si>
    <t>October</t>
  </si>
  <si>
    <t>November</t>
  </si>
  <si>
    <t>January</t>
  </si>
  <si>
    <t>February</t>
  </si>
  <si>
    <t>Revised Rate Sheet Summary</t>
  </si>
  <si>
    <t>WM-North Sound (SC)</t>
  </si>
  <si>
    <t>WM-North Sound (KC)</t>
  </si>
  <si>
    <t>WM-Seattle/South Sound</t>
  </si>
  <si>
    <t>Service</t>
  </si>
  <si>
    <t xml:space="preserve">Revised </t>
  </si>
  <si>
    <t>Current</t>
  </si>
  <si>
    <t>% Change</t>
  </si>
  <si>
    <t>Residential Recycle Credit (Charge)</t>
  </si>
  <si>
    <t>Multi-Family Containers (a):</t>
  </si>
  <si>
    <t>Mini-can</t>
  </si>
  <si>
    <t>Cans</t>
  </si>
  <si>
    <t>35 gal cart</t>
  </si>
  <si>
    <t>64 gal cart</t>
  </si>
  <si>
    <t>96 gal cart</t>
  </si>
  <si>
    <t>1 yard</t>
  </si>
  <si>
    <t>1.50 yard</t>
  </si>
  <si>
    <t>2 yard</t>
  </si>
  <si>
    <t>3 yard</t>
  </si>
  <si>
    <t>4 yard</t>
  </si>
  <si>
    <t>6 yard</t>
  </si>
  <si>
    <t>8 yard</t>
  </si>
  <si>
    <t>MF Containers(Everett) (a):</t>
  </si>
  <si>
    <t>MF Using Drop Box (a):</t>
  </si>
  <si>
    <t>Per Station</t>
  </si>
  <si>
    <t>Per Cart</t>
  </si>
  <si>
    <t>MF Using Drop Box(Everett) (a):</t>
  </si>
  <si>
    <t>(a)</t>
  </si>
  <si>
    <t xml:space="preserve">Due to the relative immateriality of MF tonnages as compared to residential tonnages, the increase or decrease in the change of the commodity rebate each year will be based on the % change in the residential recycling rebate </t>
  </si>
  <si>
    <t>Credit/(Debit)</t>
  </si>
  <si>
    <t>Credits/(Debits)</t>
  </si>
  <si>
    <t>Projected Revenue Oct. 2019 - Sep. 2020</t>
  </si>
  <si>
    <t>paid out/credits given</t>
  </si>
  <si>
    <t xml:space="preserve">Actual Commodity Revenue (Oct. 2019 - Sept. 2020) </t>
  </si>
  <si>
    <t>revenue  received</t>
  </si>
  <si>
    <t>owed to company</t>
  </si>
  <si>
    <t>Projected Revenue Oct. 2020 - Sep. 2021 (based on most recent 12 months)</t>
  </si>
  <si>
    <t>Residential Commodity Rebate (charge)</t>
  </si>
  <si>
    <t>2020 - 2021 Rebate Calculation</t>
  </si>
  <si>
    <t>Projected Revenue Oct. 2020 - Sep. 2021</t>
  </si>
  <si>
    <t xml:space="preserve">Actual Commodity Revenue (Oct. 2020 - Sept. 2021) </t>
  </si>
  <si>
    <t>Projected Revenue Oct. 2021 - Sep. 2022 (based on most recent 12 months)</t>
  </si>
  <si>
    <t xml:space="preserve">2022 - 2023 plan years </t>
  </si>
  <si>
    <t>Add: 50% commodity value to Everett customers who do not participate in the RSA</t>
  </si>
  <si>
    <t>owed to customer</t>
  </si>
  <si>
    <t>The deferred recycling commodity adjustment (RCA) is a mechanism used by the Commission to return to the customer the revenue a company receives from the sale of recyclable materials.  It consists of a forecast of the value of the commodities for the next year, and a true-up based on the actual payments made to the customer for the commodities for the previous year.  It is based on net revenue rather than gross revenue, meaning that if a company has to pay to get rid of a commodity, that negative amount is left in the calculation.</t>
  </si>
  <si>
    <t>2020 - 2021 Rebate Calculation - Deferred Accounting Methodology</t>
  </si>
  <si>
    <t>september</t>
  </si>
  <si>
    <t>WUTC - King County (Seattle/South Sound)</t>
  </si>
  <si>
    <t>WUTC - King County (North Sound/Marysville)</t>
  </si>
  <si>
    <t>Add: Increase in the Budget to reflect prior underspent funds (net of incentive)</t>
  </si>
  <si>
    <t>Less: Reduction in the Budget to reflect prior underspent funds (net of incentive)</t>
  </si>
  <si>
    <t>Task 1 - Increasing Recyclable Material Capture</t>
  </si>
  <si>
    <t>Task 2 - Multifamily Outreach</t>
  </si>
  <si>
    <t>Task 3 - Analysis of Incorporating Tasks into Base Rates</t>
  </si>
  <si>
    <t>Task 1 - Knowledge Sharing and Education</t>
  </si>
  <si>
    <t>Task 2 - Expanding Access and Education for All</t>
  </si>
  <si>
    <t>Task 5 - Contamination Reduction and What Goes Where</t>
  </si>
  <si>
    <t>Woodinville - UTC</t>
  </si>
  <si>
    <t>Lynnwood- UTC</t>
  </si>
  <si>
    <t>Edmonds- UTC</t>
  </si>
  <si>
    <t>Everett_UTC</t>
  </si>
  <si>
    <t>Oct., 2021</t>
  </si>
  <si>
    <t>Jan., 2022</t>
  </si>
  <si>
    <t>Jan. 2023</t>
  </si>
  <si>
    <t>Oct.; 2021</t>
  </si>
  <si>
    <t>Jan.; 2022</t>
  </si>
  <si>
    <t>Jan., 2023</t>
  </si>
  <si>
    <t>Brier_UTC</t>
  </si>
  <si>
    <t>2022 - 2023 Pro Rata per Budget</t>
  </si>
  <si>
    <t>2022 - 2023 Total per Budget</t>
  </si>
  <si>
    <t>2021 - 2022 Rebate Calculation - Deferred Accounting Methodology</t>
  </si>
  <si>
    <t>Projected Revenue Oct. 2021 - Sep. 2022</t>
  </si>
  <si>
    <t>Projected Revenue Oct. 2022 - Sep. 2023 (based on most recent 12 months)</t>
  </si>
  <si>
    <t xml:space="preserve">Actual Commodity Revenue (Oct. 2021 - Sept. 2022) </t>
  </si>
  <si>
    <t>Oct; '21</t>
  </si>
  <si>
    <t>Jan. '22</t>
  </si>
  <si>
    <t>Jan.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</si>
</sst>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409]#,##0.00"/>
    <numFmt numFmtId="168" formatCode="[$$-409]#,##0"/>
  </numFmts>
  <fonts count="87">
    <font>
      <sz val="10"/>
      <name val="Arial"/>
    </font>
    <font>
      <sz val="11"/>
      <color theme="1"/>
      <name val="Calibri"/>
      <family val="2"/>
      <scheme val="minor"/>
    </font>
    <font>
      <sz val="10"/>
      <name val="Arial"/>
      <family val="2"/>
    </font>
    <font>
      <b/>
      <sz val="10"/>
      <name val="Arial"/>
      <family val="2"/>
    </font>
    <font>
      <b/>
      <i/>
      <u/>
      <sz val="10"/>
      <name val="Arial"/>
      <family val="2"/>
    </font>
    <font>
      <sz val="10"/>
      <name val="Arial"/>
      <family val="2"/>
    </font>
    <font>
      <u val="singleAccounting"/>
      <sz val="10"/>
      <name val="Arial"/>
      <family val="2"/>
    </font>
    <font>
      <u/>
      <sz val="10"/>
      <name val="Arial"/>
      <family val="2"/>
    </font>
    <font>
      <b/>
      <u val="double"/>
      <sz val="10"/>
      <name val="Arial"/>
      <family val="2"/>
    </font>
    <font>
      <sz val="10"/>
      <color indexed="10"/>
      <name val="Arial"/>
      <family val="2"/>
    </font>
    <font>
      <b/>
      <u/>
      <sz val="10"/>
      <name val="Arial"/>
      <family val="2"/>
    </font>
    <font>
      <b/>
      <u val="singleAccounting"/>
      <sz val="10"/>
      <name val="Arial"/>
      <family val="2"/>
    </font>
    <font>
      <sz val="9"/>
      <name val="Arial"/>
      <family val="2"/>
    </font>
    <font>
      <b/>
      <sz val="16"/>
      <name val="Arial"/>
      <family val="2"/>
    </font>
    <font>
      <u val="singleAccounting"/>
      <sz val="9"/>
      <name val="Arial"/>
      <family val="2"/>
    </font>
    <font>
      <b/>
      <u val="doubleAccounting"/>
      <sz val="10"/>
      <name val="Arial"/>
      <family val="2"/>
    </font>
    <font>
      <b/>
      <sz val="11"/>
      <name val="Calibri"/>
      <family val="2"/>
    </font>
    <font>
      <b/>
      <u val="singleAccounting"/>
      <sz val="11"/>
      <name val="Calibri"/>
      <family val="2"/>
    </font>
    <font>
      <sz val="11"/>
      <name val="Calibri"/>
      <family val="2"/>
    </font>
    <font>
      <u val="singleAccounting"/>
      <sz val="11"/>
      <name val="Calibri"/>
      <family val="2"/>
    </font>
    <font>
      <b/>
      <u val="double"/>
      <sz val="11"/>
      <name val="Calibri"/>
      <family val="2"/>
    </font>
    <font>
      <b/>
      <sz val="14"/>
      <name val="Arial"/>
      <family val="2"/>
    </font>
    <font>
      <b/>
      <sz val="18"/>
      <name val="Arial"/>
      <family val="2"/>
    </font>
    <font>
      <sz val="12"/>
      <name val="Arial"/>
      <family val="2"/>
    </font>
    <font>
      <b/>
      <sz val="12"/>
      <name val="Arial"/>
      <family val="2"/>
    </font>
    <font>
      <b/>
      <sz val="12"/>
      <color indexed="10"/>
      <name val="Arial"/>
      <family val="2"/>
    </font>
    <font>
      <i/>
      <u/>
      <sz val="12"/>
      <name val="Arial"/>
      <family val="2"/>
    </font>
    <font>
      <b/>
      <u/>
      <sz val="12"/>
      <name val="Arial"/>
      <family val="2"/>
    </font>
    <font>
      <b/>
      <sz val="12"/>
      <color indexed="12"/>
      <name val="Arial"/>
      <family val="2"/>
    </font>
    <font>
      <u val="singleAccounting"/>
      <sz val="12"/>
      <name val="Arial"/>
      <family val="2"/>
    </font>
    <font>
      <b/>
      <u val="singleAccounting"/>
      <sz val="12"/>
      <name val="Arial"/>
      <family val="2"/>
    </font>
    <font>
      <b/>
      <u val="doubleAccounting"/>
      <sz val="12"/>
      <name val="Arial"/>
      <family val="2"/>
    </font>
    <font>
      <b/>
      <sz val="9"/>
      <color indexed="81"/>
      <name val="Tahoma"/>
      <family val="2"/>
    </font>
    <font>
      <sz val="9"/>
      <color indexed="81"/>
      <name val="Tahoma"/>
      <family val="2"/>
    </font>
    <font>
      <i/>
      <sz val="10"/>
      <name val="Arial"/>
      <family val="2"/>
    </font>
    <font>
      <b/>
      <sz val="11"/>
      <color theme="1"/>
      <name val="Calibri"/>
      <family val="2"/>
      <scheme val="minor"/>
    </font>
    <font>
      <sz val="11"/>
      <color rgb="FFFF0000"/>
      <name val="Calibri"/>
      <family val="2"/>
      <scheme val="minor"/>
    </font>
    <font>
      <b/>
      <u/>
      <sz val="11"/>
      <color theme="1"/>
      <name val="Calibri"/>
      <family val="2"/>
      <scheme val="minor"/>
    </font>
    <font>
      <b/>
      <sz val="18"/>
      <color theme="1"/>
      <name val="Calibri"/>
      <family val="2"/>
      <scheme val="minor"/>
    </font>
    <font>
      <b/>
      <sz val="12"/>
      <name val="Calibri"/>
      <family val="2"/>
      <scheme val="minor"/>
    </font>
    <font>
      <b/>
      <sz val="11"/>
      <color rgb="FFFF0000"/>
      <name val="Calibri"/>
      <family val="2"/>
      <scheme val="minor"/>
    </font>
    <font>
      <b/>
      <u/>
      <sz val="16"/>
      <color theme="1"/>
      <name val="Calibri"/>
      <family val="2"/>
      <scheme val="minor"/>
    </font>
    <font>
      <sz val="11"/>
      <name val="Calibri"/>
      <family val="2"/>
      <scheme val="minor"/>
    </font>
    <font>
      <b/>
      <u/>
      <sz val="14"/>
      <color theme="1"/>
      <name val="Calibri"/>
      <family val="2"/>
      <scheme val="minor"/>
    </font>
    <font>
      <b/>
      <sz val="11"/>
      <name val="Calibri"/>
      <family val="2"/>
      <scheme val="minor"/>
    </font>
    <font>
      <sz val="10"/>
      <color theme="1"/>
      <name val="Arial"/>
      <family val="2"/>
    </font>
    <font>
      <b/>
      <u val="singleAccounting"/>
      <sz val="10"/>
      <color theme="1"/>
      <name val="Arial"/>
      <family val="2"/>
    </font>
    <font>
      <sz val="10"/>
      <color rgb="FFFF0000"/>
      <name val="Arial"/>
      <family val="2"/>
    </font>
    <font>
      <b/>
      <sz val="12"/>
      <color theme="1"/>
      <name val="Arial"/>
      <family val="2"/>
    </font>
    <font>
      <i/>
      <sz val="8"/>
      <color theme="1"/>
      <name val="Calibri"/>
      <family val="2"/>
      <scheme val="minor"/>
    </font>
    <font>
      <b/>
      <i/>
      <sz val="11"/>
      <color theme="1"/>
      <name val="Calibri"/>
      <family val="2"/>
      <scheme val="minor"/>
    </font>
    <font>
      <b/>
      <u val="doubleAccounting"/>
      <sz val="10"/>
      <color theme="1"/>
      <name val="Arial"/>
      <family val="2"/>
    </font>
    <font>
      <b/>
      <sz val="10"/>
      <color theme="1"/>
      <name val="Arial"/>
      <family val="2"/>
    </font>
    <font>
      <b/>
      <u/>
      <sz val="10"/>
      <color theme="1"/>
      <name val="Arial"/>
      <family val="2"/>
    </font>
    <font>
      <b/>
      <sz val="11"/>
      <color rgb="FFFF0000"/>
      <name val="Calibri"/>
      <family val="2"/>
    </font>
    <font>
      <b/>
      <u/>
      <sz val="11"/>
      <color theme="1"/>
      <name val="Calibri"/>
      <family val="2"/>
    </font>
    <font>
      <b/>
      <u val="doubleAccounting"/>
      <sz val="11"/>
      <color theme="1"/>
      <name val="Calibri"/>
      <family val="2"/>
    </font>
    <font>
      <b/>
      <i/>
      <u val="double"/>
      <sz val="11"/>
      <color theme="1"/>
      <name val="Calibri"/>
      <family val="2"/>
    </font>
    <font>
      <b/>
      <sz val="11"/>
      <color theme="1"/>
      <name val="Calibri"/>
      <family val="2"/>
    </font>
    <font>
      <sz val="11"/>
      <color rgb="FF00B050"/>
      <name val="Calibri"/>
      <family val="2"/>
    </font>
    <font>
      <b/>
      <u val="singleAccounting"/>
      <sz val="11"/>
      <color theme="1"/>
      <name val="Calibri"/>
      <family val="2"/>
    </font>
    <font>
      <b/>
      <u val="doubleAccounting"/>
      <sz val="11"/>
      <color rgb="FF00B050"/>
      <name val="Calibri"/>
      <family val="2"/>
    </font>
    <font>
      <b/>
      <i/>
      <u val="double"/>
      <sz val="10"/>
      <color theme="1"/>
      <name val="Arial"/>
      <family val="2"/>
    </font>
    <font>
      <u val="singleAccounting"/>
      <sz val="10"/>
      <color theme="1"/>
      <name val="Arial"/>
      <family val="2"/>
    </font>
    <font>
      <b/>
      <u val="doubleAccounting"/>
      <sz val="10"/>
      <color rgb="FFFF0000"/>
      <name val="Arial"/>
      <family val="2"/>
    </font>
    <font>
      <b/>
      <u val="double"/>
      <sz val="10"/>
      <color theme="1"/>
      <name val="Arial"/>
      <family val="2"/>
    </font>
    <font>
      <u val="singleAccounting"/>
      <sz val="10"/>
      <color rgb="FFFF0000"/>
      <name val="Arial"/>
      <family val="2"/>
    </font>
    <font>
      <b/>
      <u val="double"/>
      <sz val="11"/>
      <color rgb="FFFF0000"/>
      <name val="Calibri"/>
      <family val="2"/>
    </font>
    <font>
      <sz val="12"/>
      <color theme="1"/>
      <name val="Arial"/>
      <family val="2"/>
    </font>
    <font>
      <u val="singleAccounting"/>
      <sz val="12"/>
      <color theme="1"/>
      <name val="Arial"/>
      <family val="2"/>
    </font>
    <font>
      <sz val="12"/>
      <color rgb="FFFF0000"/>
      <name val="Arial"/>
      <family val="2"/>
    </font>
    <font>
      <b/>
      <sz val="10"/>
      <color rgb="FFFF0000"/>
      <name val="Arial"/>
      <family val="2"/>
    </font>
    <font>
      <b/>
      <i/>
      <u/>
      <sz val="11"/>
      <color theme="1"/>
      <name val="Calibri"/>
      <family val="2"/>
      <scheme val="minor"/>
    </font>
    <font>
      <b/>
      <i/>
      <u/>
      <sz val="11"/>
      <color rgb="FFFF0000"/>
      <name val="Calibri"/>
      <family val="2"/>
    </font>
    <font>
      <sz val="9"/>
      <color indexed="81"/>
      <name val="Tahoma"/>
      <charset val="1"/>
    </font>
    <font>
      <b/>
      <sz val="9"/>
      <color indexed="81"/>
      <name val="Tahoma"/>
      <charset val="1"/>
    </font>
    <font>
      <b/>
      <i/>
      <sz val="18"/>
      <name val="Arial MT"/>
    </font>
    <font>
      <b/>
      <sz val="12"/>
      <name val="Arial MT"/>
    </font>
    <font>
      <b/>
      <u/>
      <sz val="12"/>
      <name val="Arial MT"/>
    </font>
    <font>
      <u/>
      <sz val="12"/>
      <name val="Arial"/>
      <family val="2"/>
    </font>
    <font>
      <sz val="12"/>
      <name val="Arial MT"/>
    </font>
    <font>
      <b/>
      <u val="double"/>
      <sz val="12"/>
      <name val="Arial"/>
      <family val="2"/>
    </font>
    <font>
      <sz val="12"/>
      <color indexed="12"/>
      <name val="Arial MT"/>
    </font>
    <font>
      <sz val="11"/>
      <name val="Arial"/>
      <family val="2"/>
    </font>
    <font>
      <b/>
      <sz val="11"/>
      <name val="Palatino Linotype"/>
      <family val="1"/>
    </font>
    <font>
      <sz val="9"/>
      <color rgb="FFFF0000"/>
      <name val="Arial"/>
      <family val="2"/>
    </font>
    <font>
      <u val="singleAccounting"/>
      <sz val="9"/>
      <color rgb="FFFF0000"/>
      <name val="Arial"/>
      <family val="2"/>
    </font>
  </fonts>
  <fills count="7">
    <fill>
      <patternFill patternType="none"/>
    </fill>
    <fill>
      <patternFill patternType="gray125"/>
    </fill>
    <fill>
      <patternFill patternType="solid">
        <fgColor indexed="4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theme="3" tint="0.59999389629810485"/>
        <bgColor indexed="64"/>
      </patternFill>
    </fill>
  </fills>
  <borders count="32">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11">
    <xf numFmtId="0" fontId="0" fillId="0" borderId="0"/>
    <xf numFmtId="43"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2" fillId="0" borderId="0" applyFont="0" applyFill="0" applyBorder="0" applyAlignment="0" applyProtection="0"/>
    <xf numFmtId="9" fontId="5" fillId="0" borderId="0" applyFont="0" applyFill="0" applyBorder="0" applyAlignment="0" applyProtection="0"/>
  </cellStyleXfs>
  <cellXfs count="480">
    <xf numFmtId="0" fontId="0" fillId="0" borderId="0" xfId="0"/>
    <xf numFmtId="0" fontId="3" fillId="0" borderId="0" xfId="0" applyFont="1"/>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164" fontId="0" fillId="0" borderId="3" xfId="9" applyNumberFormat="1" applyFont="1" applyBorder="1"/>
    <xf numFmtId="0" fontId="0" fillId="0" borderId="1" xfId="0" applyBorder="1"/>
    <xf numFmtId="0" fontId="0" fillId="0" borderId="3" xfId="0" applyBorder="1"/>
    <xf numFmtId="0" fontId="0" fillId="0" borderId="4" xfId="0" applyBorder="1"/>
    <xf numFmtId="0" fontId="0" fillId="0" borderId="5" xfId="0" applyBorder="1"/>
    <xf numFmtId="17" fontId="4" fillId="0" borderId="6" xfId="0" applyNumberFormat="1" applyFont="1" applyBorder="1" applyAlignment="1">
      <alignment horizontal="right"/>
    </xf>
    <xf numFmtId="0" fontId="5" fillId="0" borderId="0" xfId="0" applyFont="1"/>
    <xf numFmtId="0" fontId="0" fillId="0" borderId="0" xfId="0" applyBorder="1"/>
    <xf numFmtId="0" fontId="35" fillId="0" borderId="0" xfId="0" applyFont="1" applyAlignment="1">
      <alignment horizontal="center"/>
    </xf>
    <xf numFmtId="0" fontId="37" fillId="0" borderId="0" xfId="0" applyFont="1" applyAlignment="1">
      <alignment horizontal="center"/>
    </xf>
    <xf numFmtId="164" fontId="5" fillId="0" borderId="3" xfId="10" applyNumberFormat="1" applyFont="1" applyBorder="1" applyAlignment="1">
      <alignment horizontal="right"/>
    </xf>
    <xf numFmtId="43" fontId="5" fillId="0" borderId="2" xfId="2" applyFont="1" applyBorder="1" applyAlignment="1">
      <alignment horizontal="right"/>
    </xf>
    <xf numFmtId="43" fontId="6" fillId="0" borderId="2" xfId="2" applyFont="1" applyBorder="1" applyAlignment="1">
      <alignment horizontal="right"/>
    </xf>
    <xf numFmtId="0" fontId="3" fillId="0" borderId="7" xfId="0" applyFont="1" applyBorder="1"/>
    <xf numFmtId="43" fontId="3" fillId="0" borderId="8" xfId="2" applyFont="1" applyBorder="1"/>
    <xf numFmtId="9" fontId="3" fillId="0" borderId="9" xfId="0" applyNumberFormat="1" applyFont="1" applyBorder="1"/>
    <xf numFmtId="0" fontId="38" fillId="0" borderId="0" xfId="0" applyFont="1" applyBorder="1"/>
    <xf numFmtId="0" fontId="0" fillId="0" borderId="0" xfId="0" applyFill="1"/>
    <xf numFmtId="0" fontId="39" fillId="0" borderId="0" xfId="0" quotePrefix="1" applyFont="1" applyAlignment="1">
      <alignment wrapText="1"/>
    </xf>
    <xf numFmtId="0" fontId="40" fillId="0" borderId="0" xfId="0" applyFont="1" applyAlignment="1">
      <alignment horizontal="right" wrapText="1"/>
    </xf>
    <xf numFmtId="0" fontId="40" fillId="0" borderId="0" xfId="0" applyFont="1" applyAlignment="1">
      <alignment horizontal="center" wrapText="1"/>
    </xf>
    <xf numFmtId="0" fontId="40" fillId="0" borderId="0" xfId="0" applyFont="1" applyAlignment="1">
      <alignment wrapText="1"/>
    </xf>
    <xf numFmtId="0" fontId="37" fillId="0" borderId="0" xfId="0" applyFont="1" applyBorder="1"/>
    <xf numFmtId="0" fontId="35" fillId="0" borderId="0" xfId="0" applyFont="1" applyFill="1" applyBorder="1"/>
    <xf numFmtId="0" fontId="0" fillId="0" borderId="0" xfId="0" applyFill="1" applyBorder="1"/>
    <xf numFmtId="0" fontId="41" fillId="0" borderId="0" xfId="0" applyFont="1" applyBorder="1"/>
    <xf numFmtId="0" fontId="35" fillId="0" borderId="0" xfId="0" applyFont="1" applyAlignment="1">
      <alignment wrapText="1"/>
    </xf>
    <xf numFmtId="0" fontId="42" fillId="0" borderId="0" xfId="0" applyFont="1" applyAlignment="1">
      <alignment horizontal="right" wrapText="1"/>
    </xf>
    <xf numFmtId="0" fontId="43" fillId="0" borderId="0" xfId="0" applyFont="1" applyBorder="1"/>
    <xf numFmtId="0" fontId="44" fillId="0" borderId="0" xfId="0" applyFont="1" applyAlignment="1">
      <alignment wrapText="1"/>
    </xf>
    <xf numFmtId="0" fontId="44" fillId="0" borderId="0" xfId="0" applyFont="1" applyAlignment="1">
      <alignment horizontal="right" wrapText="1"/>
    </xf>
    <xf numFmtId="0" fontId="37" fillId="0" borderId="0" xfId="0" applyFont="1" applyBorder="1" applyAlignment="1"/>
    <xf numFmtId="0" fontId="0" fillId="0" borderId="0" xfId="0" applyBorder="1" applyAlignment="1"/>
    <xf numFmtId="0" fontId="0" fillId="0" borderId="0" xfId="0" applyAlignment="1">
      <alignment wrapText="1"/>
    </xf>
    <xf numFmtId="0" fontId="0" fillId="0" borderId="0" xfId="0" applyAlignment="1">
      <alignment horizontal="right" wrapText="1"/>
    </xf>
    <xf numFmtId="0" fontId="36" fillId="0" borderId="0" xfId="0" applyFont="1" applyAlignment="1">
      <alignment horizontal="right" wrapText="1"/>
    </xf>
    <xf numFmtId="0" fontId="42" fillId="0" borderId="0" xfId="0" applyFont="1" applyAlignment="1">
      <alignment wrapText="1"/>
    </xf>
    <xf numFmtId="6" fontId="44" fillId="0" borderId="0" xfId="3" applyNumberFormat="1" applyFont="1" applyAlignment="1">
      <alignment horizontal="right" wrapText="1"/>
    </xf>
    <xf numFmtId="6" fontId="44" fillId="0" borderId="0" xfId="3" applyNumberFormat="1" applyFont="1" applyAlignment="1">
      <alignment horizontal="center" wrapText="1"/>
    </xf>
    <xf numFmtId="164" fontId="40" fillId="0" borderId="0" xfId="9" applyNumberFormat="1" applyFont="1" applyAlignment="1">
      <alignment horizontal="center" wrapText="1"/>
    </xf>
    <xf numFmtId="164" fontId="3" fillId="0" borderId="9" xfId="0" applyNumberFormat="1" applyFont="1" applyBorder="1"/>
    <xf numFmtId="43" fontId="3" fillId="0" borderId="8" xfId="1" applyFont="1" applyBorder="1"/>
    <xf numFmtId="43" fontId="0" fillId="0" borderId="0" xfId="1" applyFont="1"/>
    <xf numFmtId="0" fontId="3" fillId="0" borderId="18" xfId="0" applyFont="1" applyBorder="1"/>
    <xf numFmtId="0" fontId="3" fillId="2" borderId="18" xfId="0" applyFont="1" applyFill="1" applyBorder="1"/>
    <xf numFmtId="0" fontId="3" fillId="2" borderId="18" xfId="0" applyFont="1" applyFill="1" applyBorder="1" applyAlignment="1">
      <alignment horizontal="center"/>
    </xf>
    <xf numFmtId="0" fontId="3" fillId="2" borderId="18" xfId="0" applyFont="1" applyFill="1" applyBorder="1" applyAlignment="1" applyProtection="1">
      <alignment horizontal="center"/>
    </xf>
    <xf numFmtId="0" fontId="9" fillId="0" borderId="18" xfId="0" applyFont="1" applyFill="1" applyBorder="1"/>
    <xf numFmtId="17" fontId="3" fillId="0" borderId="18" xfId="8" applyNumberFormat="1" applyFont="1" applyFill="1" applyBorder="1" applyAlignment="1">
      <alignment horizontal="right"/>
    </xf>
    <xf numFmtId="0" fontId="36" fillId="0" borderId="0" xfId="0" applyFont="1"/>
    <xf numFmtId="0" fontId="35" fillId="0" borderId="0" xfId="0" applyFont="1"/>
    <xf numFmtId="0" fontId="37" fillId="0" borderId="0" xfId="0" applyFont="1"/>
    <xf numFmtId="165" fontId="45" fillId="0" borderId="0" xfId="1" applyNumberFormat="1" applyFont="1"/>
    <xf numFmtId="0" fontId="10" fillId="0" borderId="0" xfId="0" applyFont="1" applyAlignment="1">
      <alignment horizontal="center"/>
    </xf>
    <xf numFmtId="165" fontId="11" fillId="0" borderId="0" xfId="2" applyNumberFormat="1" applyFont="1" applyAlignment="1">
      <alignment horizontal="center"/>
    </xf>
    <xf numFmtId="0" fontId="11" fillId="0" borderId="0" xfId="0" applyFont="1" applyAlignment="1">
      <alignment horizontal="center"/>
    </xf>
    <xf numFmtId="165" fontId="46" fillId="0" borderId="0" xfId="1" applyNumberFormat="1" applyFont="1" applyAlignment="1">
      <alignment horizontal="center"/>
    </xf>
    <xf numFmtId="165" fontId="5" fillId="0" borderId="0" xfId="1" applyNumberFormat="1" applyFont="1" applyProtection="1"/>
    <xf numFmtId="165" fontId="47" fillId="0" borderId="0" xfId="1" applyNumberFormat="1" applyFont="1"/>
    <xf numFmtId="0" fontId="8" fillId="0" borderId="0" xfId="0" applyFont="1"/>
    <xf numFmtId="165" fontId="8" fillId="0" borderId="0" xfId="2" applyNumberFormat="1" applyFont="1"/>
    <xf numFmtId="43" fontId="12" fillId="0" borderId="0" xfId="1" applyFont="1" applyBorder="1" applyAlignment="1" applyProtection="1">
      <alignment horizontal="right"/>
      <protection locked="0"/>
    </xf>
    <xf numFmtId="0" fontId="13" fillId="0" borderId="0" xfId="7" applyFont="1"/>
    <xf numFmtId="0" fontId="48" fillId="0" borderId="0" xfId="0" applyFont="1"/>
    <xf numFmtId="0" fontId="40" fillId="0" borderId="0" xfId="0" applyFont="1"/>
    <xf numFmtId="0" fontId="49" fillId="0" borderId="0" xfId="0" applyFont="1"/>
    <xf numFmtId="0" fontId="50" fillId="0" borderId="0" xfId="0" applyFont="1" applyAlignment="1">
      <alignment horizontal="left"/>
    </xf>
    <xf numFmtId="164" fontId="6" fillId="0" borderId="3" xfId="9" applyNumberFormat="1" applyFont="1" applyBorder="1"/>
    <xf numFmtId="43" fontId="14" fillId="0" borderId="0" xfId="1" applyFont="1" applyBorder="1" applyAlignment="1" applyProtection="1">
      <alignment horizontal="right"/>
      <protection locked="0"/>
    </xf>
    <xf numFmtId="43" fontId="6" fillId="0" borderId="0" xfId="0" applyNumberFormat="1" applyFont="1"/>
    <xf numFmtId="164" fontId="7" fillId="0" borderId="3" xfId="9" applyNumberFormat="1" applyFont="1" applyBorder="1"/>
    <xf numFmtId="0" fontId="42" fillId="0" borderId="0" xfId="0" applyFont="1"/>
    <xf numFmtId="165" fontId="15" fillId="0" borderId="0" xfId="0" applyNumberFormat="1" applyFont="1"/>
    <xf numFmtId="0" fontId="44" fillId="0" borderId="0" xfId="0" applyFont="1"/>
    <xf numFmtId="44" fontId="5" fillId="0" borderId="0" xfId="3" applyFont="1" applyFill="1" applyBorder="1" applyProtection="1">
      <protection locked="0"/>
    </xf>
    <xf numFmtId="44" fontId="51" fillId="0" borderId="0" xfId="0" applyNumberFormat="1" applyFont="1"/>
    <xf numFmtId="0" fontId="52" fillId="0" borderId="0" xfId="0" applyFont="1"/>
    <xf numFmtId="0" fontId="5" fillId="0" borderId="18" xfId="0" applyFont="1" applyBorder="1"/>
    <xf numFmtId="44" fontId="5" fillId="0" borderId="0" xfId="0" applyNumberFormat="1" applyFont="1" applyFill="1" applyBorder="1"/>
    <xf numFmtId="0" fontId="5" fillId="2" borderId="18" xfId="0" applyFont="1" applyFill="1" applyBorder="1"/>
    <xf numFmtId="0" fontId="5" fillId="0" borderId="18" xfId="0" applyFont="1" applyFill="1" applyBorder="1"/>
    <xf numFmtId="0" fontId="5" fillId="0" borderId="0" xfId="0" applyFont="1" applyFill="1" applyBorder="1"/>
    <xf numFmtId="164" fontId="5" fillId="0" borderId="0" xfId="0" applyNumberFormat="1" applyFont="1"/>
    <xf numFmtId="43" fontId="5" fillId="0" borderId="0" xfId="0" applyNumberFormat="1" applyFont="1"/>
    <xf numFmtId="0" fontId="47" fillId="0" borderId="0" xfId="0" applyFont="1" applyFill="1" applyBorder="1"/>
    <xf numFmtId="0" fontId="47" fillId="0" borderId="0" xfId="0" applyFont="1"/>
    <xf numFmtId="0" fontId="53" fillId="0" borderId="0" xfId="0" applyFont="1"/>
    <xf numFmtId="164" fontId="45" fillId="0" borderId="0" xfId="9" applyNumberFormat="1" applyFont="1"/>
    <xf numFmtId="43" fontId="45" fillId="0" borderId="0" xfId="1" applyFont="1"/>
    <xf numFmtId="165" fontId="0" fillId="0" borderId="0" xfId="2" applyNumberFormat="1" applyFont="1"/>
    <xf numFmtId="0" fontId="0" fillId="0" borderId="0" xfId="0" quotePrefix="1"/>
    <xf numFmtId="0" fontId="0" fillId="0" borderId="0" xfId="0" quotePrefix="1" applyAlignment="1">
      <alignment horizontal="left"/>
    </xf>
    <xf numFmtId="164" fontId="5" fillId="0" borderId="3" xfId="9" applyNumberFormat="1" applyFont="1" applyBorder="1"/>
    <xf numFmtId="164" fontId="7" fillId="0" borderId="3" xfId="10" applyNumberFormat="1" applyFont="1" applyBorder="1" applyAlignment="1">
      <alignment horizontal="right"/>
    </xf>
    <xf numFmtId="0" fontId="3" fillId="0" borderId="0" xfId="0" applyFont="1" applyAlignment="1">
      <alignment horizontal="center"/>
    </xf>
    <xf numFmtId="43" fontId="12" fillId="0" borderId="0" xfId="1" applyFont="1" applyBorder="1" applyProtection="1">
      <protection locked="0"/>
    </xf>
    <xf numFmtId="44" fontId="5" fillId="0" borderId="0" xfId="3" applyFont="1"/>
    <xf numFmtId="165" fontId="6" fillId="0" borderId="0" xfId="0" applyNumberFormat="1" applyFont="1"/>
    <xf numFmtId="0" fontId="54" fillId="0" borderId="0" xfId="0" applyFont="1" applyAlignment="1">
      <alignment horizontal="center" wrapText="1"/>
    </xf>
    <xf numFmtId="0" fontId="18" fillId="0" borderId="0" xfId="0" applyFont="1" applyFill="1"/>
    <xf numFmtId="0" fontId="18" fillId="0" borderId="0" xfId="0" applyFont="1"/>
    <xf numFmtId="44" fontId="16" fillId="0" borderId="0" xfId="3" applyFont="1" applyAlignment="1">
      <alignment horizontal="center"/>
    </xf>
    <xf numFmtId="44" fontId="17" fillId="0" borderId="0" xfId="3" applyFont="1" applyAlignment="1">
      <alignment horizontal="center"/>
    </xf>
    <xf numFmtId="0" fontId="55" fillId="0" borderId="0" xfId="0" applyFont="1" applyBorder="1" applyAlignment="1">
      <alignment horizontal="center"/>
    </xf>
    <xf numFmtId="165" fontId="56" fillId="0" borderId="0" xfId="0" applyNumberFormat="1" applyFont="1" applyBorder="1" applyAlignment="1">
      <alignment horizontal="center"/>
    </xf>
    <xf numFmtId="164" fontId="57" fillId="0" borderId="0" xfId="9" applyNumberFormat="1" applyFont="1" applyAlignment="1"/>
    <xf numFmtId="165" fontId="56" fillId="0" borderId="0" xfId="0" applyNumberFormat="1" applyFont="1" applyBorder="1" applyAlignment="1"/>
    <xf numFmtId="166" fontId="56" fillId="0" borderId="0" xfId="0" applyNumberFormat="1" applyFont="1" applyAlignment="1">
      <alignment horizontal="right"/>
    </xf>
    <xf numFmtId="0" fontId="18" fillId="0" borderId="0" xfId="0" applyFont="1" applyAlignment="1">
      <alignment horizontal="right"/>
    </xf>
    <xf numFmtId="166" fontId="58" fillId="0" borderId="0" xfId="3" applyNumberFormat="1" applyFont="1" applyAlignment="1">
      <alignment horizontal="right"/>
    </xf>
    <xf numFmtId="166" fontId="59" fillId="0" borderId="0" xfId="0" applyNumberFormat="1" applyFont="1"/>
    <xf numFmtId="166" fontId="60" fillId="0" borderId="0" xfId="3" applyNumberFormat="1" applyFont="1" applyAlignment="1">
      <alignment horizontal="right"/>
    </xf>
    <xf numFmtId="166" fontId="56" fillId="0" borderId="0" xfId="3" applyNumberFormat="1" applyFont="1" applyAlignment="1">
      <alignment horizontal="right"/>
    </xf>
    <xf numFmtId="166" fontId="56" fillId="0" borderId="0" xfId="3" applyNumberFormat="1" applyFont="1" applyBorder="1" applyAlignment="1">
      <alignment horizontal="center"/>
    </xf>
    <xf numFmtId="166" fontId="18" fillId="0" borderId="0" xfId="0" applyNumberFormat="1" applyFont="1"/>
    <xf numFmtId="166" fontId="55" fillId="0" borderId="0" xfId="3" applyNumberFormat="1" applyFont="1" applyBorder="1" applyAlignment="1">
      <alignment horizontal="center"/>
    </xf>
    <xf numFmtId="166" fontId="18" fillId="0" borderId="0" xfId="0" applyNumberFormat="1" applyFont="1" applyFill="1"/>
    <xf numFmtId="166" fontId="17" fillId="0" borderId="0" xfId="3" applyNumberFormat="1" applyFont="1" applyAlignment="1">
      <alignment horizontal="right"/>
    </xf>
    <xf numFmtId="166" fontId="20" fillId="0" borderId="0" xfId="3" applyNumberFormat="1" applyFont="1" applyAlignment="1">
      <alignment horizontal="center"/>
    </xf>
    <xf numFmtId="43" fontId="20" fillId="0" borderId="0" xfId="1" applyFont="1" applyAlignment="1">
      <alignment horizontal="center"/>
    </xf>
    <xf numFmtId="44" fontId="20" fillId="0" borderId="0" xfId="3" applyFont="1" applyAlignment="1">
      <alignment horizontal="center"/>
    </xf>
    <xf numFmtId="9" fontId="55" fillId="0" borderId="0" xfId="9" applyFont="1" applyBorder="1" applyAlignment="1">
      <alignment horizontal="center"/>
    </xf>
    <xf numFmtId="166" fontId="61" fillId="0" borderId="0" xfId="3" applyNumberFormat="1" applyFont="1" applyAlignment="1">
      <alignment horizontal="right"/>
    </xf>
    <xf numFmtId="6" fontId="16" fillId="0" borderId="0" xfId="3" applyNumberFormat="1" applyFont="1" applyAlignment="1">
      <alignment horizontal="right"/>
    </xf>
    <xf numFmtId="164" fontId="20" fillId="0" borderId="0" xfId="9" applyNumberFormat="1" applyFont="1" applyAlignment="1">
      <alignment horizontal="center"/>
    </xf>
    <xf numFmtId="165" fontId="3" fillId="0" borderId="0" xfId="2" applyNumberFormat="1" applyFont="1" applyAlignment="1">
      <alignment horizontal="center"/>
    </xf>
    <xf numFmtId="43" fontId="6" fillId="0" borderId="0" xfId="1" applyFont="1"/>
    <xf numFmtId="165" fontId="5" fillId="0" borderId="0" xfId="0" applyNumberFormat="1" applyFont="1"/>
    <xf numFmtId="43" fontId="5" fillId="0" borderId="0" xfId="0" applyNumberFormat="1" applyFont="1" applyFill="1"/>
    <xf numFmtId="0" fontId="5" fillId="0" borderId="0" xfId="0" applyFont="1" applyFill="1"/>
    <xf numFmtId="164" fontId="62" fillId="0" borderId="0" xfId="9" applyNumberFormat="1" applyFont="1"/>
    <xf numFmtId="166" fontId="5" fillId="0" borderId="0" xfId="0" applyNumberFormat="1" applyFont="1"/>
    <xf numFmtId="165" fontId="5" fillId="0" borderId="0" xfId="0" applyNumberFormat="1" applyFont="1" applyFill="1"/>
    <xf numFmtId="166" fontId="45" fillId="0" borderId="0" xfId="3" applyNumberFormat="1" applyFont="1"/>
    <xf numFmtId="44" fontId="45" fillId="0" borderId="0" xfId="3" applyFont="1"/>
    <xf numFmtId="0" fontId="63" fillId="0" borderId="0" xfId="0" applyFont="1"/>
    <xf numFmtId="166" fontId="63" fillId="0" borderId="0" xfId="3" applyNumberFormat="1" applyFont="1"/>
    <xf numFmtId="43" fontId="63" fillId="0" borderId="0" xfId="0" applyNumberFormat="1" applyFont="1"/>
    <xf numFmtId="43" fontId="47" fillId="0" borderId="0" xfId="0" applyNumberFormat="1" applyFont="1"/>
    <xf numFmtId="44" fontId="63" fillId="0" borderId="0" xfId="3" applyFont="1"/>
    <xf numFmtId="43" fontId="51" fillId="0" borderId="0" xfId="0" applyNumberFormat="1" applyFont="1"/>
    <xf numFmtId="166" fontId="51" fillId="0" borderId="0" xfId="3" applyNumberFormat="1" applyFont="1"/>
    <xf numFmtId="44" fontId="51" fillId="0" borderId="0" xfId="3" applyFont="1"/>
    <xf numFmtId="165" fontId="51" fillId="0" borderId="0" xfId="0" applyNumberFormat="1" applyFont="1"/>
    <xf numFmtId="166" fontId="45" fillId="0" borderId="0" xfId="3" applyNumberFormat="1" applyFont="1" applyFill="1"/>
    <xf numFmtId="0" fontId="63" fillId="0" borderId="0" xfId="0" applyFont="1" applyFill="1"/>
    <xf numFmtId="43" fontId="63" fillId="0" borderId="0" xfId="0" applyNumberFormat="1" applyFont="1" applyFill="1"/>
    <xf numFmtId="43" fontId="64" fillId="0" borderId="0" xfId="1" applyFont="1"/>
    <xf numFmtId="43" fontId="64" fillId="0" borderId="0" xfId="0" applyNumberFormat="1" applyFont="1"/>
    <xf numFmtId="166" fontId="64" fillId="0" borderId="0" xfId="3" applyNumberFormat="1" applyFont="1"/>
    <xf numFmtId="166" fontId="64" fillId="0" borderId="0" xfId="0" applyNumberFormat="1" applyFont="1"/>
    <xf numFmtId="44" fontId="64" fillId="0" borderId="0" xfId="3" applyFont="1"/>
    <xf numFmtId="165" fontId="64" fillId="0" borderId="0" xfId="1" applyNumberFormat="1" applyFont="1"/>
    <xf numFmtId="166" fontId="15" fillId="0" borderId="0" xfId="3" applyNumberFormat="1" applyFont="1"/>
    <xf numFmtId="166" fontId="15" fillId="0" borderId="0" xfId="0" applyNumberFormat="1" applyFont="1"/>
    <xf numFmtId="0" fontId="52" fillId="0" borderId="0" xfId="0" applyFont="1" applyAlignment="1">
      <alignment horizontal="center"/>
    </xf>
    <xf numFmtId="0" fontId="53" fillId="0" borderId="0" xfId="0" applyFont="1" applyAlignment="1">
      <alignment horizontal="center"/>
    </xf>
    <xf numFmtId="43" fontId="6" fillId="0" borderId="0" xfId="0" applyNumberFormat="1" applyFont="1" applyFill="1"/>
    <xf numFmtId="43" fontId="47" fillId="0" borderId="0" xfId="0" applyNumberFormat="1" applyFont="1" applyFill="1"/>
    <xf numFmtId="164" fontId="65" fillId="0" borderId="0" xfId="9" applyNumberFormat="1" applyFont="1"/>
    <xf numFmtId="164" fontId="51" fillId="0" borderId="0" xfId="9" applyNumberFormat="1" applyFont="1"/>
    <xf numFmtId="0" fontId="53" fillId="0" borderId="0" xfId="0" applyFont="1" applyAlignment="1">
      <alignment horizontal="center"/>
    </xf>
    <xf numFmtId="165" fontId="5" fillId="0" borderId="0" xfId="2" applyNumberFormat="1" applyFont="1" applyFill="1"/>
    <xf numFmtId="165" fontId="5" fillId="0" borderId="0" xfId="2" applyNumberFormat="1" applyFont="1"/>
    <xf numFmtId="0" fontId="5" fillId="0" borderId="0" xfId="0" quotePrefix="1" applyFont="1"/>
    <xf numFmtId="165" fontId="45" fillId="0" borderId="0" xfId="2" applyNumberFormat="1" applyFont="1"/>
    <xf numFmtId="165" fontId="63" fillId="0" borderId="0" xfId="2" applyNumberFormat="1" applyFont="1"/>
    <xf numFmtId="165" fontId="66" fillId="0" borderId="0" xfId="2" applyNumberFormat="1" applyFont="1"/>
    <xf numFmtId="0" fontId="66" fillId="0" borderId="0" xfId="0" applyFont="1"/>
    <xf numFmtId="165" fontId="63" fillId="0" borderId="0" xfId="0" applyNumberFormat="1" applyFont="1"/>
    <xf numFmtId="164" fontId="65" fillId="0" borderId="0" xfId="0" applyNumberFormat="1" applyFont="1"/>
    <xf numFmtId="165" fontId="52" fillId="0" borderId="0" xfId="0" applyNumberFormat="1" applyFont="1"/>
    <xf numFmtId="165" fontId="46" fillId="0" borderId="0" xfId="0" applyNumberFormat="1" applyFont="1"/>
    <xf numFmtId="165" fontId="52" fillId="0" borderId="0" xfId="1" applyNumberFormat="1" applyFont="1"/>
    <xf numFmtId="165" fontId="46" fillId="0" borderId="0" xfId="1" applyNumberFormat="1" applyFont="1"/>
    <xf numFmtId="0" fontId="4" fillId="0" borderId="0" xfId="0" applyFont="1" applyFill="1" applyAlignment="1">
      <alignment horizontal="center"/>
    </xf>
    <xf numFmtId="165" fontId="45" fillId="0" borderId="0" xfId="2" applyNumberFormat="1" applyFont="1" applyFill="1"/>
    <xf numFmtId="165" fontId="5" fillId="0" borderId="0" xfId="1" applyNumberFormat="1" applyFont="1" applyFill="1" applyProtection="1"/>
    <xf numFmtId="43" fontId="0" fillId="0" borderId="0" xfId="0" applyNumberFormat="1"/>
    <xf numFmtId="16" fontId="10" fillId="0" borderId="0" xfId="0" applyNumberFormat="1" applyFont="1" applyAlignment="1">
      <alignment horizontal="center"/>
    </xf>
    <xf numFmtId="0" fontId="3" fillId="0" borderId="0" xfId="0" quotePrefix="1" applyFont="1" applyAlignment="1">
      <alignment horizontal="center"/>
    </xf>
    <xf numFmtId="0" fontId="45" fillId="0" borderId="0" xfId="1" applyNumberFormat="1" applyFont="1"/>
    <xf numFmtId="44" fontId="45" fillId="0" borderId="0" xfId="1" applyNumberFormat="1" applyFont="1"/>
    <xf numFmtId="165" fontId="63" fillId="0" borderId="0" xfId="2" applyNumberFormat="1" applyFont="1" applyFill="1"/>
    <xf numFmtId="0" fontId="6" fillId="0" borderId="0" xfId="0" applyFont="1"/>
    <xf numFmtId="0" fontId="58" fillId="0" borderId="0" xfId="0" applyFont="1" applyBorder="1"/>
    <xf numFmtId="0" fontId="54" fillId="0" borderId="0" xfId="0" applyFont="1" applyAlignment="1">
      <alignment horizontal="right" wrapText="1"/>
    </xf>
    <xf numFmtId="0" fontId="54" fillId="0" borderId="0" xfId="0" applyFont="1" applyAlignment="1">
      <alignment wrapText="1"/>
    </xf>
    <xf numFmtId="0" fontId="55" fillId="0" borderId="0" xfId="0" applyFont="1" applyBorder="1"/>
    <xf numFmtId="0" fontId="58" fillId="0" borderId="0" xfId="0" applyFont="1" applyFill="1" applyBorder="1"/>
    <xf numFmtId="0" fontId="58" fillId="0" borderId="0" xfId="0" applyFont="1" applyAlignment="1">
      <alignment wrapText="1"/>
    </xf>
    <xf numFmtId="0" fontId="18" fillId="0" borderId="0" xfId="0" applyFont="1" applyAlignment="1">
      <alignment horizontal="right" wrapText="1"/>
    </xf>
    <xf numFmtId="164" fontId="54" fillId="0" borderId="0" xfId="9" applyNumberFormat="1" applyFont="1" applyAlignment="1">
      <alignment horizontal="center" wrapText="1"/>
    </xf>
    <xf numFmtId="0" fontId="58" fillId="0" borderId="0" xfId="0" applyFont="1" applyBorder="1" applyAlignment="1">
      <alignment wrapText="1"/>
    </xf>
    <xf numFmtId="0" fontId="16" fillId="0" borderId="0" xfId="0" applyFont="1" applyAlignment="1">
      <alignment wrapText="1"/>
    </xf>
    <xf numFmtId="0" fontId="16" fillId="0" borderId="0" xfId="0" applyFont="1" applyAlignment="1">
      <alignment horizontal="right" wrapText="1"/>
    </xf>
    <xf numFmtId="0" fontId="55" fillId="0" borderId="0" xfId="0" applyFont="1" applyBorder="1" applyAlignment="1"/>
    <xf numFmtId="0" fontId="18" fillId="0" borderId="0" xfId="0" applyFont="1" applyAlignment="1">
      <alignment wrapText="1"/>
    </xf>
    <xf numFmtId="6" fontId="16" fillId="0" borderId="0" xfId="3" applyNumberFormat="1" applyFont="1" applyAlignment="1">
      <alignment horizontal="right" wrapText="1"/>
    </xf>
    <xf numFmtId="6" fontId="16" fillId="0" borderId="0" xfId="3" applyNumberFormat="1" applyFont="1" applyAlignment="1">
      <alignment horizontal="center" wrapText="1"/>
    </xf>
    <xf numFmtId="164" fontId="20" fillId="0" borderId="0" xfId="9" applyNumberFormat="1" applyFont="1" applyAlignment="1">
      <alignment horizontal="center" wrapText="1"/>
    </xf>
    <xf numFmtId="0" fontId="18" fillId="0" borderId="0" xfId="0" applyFont="1" applyBorder="1"/>
    <xf numFmtId="0" fontId="18" fillId="0" borderId="0" xfId="0" applyFont="1" applyFill="1" applyBorder="1"/>
    <xf numFmtId="0" fontId="18" fillId="0" borderId="0" xfId="0" applyFont="1" applyBorder="1" applyAlignment="1"/>
    <xf numFmtId="166" fontId="67" fillId="0" borderId="0" xfId="3" applyNumberFormat="1" applyFont="1" applyAlignment="1">
      <alignment horizontal="center"/>
    </xf>
    <xf numFmtId="44" fontId="0" fillId="0" borderId="0" xfId="3" applyFont="1"/>
    <xf numFmtId="164" fontId="47" fillId="0" borderId="0" xfId="9" applyNumberFormat="1" applyFont="1"/>
    <xf numFmtId="0" fontId="22" fillId="3" borderId="10" xfId="0" applyFont="1" applyFill="1" applyBorder="1"/>
    <xf numFmtId="0" fontId="23" fillId="3" borderId="11" xfId="0" applyFont="1" applyFill="1" applyBorder="1"/>
    <xf numFmtId="0" fontId="68" fillId="3" borderId="11" xfId="0" applyFont="1" applyFill="1" applyBorder="1"/>
    <xf numFmtId="0" fontId="68" fillId="3" borderId="12" xfId="0" applyFont="1" applyFill="1" applyBorder="1"/>
    <xf numFmtId="0" fontId="24" fillId="3" borderId="13" xfId="0" applyFont="1" applyFill="1" applyBorder="1"/>
    <xf numFmtId="0" fontId="24" fillId="3" borderId="0" xfId="0" applyFont="1" applyFill="1" applyBorder="1"/>
    <xf numFmtId="0" fontId="25" fillId="3" borderId="0" xfId="0" applyFont="1" applyFill="1" applyBorder="1"/>
    <xf numFmtId="0" fontId="68" fillId="3" borderId="0" xfId="0" applyFont="1" applyFill="1" applyBorder="1"/>
    <xf numFmtId="0" fontId="68" fillId="3" borderId="14" xfId="0" applyFont="1" applyFill="1" applyBorder="1"/>
    <xf numFmtId="15" fontId="24" fillId="3" borderId="13" xfId="0" applyNumberFormat="1" applyFont="1" applyFill="1" applyBorder="1"/>
    <xf numFmtId="15" fontId="24" fillId="3" borderId="0" xfId="0" applyNumberFormat="1" applyFont="1" applyFill="1" applyBorder="1"/>
    <xf numFmtId="0" fontId="68" fillId="3" borderId="13" xfId="0" applyFont="1" applyFill="1" applyBorder="1"/>
    <xf numFmtId="0" fontId="24" fillId="3" borderId="0" xfId="0" applyFont="1" applyFill="1" applyBorder="1" applyAlignment="1">
      <alignment horizontal="center"/>
    </xf>
    <xf numFmtId="0" fontId="27" fillId="3" borderId="0" xfId="0" applyFont="1" applyFill="1" applyBorder="1" applyAlignment="1">
      <alignment horizontal="center"/>
    </xf>
    <xf numFmtId="0" fontId="24" fillId="3" borderId="21" xfId="0" applyFont="1" applyFill="1" applyBorder="1"/>
    <xf numFmtId="0" fontId="68" fillId="3" borderId="0" xfId="0" applyFont="1" applyFill="1" applyBorder="1" applyAlignment="1">
      <alignment horizontal="center"/>
    </xf>
    <xf numFmtId="41" fontId="68" fillId="3" borderId="0" xfId="0" applyNumberFormat="1" applyFont="1" applyFill="1" applyBorder="1"/>
    <xf numFmtId="44" fontId="28" fillId="3" borderId="0" xfId="4" applyFont="1" applyFill="1" applyBorder="1"/>
    <xf numFmtId="166" fontId="68" fillId="3" borderId="0" xfId="4" applyNumberFormat="1" applyFont="1" applyFill="1" applyBorder="1"/>
    <xf numFmtId="0" fontId="23" fillId="3" borderId="13" xfId="0" applyFont="1" applyFill="1" applyBorder="1"/>
    <xf numFmtId="0" fontId="23" fillId="3" borderId="0" xfId="0" applyFont="1" applyFill="1" applyBorder="1"/>
    <xf numFmtId="41" fontId="29" fillId="3" borderId="0" xfId="0" applyNumberFormat="1" applyFont="1" applyFill="1" applyBorder="1"/>
    <xf numFmtId="166" fontId="29" fillId="3" borderId="0" xfId="4" applyNumberFormat="1" applyFont="1" applyFill="1" applyBorder="1"/>
    <xf numFmtId="44" fontId="68" fillId="3" borderId="0" xfId="4" applyFont="1" applyFill="1" applyBorder="1"/>
    <xf numFmtId="166" fontId="69" fillId="3" borderId="0" xfId="4" applyNumberFormat="1" applyFont="1" applyFill="1" applyBorder="1"/>
    <xf numFmtId="44" fontId="23" fillId="3" borderId="0" xfId="4" applyFont="1" applyFill="1" applyBorder="1"/>
    <xf numFmtId="44" fontId="23" fillId="3" borderId="14" xfId="4" applyFont="1" applyFill="1" applyBorder="1"/>
    <xf numFmtId="0" fontId="27" fillId="3" borderId="13" xfId="0" applyFont="1" applyFill="1" applyBorder="1"/>
    <xf numFmtId="166" fontId="23" fillId="3" borderId="0" xfId="4" applyNumberFormat="1" applyFont="1" applyFill="1" applyBorder="1"/>
    <xf numFmtId="41" fontId="69" fillId="3" borderId="0" xfId="0" applyNumberFormat="1" applyFont="1" applyFill="1" applyBorder="1"/>
    <xf numFmtId="44" fontId="29" fillId="3" borderId="14" xfId="4" applyNumberFormat="1" applyFont="1" applyFill="1" applyBorder="1"/>
    <xf numFmtId="44" fontId="24" fillId="3" borderId="14" xfId="4" applyNumberFormat="1" applyFont="1" applyFill="1" applyBorder="1"/>
    <xf numFmtId="9" fontId="0" fillId="0" borderId="0" xfId="10" applyFont="1"/>
    <xf numFmtId="166" fontId="48" fillId="3" borderId="0" xfId="4" applyNumberFormat="1" applyFont="1" applyFill="1" applyBorder="1"/>
    <xf numFmtId="44" fontId="24" fillId="3" borderId="14" xfId="4" applyFont="1" applyFill="1" applyBorder="1"/>
    <xf numFmtId="164" fontId="70" fillId="3" borderId="0" xfId="10" applyNumberFormat="1" applyFont="1" applyFill="1" applyBorder="1"/>
    <xf numFmtId="44" fontId="30" fillId="3" borderId="14" xfId="4" applyNumberFormat="1" applyFont="1" applyFill="1" applyBorder="1"/>
    <xf numFmtId="41" fontId="0" fillId="0" borderId="0" xfId="0" applyNumberFormat="1"/>
    <xf numFmtId="9" fontId="70" fillId="3" borderId="0" xfId="10" applyFont="1" applyFill="1" applyBorder="1"/>
    <xf numFmtId="44" fontId="31" fillId="3" borderId="14" xfId="4" applyNumberFormat="1" applyFont="1" applyFill="1" applyBorder="1"/>
    <xf numFmtId="0" fontId="0" fillId="3" borderId="15" xfId="0" applyFill="1" applyBorder="1"/>
    <xf numFmtId="0" fontId="0" fillId="3" borderId="16" xfId="0" applyFill="1" applyBorder="1"/>
    <xf numFmtId="0" fontId="0" fillId="3" borderId="17" xfId="0" applyFill="1" applyBorder="1"/>
    <xf numFmtId="165" fontId="68" fillId="3" borderId="0" xfId="1" applyNumberFormat="1" applyFont="1" applyFill="1" applyBorder="1"/>
    <xf numFmtId="44" fontId="68" fillId="3" borderId="0" xfId="0" applyNumberFormat="1" applyFont="1" applyFill="1" applyBorder="1"/>
    <xf numFmtId="166" fontId="68" fillId="3" borderId="0" xfId="0" applyNumberFormat="1" applyFont="1" applyFill="1" applyBorder="1"/>
    <xf numFmtId="166" fontId="68" fillId="3" borderId="0" xfId="3" applyNumberFormat="1" applyFont="1" applyFill="1" applyBorder="1"/>
    <xf numFmtId="165" fontId="0" fillId="0" borderId="0" xfId="1" applyNumberFormat="1" applyFont="1"/>
    <xf numFmtId="166" fontId="0" fillId="0" borderId="0" xfId="3" applyNumberFormat="1" applyFont="1"/>
    <xf numFmtId="166" fontId="0" fillId="0" borderId="0" xfId="0" applyNumberFormat="1"/>
    <xf numFmtId="166" fontId="6" fillId="0" borderId="0" xfId="0" applyNumberFormat="1" applyFont="1"/>
    <xf numFmtId="166" fontId="6" fillId="0" borderId="0" xfId="3" applyNumberFormat="1" applyFont="1"/>
    <xf numFmtId="0" fontId="58" fillId="0" borderId="0" xfId="0" applyFont="1" applyAlignment="1">
      <alignment horizontal="center" wrapText="1"/>
    </xf>
    <xf numFmtId="166" fontId="18" fillId="0" borderId="0" xfId="4" applyNumberFormat="1" applyFont="1" applyAlignment="1">
      <alignment horizontal="right"/>
    </xf>
    <xf numFmtId="166" fontId="19" fillId="0" borderId="0" xfId="4" applyNumberFormat="1" applyFont="1" applyAlignment="1">
      <alignment horizontal="right"/>
    </xf>
    <xf numFmtId="0" fontId="0" fillId="0" borderId="6" xfId="0" applyBorder="1"/>
    <xf numFmtId="0" fontId="0" fillId="0" borderId="2" xfId="0" applyBorder="1"/>
    <xf numFmtId="0" fontId="3" fillId="0" borderId="8" xfId="0" applyFont="1" applyBorder="1"/>
    <xf numFmtId="164" fontId="5" fillId="0" borderId="0" xfId="9" applyNumberFormat="1" applyFont="1"/>
    <xf numFmtId="164" fontId="71" fillId="0" borderId="0" xfId="9" applyNumberFormat="1" applyFont="1"/>
    <xf numFmtId="164" fontId="8" fillId="0" borderId="0" xfId="9" applyNumberFormat="1" applyFont="1"/>
    <xf numFmtId="0" fontId="53" fillId="0" borderId="0" xfId="0" quotePrefix="1" applyFont="1" applyAlignment="1">
      <alignment horizontal="center"/>
    </xf>
    <xf numFmtId="164" fontId="8" fillId="0" borderId="0" xfId="0" applyNumberFormat="1" applyFont="1"/>
    <xf numFmtId="0" fontId="3" fillId="0" borderId="0" xfId="0" applyFont="1" applyAlignment="1">
      <alignment horizontal="right" indent="1"/>
    </xf>
    <xf numFmtId="0" fontId="5" fillId="0" borderId="0" xfId="0" applyFont="1" applyAlignment="1">
      <alignment horizontal="right" indent="1"/>
    </xf>
    <xf numFmtId="0" fontId="34" fillId="3" borderId="0" xfId="0" applyFont="1" applyFill="1" applyBorder="1" applyAlignment="1">
      <alignment vertical="top" wrapText="1"/>
    </xf>
    <xf numFmtId="166" fontId="68" fillId="3" borderId="20" xfId="4" applyNumberFormat="1" applyFont="1" applyFill="1" applyBorder="1"/>
    <xf numFmtId="166" fontId="23" fillId="3" borderId="0" xfId="0" applyNumberFormat="1" applyFont="1" applyFill="1"/>
    <xf numFmtId="166" fontId="68" fillId="3" borderId="20" xfId="3" applyNumberFormat="1" applyFont="1" applyFill="1" applyBorder="1"/>
    <xf numFmtId="166" fontId="23" fillId="3" borderId="20" xfId="0" applyNumberFormat="1" applyFont="1" applyFill="1" applyBorder="1"/>
    <xf numFmtId="0" fontId="48" fillId="3" borderId="13" xfId="0" applyFont="1" applyFill="1" applyBorder="1"/>
    <xf numFmtId="0" fontId="23" fillId="3" borderId="0" xfId="0" applyFont="1" applyFill="1"/>
    <xf numFmtId="43" fontId="14" fillId="0" borderId="0" xfId="1" applyFont="1" applyBorder="1" applyProtection="1">
      <protection locked="0"/>
    </xf>
    <xf numFmtId="165" fontId="2" fillId="0" borderId="0" xfId="2" applyNumberFormat="1" applyFont="1" applyFill="1"/>
    <xf numFmtId="0" fontId="2" fillId="0" borderId="0" xfId="0" applyFont="1"/>
    <xf numFmtId="43" fontId="2" fillId="0" borderId="0" xfId="1" applyFont="1" applyFill="1" applyBorder="1" applyAlignment="1" applyProtection="1">
      <alignment horizontal="right"/>
      <protection locked="0"/>
    </xf>
    <xf numFmtId="43" fontId="6" fillId="0" borderId="0" xfId="1" applyFont="1" applyFill="1" applyBorder="1" applyAlignment="1" applyProtection="1">
      <alignment horizontal="right"/>
      <protection locked="0"/>
    </xf>
    <xf numFmtId="0" fontId="3" fillId="0" borderId="0" xfId="0" applyFont="1" applyAlignment="1">
      <alignment vertical="top" wrapText="1"/>
    </xf>
    <xf numFmtId="43" fontId="12" fillId="0" borderId="0" xfId="1" applyFont="1" applyFill="1" applyBorder="1" applyAlignment="1" applyProtection="1">
      <alignment horizontal="right"/>
      <protection locked="0"/>
    </xf>
    <xf numFmtId="44" fontId="15" fillId="0" borderId="0" xfId="3" applyFont="1"/>
    <xf numFmtId="0" fontId="15" fillId="0" borderId="0" xfId="0" applyFont="1"/>
    <xf numFmtId="0" fontId="15" fillId="0" borderId="0" xfId="0" applyFont="1" applyAlignment="1">
      <alignment vertical="top" wrapText="1"/>
    </xf>
    <xf numFmtId="0" fontId="34" fillId="0" borderId="0" xfId="0" applyFont="1" applyAlignment="1">
      <alignment vertical="top" wrapText="1"/>
    </xf>
    <xf numFmtId="167" fontId="0" fillId="0" borderId="0" xfId="0" applyNumberFormat="1"/>
    <xf numFmtId="165" fontId="1" fillId="0" borderId="0" xfId="2" applyNumberFormat="1" applyFont="1"/>
    <xf numFmtId="44" fontId="1" fillId="0" borderId="0" xfId="4" applyFont="1"/>
    <xf numFmtId="167" fontId="77" fillId="5" borderId="10" xfId="0" applyNumberFormat="1" applyFont="1" applyFill="1" applyBorder="1"/>
    <xf numFmtId="167" fontId="77" fillId="5" borderId="11" xfId="0" applyNumberFormat="1" applyFont="1" applyFill="1" applyBorder="1"/>
    <xf numFmtId="167" fontId="77" fillId="5" borderId="12" xfId="0" applyNumberFormat="1" applyFont="1" applyFill="1" applyBorder="1"/>
    <xf numFmtId="167" fontId="77" fillId="0" borderId="0" xfId="0" applyNumberFormat="1" applyFont="1"/>
    <xf numFmtId="165" fontId="77" fillId="0" borderId="0" xfId="2" applyNumberFormat="1" applyFont="1"/>
    <xf numFmtId="167" fontId="77" fillId="5" borderId="27" xfId="0" applyNumberFormat="1" applyFont="1" applyFill="1" applyBorder="1" applyAlignment="1">
      <alignment horizontal="center"/>
    </xf>
    <xf numFmtId="44" fontId="77" fillId="5" borderId="27" xfId="4" applyFont="1" applyFill="1" applyBorder="1" applyAlignment="1">
      <alignment horizontal="center"/>
    </xf>
    <xf numFmtId="167" fontId="77" fillId="5" borderId="17" xfId="0" applyNumberFormat="1" applyFont="1" applyFill="1" applyBorder="1" applyAlignment="1">
      <alignment horizontal="center"/>
    </xf>
    <xf numFmtId="167" fontId="78" fillId="0" borderId="0" xfId="0" applyNumberFormat="1" applyFont="1" applyAlignment="1">
      <alignment horizontal="center"/>
    </xf>
    <xf numFmtId="167" fontId="23" fillId="0" borderId="10" xfId="0" applyNumberFormat="1" applyFont="1" applyBorder="1"/>
    <xf numFmtId="167" fontId="23" fillId="0" borderId="11" xfId="0" applyNumberFormat="1" applyFont="1" applyBorder="1"/>
    <xf numFmtId="167" fontId="23" fillId="0" borderId="12" xfId="0" applyNumberFormat="1" applyFont="1" applyBorder="1"/>
    <xf numFmtId="167" fontId="23" fillId="0" borderId="28" xfId="0" applyNumberFormat="1" applyFont="1" applyBorder="1"/>
    <xf numFmtId="44" fontId="23" fillId="0" borderId="28" xfId="4" applyFont="1" applyBorder="1"/>
    <xf numFmtId="10" fontId="23" fillId="0" borderId="28" xfId="10" applyNumberFormat="1" applyFont="1" applyBorder="1"/>
    <xf numFmtId="167" fontId="23" fillId="0" borderId="0" xfId="0" applyNumberFormat="1" applyFont="1"/>
    <xf numFmtId="165" fontId="23" fillId="0" borderId="0" xfId="2" applyNumberFormat="1" applyFont="1"/>
    <xf numFmtId="167" fontId="77" fillId="0" borderId="13" xfId="0" applyNumberFormat="1" applyFont="1" applyBorder="1"/>
    <xf numFmtId="167" fontId="23" fillId="0" borderId="14" xfId="0" applyNumberFormat="1" applyFont="1" applyBorder="1"/>
    <xf numFmtId="44" fontId="23" fillId="4" borderId="29" xfId="3" applyFont="1" applyFill="1" applyBorder="1"/>
    <xf numFmtId="44" fontId="23" fillId="0" borderId="29" xfId="4" applyFont="1" applyBorder="1"/>
    <xf numFmtId="10" fontId="23" fillId="0" borderId="29" xfId="10" applyNumberFormat="1" applyFont="1" applyBorder="1"/>
    <xf numFmtId="44" fontId="23" fillId="4" borderId="29" xfId="4" applyFont="1" applyFill="1" applyBorder="1"/>
    <xf numFmtId="7" fontId="23" fillId="0" borderId="29" xfId="4" applyNumberFormat="1" applyFont="1" applyBorder="1"/>
    <xf numFmtId="164" fontId="23" fillId="0" borderId="0" xfId="10" applyNumberFormat="1" applyFont="1"/>
    <xf numFmtId="168" fontId="23" fillId="0" borderId="0" xfId="0" applyNumberFormat="1" applyFont="1"/>
    <xf numFmtId="164" fontId="79" fillId="0" borderId="0" xfId="10" applyNumberFormat="1" applyFont="1"/>
    <xf numFmtId="167" fontId="78" fillId="0" borderId="13" xfId="0" applyNumberFormat="1" applyFont="1" applyBorder="1"/>
    <xf numFmtId="167" fontId="23" fillId="0" borderId="29" xfId="0" applyNumberFormat="1" applyFont="1" applyBorder="1"/>
    <xf numFmtId="44" fontId="80" fillId="0" borderId="29" xfId="4" applyFont="1" applyBorder="1"/>
    <xf numFmtId="164" fontId="81" fillId="0" borderId="0" xfId="10" applyNumberFormat="1" applyFont="1"/>
    <xf numFmtId="10" fontId="23" fillId="0" borderId="0" xfId="10" applyNumberFormat="1" applyFont="1"/>
    <xf numFmtId="167" fontId="23" fillId="0" borderId="13" xfId="0" applyNumberFormat="1" applyFont="1" applyBorder="1"/>
    <xf numFmtId="167" fontId="23" fillId="0" borderId="14" xfId="0" applyNumberFormat="1" applyFont="1" applyBorder="1" applyAlignment="1">
      <alignment horizontal="right"/>
    </xf>
    <xf numFmtId="44" fontId="70" fillId="0" borderId="29" xfId="4" applyFont="1" applyBorder="1"/>
    <xf numFmtId="44" fontId="23" fillId="0" borderId="29" xfId="4" applyFont="1" applyFill="1" applyBorder="1"/>
    <xf numFmtId="44" fontId="23" fillId="0" borderId="0" xfId="4" applyFont="1" applyBorder="1"/>
    <xf numFmtId="167" fontId="23" fillId="0" borderId="15" xfId="0" applyNumberFormat="1" applyFont="1" applyBorder="1"/>
    <xf numFmtId="167" fontId="23" fillId="0" borderId="16" xfId="0" applyNumberFormat="1" applyFont="1" applyBorder="1"/>
    <xf numFmtId="167" fontId="23" fillId="0" borderId="17" xfId="0" applyNumberFormat="1" applyFont="1" applyBorder="1"/>
    <xf numFmtId="167" fontId="23" fillId="0" borderId="30" xfId="0" applyNumberFormat="1" applyFont="1" applyBorder="1"/>
    <xf numFmtId="44" fontId="82" fillId="0" borderId="30" xfId="4" applyFont="1" applyBorder="1"/>
    <xf numFmtId="44" fontId="23" fillId="0" borderId="30" xfId="4" applyFont="1" applyBorder="1"/>
    <xf numFmtId="10" fontId="23" fillId="0" borderId="30" xfId="10" applyNumberFormat="1" applyFont="1" applyBorder="1"/>
    <xf numFmtId="44" fontId="23" fillId="0" borderId="0" xfId="4" applyFont="1"/>
    <xf numFmtId="167" fontId="24" fillId="0" borderId="0" xfId="0" applyNumberFormat="1" applyFont="1"/>
    <xf numFmtId="166" fontId="23" fillId="0" borderId="0" xfId="4" applyNumberFormat="1" applyFont="1"/>
    <xf numFmtId="0" fontId="24" fillId="3" borderId="0" xfId="0" applyFont="1" applyFill="1"/>
    <xf numFmtId="0" fontId="25" fillId="3" borderId="0" xfId="0" applyFont="1" applyFill="1"/>
    <xf numFmtId="0" fontId="68" fillId="3" borderId="0" xfId="0" applyFont="1" applyFill="1"/>
    <xf numFmtId="0" fontId="34" fillId="3" borderId="0" xfId="0" applyFont="1" applyFill="1" applyAlignment="1">
      <alignment vertical="top" wrapText="1"/>
    </xf>
    <xf numFmtId="0" fontId="34" fillId="3" borderId="13" xfId="0" applyFont="1" applyFill="1" applyBorder="1" applyAlignment="1">
      <alignment vertical="top" wrapText="1"/>
    </xf>
    <xf numFmtId="0" fontId="24" fillId="3" borderId="0" xfId="0" applyFont="1" applyFill="1" applyAlignment="1">
      <alignment horizontal="center"/>
    </xf>
    <xf numFmtId="0" fontId="27" fillId="3" borderId="0" xfId="0" applyFont="1" applyFill="1" applyAlignment="1">
      <alignment horizontal="center"/>
    </xf>
    <xf numFmtId="0" fontId="68" fillId="3" borderId="0" xfId="0" applyFont="1" applyFill="1" applyAlignment="1">
      <alignment horizontal="center"/>
    </xf>
    <xf numFmtId="41" fontId="68" fillId="3" borderId="0" xfId="0" applyNumberFormat="1" applyFont="1" applyFill="1"/>
    <xf numFmtId="44" fontId="28" fillId="3" borderId="0" xfId="4" applyFont="1" applyFill="1"/>
    <xf numFmtId="166" fontId="68" fillId="3" borderId="0" xfId="4" applyNumberFormat="1" applyFont="1" applyFill="1"/>
    <xf numFmtId="41" fontId="29" fillId="3" borderId="0" xfId="0" applyNumberFormat="1" applyFont="1" applyFill="1"/>
    <xf numFmtId="166" fontId="29" fillId="3" borderId="0" xfId="4" applyNumberFormat="1" applyFont="1" applyFill="1"/>
    <xf numFmtId="166" fontId="68" fillId="3" borderId="0" xfId="3" applyNumberFormat="1" applyFont="1" applyFill="1"/>
    <xf numFmtId="166" fontId="68" fillId="3" borderId="0" xfId="0" applyNumberFormat="1" applyFont="1" applyFill="1"/>
    <xf numFmtId="165" fontId="68" fillId="3" borderId="0" xfId="1" applyNumberFormat="1" applyFont="1" applyFill="1"/>
    <xf numFmtId="44" fontId="68" fillId="3" borderId="0" xfId="0" applyNumberFormat="1" applyFont="1" applyFill="1"/>
    <xf numFmtId="166" fontId="69" fillId="3" borderId="0" xfId="4" applyNumberFormat="1" applyFont="1" applyFill="1"/>
    <xf numFmtId="44" fontId="68" fillId="3" borderId="0" xfId="4" applyFont="1" applyFill="1"/>
    <xf numFmtId="44" fontId="23" fillId="3" borderId="0" xfId="4" applyFont="1" applyFill="1"/>
    <xf numFmtId="166" fontId="23" fillId="3" borderId="0" xfId="4" applyNumberFormat="1" applyFont="1" applyFill="1"/>
    <xf numFmtId="41" fontId="69" fillId="3" borderId="0" xfId="0" applyNumberFormat="1" applyFont="1" applyFill="1"/>
    <xf numFmtId="44" fontId="29" fillId="3" borderId="14" xfId="4" applyFont="1" applyFill="1" applyBorder="1"/>
    <xf numFmtId="44" fontId="31" fillId="3" borderId="14" xfId="4" applyFont="1" applyFill="1" applyBorder="1"/>
    <xf numFmtId="166" fontId="48" fillId="3" borderId="0" xfId="4" applyNumberFormat="1" applyFont="1" applyFill="1"/>
    <xf numFmtId="164" fontId="70" fillId="3" borderId="0" xfId="10" applyNumberFormat="1" applyFont="1" applyFill="1"/>
    <xf numFmtId="44" fontId="30" fillId="3" borderId="14" xfId="4" applyFont="1" applyFill="1" applyBorder="1"/>
    <xf numFmtId="9" fontId="70" fillId="3" borderId="0" xfId="10" applyFont="1" applyFill="1"/>
    <xf numFmtId="0" fontId="0" fillId="0" borderId="13" xfId="0" applyBorder="1"/>
    <xf numFmtId="0" fontId="0" fillId="0" borderId="14" xfId="0" applyBorder="1"/>
    <xf numFmtId="15" fontId="24" fillId="3" borderId="0" xfId="0" applyNumberFormat="1" applyFont="1" applyFill="1"/>
    <xf numFmtId="164" fontId="6" fillId="0" borderId="0" xfId="9" applyNumberFormat="1" applyFont="1"/>
    <xf numFmtId="164" fontId="6" fillId="0" borderId="0" xfId="0" applyNumberFormat="1" applyFont="1"/>
    <xf numFmtId="166" fontId="18" fillId="0" borderId="0" xfId="3" applyNumberFormat="1" applyFont="1" applyAlignment="1">
      <alignment horizontal="right"/>
    </xf>
    <xf numFmtId="166" fontId="19" fillId="0" borderId="0" xfId="3" applyNumberFormat="1" applyFont="1" applyAlignment="1">
      <alignment horizontal="right"/>
    </xf>
    <xf numFmtId="165" fontId="2" fillId="0" borderId="0" xfId="0" applyNumberFormat="1" applyFont="1"/>
    <xf numFmtId="43" fontId="2" fillId="0" borderId="0" xfId="0" applyNumberFormat="1" applyFont="1"/>
    <xf numFmtId="165" fontId="11" fillId="0" borderId="0" xfId="0" applyNumberFormat="1" applyFont="1"/>
    <xf numFmtId="165" fontId="2" fillId="0" borderId="0" xfId="1" applyNumberFormat="1" applyFont="1"/>
    <xf numFmtId="166" fontId="47" fillId="0" borderId="0" xfId="3" applyNumberFormat="1" applyFont="1"/>
    <xf numFmtId="166" fontId="66" fillId="0" borderId="0" xfId="3" applyNumberFormat="1" applyFont="1"/>
    <xf numFmtId="0" fontId="66" fillId="0" borderId="0" xfId="0" applyFont="1" applyFill="1"/>
    <xf numFmtId="0" fontId="0" fillId="3" borderId="14" xfId="0" applyFill="1" applyBorder="1"/>
    <xf numFmtId="41" fontId="68" fillId="6" borderId="0" xfId="0" applyNumberFormat="1" applyFont="1" applyFill="1" applyBorder="1"/>
    <xf numFmtId="166" fontId="23" fillId="3" borderId="0" xfId="0" applyNumberFormat="1" applyFont="1" applyFill="1" applyBorder="1"/>
    <xf numFmtId="166" fontId="2" fillId="0" borderId="0" xfId="3" applyNumberFormat="1" applyFont="1"/>
    <xf numFmtId="44" fontId="2" fillId="0" borderId="0" xfId="3" applyFont="1"/>
    <xf numFmtId="43" fontId="2" fillId="0" borderId="0" xfId="0" applyNumberFormat="1" applyFont="1" applyFill="1"/>
    <xf numFmtId="166" fontId="2" fillId="0" borderId="0" xfId="3" applyNumberFormat="1" applyFont="1" applyFill="1"/>
    <xf numFmtId="164" fontId="52" fillId="0" borderId="0" xfId="9" applyNumberFormat="1" applyFont="1"/>
    <xf numFmtId="164" fontId="53" fillId="0" borderId="0" xfId="9" applyNumberFormat="1" applyFont="1"/>
    <xf numFmtId="165" fontId="3" fillId="0" borderId="0" xfId="0" applyNumberFormat="1" applyFont="1"/>
    <xf numFmtId="44" fontId="6" fillId="0" borderId="0" xfId="3" applyFont="1"/>
    <xf numFmtId="165" fontId="6" fillId="0" borderId="0" xfId="1" applyNumberFormat="1" applyFont="1"/>
    <xf numFmtId="166" fontId="6" fillId="0" borderId="0" xfId="3" applyNumberFormat="1" applyFont="1" applyFill="1"/>
    <xf numFmtId="43" fontId="63" fillId="0" borderId="0" xfId="1" applyFont="1"/>
    <xf numFmtId="0" fontId="42" fillId="0" borderId="0" xfId="7" applyFont="1" applyAlignment="1">
      <alignment wrapText="1"/>
    </xf>
    <xf numFmtId="0" fontId="36" fillId="0" borderId="0" xfId="7" applyFont="1" applyAlignment="1">
      <alignment horizontal="right" wrapText="1"/>
    </xf>
    <xf numFmtId="0" fontId="5" fillId="0" borderId="0" xfId="7" applyAlignment="1">
      <alignment horizontal="right" wrapText="1"/>
    </xf>
    <xf numFmtId="0" fontId="42" fillId="0" borderId="0" xfId="7" applyFont="1" applyAlignment="1">
      <alignment horizontal="right" wrapText="1"/>
    </xf>
    <xf numFmtId="0" fontId="44" fillId="0" borderId="0" xfId="7" applyFont="1" applyAlignment="1">
      <alignment horizontal="right" wrapText="1"/>
    </xf>
    <xf numFmtId="0" fontId="40" fillId="0" borderId="0" xfId="7" applyFont="1" applyAlignment="1">
      <alignment horizontal="right" wrapText="1"/>
    </xf>
    <xf numFmtId="0" fontId="34" fillId="3" borderId="0" xfId="0" applyFont="1" applyFill="1" applyAlignment="1">
      <alignment vertical="top" wrapText="1"/>
    </xf>
    <xf numFmtId="165" fontId="47" fillId="0" borderId="0" xfId="2" applyNumberFormat="1" applyFont="1"/>
    <xf numFmtId="165" fontId="47" fillId="0" borderId="0" xfId="2" applyNumberFormat="1" applyFont="1" applyFill="1"/>
    <xf numFmtId="44" fontId="47" fillId="0" borderId="18" xfId="3" applyFont="1" applyFill="1" applyBorder="1" applyProtection="1">
      <protection locked="0"/>
    </xf>
    <xf numFmtId="44" fontId="47" fillId="0" borderId="19" xfId="3" applyFont="1" applyFill="1" applyBorder="1" applyProtection="1">
      <protection locked="0"/>
    </xf>
    <xf numFmtId="44" fontId="47" fillId="0" borderId="18" xfId="3" applyFont="1" applyFill="1" applyBorder="1"/>
    <xf numFmtId="44" fontId="47" fillId="0" borderId="18" xfId="5" applyFont="1" applyFill="1" applyBorder="1"/>
    <xf numFmtId="44" fontId="47" fillId="0" borderId="19" xfId="5" applyFont="1" applyFill="1" applyBorder="1"/>
    <xf numFmtId="43" fontId="47" fillId="0" borderId="0" xfId="1" applyFont="1"/>
    <xf numFmtId="4" fontId="47" fillId="0" borderId="0" xfId="0" applyNumberFormat="1" applyFont="1"/>
    <xf numFmtId="44" fontId="47" fillId="0" borderId="18" xfId="3" applyFont="1" applyBorder="1" applyProtection="1">
      <protection locked="0"/>
    </xf>
    <xf numFmtId="164" fontId="0" fillId="0" borderId="0" xfId="9" applyNumberFormat="1" applyFont="1"/>
    <xf numFmtId="43" fontId="85" fillId="0" borderId="2" xfId="1" applyFont="1" applyBorder="1" applyAlignment="1" applyProtection="1">
      <alignment horizontal="right"/>
      <protection locked="0"/>
    </xf>
    <xf numFmtId="43" fontId="85" fillId="0" borderId="2" xfId="1" applyFont="1" applyBorder="1" applyProtection="1">
      <protection locked="0"/>
    </xf>
    <xf numFmtId="43" fontId="86" fillId="0" borderId="2" xfId="1" applyFont="1" applyBorder="1" applyProtection="1">
      <protection locked="0"/>
    </xf>
    <xf numFmtId="43" fontId="85" fillId="0" borderId="0" xfId="1" applyFont="1" applyBorder="1" applyAlignment="1" applyProtection="1">
      <alignment horizontal="right"/>
      <protection locked="0"/>
    </xf>
    <xf numFmtId="43" fontId="86" fillId="0" borderId="0" xfId="1" applyFont="1" applyBorder="1" applyAlignment="1" applyProtection="1">
      <alignment horizontal="right"/>
      <protection locked="0"/>
    </xf>
    <xf numFmtId="43" fontId="85" fillId="0" borderId="0" xfId="1" applyFont="1" applyBorder="1" applyProtection="1">
      <protection locked="0"/>
    </xf>
    <xf numFmtId="43" fontId="86" fillId="0" borderId="0" xfId="1" applyFont="1" applyBorder="1" applyProtection="1">
      <protection locked="0"/>
    </xf>
    <xf numFmtId="0" fontId="0" fillId="4" borderId="0" xfId="0" applyFill="1"/>
    <xf numFmtId="43" fontId="5" fillId="4" borderId="0" xfId="0" applyNumberFormat="1" applyFont="1" applyFill="1"/>
    <xf numFmtId="0" fontId="5" fillId="4" borderId="0" xfId="0" applyFont="1" applyFill="1"/>
    <xf numFmtId="166" fontId="45" fillId="4" borderId="0" xfId="3" applyNumberFormat="1" applyFont="1" applyFill="1"/>
    <xf numFmtId="44" fontId="45" fillId="4" borderId="0" xfId="3" applyFont="1" applyFill="1"/>
    <xf numFmtId="165" fontId="5" fillId="4" borderId="0" xfId="0" applyNumberFormat="1" applyFont="1" applyFill="1"/>
    <xf numFmtId="43" fontId="45" fillId="4" borderId="0" xfId="1" applyFont="1" applyFill="1"/>
    <xf numFmtId="164" fontId="5" fillId="4" borderId="0" xfId="9" applyNumberFormat="1" applyFont="1" applyFill="1"/>
    <xf numFmtId="164" fontId="5" fillId="4" borderId="0" xfId="0" applyNumberFormat="1" applyFont="1" applyFill="1"/>
    <xf numFmtId="43" fontId="85" fillId="0" borderId="0" xfId="1" applyFont="1" applyFill="1" applyBorder="1" applyAlignment="1" applyProtection="1">
      <alignment horizontal="right"/>
      <protection locked="0"/>
    </xf>
    <xf numFmtId="43" fontId="86" fillId="0" borderId="0" xfId="1" applyFont="1" applyFill="1" applyBorder="1" applyAlignment="1" applyProtection="1">
      <alignment horizontal="right"/>
      <protection locked="0"/>
    </xf>
    <xf numFmtId="43" fontId="47" fillId="0" borderId="0" xfId="1" applyFont="1" applyFill="1"/>
    <xf numFmtId="43" fontId="0" fillId="0" borderId="0" xfId="1" applyFont="1" applyFill="1"/>
    <xf numFmtId="43" fontId="0" fillId="0" borderId="0" xfId="0" applyNumberFormat="1" applyFill="1"/>
    <xf numFmtId="0" fontId="47" fillId="0" borderId="0" xfId="0" applyFont="1" applyFill="1"/>
    <xf numFmtId="44" fontId="45" fillId="0" borderId="0" xfId="3" applyFont="1" applyFill="1"/>
    <xf numFmtId="165" fontId="45" fillId="0" borderId="0" xfId="1" applyNumberFormat="1" applyFont="1" applyFill="1"/>
    <xf numFmtId="44" fontId="0" fillId="0" borderId="0" xfId="3" applyFont="1" applyFill="1"/>
    <xf numFmtId="0" fontId="26" fillId="3" borderId="13" xfId="0" applyFont="1" applyFill="1" applyBorder="1" applyAlignment="1">
      <alignment horizontal="center"/>
    </xf>
    <xf numFmtId="0" fontId="26" fillId="3" borderId="0" xfId="0" applyFont="1" applyFill="1" applyBorder="1" applyAlignment="1">
      <alignment horizontal="center"/>
    </xf>
    <xf numFmtId="0" fontId="26" fillId="3" borderId="14" xfId="0" applyFont="1" applyFill="1" applyBorder="1" applyAlignment="1">
      <alignment horizontal="center"/>
    </xf>
    <xf numFmtId="0" fontId="34" fillId="3" borderId="19" xfId="0" applyFont="1" applyFill="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167" fontId="78" fillId="0" borderId="0" xfId="0" applyNumberFormat="1" applyFont="1" applyAlignment="1">
      <alignment horizontal="center"/>
    </xf>
    <xf numFmtId="167" fontId="77" fillId="5" borderId="15" xfId="0" applyNumberFormat="1" applyFont="1" applyFill="1" applyBorder="1" applyAlignment="1">
      <alignment horizontal="center"/>
    </xf>
    <xf numFmtId="167" fontId="77" fillId="5" borderId="16" xfId="0" applyNumberFormat="1" applyFont="1" applyFill="1" applyBorder="1" applyAlignment="1">
      <alignment horizontal="center"/>
    </xf>
    <xf numFmtId="167" fontId="77" fillId="5" borderId="17" xfId="0" applyNumberFormat="1" applyFont="1" applyFill="1" applyBorder="1" applyAlignment="1">
      <alignment horizontal="center"/>
    </xf>
    <xf numFmtId="167" fontId="24" fillId="0" borderId="0" xfId="0" applyNumberFormat="1" applyFont="1" applyAlignment="1">
      <alignment vertical="top" wrapText="1"/>
    </xf>
    <xf numFmtId="0" fontId="35" fillId="0" borderId="0" xfId="0" applyFont="1" applyAlignment="1">
      <alignment vertical="top" wrapText="1"/>
    </xf>
    <xf numFmtId="167" fontId="76" fillId="0" borderId="0" xfId="0" applyNumberFormat="1" applyFont="1" applyAlignment="1">
      <alignment horizontal="center"/>
    </xf>
    <xf numFmtId="167" fontId="77" fillId="5" borderId="24" xfId="0" applyNumberFormat="1" applyFont="1" applyFill="1" applyBorder="1" applyAlignment="1">
      <alignment horizontal="center"/>
    </xf>
    <xf numFmtId="167" fontId="77" fillId="5" borderId="25" xfId="0" applyNumberFormat="1" applyFont="1" applyFill="1" applyBorder="1" applyAlignment="1">
      <alignment horizontal="center"/>
    </xf>
    <xf numFmtId="167" fontId="77" fillId="5" borderId="26" xfId="0" applyNumberFormat="1" applyFont="1" applyFill="1" applyBorder="1" applyAlignment="1">
      <alignment horizontal="center"/>
    </xf>
    <xf numFmtId="0" fontId="84" fillId="0" borderId="0" xfId="0" applyFont="1" applyAlignment="1">
      <alignment horizontal="justify" vertical="top" wrapText="1"/>
    </xf>
    <xf numFmtId="0" fontId="83" fillId="0" borderId="0" xfId="0" applyFont="1" applyAlignment="1">
      <alignment vertical="top" wrapText="1"/>
    </xf>
    <xf numFmtId="0" fontId="26" fillId="3" borderId="0" xfId="0" applyFont="1" applyFill="1" applyAlignment="1">
      <alignment horizontal="center"/>
    </xf>
    <xf numFmtId="0" fontId="34" fillId="3" borderId="0" xfId="0" applyFont="1" applyFill="1" applyAlignment="1">
      <alignment vertical="top" wrapText="1"/>
    </xf>
    <xf numFmtId="0" fontId="2" fillId="0" borderId="0" xfId="0" applyFont="1" applyAlignment="1">
      <alignment vertical="top" wrapText="1"/>
    </xf>
    <xf numFmtId="0" fontId="34" fillId="3" borderId="13" xfId="0" applyFont="1" applyFill="1" applyBorder="1" applyAlignment="1">
      <alignment vertical="top" wrapText="1"/>
    </xf>
    <xf numFmtId="0" fontId="2" fillId="0" borderId="0" xfId="0" applyFont="1" applyBorder="1" applyAlignment="1">
      <alignment vertical="top" wrapText="1"/>
    </xf>
    <xf numFmtId="0" fontId="34" fillId="3" borderId="31" xfId="0" applyFont="1" applyFill="1" applyBorder="1" applyAlignment="1">
      <alignment vertical="top" wrapText="1"/>
    </xf>
    <xf numFmtId="0" fontId="2" fillId="0" borderId="22" xfId="0" applyFont="1" applyBorder="1" applyAlignment="1">
      <alignment vertical="top" wrapText="1"/>
    </xf>
    <xf numFmtId="0" fontId="2" fillId="0" borderId="23" xfId="0" applyFont="1" applyBorder="1" applyAlignment="1">
      <alignment vertical="top" wrapText="1"/>
    </xf>
    <xf numFmtId="0" fontId="72" fillId="0" borderId="0" xfId="0" applyFont="1" applyAlignment="1">
      <alignment horizontal="center"/>
    </xf>
    <xf numFmtId="0" fontId="10" fillId="0" borderId="0" xfId="0" applyFont="1" applyAlignment="1">
      <alignment horizontal="center"/>
    </xf>
    <xf numFmtId="0" fontId="53"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21" fillId="0" borderId="0" xfId="0" applyFont="1" applyAlignment="1">
      <alignment horizontal="center"/>
    </xf>
    <xf numFmtId="0" fontId="3" fillId="2" borderId="1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73" fillId="0" borderId="0" xfId="0" applyFont="1" applyAlignment="1">
      <alignment horizontal="center" wrapText="1"/>
    </xf>
  </cellXfs>
  <cellStyles count="11">
    <cellStyle name="Comma" xfId="1" builtinId="3"/>
    <cellStyle name="Comma 2" xfId="2" xr:uid="{00000000-0005-0000-0000-000001000000}"/>
    <cellStyle name="Currency" xfId="3" builtinId="4"/>
    <cellStyle name="Currency 2" xfId="4" xr:uid="{00000000-0005-0000-0000-000003000000}"/>
    <cellStyle name="Currency 5 2" xfId="5" xr:uid="{00000000-0005-0000-0000-000004000000}"/>
    <cellStyle name="Currency 6" xfId="6" xr:uid="{00000000-0005-0000-0000-000005000000}"/>
    <cellStyle name="Normal" xfId="0" builtinId="0"/>
    <cellStyle name="Normal 2" xfId="7" xr:uid="{00000000-0005-0000-0000-000007000000}"/>
    <cellStyle name="Normal 3" xfId="8" xr:uid="{00000000-0005-0000-0000-000008000000}"/>
    <cellStyle name="Percent" xfId="9" builtinId="5"/>
    <cellStyle name="Percent 2"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personal/greg_hammond_utc_wa_gov/Documents/TG-200890%20WM%20NS%20Rev%20Share/TG-190958-staff%20work%20papers%20(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Calculation"/>
      <sheetName val="Staff Calculation (2)"/>
      <sheetName val="Rate Sheet Summary"/>
      <sheetName val="Rebate Analysis"/>
      <sheetName val="2018-2019 Recy. Tons &amp; Revenue"/>
      <sheetName val="CRC Prices &amp; Revenue"/>
      <sheetName val="Composition"/>
      <sheetName val="Customer Counts"/>
      <sheetName val="KC 2018-2019 Budget vs. Actual"/>
      <sheetName val="SC 2018-2019 Budget vs. Actual"/>
      <sheetName val="KC 2020-2021 Preliminary Budget"/>
      <sheetName val="SC 2020-2021 Preliminary Budget"/>
      <sheetName val="KC Incentive Analysis"/>
      <sheetName val="SC Incentive analysis"/>
    </sheetNames>
    <sheetDataSet>
      <sheetData sheetId="0"/>
      <sheetData sheetId="1"/>
      <sheetData sheetId="2"/>
      <sheetData sheetId="3"/>
      <sheetData sheetId="4"/>
      <sheetData sheetId="5"/>
      <sheetData sheetId="6"/>
      <sheetData sheetId="7">
        <row r="18">
          <cell r="G18">
            <v>64098</v>
          </cell>
          <cell r="H18">
            <v>35649</v>
          </cell>
        </row>
        <row r="19">
          <cell r="G19">
            <v>64174</v>
          </cell>
          <cell r="H19">
            <v>35714</v>
          </cell>
        </row>
        <row r="20">
          <cell r="G20">
            <v>64138</v>
          </cell>
          <cell r="H20">
            <v>35678</v>
          </cell>
        </row>
        <row r="21">
          <cell r="G21">
            <v>64182</v>
          </cell>
          <cell r="H21">
            <v>35683</v>
          </cell>
        </row>
        <row r="22">
          <cell r="G22">
            <v>64142</v>
          </cell>
          <cell r="H22">
            <v>35576</v>
          </cell>
        </row>
        <row r="23">
          <cell r="G23">
            <v>64325</v>
          </cell>
          <cell r="H23">
            <v>35730</v>
          </cell>
        </row>
        <row r="24">
          <cell r="G24">
            <v>64583</v>
          </cell>
          <cell r="H24">
            <v>35918</v>
          </cell>
        </row>
        <row r="25">
          <cell r="G25">
            <v>64739</v>
          </cell>
          <cell r="H25">
            <v>36074</v>
          </cell>
        </row>
        <row r="26">
          <cell r="G26">
            <v>64746</v>
          </cell>
          <cell r="H26">
            <v>36177</v>
          </cell>
        </row>
        <row r="27">
          <cell r="G27">
            <v>64930</v>
          </cell>
          <cell r="H27">
            <v>36312</v>
          </cell>
        </row>
        <row r="28">
          <cell r="G28">
            <v>65089</v>
          </cell>
          <cell r="H28">
            <v>36437</v>
          </cell>
        </row>
        <row r="29">
          <cell r="G29">
            <v>65157</v>
          </cell>
          <cell r="H29">
            <v>36405</v>
          </cell>
        </row>
      </sheetData>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Hammond, Greg (UTC)" id="{D117A703-7D55-4E21-BAF7-02104FA8AC95}" userId="S::greg.hammond@utc.wa.gov::1a12d6dc-9091-421a-bf06-5f0772164ea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22" dT="2020-12-11T23:19:53.06" personId="{D117A703-7D55-4E21-BAF7-02104FA8AC95}" id="{EDEBCA1D-CC85-4BF7-944B-BAF87FDE560C}">
    <text>Company calculation was pulling from a blank cell, corrected to include cell F18, net commodity revenue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0"/>
  <sheetViews>
    <sheetView zoomScale="90" zoomScaleNormal="90" workbookViewId="0">
      <selection activeCell="A20" sqref="A20"/>
    </sheetView>
  </sheetViews>
  <sheetFormatPr defaultRowHeight="12.75"/>
  <cols>
    <col min="1" max="1" width="64.140625" customWidth="1"/>
    <col min="2" max="2" width="16.42578125" customWidth="1"/>
    <col min="3" max="3" width="14.28515625" bestFit="1" customWidth="1"/>
    <col min="5" max="5" width="14" bestFit="1" customWidth="1"/>
    <col min="6" max="6" width="15.5703125" bestFit="1" customWidth="1"/>
    <col min="7" max="7" width="9.140625" bestFit="1" customWidth="1"/>
    <col min="9" max="9" width="73.140625" bestFit="1" customWidth="1"/>
    <col min="11" max="11" width="13.42578125" bestFit="1" customWidth="1"/>
    <col min="13" max="13" width="14" bestFit="1" customWidth="1"/>
    <col min="14" max="14" width="14.28515625" bestFit="1" customWidth="1"/>
    <col min="15" max="15" width="9.140625" bestFit="1" customWidth="1"/>
    <col min="16" max="16" width="7.7109375" customWidth="1"/>
    <col min="17" max="17" width="13.42578125" customWidth="1"/>
    <col min="18" max="18" width="14" bestFit="1" customWidth="1"/>
    <col min="19" max="19" width="12.28515625" bestFit="1" customWidth="1"/>
    <col min="20" max="20" width="14.5703125" bestFit="1" customWidth="1"/>
  </cols>
  <sheetData>
    <row r="1" spans="1:21" ht="23.25">
      <c r="A1" s="212" t="s">
        <v>108</v>
      </c>
      <c r="B1" s="213"/>
      <c r="C1" s="214"/>
      <c r="D1" s="214"/>
      <c r="E1" s="214"/>
      <c r="F1" s="214"/>
      <c r="G1" s="215"/>
      <c r="I1" s="212" t="s">
        <v>108</v>
      </c>
      <c r="J1" s="213"/>
      <c r="K1" s="214"/>
      <c r="L1" s="214"/>
      <c r="M1" s="214"/>
      <c r="N1" s="214"/>
      <c r="O1" s="215"/>
    </row>
    <row r="2" spans="1:21" ht="15.75">
      <c r="A2" s="216" t="s">
        <v>128</v>
      </c>
      <c r="B2" s="217"/>
      <c r="C2" s="218"/>
      <c r="D2" s="218"/>
      <c r="E2" s="219"/>
      <c r="F2" s="219"/>
      <c r="G2" s="220"/>
      <c r="I2" s="216" t="s">
        <v>109</v>
      </c>
      <c r="J2" s="217"/>
      <c r="K2" s="218"/>
      <c r="L2" s="218"/>
      <c r="M2" s="219"/>
      <c r="N2" s="219"/>
      <c r="O2" s="220"/>
    </row>
    <row r="3" spans="1:21" ht="15.75">
      <c r="A3" s="216"/>
      <c r="B3" s="217"/>
      <c r="C3" s="218"/>
      <c r="D3" s="218"/>
      <c r="E3" s="219"/>
      <c r="F3" s="219"/>
      <c r="G3" s="220"/>
      <c r="I3" s="216" t="s">
        <v>149</v>
      </c>
      <c r="J3" s="217"/>
      <c r="K3" s="218"/>
      <c r="L3" s="218"/>
      <c r="M3" s="219"/>
      <c r="N3" s="219"/>
      <c r="O3" s="220"/>
    </row>
    <row r="4" spans="1:21" ht="42.75" customHeight="1">
      <c r="A4" s="447" t="s">
        <v>147</v>
      </c>
      <c r="B4" s="448"/>
      <c r="C4" s="449"/>
      <c r="D4" s="218"/>
      <c r="E4" s="219"/>
      <c r="F4" s="219"/>
      <c r="G4" s="220"/>
      <c r="I4" s="216"/>
      <c r="J4" s="217"/>
      <c r="K4" s="218"/>
      <c r="L4" s="218"/>
      <c r="M4" s="219"/>
      <c r="N4" s="219"/>
      <c r="O4" s="220"/>
    </row>
    <row r="5" spans="1:21" ht="15.75">
      <c r="A5" s="277"/>
      <c r="B5" s="218"/>
      <c r="C5" s="218"/>
      <c r="D5" s="218"/>
      <c r="E5" s="219"/>
      <c r="F5" s="219"/>
      <c r="G5" s="220"/>
      <c r="I5" s="216"/>
      <c r="J5" s="217"/>
      <c r="K5" s="218"/>
      <c r="L5" s="218"/>
      <c r="M5" s="219"/>
      <c r="N5" s="219"/>
      <c r="O5" s="220"/>
    </row>
    <row r="6" spans="1:21" ht="15">
      <c r="A6" s="444" t="s">
        <v>19</v>
      </c>
      <c r="B6" s="445"/>
      <c r="C6" s="445"/>
      <c r="D6" s="445"/>
      <c r="E6" s="445"/>
      <c r="F6" s="445"/>
      <c r="G6" s="446"/>
      <c r="I6" s="444" t="s">
        <v>19</v>
      </c>
      <c r="J6" s="445"/>
      <c r="K6" s="445"/>
      <c r="L6" s="445"/>
      <c r="M6" s="445"/>
      <c r="N6" s="445"/>
      <c r="O6" s="446"/>
    </row>
    <row r="7" spans="1:21" ht="15">
      <c r="A7" s="223"/>
      <c r="B7" s="219"/>
      <c r="C7" s="219"/>
      <c r="D7" s="219"/>
      <c r="E7" s="219"/>
      <c r="F7" s="219"/>
      <c r="G7" s="220"/>
      <c r="I7" s="223"/>
      <c r="J7" s="219"/>
      <c r="K7" s="219"/>
      <c r="L7" s="219"/>
      <c r="M7" s="219"/>
      <c r="N7" s="219"/>
      <c r="O7" s="220"/>
    </row>
    <row r="8" spans="1:21" ht="15.75">
      <c r="A8" s="223"/>
      <c r="B8" s="219"/>
      <c r="C8" s="224"/>
      <c r="D8" s="224"/>
      <c r="E8" s="224" t="s">
        <v>110</v>
      </c>
      <c r="F8" s="224" t="s">
        <v>71</v>
      </c>
      <c r="G8" s="220"/>
      <c r="I8" s="223"/>
      <c r="J8" s="219"/>
      <c r="K8" s="224"/>
      <c r="L8" s="224"/>
      <c r="M8" s="224" t="s">
        <v>110</v>
      </c>
      <c r="N8" s="224" t="s">
        <v>71</v>
      </c>
      <c r="O8" s="220"/>
    </row>
    <row r="9" spans="1:21" ht="15.75">
      <c r="A9" s="223"/>
      <c r="B9" s="219"/>
      <c r="C9" s="225" t="s">
        <v>87</v>
      </c>
      <c r="D9" s="225"/>
      <c r="E9" s="225" t="s">
        <v>111</v>
      </c>
      <c r="F9" s="225" t="s">
        <v>112</v>
      </c>
      <c r="G9" s="220"/>
      <c r="I9" s="223"/>
      <c r="J9" s="219"/>
      <c r="K9" s="225" t="s">
        <v>87</v>
      </c>
      <c r="L9" s="225"/>
      <c r="M9" s="225" t="s">
        <v>111</v>
      </c>
      <c r="N9" s="225" t="s">
        <v>112</v>
      </c>
      <c r="O9" s="220"/>
    </row>
    <row r="10" spans="1:21" ht="15.75">
      <c r="A10" s="226" t="s">
        <v>127</v>
      </c>
      <c r="B10" s="217"/>
      <c r="C10" s="227"/>
      <c r="D10" s="227"/>
      <c r="E10" s="227"/>
      <c r="F10" s="227"/>
      <c r="G10" s="220"/>
      <c r="I10" s="226" t="s">
        <v>113</v>
      </c>
      <c r="J10" s="217"/>
      <c r="K10" s="227"/>
      <c r="L10" s="227"/>
      <c r="M10" s="227"/>
      <c r="N10" s="227"/>
      <c r="O10" s="220"/>
    </row>
    <row r="11" spans="1:21" ht="15.75">
      <c r="A11" s="223" t="s">
        <v>114</v>
      </c>
      <c r="B11" s="219"/>
      <c r="C11" s="228">
        <v>299451</v>
      </c>
      <c r="D11" s="228"/>
      <c r="E11" s="229">
        <f>+M12</f>
        <v>2.4500000000000002</v>
      </c>
      <c r="F11" s="230">
        <f>C11*E11</f>
        <v>733654.95000000007</v>
      </c>
      <c r="G11" s="220"/>
      <c r="I11" s="223" t="s">
        <v>114</v>
      </c>
      <c r="J11" s="219"/>
      <c r="K11" s="228">
        <v>291373</v>
      </c>
      <c r="L11" s="228"/>
      <c r="M11" s="229">
        <v>1.79</v>
      </c>
      <c r="N11" s="230">
        <f>K11*M11</f>
        <v>521557.67</v>
      </c>
      <c r="O11" s="220"/>
      <c r="R11" s="249"/>
      <c r="S11" s="210"/>
      <c r="T11" s="260"/>
    </row>
    <row r="12" spans="1:21" ht="17.25">
      <c r="A12" s="231" t="s">
        <v>115</v>
      </c>
      <c r="B12" s="232"/>
      <c r="C12" s="233">
        <v>706622</v>
      </c>
      <c r="D12" s="233"/>
      <c r="E12" s="229">
        <f>+O31</f>
        <v>0.73</v>
      </c>
      <c r="F12" s="234">
        <f>C12*E12</f>
        <v>515834.06</v>
      </c>
      <c r="G12" s="220"/>
      <c r="I12" s="231" t="s">
        <v>115</v>
      </c>
      <c r="J12" s="232"/>
      <c r="K12" s="233">
        <v>885244</v>
      </c>
      <c r="L12" s="233"/>
      <c r="M12" s="229">
        <v>2.4500000000000002</v>
      </c>
      <c r="N12" s="234">
        <f>K12*M12</f>
        <v>2168847.8000000003</v>
      </c>
      <c r="O12" s="220"/>
    </row>
    <row r="13" spans="1:21" ht="17.25">
      <c r="A13" s="223" t="s">
        <v>71</v>
      </c>
      <c r="B13" s="219"/>
      <c r="C13" s="228">
        <f>SUM(C11:C12)</f>
        <v>1006073</v>
      </c>
      <c r="D13" s="233"/>
      <c r="E13" s="219"/>
      <c r="F13" s="230">
        <f>SUM(F11:F12)</f>
        <v>1249489.01</v>
      </c>
      <c r="G13" s="220"/>
      <c r="I13" s="223" t="s">
        <v>71</v>
      </c>
      <c r="J13" s="219"/>
      <c r="K13" s="228">
        <f>SUM(K11:K12)</f>
        <v>1176617</v>
      </c>
      <c r="L13" s="233"/>
      <c r="M13" s="219"/>
      <c r="N13" s="230">
        <f>SUM(N11:N12)</f>
        <v>2690405.47</v>
      </c>
      <c r="O13" s="220"/>
      <c r="T13" s="262"/>
    </row>
    <row r="14" spans="1:21" ht="15">
      <c r="A14" s="223"/>
      <c r="B14" s="219"/>
      <c r="C14" s="219"/>
      <c r="D14" s="219"/>
      <c r="E14" s="219"/>
      <c r="F14" s="219"/>
      <c r="G14" s="220"/>
      <c r="I14" s="223"/>
      <c r="J14" s="219"/>
      <c r="K14" s="219"/>
      <c r="L14" s="219"/>
      <c r="M14" s="219"/>
      <c r="N14" s="219"/>
      <c r="O14" s="220"/>
      <c r="T14" s="261"/>
      <c r="U14" s="11"/>
    </row>
    <row r="15" spans="1:21" ht="15.75">
      <c r="A15" s="216"/>
      <c r="B15" s="219"/>
      <c r="C15" s="219"/>
      <c r="D15" s="219"/>
      <c r="E15" s="219"/>
      <c r="F15" s="258"/>
      <c r="G15" s="220"/>
      <c r="I15" s="223"/>
      <c r="J15" s="219"/>
      <c r="K15" s="219"/>
      <c r="L15" s="219"/>
      <c r="M15" s="219"/>
      <c r="N15" s="219"/>
      <c r="O15" s="220"/>
      <c r="T15" s="261"/>
      <c r="U15" s="11"/>
    </row>
    <row r="16" spans="1:21" ht="15.75">
      <c r="A16" s="216" t="s">
        <v>129</v>
      </c>
      <c r="B16" s="219"/>
      <c r="C16" s="219"/>
      <c r="D16" s="219"/>
      <c r="E16" s="219"/>
      <c r="F16" s="230">
        <v>528491.43671045091</v>
      </c>
      <c r="G16" s="220"/>
      <c r="I16" s="223"/>
      <c r="J16" s="219"/>
      <c r="K16" s="219"/>
      <c r="L16" s="219"/>
      <c r="M16" s="219"/>
      <c r="N16" s="219"/>
      <c r="O16" s="220"/>
      <c r="T16" s="261"/>
      <c r="U16" s="11"/>
    </row>
    <row r="17" spans="1:21" ht="15.75">
      <c r="A17" s="216" t="s">
        <v>150</v>
      </c>
      <c r="B17" s="219"/>
      <c r="C17" s="219"/>
      <c r="D17" s="219"/>
      <c r="E17" s="219"/>
      <c r="F17" s="278">
        <f>-F16*50%</f>
        <v>-264245.71835522546</v>
      </c>
      <c r="G17" s="220"/>
      <c r="I17" s="216"/>
      <c r="J17" s="219"/>
      <c r="K17" s="219"/>
      <c r="L17" s="219"/>
      <c r="M17" s="219"/>
      <c r="N17" s="230"/>
      <c r="O17" s="220"/>
    </row>
    <row r="18" spans="1:21" ht="15.75">
      <c r="A18" s="282" t="s">
        <v>153</v>
      </c>
      <c r="B18" s="219"/>
      <c r="C18" s="219"/>
      <c r="D18" s="219"/>
      <c r="E18" s="219"/>
      <c r="F18" s="257">
        <f>SUM(F16:F17)</f>
        <v>264245.71835522546</v>
      </c>
      <c r="G18" s="220"/>
      <c r="I18" s="223"/>
      <c r="J18" s="219"/>
      <c r="K18" s="219"/>
      <c r="L18" s="219"/>
      <c r="M18" s="219"/>
      <c r="N18" s="219"/>
      <c r="O18" s="220"/>
      <c r="T18" s="261"/>
      <c r="U18" s="11"/>
    </row>
    <row r="19" spans="1:21" ht="17.25">
      <c r="A19" s="283"/>
      <c r="B19" s="283"/>
      <c r="C19" s="283"/>
      <c r="D19" s="283"/>
      <c r="E19" s="283"/>
      <c r="F19" s="283"/>
      <c r="G19" s="220"/>
      <c r="I19" s="223"/>
      <c r="J19" s="219"/>
      <c r="K19" s="219"/>
      <c r="L19" s="219"/>
      <c r="M19" s="219"/>
      <c r="N19" s="219"/>
      <c r="O19" s="220"/>
      <c r="T19" s="263"/>
      <c r="U19" s="11"/>
    </row>
    <row r="20" spans="1:21" ht="15.75">
      <c r="A20" s="223" t="s">
        <v>117</v>
      </c>
      <c r="B20" s="219"/>
      <c r="C20" s="219"/>
      <c r="D20" s="219"/>
      <c r="E20" s="219"/>
      <c r="F20" s="258">
        <f>F18-F13</f>
        <v>-985243.29164477461</v>
      </c>
      <c r="G20" s="220"/>
      <c r="I20" s="216" t="s">
        <v>116</v>
      </c>
      <c r="J20" s="219"/>
      <c r="K20" s="219"/>
      <c r="L20" s="219"/>
      <c r="M20" s="219"/>
      <c r="N20" s="230">
        <v>1226082</v>
      </c>
      <c r="O20" s="220"/>
      <c r="Q20" s="260"/>
      <c r="T20" s="261"/>
    </row>
    <row r="21" spans="1:21" ht="17.25">
      <c r="A21" s="216" t="s">
        <v>151</v>
      </c>
      <c r="B21" s="219"/>
      <c r="C21" s="255">
        <v>199583</v>
      </c>
      <c r="D21" s="219"/>
      <c r="E21" s="256">
        <f>(O26*M36)+(O31*M36)+O34</f>
        <v>-0.29675000000000007</v>
      </c>
      <c r="F21" s="236">
        <f>E21*C21</f>
        <v>-59226.255250000017</v>
      </c>
      <c r="G21" s="220"/>
      <c r="I21" s="216"/>
      <c r="J21" s="219"/>
      <c r="K21" s="219"/>
      <c r="L21" s="219"/>
      <c r="M21" s="219"/>
      <c r="N21" s="230"/>
      <c r="O21" s="220"/>
    </row>
    <row r="22" spans="1:21" ht="15">
      <c r="A22" s="283" t="s">
        <v>154</v>
      </c>
      <c r="B22" s="283"/>
      <c r="C22" s="283"/>
      <c r="D22" s="283"/>
      <c r="E22" s="283"/>
      <c r="F22" s="279">
        <f>SUM(F20:F21)</f>
        <v>-1044469.5468947747</v>
      </c>
      <c r="G22" s="220"/>
      <c r="I22" s="223" t="s">
        <v>117</v>
      </c>
      <c r="J22" s="219"/>
      <c r="K22" s="219"/>
      <c r="L22" s="219"/>
      <c r="M22" s="219"/>
      <c r="N22" s="228">
        <f>N20-N13</f>
        <v>-1464323.4700000002</v>
      </c>
      <c r="O22" s="220"/>
      <c r="T22" s="261"/>
      <c r="U22" s="11"/>
    </row>
    <row r="23" spans="1:21" ht="17.25">
      <c r="A23" s="283"/>
      <c r="B23" s="283"/>
      <c r="C23" s="283"/>
      <c r="D23" s="283"/>
      <c r="E23" s="283"/>
      <c r="F23" s="283"/>
      <c r="G23" s="220"/>
      <c r="I23" s="223"/>
      <c r="J23" s="219"/>
      <c r="K23" s="235"/>
      <c r="L23" s="219"/>
      <c r="M23" s="219"/>
      <c r="N23" s="236"/>
      <c r="O23" s="220"/>
    </row>
    <row r="24" spans="1:21" ht="17.25">
      <c r="A24" s="223" t="s">
        <v>118</v>
      </c>
      <c r="B24" s="219"/>
      <c r="C24" s="219"/>
      <c r="D24" s="219"/>
      <c r="E24" s="219"/>
      <c r="F24" s="228">
        <v>1205656</v>
      </c>
      <c r="G24" s="220"/>
      <c r="I24" s="223" t="s">
        <v>118</v>
      </c>
      <c r="J24" s="219"/>
      <c r="K24" s="219"/>
      <c r="L24" s="219"/>
      <c r="M24" s="219"/>
      <c r="N24" s="228">
        <f>+K13</f>
        <v>1176617</v>
      </c>
      <c r="O24" s="220"/>
      <c r="T24" s="262"/>
    </row>
    <row r="25" spans="1:21" ht="15">
      <c r="A25" s="223"/>
      <c r="B25" s="219"/>
      <c r="C25" s="219"/>
      <c r="D25" s="219"/>
      <c r="E25" s="219"/>
      <c r="F25" s="219"/>
      <c r="G25" s="220"/>
      <c r="I25" s="223"/>
      <c r="J25" s="219"/>
      <c r="K25" s="219"/>
      <c r="L25" s="219"/>
      <c r="M25" s="219"/>
      <c r="N25" s="219"/>
      <c r="O25" s="220"/>
    </row>
    <row r="26" spans="1:21" ht="15">
      <c r="A26" s="223" t="s">
        <v>119</v>
      </c>
      <c r="B26" s="219"/>
      <c r="C26" s="219"/>
      <c r="D26" s="219"/>
      <c r="E26" s="219"/>
      <c r="F26" s="237"/>
      <c r="G26" s="238">
        <f>F22/F24</f>
        <v>-0.86630809028012523</v>
      </c>
      <c r="I26" s="223" t="s">
        <v>119</v>
      </c>
      <c r="J26" s="219"/>
      <c r="K26" s="219"/>
      <c r="L26" s="219"/>
      <c r="M26" s="219"/>
      <c r="N26" s="237"/>
      <c r="O26" s="238">
        <f>ROUND(N22/N24,2)</f>
        <v>-1.24</v>
      </c>
    </row>
    <row r="27" spans="1:21" ht="15">
      <c r="A27" s="223"/>
      <c r="B27" s="219"/>
      <c r="C27" s="219"/>
      <c r="D27" s="219"/>
      <c r="E27" s="219"/>
      <c r="F27" s="219"/>
      <c r="G27" s="238"/>
      <c r="I27" s="223"/>
      <c r="J27" s="219"/>
      <c r="K27" s="219"/>
      <c r="L27" s="219"/>
      <c r="M27" s="219"/>
      <c r="N27" s="219"/>
      <c r="O27" s="238"/>
    </row>
    <row r="28" spans="1:21" ht="15">
      <c r="A28" s="223"/>
      <c r="B28" s="219"/>
      <c r="C28" s="219"/>
      <c r="D28" s="219"/>
      <c r="E28" s="219"/>
      <c r="F28" s="219"/>
      <c r="G28" s="238"/>
      <c r="I28" s="223"/>
      <c r="J28" s="219"/>
      <c r="K28" s="219"/>
      <c r="L28" s="219"/>
      <c r="M28" s="219"/>
      <c r="N28" s="219"/>
      <c r="O28" s="238"/>
    </row>
    <row r="29" spans="1:21" ht="15.75">
      <c r="A29" s="239" t="s">
        <v>130</v>
      </c>
      <c r="B29" s="217"/>
      <c r="C29" s="219"/>
      <c r="D29" s="219"/>
      <c r="E29" s="219"/>
      <c r="F29" s="240">
        <f>F16</f>
        <v>528491.43671045091</v>
      </c>
      <c r="G29" s="238"/>
      <c r="I29" s="239" t="s">
        <v>120</v>
      </c>
      <c r="J29" s="217"/>
      <c r="K29" s="219"/>
      <c r="L29" s="219"/>
      <c r="M29" s="219"/>
      <c r="N29" s="240">
        <f>431654*2</f>
        <v>863308</v>
      </c>
      <c r="O29" s="238"/>
    </row>
    <row r="30" spans="1:21" ht="17.25">
      <c r="A30" s="216" t="s">
        <v>150</v>
      </c>
      <c r="B30" s="283"/>
      <c r="C30" s="283"/>
      <c r="D30" s="283"/>
      <c r="E30" s="283"/>
      <c r="F30" s="281">
        <f>F29*50%</f>
        <v>264245.71835522546</v>
      </c>
      <c r="G30" s="238"/>
      <c r="I30" s="223" t="s">
        <v>118</v>
      </c>
      <c r="J30" s="219"/>
      <c r="K30" s="219"/>
      <c r="L30" s="219"/>
      <c r="M30" s="219"/>
      <c r="N30" s="241">
        <f>+K13</f>
        <v>1176617</v>
      </c>
      <c r="O30" s="238"/>
    </row>
    <row r="31" spans="1:21" ht="17.25">
      <c r="A31" s="283" t="s">
        <v>152</v>
      </c>
      <c r="B31" s="283"/>
      <c r="C31" s="283"/>
      <c r="D31" s="283"/>
      <c r="E31" s="283"/>
      <c r="F31" s="279">
        <f>F29-F30</f>
        <v>264245.71835522546</v>
      </c>
      <c r="G31" s="238"/>
      <c r="I31" s="223" t="s">
        <v>121</v>
      </c>
      <c r="J31" s="219"/>
      <c r="K31" s="219"/>
      <c r="L31" s="219"/>
      <c r="M31" s="219"/>
      <c r="N31" s="219"/>
      <c r="O31" s="242">
        <f>ROUND(+N29/N30,2)</f>
        <v>0.73</v>
      </c>
    </row>
    <row r="32" spans="1:21" ht="17.25">
      <c r="A32" s="223" t="s">
        <v>118</v>
      </c>
      <c r="B32" s="219"/>
      <c r="C32" s="219"/>
      <c r="D32" s="219"/>
      <c r="E32" s="219"/>
      <c r="F32" s="241">
        <f>F24</f>
        <v>1205656</v>
      </c>
      <c r="G32" s="238"/>
      <c r="I32" s="216" t="s">
        <v>122</v>
      </c>
      <c r="J32" s="217"/>
      <c r="K32" s="219"/>
      <c r="L32" s="219"/>
      <c r="M32" s="219"/>
      <c r="N32" s="219"/>
      <c r="O32" s="243">
        <f>SUM(O26:O31)</f>
        <v>-0.51</v>
      </c>
      <c r="P32" s="244"/>
    </row>
    <row r="33" spans="1:16" ht="17.25">
      <c r="A33" s="223" t="s">
        <v>121</v>
      </c>
      <c r="B33" s="219"/>
      <c r="C33" s="219"/>
      <c r="D33" s="219"/>
      <c r="E33" s="219"/>
      <c r="F33" s="219"/>
      <c r="G33" s="242">
        <f>ROUND(+F29/F32,2)</f>
        <v>0.44</v>
      </c>
      <c r="I33" s="216"/>
      <c r="J33" s="217"/>
      <c r="K33" s="219"/>
      <c r="L33" s="219"/>
      <c r="M33" s="219"/>
      <c r="N33" s="219"/>
      <c r="O33" s="243"/>
      <c r="P33" s="244"/>
    </row>
    <row r="34" spans="1:16" ht="15.75">
      <c r="A34" s="216" t="s">
        <v>122</v>
      </c>
      <c r="B34" s="217"/>
      <c r="C34" s="219"/>
      <c r="D34" s="219"/>
      <c r="E34" s="219"/>
      <c r="F34" s="219"/>
      <c r="G34" s="243">
        <f>SUM(G26:G33)</f>
        <v>-0.42630809028012523</v>
      </c>
      <c r="I34" s="231" t="s">
        <v>123</v>
      </c>
      <c r="J34" s="217"/>
      <c r="K34" s="219"/>
      <c r="L34" s="219"/>
      <c r="M34" s="245">
        <f>+K13/12*0.5</f>
        <v>49025.708333333336</v>
      </c>
      <c r="N34" s="219"/>
      <c r="O34" s="246">
        <f>ROUND(-M34/K13*2,2)</f>
        <v>-0.08</v>
      </c>
    </row>
    <row r="35" spans="1:16" ht="15.75">
      <c r="A35" s="231"/>
      <c r="B35" s="217"/>
      <c r="C35" s="219"/>
      <c r="D35" s="219"/>
      <c r="E35" s="219"/>
      <c r="F35" s="219"/>
      <c r="G35" s="243"/>
      <c r="I35" s="231"/>
      <c r="J35" s="217"/>
      <c r="K35" s="219"/>
      <c r="L35" s="219"/>
      <c r="M35" s="219"/>
      <c r="N35" s="219"/>
      <c r="O35" s="243"/>
    </row>
    <row r="36" spans="1:16" ht="20.25">
      <c r="A36" s="231"/>
      <c r="B36" s="219"/>
      <c r="C36" s="219"/>
      <c r="D36" s="219"/>
      <c r="E36" s="247"/>
      <c r="F36" s="219"/>
      <c r="G36" s="248"/>
      <c r="I36" s="231" t="s">
        <v>124</v>
      </c>
      <c r="J36" s="219"/>
      <c r="K36" s="219"/>
      <c r="L36" s="219"/>
      <c r="M36" s="247">
        <v>0.42499999999999999</v>
      </c>
      <c r="N36" s="219"/>
      <c r="O36" s="248">
        <f>-M36*O31</f>
        <v>-0.31024999999999997</v>
      </c>
      <c r="P36" s="249"/>
    </row>
    <row r="37" spans="1:16" ht="20.25">
      <c r="A37" s="231"/>
      <c r="B37" s="219"/>
      <c r="C37" s="219"/>
      <c r="D37" s="219"/>
      <c r="E37" s="250"/>
      <c r="F37" s="219"/>
      <c r="G37" s="248"/>
      <c r="I37" s="231"/>
      <c r="J37" s="219"/>
      <c r="K37" s="219"/>
      <c r="L37" s="219"/>
      <c r="M37" s="250"/>
      <c r="N37" s="219"/>
      <c r="O37" s="248"/>
      <c r="P37" s="249"/>
    </row>
    <row r="38" spans="1:16" ht="18">
      <c r="A38" s="216"/>
      <c r="B38" s="219"/>
      <c r="C38" s="219"/>
      <c r="D38" s="219"/>
      <c r="E38" s="250"/>
      <c r="F38" s="219"/>
      <c r="G38" s="251"/>
      <c r="I38" s="216" t="s">
        <v>144</v>
      </c>
      <c r="J38" s="219"/>
      <c r="K38" s="219"/>
      <c r="L38" s="219"/>
      <c r="M38" s="250"/>
      <c r="N38" s="219"/>
      <c r="O38" s="251">
        <f>+O32+O36+O34</f>
        <v>-0.90024999999999988</v>
      </c>
      <c r="P38" s="244"/>
    </row>
    <row r="39" spans="1:16" ht="18">
      <c r="A39" s="216"/>
      <c r="B39" s="219"/>
      <c r="C39" s="219"/>
      <c r="D39" s="219"/>
      <c r="E39" s="250"/>
      <c r="F39" s="219"/>
      <c r="G39" s="251"/>
      <c r="I39" s="216"/>
      <c r="J39" s="219"/>
      <c r="K39" s="219"/>
      <c r="L39" s="219"/>
      <c r="M39" s="250"/>
      <c r="N39" s="219"/>
      <c r="O39" s="251"/>
      <c r="P39" s="244"/>
    </row>
    <row r="40" spans="1:16" ht="18">
      <c r="A40" s="216"/>
      <c r="B40" s="219"/>
      <c r="C40" s="219"/>
      <c r="D40" s="219"/>
      <c r="E40" s="250"/>
      <c r="F40" s="219"/>
      <c r="G40" s="251"/>
      <c r="I40" s="216" t="s">
        <v>145</v>
      </c>
      <c r="J40" s="219"/>
      <c r="K40" s="219"/>
      <c r="L40" s="219"/>
      <c r="M40" s="250"/>
      <c r="N40" s="219"/>
      <c r="O40" s="251">
        <f>+O32+O34</f>
        <v>-0.59</v>
      </c>
      <c r="P40" s="244"/>
    </row>
    <row r="41" spans="1:16" ht="13.5" thickBot="1">
      <c r="A41" s="252"/>
      <c r="B41" s="253"/>
      <c r="C41" s="253"/>
      <c r="D41" s="253"/>
      <c r="E41" s="253"/>
      <c r="F41" s="253"/>
      <c r="G41" s="254"/>
      <c r="I41" s="252"/>
      <c r="J41" s="253"/>
      <c r="K41" s="253"/>
      <c r="L41" s="253"/>
      <c r="M41" s="253"/>
      <c r="N41" s="253"/>
      <c r="O41" s="254"/>
    </row>
    <row r="44" spans="1:16" ht="13.5" thickBot="1"/>
    <row r="45" spans="1:16" ht="23.25">
      <c r="A45" s="212" t="s">
        <v>125</v>
      </c>
      <c r="B45" s="213"/>
      <c r="C45" s="214"/>
      <c r="D45" s="214"/>
      <c r="E45" s="214"/>
      <c r="F45" s="214"/>
      <c r="G45" s="215"/>
      <c r="I45" s="212" t="s">
        <v>125</v>
      </c>
      <c r="J45" s="213"/>
      <c r="K45" s="214"/>
      <c r="L45" s="214"/>
      <c r="M45" s="214"/>
      <c r="N45" s="214"/>
      <c r="O45" s="215"/>
    </row>
    <row r="46" spans="1:16" ht="15.75">
      <c r="A46" s="216" t="s">
        <v>128</v>
      </c>
      <c r="B46" s="217"/>
      <c r="C46" s="218"/>
      <c r="D46" s="218"/>
      <c r="E46" s="219"/>
      <c r="F46" s="219"/>
      <c r="G46" s="220"/>
      <c r="I46" s="216" t="s">
        <v>109</v>
      </c>
      <c r="J46" s="217"/>
      <c r="K46" s="218"/>
      <c r="L46" s="218"/>
      <c r="M46" s="219"/>
      <c r="N46" s="219"/>
      <c r="O46" s="220"/>
    </row>
    <row r="47" spans="1:16" ht="15.75">
      <c r="A47" s="221"/>
      <c r="B47" s="222"/>
      <c r="C47" s="219"/>
      <c r="D47" s="219"/>
      <c r="E47" s="219"/>
      <c r="F47" s="219"/>
      <c r="G47" s="220"/>
      <c r="I47" s="221"/>
      <c r="J47" s="222"/>
      <c r="K47" s="219"/>
      <c r="L47" s="219"/>
      <c r="M47" s="219"/>
      <c r="N47" s="219"/>
      <c r="O47" s="220"/>
    </row>
    <row r="48" spans="1:16" ht="15">
      <c r="A48" s="444" t="s">
        <v>19</v>
      </c>
      <c r="B48" s="445"/>
      <c r="C48" s="445"/>
      <c r="D48" s="445"/>
      <c r="E48" s="445"/>
      <c r="F48" s="445"/>
      <c r="G48" s="446"/>
      <c r="I48" s="444" t="s">
        <v>19</v>
      </c>
      <c r="J48" s="445"/>
      <c r="K48" s="445"/>
      <c r="L48" s="445"/>
      <c r="M48" s="445"/>
      <c r="N48" s="445"/>
      <c r="O48" s="446"/>
    </row>
    <row r="49" spans="1:17" ht="15">
      <c r="A49" s="223"/>
      <c r="B49" s="219"/>
      <c r="C49" s="219"/>
      <c r="D49" s="219"/>
      <c r="E49" s="219"/>
      <c r="F49" s="219"/>
      <c r="G49" s="220"/>
      <c r="I49" s="223"/>
      <c r="J49" s="219"/>
      <c r="K49" s="219"/>
      <c r="L49" s="219"/>
      <c r="M49" s="219"/>
      <c r="N49" s="219"/>
      <c r="O49" s="220"/>
    </row>
    <row r="50" spans="1:17" ht="15.75">
      <c r="A50" s="223"/>
      <c r="B50" s="219"/>
      <c r="C50" s="224"/>
      <c r="D50" s="224"/>
      <c r="E50" s="224" t="s">
        <v>110</v>
      </c>
      <c r="F50" s="224" t="s">
        <v>71</v>
      </c>
      <c r="G50" s="220"/>
      <c r="I50" s="223"/>
      <c r="J50" s="219"/>
      <c r="K50" s="224"/>
      <c r="L50" s="224"/>
      <c r="M50" s="224" t="s">
        <v>110</v>
      </c>
      <c r="N50" s="224" t="s">
        <v>71</v>
      </c>
      <c r="O50" s="220"/>
    </row>
    <row r="51" spans="1:17" ht="15.75">
      <c r="A51" s="223"/>
      <c r="B51" s="219"/>
      <c r="C51" s="225" t="s">
        <v>87</v>
      </c>
      <c r="D51" s="225"/>
      <c r="E51" s="225" t="s">
        <v>111</v>
      </c>
      <c r="F51" s="225" t="s">
        <v>112</v>
      </c>
      <c r="G51" s="220"/>
      <c r="I51" s="223"/>
      <c r="J51" s="219"/>
      <c r="K51" s="225" t="s">
        <v>87</v>
      </c>
      <c r="L51" s="225"/>
      <c r="M51" s="225" t="s">
        <v>111</v>
      </c>
      <c r="N51" s="225" t="s">
        <v>112</v>
      </c>
      <c r="O51" s="220"/>
    </row>
    <row r="52" spans="1:17" ht="15.75">
      <c r="A52" s="226" t="s">
        <v>127</v>
      </c>
      <c r="B52" s="217"/>
      <c r="C52" s="227"/>
      <c r="D52" s="227"/>
      <c r="E52" s="227"/>
      <c r="F52" s="227"/>
      <c r="G52" s="220"/>
      <c r="I52" s="226" t="s">
        <v>113</v>
      </c>
      <c r="J52" s="217"/>
      <c r="K52" s="227"/>
      <c r="L52" s="227"/>
      <c r="M52" s="227"/>
      <c r="N52" s="227"/>
      <c r="O52" s="220"/>
    </row>
    <row r="53" spans="1:17" ht="15.75">
      <c r="A53" s="223" t="s">
        <v>114</v>
      </c>
      <c r="B53" s="219"/>
      <c r="C53" s="228">
        <v>63231</v>
      </c>
      <c r="D53" s="228"/>
      <c r="E53" s="229">
        <f>+M54</f>
        <v>2.7</v>
      </c>
      <c r="F53" s="230">
        <f>C53*E53</f>
        <v>170723.7</v>
      </c>
      <c r="G53" s="220"/>
      <c r="I53" s="223" t="s">
        <v>114</v>
      </c>
      <c r="J53" s="219"/>
      <c r="K53" s="228">
        <v>62533</v>
      </c>
      <c r="L53" s="228"/>
      <c r="M53" s="229">
        <v>1.94</v>
      </c>
      <c r="N53" s="230">
        <f>K53*M53</f>
        <v>121314.01999999999</v>
      </c>
      <c r="O53" s="220"/>
    </row>
    <row r="54" spans="1:17" ht="17.25">
      <c r="A54" s="231" t="s">
        <v>115</v>
      </c>
      <c r="B54" s="232"/>
      <c r="C54" s="233">
        <v>148568</v>
      </c>
      <c r="D54" s="233"/>
      <c r="E54" s="229">
        <f>+O73</f>
        <v>0.72</v>
      </c>
      <c r="F54" s="234">
        <f>C54*E54</f>
        <v>106968.95999999999</v>
      </c>
      <c r="G54" s="220"/>
      <c r="I54" s="231" t="s">
        <v>115</v>
      </c>
      <c r="J54" s="232"/>
      <c r="K54" s="233">
        <v>188839</v>
      </c>
      <c r="L54" s="233"/>
      <c r="M54" s="229">
        <v>2.7</v>
      </c>
      <c r="N54" s="234">
        <f>K54*M54</f>
        <v>509865.30000000005</v>
      </c>
      <c r="O54" s="220"/>
    </row>
    <row r="55" spans="1:17" ht="17.25">
      <c r="A55" s="223" t="s">
        <v>71</v>
      </c>
      <c r="B55" s="219"/>
      <c r="C55" s="228">
        <f>SUM(C53:C54)</f>
        <v>211799</v>
      </c>
      <c r="D55" s="233"/>
      <c r="E55" s="219"/>
      <c r="F55" s="230">
        <f>SUM(F53:F54)</f>
        <v>277692.66000000003</v>
      </c>
      <c r="G55" s="220"/>
      <c r="I55" s="223" t="s">
        <v>71</v>
      </c>
      <c r="J55" s="219"/>
      <c r="K55" s="228">
        <f>SUM(K53:K54)</f>
        <v>251372</v>
      </c>
      <c r="L55" s="233"/>
      <c r="M55" s="219"/>
      <c r="N55" s="230">
        <f>SUM(N53:N54)</f>
        <v>631179.32000000007</v>
      </c>
      <c r="O55" s="220"/>
    </row>
    <row r="56" spans="1:17" ht="15">
      <c r="A56" s="223"/>
      <c r="B56" s="219"/>
      <c r="C56" s="219"/>
      <c r="D56" s="219"/>
      <c r="E56" s="219"/>
      <c r="F56" s="219"/>
      <c r="G56" s="220"/>
      <c r="I56" s="223"/>
      <c r="J56" s="219"/>
      <c r="K56" s="219"/>
      <c r="L56" s="219"/>
      <c r="M56" s="219"/>
      <c r="N56" s="219"/>
      <c r="O56" s="220"/>
    </row>
    <row r="57" spans="1:17" ht="15.75">
      <c r="A57" s="216" t="s">
        <v>129</v>
      </c>
      <c r="B57" s="219"/>
      <c r="C57" s="219"/>
      <c r="D57" s="219"/>
      <c r="E57" s="219"/>
      <c r="F57" s="230">
        <v>153774.15208976623</v>
      </c>
      <c r="G57" s="220"/>
      <c r="I57" s="223"/>
      <c r="J57" s="219"/>
      <c r="K57" s="219"/>
      <c r="L57" s="219"/>
      <c r="M57" s="219"/>
      <c r="N57" s="219"/>
      <c r="O57" s="220"/>
    </row>
    <row r="58" spans="1:17" ht="15.75">
      <c r="A58" s="216" t="s">
        <v>150</v>
      </c>
      <c r="B58" s="219"/>
      <c r="C58" s="219"/>
      <c r="D58" s="219"/>
      <c r="E58" s="219"/>
      <c r="F58" s="278">
        <f>-F57*50%</f>
        <v>-76887.076044883113</v>
      </c>
      <c r="G58" s="220"/>
      <c r="I58" s="223"/>
      <c r="J58" s="219"/>
      <c r="K58" s="219"/>
      <c r="L58" s="219"/>
      <c r="M58" s="219"/>
      <c r="N58" s="219"/>
      <c r="O58" s="220"/>
    </row>
    <row r="59" spans="1:17" ht="15.75">
      <c r="A59" s="282" t="s">
        <v>153</v>
      </c>
      <c r="B59" s="283"/>
      <c r="C59" s="283"/>
      <c r="D59" s="283"/>
      <c r="E59" s="283"/>
      <c r="F59" s="279">
        <f>SUM(F57:F58)</f>
        <v>76887.076044883113</v>
      </c>
      <c r="G59" s="220"/>
      <c r="I59" s="223"/>
      <c r="J59" s="219"/>
      <c r="K59" s="219"/>
      <c r="L59" s="219"/>
      <c r="M59" s="219"/>
      <c r="N59" s="219"/>
      <c r="O59" s="220"/>
    </row>
    <row r="60" spans="1:17" ht="15">
      <c r="A60" s="283"/>
      <c r="B60" s="283"/>
      <c r="C60" s="283"/>
      <c r="D60" s="283"/>
      <c r="E60" s="283"/>
      <c r="F60" s="283"/>
      <c r="G60" s="220"/>
      <c r="I60" s="223"/>
      <c r="J60" s="219"/>
      <c r="K60" s="219"/>
      <c r="L60" s="219"/>
      <c r="M60" s="219"/>
      <c r="N60" s="219"/>
      <c r="O60" s="220"/>
    </row>
    <row r="61" spans="1:17" ht="15">
      <c r="A61" s="223" t="s">
        <v>117</v>
      </c>
      <c r="B61" s="219"/>
      <c r="C61" s="219"/>
      <c r="D61" s="219"/>
      <c r="E61" s="219"/>
      <c r="F61" s="258">
        <f>F59-F55</f>
        <v>-200805.58395511692</v>
      </c>
      <c r="G61" s="220"/>
      <c r="I61" s="223"/>
      <c r="J61" s="219"/>
      <c r="K61" s="219"/>
      <c r="L61" s="219"/>
      <c r="M61" s="219"/>
      <c r="N61" s="219"/>
      <c r="O61" s="220"/>
    </row>
    <row r="62" spans="1:17" ht="15.75">
      <c r="A62" s="216" t="s">
        <v>151</v>
      </c>
      <c r="B62" s="219"/>
      <c r="C62" s="255">
        <v>42056</v>
      </c>
      <c r="D62" s="219"/>
      <c r="E62" s="256">
        <f>+O80</f>
        <v>-1.1600000000000001</v>
      </c>
      <c r="F62" s="230">
        <f>E62*C62</f>
        <v>-48784.960000000006</v>
      </c>
      <c r="G62" s="220"/>
      <c r="I62" s="216" t="s">
        <v>116</v>
      </c>
      <c r="J62" s="219"/>
      <c r="K62" s="219"/>
      <c r="L62" s="219"/>
      <c r="M62" s="219"/>
      <c r="N62" s="230">
        <v>269162</v>
      </c>
      <c r="O62" s="220"/>
      <c r="Q62" s="260"/>
    </row>
    <row r="63" spans="1:17" ht="15.75">
      <c r="A63" s="216" t="s">
        <v>148</v>
      </c>
      <c r="B63" s="283"/>
      <c r="C63" s="283"/>
      <c r="D63" s="283"/>
      <c r="E63" s="283"/>
      <c r="F63" s="280">
        <v>4957.7399619857606</v>
      </c>
      <c r="G63" s="220"/>
      <c r="I63" s="223"/>
      <c r="J63" s="219"/>
      <c r="K63" s="219"/>
      <c r="L63" s="219"/>
      <c r="M63" s="219"/>
      <c r="N63" s="230"/>
      <c r="O63" s="220"/>
    </row>
    <row r="64" spans="1:17" ht="15">
      <c r="A64" s="283" t="s">
        <v>154</v>
      </c>
      <c r="B64" s="283"/>
      <c r="C64" s="283"/>
      <c r="D64" s="283"/>
      <c r="E64" s="283"/>
      <c r="F64" s="279">
        <f>SUM(F61:F63)</f>
        <v>-244632.80399313118</v>
      </c>
      <c r="G64" s="220"/>
      <c r="I64" s="223" t="s">
        <v>117</v>
      </c>
      <c r="J64" s="219"/>
      <c r="K64" s="219"/>
      <c r="L64" s="219"/>
      <c r="M64" s="219"/>
      <c r="N64" s="228">
        <f>N62-N55</f>
        <v>-362017.32000000007</v>
      </c>
      <c r="O64" s="220"/>
    </row>
    <row r="65" spans="1:15" ht="17.25">
      <c r="A65" s="283"/>
      <c r="B65" s="283"/>
      <c r="C65" s="283"/>
      <c r="D65" s="283"/>
      <c r="E65" s="283"/>
      <c r="F65" s="283"/>
      <c r="G65" s="220"/>
      <c r="I65" s="223"/>
      <c r="J65" s="219"/>
      <c r="K65" s="235"/>
      <c r="L65" s="219"/>
      <c r="M65" s="219"/>
      <c r="N65" s="236"/>
      <c r="O65" s="220"/>
    </row>
    <row r="66" spans="1:15" ht="15">
      <c r="A66" s="223" t="s">
        <v>118</v>
      </c>
      <c r="B66" s="219"/>
      <c r="C66" s="219"/>
      <c r="D66" s="219"/>
      <c r="E66" s="219"/>
      <c r="F66" s="228">
        <v>253855</v>
      </c>
      <c r="G66" s="220"/>
      <c r="I66" s="223" t="s">
        <v>118</v>
      </c>
      <c r="J66" s="219"/>
      <c r="K66" s="219"/>
      <c r="L66" s="219"/>
      <c r="M66" s="219"/>
      <c r="N66" s="228">
        <f>+K55</f>
        <v>251372</v>
      </c>
      <c r="O66" s="220"/>
    </row>
    <row r="67" spans="1:15" ht="15">
      <c r="A67" s="223"/>
      <c r="B67" s="219"/>
      <c r="C67" s="219"/>
      <c r="D67" s="219"/>
      <c r="E67" s="219"/>
      <c r="F67" s="219"/>
      <c r="G67" s="220"/>
      <c r="I67" s="223"/>
      <c r="J67" s="219"/>
      <c r="K67" s="219"/>
      <c r="L67" s="219"/>
      <c r="M67" s="219"/>
      <c r="N67" s="219"/>
      <c r="O67" s="220"/>
    </row>
    <row r="68" spans="1:15" ht="15">
      <c r="A68" s="223" t="s">
        <v>119</v>
      </c>
      <c r="B68" s="219"/>
      <c r="C68" s="219"/>
      <c r="D68" s="219"/>
      <c r="E68" s="219"/>
      <c r="F68" s="237"/>
      <c r="G68" s="238">
        <f>F64/F66</f>
        <v>-0.96367140293920217</v>
      </c>
      <c r="I68" s="223" t="s">
        <v>119</v>
      </c>
      <c r="J68" s="219"/>
      <c r="K68" s="219"/>
      <c r="L68" s="219"/>
      <c r="M68" s="219"/>
      <c r="N68" s="237"/>
      <c r="O68" s="238">
        <f>ROUND(N64/N66,2)</f>
        <v>-1.44</v>
      </c>
    </row>
    <row r="69" spans="1:15" ht="15">
      <c r="A69" s="223"/>
      <c r="B69" s="219"/>
      <c r="C69" s="219"/>
      <c r="D69" s="219"/>
      <c r="E69" s="219"/>
      <c r="F69" s="219"/>
      <c r="G69" s="238"/>
      <c r="I69" s="223"/>
      <c r="J69" s="219"/>
      <c r="K69" s="219"/>
      <c r="L69" s="219"/>
      <c r="M69" s="219"/>
      <c r="N69" s="219"/>
      <c r="O69" s="238"/>
    </row>
    <row r="70" spans="1:15" ht="15">
      <c r="A70" s="223"/>
      <c r="B70" s="219"/>
      <c r="C70" s="219"/>
      <c r="D70" s="219"/>
      <c r="E70" s="219"/>
      <c r="F70" s="219"/>
      <c r="G70" s="238"/>
      <c r="I70" s="223"/>
      <c r="J70" s="219"/>
      <c r="K70" s="219"/>
      <c r="L70" s="219"/>
      <c r="M70" s="219"/>
      <c r="N70" s="219"/>
      <c r="O70" s="238"/>
    </row>
    <row r="71" spans="1:15" ht="15.75">
      <c r="A71" s="239" t="s">
        <v>130</v>
      </c>
      <c r="B71" s="217"/>
      <c r="C71" s="219"/>
      <c r="D71" s="219"/>
      <c r="E71" s="219"/>
      <c r="F71" s="240">
        <f>F57</f>
        <v>153774.15208976623</v>
      </c>
      <c r="G71" s="238"/>
      <c r="I71" s="239" t="s">
        <v>120</v>
      </c>
      <c r="J71" s="217"/>
      <c r="K71" s="219"/>
      <c r="L71" s="219"/>
      <c r="M71" s="219"/>
      <c r="N71" s="240">
        <v>91522</v>
      </c>
      <c r="O71" s="238"/>
    </row>
    <row r="72" spans="1:15" ht="17.25">
      <c r="A72" s="216" t="s">
        <v>150</v>
      </c>
      <c r="B72" s="283"/>
      <c r="C72" s="283"/>
      <c r="D72" s="283"/>
      <c r="E72" s="283"/>
      <c r="F72" s="281">
        <f>F71*50%</f>
        <v>76887.076044883113</v>
      </c>
      <c r="G72" s="238"/>
      <c r="I72" s="223" t="s">
        <v>118</v>
      </c>
      <c r="J72" s="219"/>
      <c r="K72" s="219"/>
      <c r="L72" s="219"/>
      <c r="M72" s="219"/>
      <c r="N72" s="241">
        <v>126406</v>
      </c>
      <c r="O72" s="238"/>
    </row>
    <row r="73" spans="1:15" ht="17.25">
      <c r="A73" s="283" t="s">
        <v>152</v>
      </c>
      <c r="B73" s="283"/>
      <c r="C73" s="283"/>
      <c r="D73" s="283"/>
      <c r="E73" s="283"/>
      <c r="F73" s="279">
        <f>F71-F72</f>
        <v>76887.076044883113</v>
      </c>
      <c r="G73" s="238"/>
      <c r="I73" s="223" t="s">
        <v>121</v>
      </c>
      <c r="J73" s="219"/>
      <c r="K73" s="219"/>
      <c r="L73" s="219"/>
      <c r="M73" s="219"/>
      <c r="N73" s="219"/>
      <c r="O73" s="242">
        <f>ROUND(+N71/N72,2)</f>
        <v>0.72</v>
      </c>
    </row>
    <row r="74" spans="1:15" ht="17.25">
      <c r="A74" s="223" t="s">
        <v>118</v>
      </c>
      <c r="B74" s="219"/>
      <c r="C74" s="219"/>
      <c r="D74" s="219"/>
      <c r="E74" s="219"/>
      <c r="F74" s="241">
        <f>+F66</f>
        <v>253855</v>
      </c>
      <c r="G74" s="238"/>
      <c r="I74" s="216" t="s">
        <v>122</v>
      </c>
      <c r="J74" s="217"/>
      <c r="K74" s="219"/>
      <c r="L74" s="219"/>
      <c r="M74" s="219"/>
      <c r="N74" s="219"/>
      <c r="O74" s="243">
        <f>SUM(O68:O73)</f>
        <v>-0.72</v>
      </c>
    </row>
    <row r="75" spans="1:15" ht="17.25">
      <c r="A75" s="223" t="s">
        <v>121</v>
      </c>
      <c r="B75" s="219"/>
      <c r="C75" s="219"/>
      <c r="D75" s="219"/>
      <c r="E75" s="219"/>
      <c r="F75" s="219"/>
      <c r="G75" s="242">
        <f>ROUND(+F71/F74,2)</f>
        <v>0.61</v>
      </c>
      <c r="I75" s="216"/>
      <c r="J75" s="217"/>
      <c r="K75" s="219"/>
      <c r="L75" s="219"/>
      <c r="M75" s="219"/>
      <c r="N75" s="219"/>
      <c r="O75" s="243"/>
    </row>
    <row r="76" spans="1:15" ht="15.75">
      <c r="A76" s="216" t="s">
        <v>122</v>
      </c>
      <c r="B76" s="217"/>
      <c r="C76" s="219"/>
      <c r="D76" s="219"/>
      <c r="E76" s="219"/>
      <c r="F76" s="219"/>
      <c r="G76" s="243">
        <f>SUM(G68:G75)</f>
        <v>-0.35367140293920218</v>
      </c>
      <c r="I76" s="231" t="s">
        <v>123</v>
      </c>
      <c r="J76" s="217"/>
      <c r="K76" s="219"/>
      <c r="L76" s="219"/>
      <c r="M76" s="245">
        <f>+K55/12*0.5</f>
        <v>10473.833333333334</v>
      </c>
      <c r="N76" s="219"/>
      <c r="O76" s="246">
        <f>ROUND(-M76/K55*2,2)</f>
        <v>-0.08</v>
      </c>
    </row>
    <row r="77" spans="1:15" ht="15.75">
      <c r="A77" s="216"/>
      <c r="B77" s="217"/>
      <c r="C77" s="219"/>
      <c r="D77" s="219"/>
      <c r="E77" s="219"/>
      <c r="F77" s="219"/>
      <c r="G77" s="243"/>
      <c r="I77" s="216"/>
      <c r="J77" s="217"/>
      <c r="K77" s="219"/>
      <c r="L77" s="219"/>
      <c r="M77" s="219"/>
      <c r="N77" s="219"/>
      <c r="O77" s="243"/>
    </row>
    <row r="78" spans="1:15" ht="20.25">
      <c r="A78" s="231"/>
      <c r="B78" s="219"/>
      <c r="C78" s="219"/>
      <c r="D78" s="219"/>
      <c r="E78" s="247"/>
      <c r="F78" s="219"/>
      <c r="G78" s="248"/>
      <c r="I78" s="231" t="s">
        <v>124</v>
      </c>
      <c r="J78" s="219"/>
      <c r="K78" s="219"/>
      <c r="L78" s="219"/>
      <c r="M78" s="247">
        <v>0.5</v>
      </c>
      <c r="N78" s="219"/>
      <c r="O78" s="248">
        <f>-M78*O73</f>
        <v>-0.36</v>
      </c>
    </row>
    <row r="79" spans="1:15" ht="20.25">
      <c r="A79" s="231"/>
      <c r="B79" s="219"/>
      <c r="C79" s="219"/>
      <c r="D79" s="219"/>
      <c r="E79" s="250"/>
      <c r="F79" s="219"/>
      <c r="G79" s="248"/>
      <c r="I79" s="231"/>
      <c r="J79" s="219"/>
      <c r="K79" s="219"/>
      <c r="L79" s="219"/>
      <c r="M79" s="250"/>
      <c r="N79" s="219"/>
      <c r="O79" s="248"/>
    </row>
    <row r="80" spans="1:15" ht="18">
      <c r="A80" s="216"/>
      <c r="B80" s="219"/>
      <c r="C80" s="219"/>
      <c r="D80" s="219"/>
      <c r="E80" s="250"/>
      <c r="F80" s="219"/>
      <c r="G80" s="251"/>
      <c r="I80" s="216" t="s">
        <v>146</v>
      </c>
      <c r="J80" s="219"/>
      <c r="K80" s="219"/>
      <c r="L80" s="219"/>
      <c r="M80" s="250"/>
      <c r="N80" s="219"/>
      <c r="O80" s="251">
        <f>+O74+O78+O76</f>
        <v>-1.1600000000000001</v>
      </c>
    </row>
    <row r="81" spans="1:15" ht="13.5" thickBot="1">
      <c r="A81" s="252"/>
      <c r="B81" s="253"/>
      <c r="C81" s="253"/>
      <c r="D81" s="253"/>
      <c r="E81" s="253"/>
      <c r="F81" s="253"/>
      <c r="G81" s="254"/>
      <c r="I81" s="252"/>
      <c r="J81" s="253"/>
      <c r="K81" s="253"/>
      <c r="L81" s="253"/>
      <c r="M81" s="253"/>
      <c r="N81" s="253"/>
      <c r="O81" s="254"/>
    </row>
    <row r="83" spans="1:15" ht="13.5" thickBot="1"/>
    <row r="84" spans="1:15" ht="23.25">
      <c r="A84" s="212" t="s">
        <v>126</v>
      </c>
      <c r="B84" s="213"/>
      <c r="C84" s="214"/>
      <c r="D84" s="214"/>
      <c r="E84" s="214"/>
      <c r="F84" s="214"/>
      <c r="G84" s="215"/>
      <c r="I84" s="212" t="s">
        <v>126</v>
      </c>
      <c r="J84" s="213"/>
      <c r="K84" s="214"/>
      <c r="L84" s="214"/>
      <c r="M84" s="214"/>
      <c r="N84" s="214"/>
      <c r="O84" s="215"/>
    </row>
    <row r="85" spans="1:15" ht="15.75">
      <c r="A85" s="216" t="s">
        <v>109</v>
      </c>
      <c r="B85" s="217"/>
      <c r="C85" s="218"/>
      <c r="D85" s="218"/>
      <c r="E85" s="219"/>
      <c r="F85" s="219"/>
      <c r="G85" s="220"/>
      <c r="I85" s="216" t="s">
        <v>109</v>
      </c>
      <c r="J85" s="217"/>
      <c r="K85" s="218"/>
      <c r="L85" s="218"/>
      <c r="M85" s="219"/>
      <c r="N85" s="219"/>
      <c r="O85" s="220"/>
    </row>
    <row r="86" spans="1:15" ht="15.75">
      <c r="A86" s="221"/>
      <c r="B86" s="222"/>
      <c r="C86" s="219"/>
      <c r="D86" s="219"/>
      <c r="E86" s="219"/>
      <c r="F86" s="219"/>
      <c r="G86" s="220"/>
      <c r="I86" s="221"/>
      <c r="J86" s="222"/>
      <c r="K86" s="219"/>
      <c r="L86" s="219"/>
      <c r="M86" s="219"/>
      <c r="N86" s="219"/>
      <c r="O86" s="220"/>
    </row>
    <row r="87" spans="1:15" ht="15">
      <c r="A87" s="444" t="s">
        <v>19</v>
      </c>
      <c r="B87" s="445"/>
      <c r="C87" s="445"/>
      <c r="D87" s="445"/>
      <c r="E87" s="445"/>
      <c r="F87" s="445"/>
      <c r="G87" s="446"/>
      <c r="I87" s="444" t="s">
        <v>19</v>
      </c>
      <c r="J87" s="445"/>
      <c r="K87" s="445"/>
      <c r="L87" s="445"/>
      <c r="M87" s="445"/>
      <c r="N87" s="445"/>
      <c r="O87" s="446"/>
    </row>
    <row r="88" spans="1:15" ht="15">
      <c r="A88" s="223"/>
      <c r="B88" s="219"/>
      <c r="C88" s="219"/>
      <c r="D88" s="219"/>
      <c r="E88" s="219"/>
      <c r="F88" s="219"/>
      <c r="G88" s="220"/>
      <c r="I88" s="223"/>
      <c r="J88" s="219"/>
      <c r="K88" s="219"/>
      <c r="L88" s="219"/>
      <c r="M88" s="219"/>
      <c r="N88" s="219"/>
      <c r="O88" s="220"/>
    </row>
    <row r="89" spans="1:15" ht="15.75">
      <c r="A89" s="223"/>
      <c r="B89" s="219"/>
      <c r="C89" s="224"/>
      <c r="D89" s="224"/>
      <c r="E89" s="224" t="s">
        <v>110</v>
      </c>
      <c r="F89" s="224" t="s">
        <v>71</v>
      </c>
      <c r="G89" s="220"/>
      <c r="I89" s="223"/>
      <c r="J89" s="219"/>
      <c r="K89" s="224"/>
      <c r="L89" s="224"/>
      <c r="M89" s="224" t="s">
        <v>110</v>
      </c>
      <c r="N89" s="224" t="s">
        <v>71</v>
      </c>
      <c r="O89" s="220"/>
    </row>
    <row r="90" spans="1:15" ht="15.75">
      <c r="A90" s="223"/>
      <c r="B90" s="219"/>
      <c r="C90" s="225" t="s">
        <v>87</v>
      </c>
      <c r="D90" s="225"/>
      <c r="E90" s="225" t="s">
        <v>111</v>
      </c>
      <c r="F90" s="225" t="s">
        <v>112</v>
      </c>
      <c r="G90" s="220"/>
      <c r="I90" s="223"/>
      <c r="J90" s="219"/>
      <c r="K90" s="225" t="s">
        <v>87</v>
      </c>
      <c r="L90" s="225"/>
      <c r="M90" s="225" t="s">
        <v>111</v>
      </c>
      <c r="N90" s="225" t="s">
        <v>112</v>
      </c>
      <c r="O90" s="220"/>
    </row>
    <row r="91" spans="1:15" ht="15.75">
      <c r="A91" s="226" t="s">
        <v>127</v>
      </c>
      <c r="B91" s="217"/>
      <c r="C91" s="227"/>
      <c r="D91" s="227"/>
      <c r="E91" s="227"/>
      <c r="F91" s="227"/>
      <c r="G91" s="220"/>
      <c r="I91" s="226" t="s">
        <v>113</v>
      </c>
      <c r="J91" s="217"/>
      <c r="K91" s="227"/>
      <c r="L91" s="227"/>
      <c r="M91" s="227"/>
      <c r="N91" s="227"/>
      <c r="O91" s="220"/>
    </row>
    <row r="92" spans="1:15" ht="15.75">
      <c r="A92" s="223" t="s">
        <v>114</v>
      </c>
      <c r="B92" s="219"/>
      <c r="C92" s="228">
        <v>52930</v>
      </c>
      <c r="D92" s="228"/>
      <c r="E92" s="229">
        <f>+M93</f>
        <v>2.33</v>
      </c>
      <c r="F92" s="230">
        <f>C92*E92</f>
        <v>123326.90000000001</v>
      </c>
      <c r="G92" s="220"/>
      <c r="I92" s="223" t="s">
        <v>114</v>
      </c>
      <c r="J92" s="219"/>
      <c r="K92" s="228">
        <v>51847</v>
      </c>
      <c r="L92" s="228"/>
      <c r="M92" s="229">
        <v>1.67</v>
      </c>
      <c r="N92" s="230">
        <f>K92*M92</f>
        <v>86584.489999999991</v>
      </c>
      <c r="O92" s="220"/>
    </row>
    <row r="93" spans="1:15" ht="17.25">
      <c r="A93" s="231" t="s">
        <v>115</v>
      </c>
      <c r="B93" s="232"/>
      <c r="C93" s="233">
        <v>124468</v>
      </c>
      <c r="D93" s="233"/>
      <c r="E93" s="229">
        <f>+O112</f>
        <v>0.81</v>
      </c>
      <c r="F93" s="234">
        <f>C93*E93</f>
        <v>100819.08</v>
      </c>
      <c r="G93" s="220"/>
      <c r="I93" s="231" t="s">
        <v>115</v>
      </c>
      <c r="J93" s="232"/>
      <c r="K93" s="233">
        <v>157300</v>
      </c>
      <c r="L93" s="233"/>
      <c r="M93" s="229">
        <v>2.33</v>
      </c>
      <c r="N93" s="234">
        <f>K93*M93</f>
        <v>366509</v>
      </c>
      <c r="O93" s="220"/>
    </row>
    <row r="94" spans="1:15" ht="17.25">
      <c r="A94" s="223" t="s">
        <v>71</v>
      </c>
      <c r="B94" s="219"/>
      <c r="C94" s="228">
        <f>SUM(C92:C93)</f>
        <v>177398</v>
      </c>
      <c r="D94" s="233"/>
      <c r="E94" s="219"/>
      <c r="F94" s="230">
        <f>SUM(F92:F93)</f>
        <v>224145.98</v>
      </c>
      <c r="G94" s="220"/>
      <c r="I94" s="223" t="s">
        <v>71</v>
      </c>
      <c r="J94" s="219"/>
      <c r="K94" s="228">
        <f>SUM(K92:K93)</f>
        <v>209147</v>
      </c>
      <c r="L94" s="233"/>
      <c r="M94" s="219"/>
      <c r="N94" s="230">
        <f>SUM(N92:N93)</f>
        <v>453093.49</v>
      </c>
      <c r="O94" s="220"/>
    </row>
    <row r="95" spans="1:15" ht="15">
      <c r="A95" s="223"/>
      <c r="B95" s="219"/>
      <c r="C95" s="219"/>
      <c r="D95" s="219"/>
      <c r="E95" s="219"/>
      <c r="F95" s="219"/>
      <c r="G95" s="220"/>
      <c r="I95" s="223"/>
      <c r="J95" s="219"/>
      <c r="K95" s="219"/>
      <c r="L95" s="219"/>
      <c r="M95" s="219"/>
      <c r="N95" s="219"/>
      <c r="O95" s="220"/>
    </row>
    <row r="96" spans="1:15" ht="15.75">
      <c r="A96" s="216" t="s">
        <v>129</v>
      </c>
      <c r="B96" s="219"/>
      <c r="C96" s="219"/>
      <c r="D96" s="219"/>
      <c r="E96" s="219"/>
      <c r="F96" s="230">
        <v>145945.7483506508</v>
      </c>
      <c r="G96" s="220"/>
      <c r="I96" s="223"/>
      <c r="J96" s="219"/>
      <c r="K96" s="219"/>
      <c r="L96" s="219"/>
      <c r="M96" s="219"/>
      <c r="N96" s="219"/>
      <c r="O96" s="220"/>
    </row>
    <row r="97" spans="1:17" ht="15.75">
      <c r="A97" s="216" t="s">
        <v>150</v>
      </c>
      <c r="B97" s="219"/>
      <c r="C97" s="219"/>
      <c r="D97" s="219"/>
      <c r="E97" s="219"/>
      <c r="F97" s="278">
        <f>-F96*50%</f>
        <v>-72972.8741753254</v>
      </c>
      <c r="G97" s="220"/>
      <c r="I97" s="223"/>
      <c r="J97" s="219"/>
      <c r="K97" s="219"/>
      <c r="L97" s="219"/>
      <c r="M97" s="219"/>
      <c r="N97" s="219"/>
      <c r="O97" s="220"/>
    </row>
    <row r="98" spans="1:17" ht="15.75">
      <c r="A98" s="282" t="s">
        <v>153</v>
      </c>
      <c r="B98" s="283"/>
      <c r="C98" s="283"/>
      <c r="D98" s="283"/>
      <c r="E98" s="283"/>
      <c r="F98" s="279">
        <f>SUM(F96:F97)</f>
        <v>72972.8741753254</v>
      </c>
      <c r="G98" s="220"/>
      <c r="I98" s="223"/>
      <c r="J98" s="219"/>
      <c r="K98" s="219"/>
      <c r="L98" s="219"/>
      <c r="M98" s="219"/>
      <c r="N98" s="219"/>
      <c r="O98" s="220"/>
    </row>
    <row r="99" spans="1:17" ht="15">
      <c r="A99" s="283"/>
      <c r="B99" s="283"/>
      <c r="C99" s="283"/>
      <c r="D99" s="283"/>
      <c r="E99" s="283"/>
      <c r="F99" s="283"/>
      <c r="G99" s="220"/>
      <c r="I99" s="223"/>
      <c r="J99" s="219"/>
      <c r="K99" s="219"/>
      <c r="L99" s="219"/>
      <c r="M99" s="219"/>
      <c r="N99" s="219"/>
      <c r="O99" s="220"/>
    </row>
    <row r="100" spans="1:17" ht="15">
      <c r="A100" s="223" t="s">
        <v>117</v>
      </c>
      <c r="B100" s="219"/>
      <c r="C100" s="219"/>
      <c r="D100" s="219"/>
      <c r="E100" s="219"/>
      <c r="F100" s="258">
        <f>F98-F94</f>
        <v>-151173.1058246746</v>
      </c>
      <c r="G100" s="220"/>
      <c r="I100" s="223"/>
      <c r="J100" s="219"/>
      <c r="K100" s="219"/>
      <c r="L100" s="219"/>
      <c r="M100" s="219"/>
      <c r="N100" s="219"/>
      <c r="O100" s="220"/>
    </row>
    <row r="101" spans="1:17" ht="15.75">
      <c r="A101" s="216" t="s">
        <v>151</v>
      </c>
      <c r="B101" s="219"/>
      <c r="C101" s="255">
        <v>35317</v>
      </c>
      <c r="D101" s="219"/>
      <c r="E101" s="256">
        <f>+O119</f>
        <v>-0.77500000000000002</v>
      </c>
      <c r="F101" s="230">
        <f>E101*C101</f>
        <v>-27370.674999999999</v>
      </c>
      <c r="G101" s="220"/>
      <c r="I101" s="216" t="s">
        <v>116</v>
      </c>
      <c r="J101" s="219"/>
      <c r="K101" s="219"/>
      <c r="L101" s="219"/>
      <c r="M101" s="219"/>
      <c r="N101" s="230">
        <v>223798</v>
      </c>
      <c r="O101" s="220"/>
      <c r="Q101" s="259"/>
    </row>
    <row r="102" spans="1:17" ht="15.75">
      <c r="A102" s="216" t="s">
        <v>148</v>
      </c>
      <c r="B102" s="219"/>
      <c r="C102" s="219"/>
      <c r="D102" s="219"/>
      <c r="E102" s="219"/>
      <c r="F102" s="280">
        <v>4826.2600380142394</v>
      </c>
      <c r="G102" s="220"/>
      <c r="I102" s="223"/>
      <c r="J102" s="219"/>
      <c r="K102" s="219"/>
      <c r="L102" s="219"/>
      <c r="M102" s="219"/>
      <c r="N102" s="230"/>
      <c r="O102" s="220"/>
    </row>
    <row r="103" spans="1:17" ht="15">
      <c r="A103" s="283" t="s">
        <v>154</v>
      </c>
      <c r="B103" s="283"/>
      <c r="C103" s="283"/>
      <c r="D103" s="283"/>
      <c r="E103" s="283"/>
      <c r="F103" s="279">
        <f>SUM(F100:F102)</f>
        <v>-173717.52078666035</v>
      </c>
      <c r="G103" s="220"/>
      <c r="I103" s="223" t="s">
        <v>117</v>
      </c>
      <c r="J103" s="219"/>
      <c r="K103" s="219"/>
      <c r="L103" s="219"/>
      <c r="M103" s="219"/>
      <c r="N103" s="228">
        <f>N101-N94</f>
        <v>-229295.49</v>
      </c>
      <c r="O103" s="220"/>
    </row>
    <row r="104" spans="1:17" ht="17.25">
      <c r="A104" s="283"/>
      <c r="B104" s="283"/>
      <c r="C104" s="283"/>
      <c r="D104" s="283"/>
      <c r="E104" s="283"/>
      <c r="F104" s="283"/>
      <c r="G104" s="220"/>
      <c r="I104" s="223"/>
      <c r="J104" s="219"/>
      <c r="K104" s="235"/>
      <c r="L104" s="219"/>
      <c r="M104" s="219"/>
      <c r="N104" s="236"/>
      <c r="O104" s="220"/>
    </row>
    <row r="105" spans="1:17" ht="15">
      <c r="A105" s="223" t="s">
        <v>118</v>
      </c>
      <c r="B105" s="219"/>
      <c r="C105" s="219"/>
      <c r="D105" s="219"/>
      <c r="E105" s="219"/>
      <c r="F105" s="228">
        <v>212715</v>
      </c>
      <c r="G105" s="220"/>
      <c r="I105" s="223" t="s">
        <v>118</v>
      </c>
      <c r="J105" s="219"/>
      <c r="K105" s="219"/>
      <c r="L105" s="219"/>
      <c r="M105" s="219"/>
      <c r="N105" s="228">
        <f>+K94</f>
        <v>209147</v>
      </c>
      <c r="O105" s="220"/>
    </row>
    <row r="106" spans="1:17" ht="15">
      <c r="A106" s="223"/>
      <c r="B106" s="219"/>
      <c r="C106" s="219"/>
      <c r="D106" s="219"/>
      <c r="E106" s="219"/>
      <c r="F106" s="219"/>
      <c r="G106" s="220"/>
      <c r="I106" s="223"/>
      <c r="J106" s="219"/>
      <c r="K106" s="219"/>
      <c r="L106" s="219"/>
      <c r="M106" s="219"/>
      <c r="N106" s="219"/>
      <c r="O106" s="220"/>
    </row>
    <row r="107" spans="1:17" ht="15">
      <c r="A107" s="223" t="s">
        <v>119</v>
      </c>
      <c r="B107" s="219"/>
      <c r="C107" s="219"/>
      <c r="D107" s="219"/>
      <c r="E107" s="219"/>
      <c r="F107" s="237"/>
      <c r="G107" s="238">
        <f>F103/F105</f>
        <v>-0.81666793966885431</v>
      </c>
      <c r="I107" s="223" t="s">
        <v>119</v>
      </c>
      <c r="J107" s="219"/>
      <c r="K107" s="219"/>
      <c r="L107" s="219"/>
      <c r="M107" s="219"/>
      <c r="N107" s="237"/>
      <c r="O107" s="238">
        <f>ROUND(N103/N105,2)</f>
        <v>-1.1000000000000001</v>
      </c>
    </row>
    <row r="108" spans="1:17" ht="15">
      <c r="A108" s="223"/>
      <c r="B108" s="219"/>
      <c r="C108" s="219"/>
      <c r="D108" s="219"/>
      <c r="E108" s="219"/>
      <c r="F108" s="219"/>
      <c r="G108" s="238"/>
      <c r="I108" s="223"/>
      <c r="J108" s="219"/>
      <c r="K108" s="219"/>
      <c r="L108" s="219"/>
      <c r="M108" s="219"/>
      <c r="N108" s="219"/>
      <c r="O108" s="238"/>
    </row>
    <row r="109" spans="1:17" ht="15">
      <c r="A109" s="223"/>
      <c r="B109" s="219"/>
      <c r="C109" s="219"/>
      <c r="D109" s="219"/>
      <c r="E109" s="219"/>
      <c r="F109" s="219"/>
      <c r="G109" s="238"/>
      <c r="I109" s="223"/>
      <c r="J109" s="219"/>
      <c r="K109" s="219"/>
      <c r="L109" s="219"/>
      <c r="M109" s="219"/>
      <c r="N109" s="219"/>
      <c r="O109" s="238"/>
    </row>
    <row r="110" spans="1:17" ht="15.75">
      <c r="A110" s="239" t="s">
        <v>130</v>
      </c>
      <c r="B110" s="217"/>
      <c r="C110" s="219"/>
      <c r="D110" s="219"/>
      <c r="E110" s="219"/>
      <c r="F110" s="240">
        <f>F96</f>
        <v>145945.7483506508</v>
      </c>
      <c r="G110" s="238"/>
      <c r="I110" s="239" t="s">
        <v>120</v>
      </c>
      <c r="J110" s="217"/>
      <c r="K110" s="219"/>
      <c r="L110" s="219"/>
      <c r="M110" s="219"/>
      <c r="N110" s="240">
        <v>85285</v>
      </c>
      <c r="O110" s="238"/>
    </row>
    <row r="111" spans="1:17" ht="17.25">
      <c r="A111" s="216" t="s">
        <v>150</v>
      </c>
      <c r="B111" s="283"/>
      <c r="C111" s="283"/>
      <c r="D111" s="283"/>
      <c r="E111" s="283"/>
      <c r="F111" s="281">
        <f>F110*50%</f>
        <v>72972.8741753254</v>
      </c>
      <c r="G111" s="238"/>
      <c r="I111" s="223" t="s">
        <v>118</v>
      </c>
      <c r="J111" s="219"/>
      <c r="K111" s="219"/>
      <c r="L111" s="219"/>
      <c r="M111" s="219"/>
      <c r="N111" s="241">
        <v>105335</v>
      </c>
      <c r="O111" s="238"/>
    </row>
    <row r="112" spans="1:17" ht="17.25">
      <c r="A112" s="283" t="s">
        <v>152</v>
      </c>
      <c r="B112" s="283"/>
      <c r="C112" s="283"/>
      <c r="D112" s="283"/>
      <c r="E112" s="283"/>
      <c r="F112" s="279">
        <f>F110-F111</f>
        <v>72972.8741753254</v>
      </c>
      <c r="G112" s="238"/>
      <c r="I112" s="223" t="s">
        <v>121</v>
      </c>
      <c r="J112" s="219"/>
      <c r="K112" s="219"/>
      <c r="L112" s="219"/>
      <c r="M112" s="219"/>
      <c r="N112" s="219"/>
      <c r="O112" s="242">
        <f>ROUND(+N110/N111,2)</f>
        <v>0.81</v>
      </c>
    </row>
    <row r="113" spans="1:15" ht="17.25">
      <c r="A113" s="223" t="s">
        <v>118</v>
      </c>
      <c r="B113" s="219"/>
      <c r="C113" s="219"/>
      <c r="D113" s="219"/>
      <c r="E113" s="219"/>
      <c r="F113" s="241">
        <f>+F105</f>
        <v>212715</v>
      </c>
      <c r="G113" s="238"/>
      <c r="I113" s="216" t="s">
        <v>122</v>
      </c>
      <c r="J113" s="217"/>
      <c r="K113" s="219"/>
      <c r="L113" s="219"/>
      <c r="M113" s="219"/>
      <c r="N113" s="219"/>
      <c r="O113" s="243">
        <f>SUM(O107:O112)</f>
        <v>-0.29000000000000004</v>
      </c>
    </row>
    <row r="114" spans="1:15" ht="17.25">
      <c r="A114" s="223" t="s">
        <v>121</v>
      </c>
      <c r="B114" s="219"/>
      <c r="C114" s="219"/>
      <c r="D114" s="219"/>
      <c r="E114" s="219"/>
      <c r="F114" s="219"/>
      <c r="G114" s="242">
        <f>ROUND(+F110/F113,2)</f>
        <v>0.69</v>
      </c>
      <c r="I114" s="216"/>
      <c r="J114" s="217"/>
      <c r="K114" s="219"/>
      <c r="L114" s="219"/>
      <c r="M114" s="219"/>
      <c r="N114" s="219"/>
      <c r="O114" s="243"/>
    </row>
    <row r="115" spans="1:15" ht="15.75">
      <c r="A115" s="216" t="s">
        <v>122</v>
      </c>
      <c r="B115" s="217"/>
      <c r="C115" s="219"/>
      <c r="D115" s="219"/>
      <c r="E115" s="219"/>
      <c r="F115" s="219"/>
      <c r="G115" s="243">
        <f>SUM(G107:G114)</f>
        <v>-0.12666793966885437</v>
      </c>
      <c r="I115" s="231" t="s">
        <v>123</v>
      </c>
      <c r="J115" s="217"/>
      <c r="K115" s="219"/>
      <c r="L115" s="219"/>
      <c r="M115" s="245">
        <f>+K94/12*0.5</f>
        <v>8714.4583333333339</v>
      </c>
      <c r="N115" s="219"/>
      <c r="O115" s="246">
        <f>ROUND(-M115/K94*2,2)</f>
        <v>-0.08</v>
      </c>
    </row>
    <row r="116" spans="1:15" ht="15.75">
      <c r="A116" s="216"/>
      <c r="B116" s="217"/>
      <c r="C116" s="219"/>
      <c r="D116" s="219"/>
      <c r="E116" s="219"/>
      <c r="F116" s="219"/>
      <c r="G116" s="243"/>
      <c r="I116" s="216"/>
      <c r="J116" s="217"/>
      <c r="K116" s="219"/>
      <c r="L116" s="219"/>
      <c r="M116" s="219"/>
      <c r="N116" s="219"/>
      <c r="O116" s="243"/>
    </row>
    <row r="117" spans="1:15" ht="20.25">
      <c r="A117" s="231"/>
      <c r="B117" s="219"/>
      <c r="C117" s="219"/>
      <c r="D117" s="219"/>
      <c r="E117" s="247"/>
      <c r="F117" s="219"/>
      <c r="G117" s="248"/>
      <c r="I117" s="231" t="s">
        <v>124</v>
      </c>
      <c r="J117" s="219"/>
      <c r="K117" s="219"/>
      <c r="L117" s="219"/>
      <c r="M117" s="247">
        <v>0.5</v>
      </c>
      <c r="N117" s="219"/>
      <c r="O117" s="248">
        <f>-M117*O112</f>
        <v>-0.40500000000000003</v>
      </c>
    </row>
    <row r="118" spans="1:15" ht="20.25">
      <c r="A118" s="231"/>
      <c r="B118" s="219"/>
      <c r="C118" s="219"/>
      <c r="D118" s="219"/>
      <c r="E118" s="250"/>
      <c r="F118" s="219"/>
      <c r="G118" s="248"/>
      <c r="I118" s="231"/>
      <c r="J118" s="219"/>
      <c r="K118" s="219"/>
      <c r="L118" s="219"/>
      <c r="M118" s="250"/>
      <c r="N118" s="219"/>
      <c r="O118" s="248"/>
    </row>
    <row r="119" spans="1:15" ht="18">
      <c r="A119" s="216"/>
      <c r="B119" s="219"/>
      <c r="C119" s="219"/>
      <c r="D119" s="219"/>
      <c r="E119" s="250"/>
      <c r="F119" s="219"/>
      <c r="G119" s="251"/>
      <c r="I119" s="216" t="s">
        <v>146</v>
      </c>
      <c r="J119" s="219"/>
      <c r="K119" s="219"/>
      <c r="L119" s="219"/>
      <c r="M119" s="250"/>
      <c r="N119" s="219"/>
      <c r="O119" s="251">
        <f>+O113+O117+O115</f>
        <v>-0.77500000000000002</v>
      </c>
    </row>
    <row r="120" spans="1:15" ht="13.5" thickBot="1">
      <c r="A120" s="252"/>
      <c r="B120" s="253"/>
      <c r="C120" s="253"/>
      <c r="D120" s="253"/>
      <c r="E120" s="253"/>
      <c r="F120" s="253"/>
      <c r="G120" s="254"/>
      <c r="I120" s="252"/>
      <c r="J120" s="253"/>
      <c r="K120" s="253"/>
      <c r="L120" s="253"/>
      <c r="M120" s="253"/>
      <c r="N120" s="253"/>
      <c r="O120" s="254"/>
    </row>
  </sheetData>
  <mergeCells count="7">
    <mergeCell ref="A87:G87"/>
    <mergeCell ref="I87:O87"/>
    <mergeCell ref="A4:C4"/>
    <mergeCell ref="A6:G6"/>
    <mergeCell ref="I6:O6"/>
    <mergeCell ref="A48:G48"/>
    <mergeCell ref="I48:O48"/>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D8D6-1F5E-4A1F-9DE9-60D42BA4145A}">
  <dimension ref="A1:IU83"/>
  <sheetViews>
    <sheetView tabSelected="1" workbookViewId="0">
      <selection activeCell="A6" sqref="A6"/>
    </sheetView>
  </sheetViews>
  <sheetFormatPr defaultRowHeight="15"/>
  <cols>
    <col min="1" max="1" width="4.5703125" style="295" customWidth="1"/>
    <col min="2" max="2" width="27.28515625" style="295" customWidth="1"/>
    <col min="3" max="3" width="8.28515625" style="295" bestFit="1" customWidth="1"/>
    <col min="4" max="4" width="11.7109375" style="295" bestFit="1" customWidth="1"/>
    <col min="5" max="5" width="11.140625" style="297" bestFit="1" customWidth="1"/>
    <col min="6" max="6" width="12.7109375" style="295" bestFit="1" customWidth="1"/>
    <col min="7" max="7" width="11" style="295" bestFit="1" customWidth="1"/>
    <col min="8" max="8" width="10" style="295" bestFit="1" customWidth="1"/>
    <col min="9" max="9" width="12.7109375" style="295" bestFit="1" customWidth="1"/>
    <col min="10" max="10" width="10.7109375" style="295" bestFit="1" customWidth="1"/>
    <col min="11" max="11" width="9.5703125" style="295" bestFit="1" customWidth="1"/>
    <col min="12" max="12" width="12.7109375" style="295" bestFit="1" customWidth="1"/>
    <col min="13" max="13" width="7.7109375" style="295" customWidth="1"/>
    <col min="14" max="14" width="10.28515625" style="295" customWidth="1"/>
    <col min="15" max="15" width="9.85546875" style="295" customWidth="1"/>
    <col min="16" max="16" width="9.7109375" style="295" customWidth="1"/>
    <col min="17" max="17" width="8.85546875" style="295" customWidth="1"/>
    <col min="18" max="18" width="11" style="296" bestFit="1" customWidth="1"/>
    <col min="19" max="19" width="9.140625" style="295"/>
    <col min="20" max="20" width="14.140625" style="295" bestFit="1" customWidth="1"/>
    <col min="21" max="21" width="9.140625" style="295"/>
    <col min="22" max="22" width="12.7109375" style="295" bestFit="1" customWidth="1"/>
    <col min="23" max="23" width="9.7109375" style="295" bestFit="1" customWidth="1"/>
    <col min="24" max="16384" width="9.140625" style="295"/>
  </cols>
  <sheetData>
    <row r="1" spans="1:255" ht="23.25">
      <c r="A1" s="456" t="s">
        <v>205</v>
      </c>
      <c r="B1" s="456"/>
      <c r="C1" s="456"/>
      <c r="D1" s="456"/>
      <c r="E1" s="456"/>
      <c r="F1" s="456"/>
      <c r="G1" s="456"/>
      <c r="H1" s="456"/>
      <c r="I1" s="456"/>
      <c r="J1" s="456"/>
      <c r="K1" s="456"/>
      <c r="L1" s="456"/>
    </row>
    <row r="2" spans="1:255" ht="15.75" thickBot="1"/>
    <row r="3" spans="1:255" ht="16.5" thickBot="1">
      <c r="A3" s="298"/>
      <c r="B3" s="299"/>
      <c r="C3" s="300"/>
      <c r="D3" s="457" t="s">
        <v>206</v>
      </c>
      <c r="E3" s="458"/>
      <c r="F3" s="459"/>
      <c r="G3" s="457" t="s">
        <v>207</v>
      </c>
      <c r="H3" s="458"/>
      <c r="I3" s="459"/>
      <c r="J3" s="457" t="s">
        <v>208</v>
      </c>
      <c r="K3" s="458"/>
      <c r="L3" s="459"/>
      <c r="M3" s="301"/>
      <c r="N3" s="450"/>
      <c r="O3" s="450"/>
      <c r="P3" s="450"/>
      <c r="Q3" s="301"/>
      <c r="R3" s="302"/>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row>
    <row r="4" spans="1:255" ht="16.5" thickBot="1">
      <c r="A4" s="451" t="s">
        <v>209</v>
      </c>
      <c r="B4" s="452"/>
      <c r="C4" s="453"/>
      <c r="D4" s="303" t="s">
        <v>210</v>
      </c>
      <c r="E4" s="304" t="s">
        <v>211</v>
      </c>
      <c r="F4" s="303" t="s">
        <v>212</v>
      </c>
      <c r="G4" s="303" t="s">
        <v>210</v>
      </c>
      <c r="H4" s="303" t="s">
        <v>211</v>
      </c>
      <c r="I4" s="303" t="s">
        <v>212</v>
      </c>
      <c r="J4" s="303" t="s">
        <v>210</v>
      </c>
      <c r="K4" s="303" t="s">
        <v>211</v>
      </c>
      <c r="L4" s="305" t="s">
        <v>212</v>
      </c>
      <c r="M4" s="301"/>
      <c r="N4" s="306"/>
      <c r="O4" s="306"/>
      <c r="P4" s="306"/>
      <c r="Q4" s="301"/>
      <c r="R4" s="302"/>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01"/>
      <c r="DE4" s="301"/>
      <c r="DF4" s="301"/>
      <c r="DG4" s="301"/>
      <c r="DH4" s="301"/>
      <c r="DI4" s="301"/>
      <c r="DJ4" s="301"/>
      <c r="DK4" s="301"/>
      <c r="DL4" s="301"/>
      <c r="DM4" s="301"/>
      <c r="DN4" s="301"/>
      <c r="DO4" s="301"/>
      <c r="DP4" s="301"/>
      <c r="DQ4" s="301"/>
      <c r="DR4" s="301"/>
      <c r="DS4" s="301"/>
      <c r="DT4" s="301"/>
      <c r="DU4" s="301"/>
      <c r="DV4" s="301"/>
      <c r="DW4" s="301"/>
      <c r="DX4" s="301"/>
      <c r="DY4" s="301"/>
      <c r="DZ4" s="301"/>
      <c r="EA4" s="301"/>
      <c r="EB4" s="301"/>
      <c r="EC4" s="301"/>
      <c r="ED4" s="301"/>
      <c r="EE4" s="301"/>
      <c r="EF4" s="301"/>
      <c r="EG4" s="301"/>
      <c r="EH4" s="301"/>
      <c r="EI4" s="301"/>
      <c r="EJ4" s="301"/>
      <c r="EK4" s="301"/>
      <c r="EL4" s="301"/>
      <c r="EM4" s="301"/>
      <c r="EN4" s="301"/>
      <c r="EO4" s="301"/>
      <c r="EP4" s="301"/>
      <c r="EQ4" s="301"/>
      <c r="ER4" s="301"/>
      <c r="ES4" s="301"/>
      <c r="ET4" s="301"/>
      <c r="EU4" s="301"/>
      <c r="EV4" s="301"/>
      <c r="EW4" s="301"/>
      <c r="EX4" s="301"/>
      <c r="EY4" s="301"/>
      <c r="EZ4" s="301"/>
      <c r="FA4" s="301"/>
      <c r="FB4" s="301"/>
      <c r="FC4" s="301"/>
      <c r="FD4" s="301"/>
      <c r="FE4" s="301"/>
      <c r="FF4" s="301"/>
      <c r="FG4" s="301"/>
      <c r="FH4" s="301"/>
      <c r="FI4" s="301"/>
      <c r="FJ4" s="301"/>
      <c r="FK4" s="301"/>
      <c r="FL4" s="301"/>
      <c r="FM4" s="301"/>
      <c r="FN4" s="301"/>
      <c r="FO4" s="301"/>
      <c r="FP4" s="301"/>
      <c r="FQ4" s="301"/>
      <c r="FR4" s="301"/>
      <c r="FS4" s="301"/>
      <c r="FT4" s="301"/>
      <c r="FU4" s="301"/>
      <c r="FV4" s="301"/>
      <c r="FW4" s="301"/>
      <c r="FX4" s="301"/>
      <c r="FY4" s="301"/>
      <c r="FZ4" s="301"/>
      <c r="GA4" s="301"/>
      <c r="GB4" s="301"/>
      <c r="GC4" s="301"/>
      <c r="GD4" s="301"/>
      <c r="GE4" s="301"/>
      <c r="GF4" s="301"/>
      <c r="GG4" s="301"/>
      <c r="GH4" s="301"/>
      <c r="GI4" s="301"/>
      <c r="GJ4" s="301"/>
      <c r="GK4" s="301"/>
      <c r="GL4" s="301"/>
      <c r="GM4" s="301"/>
      <c r="GN4" s="301"/>
      <c r="GO4" s="301"/>
      <c r="GP4" s="301"/>
      <c r="GQ4" s="301"/>
      <c r="GR4" s="301"/>
      <c r="GS4" s="301"/>
      <c r="GT4" s="301"/>
      <c r="GU4" s="301"/>
      <c r="GV4" s="301"/>
      <c r="GW4" s="301"/>
      <c r="GX4" s="301"/>
      <c r="GY4" s="301"/>
      <c r="GZ4" s="301"/>
      <c r="HA4" s="301"/>
      <c r="HB4" s="301"/>
      <c r="HC4" s="301"/>
      <c r="HD4" s="301"/>
      <c r="HE4" s="301"/>
      <c r="HF4" s="301"/>
      <c r="HG4" s="301"/>
      <c r="HH4" s="301"/>
      <c r="HI4" s="301"/>
      <c r="HJ4" s="301"/>
      <c r="HK4" s="301"/>
      <c r="HL4" s="301"/>
      <c r="HM4" s="301"/>
      <c r="HN4" s="301"/>
      <c r="HO4" s="301"/>
      <c r="HP4" s="301"/>
      <c r="HQ4" s="301"/>
      <c r="HR4" s="301"/>
      <c r="HS4" s="301"/>
      <c r="HT4" s="301"/>
      <c r="HU4" s="301"/>
      <c r="HV4" s="301"/>
      <c r="HW4" s="301"/>
      <c r="HX4" s="301"/>
      <c r="HY4" s="301"/>
      <c r="HZ4" s="301"/>
      <c r="IA4" s="301"/>
      <c r="IB4" s="301"/>
      <c r="IC4" s="301"/>
      <c r="ID4" s="301"/>
      <c r="IE4" s="301"/>
      <c r="IF4" s="301"/>
      <c r="IG4" s="301"/>
      <c r="IH4" s="301"/>
      <c r="II4" s="301"/>
      <c r="IJ4" s="301"/>
      <c r="IK4" s="301"/>
      <c r="IL4" s="301"/>
      <c r="IM4" s="301"/>
      <c r="IN4" s="301"/>
      <c r="IO4" s="301"/>
      <c r="IP4" s="301"/>
      <c r="IQ4" s="301"/>
      <c r="IR4" s="301"/>
      <c r="IS4" s="301"/>
      <c r="IT4" s="301"/>
      <c r="IU4" s="301"/>
    </row>
    <row r="5" spans="1:255">
      <c r="A5" s="307"/>
      <c r="B5" s="308"/>
      <c r="C5" s="309"/>
      <c r="D5" s="310"/>
      <c r="E5" s="311"/>
      <c r="F5" s="310"/>
      <c r="G5" s="310"/>
      <c r="H5" s="310"/>
      <c r="I5" s="310"/>
      <c r="J5" s="310"/>
      <c r="K5" s="310"/>
      <c r="L5" s="312"/>
      <c r="M5" s="313"/>
      <c r="N5" s="313"/>
      <c r="O5" s="313"/>
      <c r="P5" s="313"/>
      <c r="Q5" s="313"/>
      <c r="R5" s="314"/>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13"/>
      <c r="ET5" s="313"/>
      <c r="EU5" s="313"/>
      <c r="EV5" s="313"/>
      <c r="EW5" s="313"/>
      <c r="EX5" s="313"/>
      <c r="EY5" s="313"/>
      <c r="EZ5" s="313"/>
      <c r="FA5" s="313"/>
      <c r="FB5" s="313"/>
      <c r="FC5" s="313"/>
      <c r="FD5" s="313"/>
      <c r="FE5" s="313"/>
      <c r="FF5" s="313"/>
      <c r="FG5" s="313"/>
      <c r="FH5" s="313"/>
      <c r="FI5" s="313"/>
      <c r="FJ5" s="313"/>
      <c r="FK5" s="313"/>
      <c r="FL5" s="313"/>
      <c r="FM5" s="313"/>
      <c r="FN5" s="313"/>
      <c r="FO5" s="313"/>
      <c r="FP5" s="313"/>
      <c r="FQ5" s="313"/>
      <c r="FR5" s="313"/>
      <c r="FS5" s="313"/>
      <c r="FT5" s="313"/>
      <c r="FU5" s="313"/>
      <c r="FV5" s="313"/>
      <c r="FW5" s="313"/>
      <c r="FX5" s="313"/>
      <c r="FY5" s="313"/>
      <c r="FZ5" s="313"/>
      <c r="GA5" s="313"/>
      <c r="GB5" s="313"/>
      <c r="GC5" s="313"/>
      <c r="GD5" s="313"/>
      <c r="GE5" s="313"/>
      <c r="GF5" s="313"/>
      <c r="GG5" s="313"/>
      <c r="GH5" s="313"/>
      <c r="GI5" s="313"/>
      <c r="GJ5" s="313"/>
      <c r="GK5" s="313"/>
      <c r="GL5" s="313"/>
      <c r="GM5" s="313"/>
      <c r="GN5" s="313"/>
      <c r="GO5" s="313"/>
      <c r="GP5" s="313"/>
      <c r="GQ5" s="313"/>
      <c r="GR5" s="313"/>
      <c r="GS5" s="313"/>
      <c r="GT5" s="313"/>
      <c r="GU5" s="313"/>
      <c r="GV5" s="313"/>
      <c r="GW5" s="313"/>
      <c r="GX5" s="313"/>
      <c r="GY5" s="313"/>
      <c r="GZ5" s="313"/>
      <c r="HA5" s="313"/>
      <c r="HB5" s="313"/>
      <c r="HC5" s="313"/>
      <c r="HD5" s="313"/>
      <c r="HE5" s="313"/>
      <c r="HF5" s="313"/>
      <c r="HG5" s="313"/>
      <c r="HH5" s="313"/>
      <c r="HI5" s="313"/>
      <c r="HJ5" s="313"/>
      <c r="HK5" s="313"/>
      <c r="HL5" s="313"/>
      <c r="HM5" s="313"/>
      <c r="HN5" s="313"/>
      <c r="HO5" s="313"/>
      <c r="HP5" s="313"/>
      <c r="HQ5" s="313"/>
      <c r="HR5" s="313"/>
      <c r="HS5" s="313"/>
      <c r="HT5" s="313"/>
      <c r="HU5" s="313"/>
      <c r="HV5" s="313"/>
      <c r="HW5" s="313"/>
      <c r="HX5" s="313"/>
      <c r="HY5" s="313"/>
      <c r="HZ5" s="313"/>
      <c r="IA5" s="313"/>
      <c r="IB5" s="313"/>
      <c r="IC5" s="313"/>
      <c r="ID5" s="313"/>
      <c r="IE5" s="313"/>
      <c r="IF5" s="313"/>
      <c r="IG5" s="313"/>
      <c r="IH5" s="313"/>
      <c r="II5" s="313"/>
      <c r="IJ5" s="313"/>
      <c r="IK5" s="313"/>
      <c r="IL5" s="313"/>
      <c r="IM5" s="313"/>
      <c r="IN5" s="313"/>
      <c r="IO5" s="313"/>
      <c r="IP5" s="313"/>
      <c r="IQ5" s="313"/>
      <c r="IR5" s="313"/>
      <c r="IS5" s="313"/>
      <c r="IT5" s="313"/>
      <c r="IU5" s="313"/>
    </row>
    <row r="6" spans="1:255" ht="15.75">
      <c r="A6" s="315" t="s">
        <v>213</v>
      </c>
      <c r="B6" s="313"/>
      <c r="C6" s="316"/>
      <c r="D6" s="317">
        <f>+'Rebate (charge) Calculation'!G34</f>
        <v>0.97317230515894448</v>
      </c>
      <c r="E6" s="318">
        <v>1.91</v>
      </c>
      <c r="F6" s="319">
        <f>-D6/E6</f>
        <v>-0.5095142958947354</v>
      </c>
      <c r="G6" s="320">
        <f>+'Rebate (charge) Calculation'!G76</f>
        <v>0.86618596161770789</v>
      </c>
      <c r="H6" s="318">
        <v>1.81</v>
      </c>
      <c r="I6" s="319">
        <f>-G6/H6</f>
        <v>-0.4785557798992861</v>
      </c>
      <c r="J6" s="320">
        <f>+'Rebate (charge) Calculation'!G115</f>
        <v>1.0191494788310229</v>
      </c>
      <c r="K6" s="321">
        <v>2.15</v>
      </c>
      <c r="L6" s="319">
        <f>-J6/K6</f>
        <v>-0.47402301340977809</v>
      </c>
      <c r="M6" s="313"/>
      <c r="N6" s="322"/>
      <c r="O6" s="322"/>
      <c r="P6" s="322"/>
      <c r="Q6" s="313"/>
      <c r="R6" s="314"/>
      <c r="S6" s="313"/>
      <c r="T6" s="323"/>
      <c r="U6" s="313"/>
      <c r="V6" s="32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c r="EF6" s="313"/>
      <c r="EG6" s="313"/>
      <c r="EH6" s="313"/>
      <c r="EI6" s="313"/>
      <c r="EJ6" s="313"/>
      <c r="EK6" s="313"/>
      <c r="EL6" s="313"/>
      <c r="EM6" s="313"/>
      <c r="EN6" s="313"/>
      <c r="EO6" s="313"/>
      <c r="EP6" s="313"/>
      <c r="EQ6" s="313"/>
      <c r="ER6" s="313"/>
      <c r="ES6" s="313"/>
      <c r="ET6" s="313"/>
      <c r="EU6" s="313"/>
      <c r="EV6" s="313"/>
      <c r="EW6" s="313"/>
      <c r="EX6" s="313"/>
      <c r="EY6" s="313"/>
      <c r="EZ6" s="313"/>
      <c r="FA6" s="313"/>
      <c r="FB6" s="313"/>
      <c r="FC6" s="313"/>
      <c r="FD6" s="313"/>
      <c r="FE6" s="313"/>
      <c r="FF6" s="313"/>
      <c r="FG6" s="313"/>
      <c r="FH6" s="313"/>
      <c r="FI6" s="313"/>
      <c r="FJ6" s="313"/>
      <c r="FK6" s="313"/>
      <c r="FL6" s="313"/>
      <c r="FM6" s="313"/>
      <c r="FN6" s="313"/>
      <c r="FO6" s="313"/>
      <c r="FP6" s="313"/>
      <c r="FQ6" s="313"/>
      <c r="FR6" s="313"/>
      <c r="FS6" s="313"/>
      <c r="FT6" s="313"/>
      <c r="FU6" s="313"/>
      <c r="FV6" s="313"/>
      <c r="FW6" s="313"/>
      <c r="FX6" s="313"/>
      <c r="FY6" s="313"/>
      <c r="FZ6" s="313"/>
      <c r="GA6" s="313"/>
      <c r="GB6" s="313"/>
      <c r="GC6" s="313"/>
      <c r="GD6" s="313"/>
      <c r="GE6" s="313"/>
      <c r="GF6" s="313"/>
      <c r="GG6" s="313"/>
      <c r="GH6" s="313"/>
      <c r="GI6" s="313"/>
      <c r="GJ6" s="313"/>
      <c r="GK6" s="313"/>
      <c r="GL6" s="313"/>
      <c r="GM6" s="313"/>
      <c r="GN6" s="313"/>
      <c r="GO6" s="313"/>
      <c r="GP6" s="313"/>
      <c r="GQ6" s="313"/>
      <c r="GR6" s="313"/>
      <c r="GS6" s="313"/>
      <c r="GT6" s="313"/>
      <c r="GU6" s="313"/>
      <c r="GV6" s="313"/>
      <c r="GW6" s="313"/>
      <c r="GX6" s="313"/>
      <c r="GY6" s="313"/>
      <c r="GZ6" s="313"/>
      <c r="HA6" s="313"/>
      <c r="HB6" s="313"/>
      <c r="HC6" s="313"/>
      <c r="HD6" s="313"/>
      <c r="HE6" s="313"/>
      <c r="HF6" s="313"/>
      <c r="HG6" s="313"/>
      <c r="HH6" s="313"/>
      <c r="HI6" s="313"/>
      <c r="HJ6" s="313"/>
      <c r="HK6" s="313"/>
      <c r="HL6" s="313"/>
      <c r="HM6" s="313"/>
      <c r="HN6" s="313"/>
      <c r="HO6" s="313"/>
      <c r="HP6" s="313"/>
      <c r="HQ6" s="313"/>
      <c r="HR6" s="313"/>
      <c r="HS6" s="313"/>
      <c r="HT6" s="313"/>
      <c r="HU6" s="313"/>
      <c r="HV6" s="313"/>
      <c r="HW6" s="313"/>
      <c r="HX6" s="313"/>
      <c r="HY6" s="313"/>
      <c r="HZ6" s="313"/>
      <c r="IA6" s="313"/>
      <c r="IB6" s="313"/>
      <c r="IC6" s="313"/>
      <c r="ID6" s="313"/>
      <c r="IE6" s="313"/>
      <c r="IF6" s="313"/>
      <c r="IG6" s="313"/>
      <c r="IH6" s="313"/>
      <c r="II6" s="313"/>
      <c r="IJ6" s="313"/>
      <c r="IK6" s="313"/>
      <c r="IL6" s="313"/>
      <c r="IM6" s="313"/>
      <c r="IN6" s="313"/>
      <c r="IO6" s="313"/>
      <c r="IP6" s="313"/>
      <c r="IQ6" s="313"/>
      <c r="IR6" s="313"/>
      <c r="IS6" s="313"/>
      <c r="IT6" s="313"/>
      <c r="IU6" s="313"/>
    </row>
    <row r="7" spans="1:255" ht="15.75">
      <c r="A7" s="315"/>
      <c r="B7" s="313"/>
      <c r="C7" s="316" t="s">
        <v>74</v>
      </c>
      <c r="D7" s="317">
        <f>+'Rebate (charge) Calculation'!G39</f>
        <v>1.6831723051589444</v>
      </c>
      <c r="E7" s="318">
        <v>2.64</v>
      </c>
      <c r="F7" s="319">
        <f>-D7/E7</f>
        <v>-0.63756526710566075</v>
      </c>
      <c r="G7" s="318"/>
      <c r="H7" s="318"/>
      <c r="I7" s="319"/>
      <c r="J7" s="318"/>
      <c r="K7" s="318"/>
      <c r="L7" s="319"/>
      <c r="M7" s="313"/>
      <c r="N7" s="324"/>
      <c r="O7" s="324"/>
      <c r="P7" s="322"/>
      <c r="Q7" s="313"/>
      <c r="R7" s="314"/>
      <c r="S7" s="313"/>
      <c r="T7" s="323"/>
      <c r="U7" s="313"/>
      <c r="V7" s="32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3"/>
      <c r="BJ7" s="313"/>
      <c r="BK7" s="313"/>
      <c r="BL7" s="313"/>
      <c r="BM7" s="313"/>
      <c r="BN7" s="313"/>
      <c r="BO7" s="313"/>
      <c r="BP7" s="313"/>
      <c r="BQ7" s="313"/>
      <c r="BR7" s="313"/>
      <c r="BS7" s="313"/>
      <c r="BT7" s="313"/>
      <c r="BU7" s="313"/>
      <c r="BV7" s="313"/>
      <c r="BW7" s="313"/>
      <c r="BX7" s="313"/>
      <c r="BY7" s="313"/>
      <c r="BZ7" s="313"/>
      <c r="CA7" s="313"/>
      <c r="CB7" s="313"/>
      <c r="CC7" s="313"/>
      <c r="CD7" s="313"/>
      <c r="CE7" s="313"/>
      <c r="CF7" s="313"/>
      <c r="CG7" s="313"/>
      <c r="CH7" s="313"/>
      <c r="CI7" s="313"/>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3"/>
      <c r="DH7" s="313"/>
      <c r="DI7" s="313"/>
      <c r="DJ7" s="313"/>
      <c r="DK7" s="313"/>
      <c r="DL7" s="313"/>
      <c r="DM7" s="313"/>
      <c r="DN7" s="313"/>
      <c r="DO7" s="313"/>
      <c r="DP7" s="313"/>
      <c r="DQ7" s="313"/>
      <c r="DR7" s="313"/>
      <c r="DS7" s="313"/>
      <c r="DT7" s="313"/>
      <c r="DU7" s="313"/>
      <c r="DV7" s="313"/>
      <c r="DW7" s="313"/>
      <c r="DX7" s="313"/>
      <c r="DY7" s="313"/>
      <c r="DZ7" s="313"/>
      <c r="EA7" s="313"/>
      <c r="EB7" s="313"/>
      <c r="EC7" s="313"/>
      <c r="ED7" s="313"/>
      <c r="EE7" s="313"/>
      <c r="EF7" s="313"/>
      <c r="EG7" s="313"/>
      <c r="EH7" s="313"/>
      <c r="EI7" s="313"/>
      <c r="EJ7" s="313"/>
      <c r="EK7" s="313"/>
      <c r="EL7" s="313"/>
      <c r="EM7" s="313"/>
      <c r="EN7" s="313"/>
      <c r="EO7" s="313"/>
      <c r="EP7" s="313"/>
      <c r="EQ7" s="313"/>
      <c r="ER7" s="313"/>
      <c r="ES7" s="313"/>
      <c r="ET7" s="313"/>
      <c r="EU7" s="313"/>
      <c r="EV7" s="313"/>
      <c r="EW7" s="313"/>
      <c r="EX7" s="313"/>
      <c r="EY7" s="313"/>
      <c r="EZ7" s="313"/>
      <c r="FA7" s="313"/>
      <c r="FB7" s="313"/>
      <c r="FC7" s="313"/>
      <c r="FD7" s="313"/>
      <c r="FE7" s="313"/>
      <c r="FF7" s="313"/>
      <c r="FG7" s="313"/>
      <c r="FH7" s="313"/>
      <c r="FI7" s="313"/>
      <c r="FJ7" s="313"/>
      <c r="FK7" s="313"/>
      <c r="FL7" s="313"/>
      <c r="FM7" s="313"/>
      <c r="FN7" s="313"/>
      <c r="FO7" s="313"/>
      <c r="FP7" s="313"/>
      <c r="FQ7" s="313"/>
      <c r="FR7" s="313"/>
      <c r="FS7" s="313"/>
      <c r="FT7" s="313"/>
      <c r="FU7" s="313"/>
      <c r="FV7" s="313"/>
      <c r="FW7" s="313"/>
      <c r="FX7" s="313"/>
      <c r="FY7" s="313"/>
      <c r="FZ7" s="313"/>
      <c r="GA7" s="313"/>
      <c r="GB7" s="313"/>
      <c r="GC7" s="313"/>
      <c r="GD7" s="313"/>
      <c r="GE7" s="313"/>
      <c r="GF7" s="313"/>
      <c r="GG7" s="313"/>
      <c r="GH7" s="313"/>
      <c r="GI7" s="313"/>
      <c r="GJ7" s="313"/>
      <c r="GK7" s="313"/>
      <c r="GL7" s="313"/>
      <c r="GM7" s="313"/>
      <c r="GN7" s="313"/>
      <c r="GO7" s="313"/>
      <c r="GP7" s="313"/>
      <c r="GQ7" s="313"/>
      <c r="GR7" s="313"/>
      <c r="GS7" s="313"/>
      <c r="GT7" s="313"/>
      <c r="GU7" s="313"/>
      <c r="GV7" s="313"/>
      <c r="GW7" s="313"/>
      <c r="GX7" s="313"/>
      <c r="GY7" s="313"/>
      <c r="GZ7" s="313"/>
      <c r="HA7" s="313"/>
      <c r="HB7" s="313"/>
      <c r="HC7" s="313"/>
      <c r="HD7" s="313"/>
      <c r="HE7" s="313"/>
      <c r="HF7" s="313"/>
      <c r="HG7" s="313"/>
      <c r="HH7" s="313"/>
      <c r="HI7" s="313"/>
      <c r="HJ7" s="313"/>
      <c r="HK7" s="313"/>
      <c r="HL7" s="313"/>
      <c r="HM7" s="313"/>
      <c r="HN7" s="313"/>
      <c r="HO7" s="313"/>
      <c r="HP7" s="313"/>
      <c r="HQ7" s="313"/>
      <c r="HR7" s="313"/>
      <c r="HS7" s="313"/>
      <c r="HT7" s="313"/>
      <c r="HU7" s="313"/>
      <c r="HV7" s="313"/>
      <c r="HW7" s="313"/>
      <c r="HX7" s="313"/>
      <c r="HY7" s="313"/>
      <c r="HZ7" s="313"/>
      <c r="IA7" s="313"/>
      <c r="IB7" s="313"/>
      <c r="IC7" s="313"/>
      <c r="ID7" s="313"/>
      <c r="IE7" s="313"/>
      <c r="IF7" s="313"/>
      <c r="IG7" s="313"/>
      <c r="IH7" s="313"/>
      <c r="II7" s="313"/>
      <c r="IJ7" s="313"/>
      <c r="IK7" s="313"/>
      <c r="IL7" s="313"/>
      <c r="IM7" s="313"/>
      <c r="IN7" s="313"/>
      <c r="IO7" s="313"/>
      <c r="IP7" s="313"/>
      <c r="IQ7" s="313"/>
      <c r="IR7" s="313"/>
      <c r="IS7" s="313"/>
      <c r="IT7" s="313"/>
      <c r="IU7" s="313"/>
    </row>
    <row r="8" spans="1:255" ht="15.75">
      <c r="A8" s="325" t="s">
        <v>214</v>
      </c>
      <c r="B8" s="313"/>
      <c r="C8" s="316"/>
      <c r="D8" s="326"/>
      <c r="E8" s="327"/>
      <c r="F8" s="326"/>
      <c r="G8" s="318"/>
      <c r="H8" s="318"/>
      <c r="I8" s="319"/>
      <c r="J8" s="318"/>
      <c r="K8" s="318"/>
      <c r="L8" s="319"/>
      <c r="M8" s="313"/>
      <c r="N8" s="328"/>
      <c r="O8" s="328"/>
      <c r="P8" s="328"/>
      <c r="Q8" s="313"/>
      <c r="R8" s="314"/>
      <c r="S8" s="313"/>
      <c r="T8" s="323"/>
      <c r="U8" s="313"/>
      <c r="V8" s="32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c r="DF8" s="313"/>
      <c r="DG8" s="313"/>
      <c r="DH8" s="313"/>
      <c r="DI8" s="313"/>
      <c r="DJ8" s="313"/>
      <c r="DK8" s="313"/>
      <c r="DL8" s="313"/>
      <c r="DM8" s="313"/>
      <c r="DN8" s="313"/>
      <c r="DO8" s="313"/>
      <c r="DP8" s="313"/>
      <c r="DQ8" s="313"/>
      <c r="DR8" s="313"/>
      <c r="DS8" s="313"/>
      <c r="DT8" s="313"/>
      <c r="DU8" s="313"/>
      <c r="DV8" s="313"/>
      <c r="DW8" s="313"/>
      <c r="DX8" s="313"/>
      <c r="DY8" s="313"/>
      <c r="DZ8" s="313"/>
      <c r="EA8" s="313"/>
      <c r="EB8" s="313"/>
      <c r="EC8" s="313"/>
      <c r="ED8" s="313"/>
      <c r="EE8" s="313"/>
      <c r="EF8" s="313"/>
      <c r="EG8" s="313"/>
      <c r="EH8" s="313"/>
      <c r="EI8" s="313"/>
      <c r="EJ8" s="313"/>
      <c r="EK8" s="313"/>
      <c r="EL8" s="313"/>
      <c r="EM8" s="313"/>
      <c r="EN8" s="313"/>
      <c r="EO8" s="313"/>
      <c r="EP8" s="313"/>
      <c r="EQ8" s="313"/>
      <c r="ER8" s="313"/>
      <c r="ES8" s="313"/>
      <c r="ET8" s="313"/>
      <c r="EU8" s="313"/>
      <c r="EV8" s="313"/>
      <c r="EW8" s="313"/>
      <c r="EX8" s="313"/>
      <c r="EY8" s="313"/>
      <c r="EZ8" s="313"/>
      <c r="FA8" s="313"/>
      <c r="FB8" s="313"/>
      <c r="FC8" s="313"/>
      <c r="FD8" s="313"/>
      <c r="FE8" s="313"/>
      <c r="FF8" s="313"/>
      <c r="FG8" s="313"/>
      <c r="FH8" s="313"/>
      <c r="FI8" s="313"/>
      <c r="FJ8" s="313"/>
      <c r="FK8" s="313"/>
      <c r="FL8" s="313"/>
      <c r="FM8" s="313"/>
      <c r="FN8" s="313"/>
      <c r="FO8" s="313"/>
      <c r="FP8" s="313"/>
      <c r="FQ8" s="313"/>
      <c r="FR8" s="313"/>
      <c r="FS8" s="313"/>
      <c r="FT8" s="313"/>
      <c r="FU8" s="313"/>
      <c r="FV8" s="313"/>
      <c r="FW8" s="313"/>
      <c r="FX8" s="313"/>
      <c r="FY8" s="313"/>
      <c r="FZ8" s="313"/>
      <c r="GA8" s="313"/>
      <c r="GB8" s="313"/>
      <c r="GC8" s="313"/>
      <c r="GD8" s="313"/>
      <c r="GE8" s="313"/>
      <c r="GF8" s="313"/>
      <c r="GG8" s="313"/>
      <c r="GH8" s="313"/>
      <c r="GI8" s="313"/>
      <c r="GJ8" s="313"/>
      <c r="GK8" s="313"/>
      <c r="GL8" s="313"/>
      <c r="GM8" s="313"/>
      <c r="GN8" s="313"/>
      <c r="GO8" s="313"/>
      <c r="GP8" s="313"/>
      <c r="GQ8" s="313"/>
      <c r="GR8" s="313"/>
      <c r="GS8" s="313"/>
      <c r="GT8" s="313"/>
      <c r="GU8" s="313"/>
      <c r="GV8" s="313"/>
      <c r="GW8" s="313"/>
      <c r="GX8" s="313"/>
      <c r="GY8" s="313"/>
      <c r="GZ8" s="313"/>
      <c r="HA8" s="313"/>
      <c r="HB8" s="313"/>
      <c r="HC8" s="313"/>
      <c r="HD8" s="313"/>
      <c r="HE8" s="313"/>
      <c r="HF8" s="313"/>
      <c r="HG8" s="313"/>
      <c r="HH8" s="313"/>
      <c r="HI8" s="313"/>
      <c r="HJ8" s="313"/>
      <c r="HK8" s="313"/>
      <c r="HL8" s="313"/>
      <c r="HM8" s="313"/>
      <c r="HN8" s="313"/>
      <c r="HO8" s="313"/>
      <c r="HP8" s="313"/>
      <c r="HQ8" s="313"/>
      <c r="HR8" s="313"/>
      <c r="HS8" s="313"/>
      <c r="HT8" s="313"/>
      <c r="HU8" s="313"/>
      <c r="HV8" s="313"/>
      <c r="HW8" s="313"/>
      <c r="HX8" s="313"/>
      <c r="HY8" s="313"/>
      <c r="HZ8" s="313"/>
      <c r="IA8" s="313"/>
      <c r="IB8" s="313"/>
      <c r="IC8" s="313"/>
      <c r="ID8" s="313"/>
      <c r="IE8" s="313"/>
      <c r="IF8" s="313"/>
      <c r="IG8" s="313"/>
      <c r="IH8" s="313"/>
      <c r="II8" s="313"/>
      <c r="IJ8" s="313"/>
      <c r="IK8" s="313"/>
      <c r="IL8" s="313"/>
      <c r="IM8" s="313"/>
      <c r="IN8" s="313"/>
      <c r="IO8" s="313"/>
      <c r="IP8" s="313"/>
      <c r="IQ8" s="313"/>
      <c r="IR8" s="313"/>
      <c r="IS8" s="313"/>
      <c r="IT8" s="313"/>
      <c r="IU8" s="313"/>
    </row>
    <row r="9" spans="1:255" ht="15.75">
      <c r="A9" s="325"/>
      <c r="B9" s="313" t="s">
        <v>215</v>
      </c>
      <c r="C9" s="316"/>
      <c r="D9" s="318">
        <f t="shared" ref="D9:D20" si="0">+ROUND(E9*(1+$F$6),3)</f>
        <v>-2.9000000000000001E-2</v>
      </c>
      <c r="E9" s="327">
        <v>-0.06</v>
      </c>
      <c r="F9" s="319">
        <f>-1+D9/E9</f>
        <v>-0.51666666666666661</v>
      </c>
      <c r="G9" s="318"/>
      <c r="H9" s="318"/>
      <c r="I9" s="319"/>
      <c r="J9" s="318"/>
      <c r="K9" s="318"/>
      <c r="L9" s="319"/>
      <c r="M9" s="313"/>
      <c r="N9" s="313"/>
      <c r="O9" s="313"/>
      <c r="P9" s="313"/>
      <c r="Q9" s="313"/>
      <c r="R9" s="314"/>
      <c r="S9" s="313"/>
      <c r="T9" s="323"/>
      <c r="U9" s="313"/>
      <c r="V9" s="323"/>
      <c r="W9" s="329"/>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c r="DM9" s="313"/>
      <c r="DN9" s="313"/>
      <c r="DO9" s="313"/>
      <c r="DP9" s="313"/>
      <c r="DQ9" s="313"/>
      <c r="DR9" s="313"/>
      <c r="DS9" s="313"/>
      <c r="DT9" s="313"/>
      <c r="DU9" s="313"/>
      <c r="DV9" s="313"/>
      <c r="DW9" s="313"/>
      <c r="DX9" s="313"/>
      <c r="DY9" s="313"/>
      <c r="DZ9" s="313"/>
      <c r="EA9" s="313"/>
      <c r="EB9" s="313"/>
      <c r="EC9" s="313"/>
      <c r="ED9" s="313"/>
      <c r="EE9" s="313"/>
      <c r="EF9" s="313"/>
      <c r="EG9" s="313"/>
      <c r="EH9" s="313"/>
      <c r="EI9" s="313"/>
      <c r="EJ9" s="313"/>
      <c r="EK9" s="313"/>
      <c r="EL9" s="313"/>
      <c r="EM9" s="313"/>
      <c r="EN9" s="313"/>
      <c r="EO9" s="313"/>
      <c r="EP9" s="313"/>
      <c r="EQ9" s="313"/>
      <c r="ER9" s="313"/>
      <c r="ES9" s="313"/>
      <c r="ET9" s="313"/>
      <c r="EU9" s="313"/>
      <c r="EV9" s="313"/>
      <c r="EW9" s="313"/>
      <c r="EX9" s="313"/>
      <c r="EY9" s="313"/>
      <c r="EZ9" s="313"/>
      <c r="FA9" s="313"/>
      <c r="FB9" s="313"/>
      <c r="FC9" s="313"/>
      <c r="FD9" s="313"/>
      <c r="FE9" s="313"/>
      <c r="FF9" s="313"/>
      <c r="FG9" s="313"/>
      <c r="FH9" s="313"/>
      <c r="FI9" s="313"/>
      <c r="FJ9" s="313"/>
      <c r="FK9" s="313"/>
      <c r="FL9" s="313"/>
      <c r="FM9" s="313"/>
      <c r="FN9" s="313"/>
      <c r="FO9" s="313"/>
      <c r="FP9" s="313"/>
      <c r="FQ9" s="313"/>
      <c r="FR9" s="313"/>
      <c r="FS9" s="313"/>
      <c r="FT9" s="313"/>
      <c r="FU9" s="313"/>
      <c r="FV9" s="313"/>
      <c r="FW9" s="313"/>
      <c r="FX9" s="313"/>
      <c r="FY9" s="313"/>
      <c r="FZ9" s="313"/>
      <c r="GA9" s="313"/>
      <c r="GB9" s="313"/>
      <c r="GC9" s="313"/>
      <c r="GD9" s="313"/>
      <c r="GE9" s="313"/>
      <c r="GF9" s="313"/>
      <c r="GG9" s="313"/>
      <c r="GH9" s="313"/>
      <c r="GI9" s="313"/>
      <c r="GJ9" s="313"/>
      <c r="GK9" s="313"/>
      <c r="GL9" s="313"/>
      <c r="GM9" s="313"/>
      <c r="GN9" s="313"/>
      <c r="GO9" s="313"/>
      <c r="GP9" s="313"/>
      <c r="GQ9" s="313"/>
      <c r="GR9" s="313"/>
      <c r="GS9" s="313"/>
      <c r="GT9" s="313"/>
      <c r="GU9" s="313"/>
      <c r="GV9" s="313"/>
      <c r="GW9" s="313"/>
      <c r="GX9" s="313"/>
      <c r="GY9" s="313"/>
      <c r="GZ9" s="313"/>
      <c r="HA9" s="313"/>
      <c r="HB9" s="313"/>
      <c r="HC9" s="313"/>
      <c r="HD9" s="313"/>
      <c r="HE9" s="313"/>
      <c r="HF9" s="313"/>
      <c r="HG9" s="313"/>
      <c r="HH9" s="313"/>
      <c r="HI9" s="313"/>
      <c r="HJ9" s="313"/>
      <c r="HK9" s="313"/>
      <c r="HL9" s="313"/>
      <c r="HM9" s="313"/>
      <c r="HN9" s="313"/>
      <c r="HO9" s="313"/>
      <c r="HP9" s="313"/>
      <c r="HQ9" s="313"/>
      <c r="HR9" s="313"/>
      <c r="HS9" s="313"/>
      <c r="HT9" s="313"/>
      <c r="HU9" s="313"/>
      <c r="HV9" s="313"/>
      <c r="HW9" s="313"/>
      <c r="HX9" s="313"/>
      <c r="HY9" s="313"/>
      <c r="HZ9" s="313"/>
      <c r="IA9" s="313"/>
      <c r="IB9" s="313"/>
      <c r="IC9" s="313"/>
      <c r="ID9" s="313"/>
      <c r="IE9" s="313"/>
      <c r="IF9" s="313"/>
      <c r="IG9" s="313"/>
      <c r="IH9" s="313"/>
      <c r="II9" s="313"/>
      <c r="IJ9" s="313"/>
      <c r="IK9" s="313"/>
      <c r="IL9" s="313"/>
      <c r="IM9" s="313"/>
      <c r="IN9" s="313"/>
      <c r="IO9" s="313"/>
      <c r="IP9" s="313"/>
      <c r="IQ9" s="313"/>
      <c r="IR9" s="313"/>
      <c r="IS9" s="313"/>
      <c r="IT9" s="313"/>
      <c r="IU9" s="313"/>
    </row>
    <row r="10" spans="1:255">
      <c r="A10" s="330"/>
      <c r="B10" s="313" t="s">
        <v>216</v>
      </c>
      <c r="C10" s="331"/>
      <c r="D10" s="318">
        <f t="shared" si="0"/>
        <v>-4.3999999999999997E-2</v>
      </c>
      <c r="E10" s="327">
        <v>-0.09</v>
      </c>
      <c r="F10" s="319">
        <f>-1+D10/E10</f>
        <v>-0.51111111111111107</v>
      </c>
      <c r="G10" s="318">
        <f t="shared" ref="G10:G20" si="1">ROUND(+H10*(1+$I$6),2)</f>
        <v>0.03</v>
      </c>
      <c r="H10" s="318">
        <v>0.05</v>
      </c>
      <c r="I10" s="319">
        <f>-1+G10/H10</f>
        <v>-0.4</v>
      </c>
      <c r="J10" s="318">
        <f>ROUND(+K10*(1+$L$6),2)</f>
        <v>0.03</v>
      </c>
      <c r="K10" s="318">
        <v>0.05</v>
      </c>
      <c r="L10" s="319">
        <f t="shared" ref="L10:L11" si="2">-1+J10/K10</f>
        <v>-0.4</v>
      </c>
      <c r="M10" s="313"/>
      <c r="N10" s="313"/>
      <c r="O10" s="313"/>
      <c r="P10" s="313"/>
      <c r="Q10" s="313"/>
      <c r="R10" s="314"/>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c r="CV10" s="313"/>
      <c r="CW10" s="313"/>
      <c r="CX10" s="313"/>
      <c r="CY10" s="313"/>
      <c r="CZ10" s="313"/>
      <c r="DA10" s="313"/>
      <c r="DB10" s="313"/>
      <c r="DC10" s="313"/>
      <c r="DD10" s="313"/>
      <c r="DE10" s="313"/>
      <c r="DF10" s="313"/>
      <c r="DG10" s="313"/>
      <c r="DH10" s="313"/>
      <c r="DI10" s="313"/>
      <c r="DJ10" s="313"/>
      <c r="DK10" s="313"/>
      <c r="DL10" s="313"/>
      <c r="DM10" s="313"/>
      <c r="DN10" s="313"/>
      <c r="DO10" s="313"/>
      <c r="DP10" s="313"/>
      <c r="DQ10" s="313"/>
      <c r="DR10" s="313"/>
      <c r="DS10" s="313"/>
      <c r="DT10" s="313"/>
      <c r="DU10" s="313"/>
      <c r="DV10" s="313"/>
      <c r="DW10" s="313"/>
      <c r="DX10" s="313"/>
      <c r="DY10" s="313"/>
      <c r="DZ10" s="313"/>
      <c r="EA10" s="313"/>
      <c r="EB10" s="313"/>
      <c r="EC10" s="313"/>
      <c r="ED10" s="313"/>
      <c r="EE10" s="313"/>
      <c r="EF10" s="313"/>
      <c r="EG10" s="313"/>
      <c r="EH10" s="313"/>
      <c r="EI10" s="313"/>
      <c r="EJ10" s="313"/>
      <c r="EK10" s="313"/>
      <c r="EL10" s="313"/>
      <c r="EM10" s="313"/>
      <c r="EN10" s="313"/>
      <c r="EO10" s="313"/>
      <c r="EP10" s="313"/>
      <c r="EQ10" s="313"/>
      <c r="ER10" s="313"/>
      <c r="ES10" s="313"/>
      <c r="ET10" s="313"/>
      <c r="EU10" s="313"/>
      <c r="EV10" s="313"/>
      <c r="EW10" s="313"/>
      <c r="EX10" s="313"/>
      <c r="EY10" s="313"/>
      <c r="EZ10" s="313"/>
      <c r="FA10" s="313"/>
      <c r="FB10" s="313"/>
      <c r="FC10" s="313"/>
      <c r="FD10" s="313"/>
      <c r="FE10" s="313"/>
      <c r="FF10" s="313"/>
      <c r="FG10" s="313"/>
      <c r="FH10" s="313"/>
      <c r="FI10" s="313"/>
      <c r="FJ10" s="313"/>
      <c r="FK10" s="313"/>
      <c r="FL10" s="313"/>
      <c r="FM10" s="313"/>
      <c r="FN10" s="313"/>
      <c r="FO10" s="313"/>
      <c r="FP10" s="313"/>
      <c r="FQ10" s="313"/>
      <c r="FR10" s="313"/>
      <c r="FS10" s="313"/>
      <c r="FT10" s="313"/>
      <c r="FU10" s="313"/>
      <c r="FV10" s="313"/>
      <c r="FW10" s="313"/>
      <c r="FX10" s="313"/>
      <c r="FY10" s="313"/>
      <c r="FZ10" s="313"/>
      <c r="GA10" s="313"/>
      <c r="GB10" s="313"/>
      <c r="GC10" s="313"/>
      <c r="GD10" s="313"/>
      <c r="GE10" s="313"/>
      <c r="GF10" s="313"/>
      <c r="GG10" s="313"/>
      <c r="GH10" s="313"/>
      <c r="GI10" s="313"/>
      <c r="GJ10" s="313"/>
      <c r="GK10" s="313"/>
      <c r="GL10" s="313"/>
      <c r="GM10" s="313"/>
      <c r="GN10" s="313"/>
      <c r="GO10" s="313"/>
      <c r="GP10" s="313"/>
      <c r="GQ10" s="313"/>
      <c r="GR10" s="313"/>
      <c r="GS10" s="313"/>
      <c r="GT10" s="313"/>
      <c r="GU10" s="313"/>
      <c r="GV10" s="313"/>
      <c r="GW10" s="313"/>
      <c r="GX10" s="313"/>
      <c r="GY10" s="313"/>
      <c r="GZ10" s="313"/>
      <c r="HA10" s="313"/>
      <c r="HB10" s="313"/>
      <c r="HC10" s="313"/>
      <c r="HD10" s="313"/>
      <c r="HE10" s="313"/>
      <c r="HF10" s="313"/>
      <c r="HG10" s="313"/>
      <c r="HH10" s="313"/>
      <c r="HI10" s="313"/>
      <c r="HJ10" s="313"/>
      <c r="HK10" s="313"/>
      <c r="HL10" s="313"/>
      <c r="HM10" s="313"/>
      <c r="HN10" s="313"/>
      <c r="HO10" s="313"/>
      <c r="HP10" s="313"/>
      <c r="HQ10" s="313"/>
      <c r="HR10" s="313"/>
      <c r="HS10" s="313"/>
      <c r="HT10" s="313"/>
      <c r="HU10" s="313"/>
      <c r="HV10" s="313"/>
      <c r="HW10" s="313"/>
      <c r="HX10" s="313"/>
      <c r="HY10" s="313"/>
      <c r="HZ10" s="313"/>
      <c r="IA10" s="313"/>
      <c r="IB10" s="313"/>
      <c r="IC10" s="313"/>
      <c r="ID10" s="313"/>
      <c r="IE10" s="313"/>
      <c r="IF10" s="313"/>
      <c r="IG10" s="313"/>
      <c r="IH10" s="313"/>
      <c r="II10" s="313"/>
      <c r="IJ10" s="313"/>
      <c r="IK10" s="313"/>
      <c r="IL10" s="313"/>
      <c r="IM10" s="313"/>
      <c r="IN10" s="313"/>
      <c r="IO10" s="313"/>
      <c r="IP10" s="313"/>
      <c r="IQ10" s="313"/>
      <c r="IR10" s="313"/>
      <c r="IS10" s="313"/>
      <c r="IT10" s="313"/>
      <c r="IU10" s="313"/>
    </row>
    <row r="11" spans="1:255">
      <c r="A11" s="330"/>
      <c r="B11" s="313" t="s">
        <v>217</v>
      </c>
      <c r="C11" s="331"/>
      <c r="D11" s="318">
        <f t="shared" si="0"/>
        <v>-4.3999999999999997E-2</v>
      </c>
      <c r="E11" s="327">
        <f>+E10</f>
        <v>-0.09</v>
      </c>
      <c r="F11" s="319">
        <f t="shared" ref="F11:F20" si="3">-1+D11/E11</f>
        <v>-0.51111111111111107</v>
      </c>
      <c r="G11" s="318">
        <f t="shared" si="1"/>
        <v>0.03</v>
      </c>
      <c r="H11" s="318">
        <v>0.05</v>
      </c>
      <c r="I11" s="319">
        <f>-1+G11/H11</f>
        <v>-0.4</v>
      </c>
      <c r="J11" s="318">
        <f>+J10</f>
        <v>0.03</v>
      </c>
      <c r="K11" s="318">
        <v>0.05</v>
      </c>
      <c r="L11" s="319">
        <f t="shared" si="2"/>
        <v>-0.4</v>
      </c>
      <c r="M11" s="313"/>
      <c r="N11" s="313"/>
      <c r="O11" s="313"/>
      <c r="P11" s="313"/>
      <c r="Q11" s="313"/>
      <c r="R11" s="314"/>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313"/>
      <c r="CM11" s="313"/>
      <c r="CN11" s="313"/>
      <c r="CO11" s="313"/>
      <c r="CP11" s="313"/>
      <c r="CQ11" s="313"/>
      <c r="CR11" s="313"/>
      <c r="CS11" s="313"/>
      <c r="CT11" s="313"/>
      <c r="CU11" s="313"/>
      <c r="CV11" s="313"/>
      <c r="CW11" s="313"/>
      <c r="CX11" s="313"/>
      <c r="CY11" s="313"/>
      <c r="CZ11" s="313"/>
      <c r="DA11" s="313"/>
      <c r="DB11" s="313"/>
      <c r="DC11" s="313"/>
      <c r="DD11" s="313"/>
      <c r="DE11" s="313"/>
      <c r="DF11" s="313"/>
      <c r="DG11" s="313"/>
      <c r="DH11" s="313"/>
      <c r="DI11" s="313"/>
      <c r="DJ11" s="313"/>
      <c r="DK11" s="313"/>
      <c r="DL11" s="313"/>
      <c r="DM11" s="313"/>
      <c r="DN11" s="313"/>
      <c r="DO11" s="313"/>
      <c r="DP11" s="313"/>
      <c r="DQ11" s="313"/>
      <c r="DR11" s="313"/>
      <c r="DS11" s="313"/>
      <c r="DT11" s="313"/>
      <c r="DU11" s="313"/>
      <c r="DV11" s="313"/>
      <c r="DW11" s="313"/>
      <c r="DX11" s="313"/>
      <c r="DY11" s="313"/>
      <c r="DZ11" s="313"/>
      <c r="EA11" s="313"/>
      <c r="EB11" s="313"/>
      <c r="EC11" s="313"/>
      <c r="ED11" s="313"/>
      <c r="EE11" s="313"/>
      <c r="EF11" s="313"/>
      <c r="EG11" s="313"/>
      <c r="EH11" s="313"/>
      <c r="EI11" s="313"/>
      <c r="EJ11" s="313"/>
      <c r="EK11" s="313"/>
      <c r="EL11" s="313"/>
      <c r="EM11" s="313"/>
      <c r="EN11" s="313"/>
      <c r="EO11" s="313"/>
      <c r="EP11" s="313"/>
      <c r="EQ11" s="313"/>
      <c r="ER11" s="313"/>
      <c r="ES11" s="313"/>
      <c r="ET11" s="313"/>
      <c r="EU11" s="313"/>
      <c r="EV11" s="313"/>
      <c r="EW11" s="313"/>
      <c r="EX11" s="313"/>
      <c r="EY11" s="313"/>
      <c r="EZ11" s="313"/>
      <c r="FA11" s="313"/>
      <c r="FB11" s="313"/>
      <c r="FC11" s="313"/>
      <c r="FD11" s="313"/>
      <c r="FE11" s="313"/>
      <c r="FF11" s="313"/>
      <c r="FG11" s="313"/>
      <c r="FH11" s="313"/>
      <c r="FI11" s="313"/>
      <c r="FJ11" s="313"/>
      <c r="FK11" s="313"/>
      <c r="FL11" s="313"/>
      <c r="FM11" s="313"/>
      <c r="FN11" s="313"/>
      <c r="FO11" s="313"/>
      <c r="FP11" s="313"/>
      <c r="FQ11" s="313"/>
      <c r="FR11" s="313"/>
      <c r="FS11" s="313"/>
      <c r="FT11" s="313"/>
      <c r="FU11" s="313"/>
      <c r="FV11" s="313"/>
      <c r="FW11" s="313"/>
      <c r="FX11" s="313"/>
      <c r="FY11" s="313"/>
      <c r="FZ11" s="313"/>
      <c r="GA11" s="313"/>
      <c r="GB11" s="313"/>
      <c r="GC11" s="313"/>
      <c r="GD11" s="313"/>
      <c r="GE11" s="313"/>
      <c r="GF11" s="313"/>
      <c r="GG11" s="313"/>
      <c r="GH11" s="313"/>
      <c r="GI11" s="313"/>
      <c r="GJ11" s="313"/>
      <c r="GK11" s="313"/>
      <c r="GL11" s="313"/>
      <c r="GM11" s="313"/>
      <c r="GN11" s="313"/>
      <c r="GO11" s="313"/>
      <c r="GP11" s="313"/>
      <c r="GQ11" s="313"/>
      <c r="GR11" s="313"/>
      <c r="GS11" s="313"/>
      <c r="GT11" s="313"/>
      <c r="GU11" s="313"/>
      <c r="GV11" s="313"/>
      <c r="GW11" s="313"/>
      <c r="GX11" s="313"/>
      <c r="GY11" s="313"/>
      <c r="GZ11" s="313"/>
      <c r="HA11" s="313"/>
      <c r="HB11" s="313"/>
      <c r="HC11" s="313"/>
      <c r="HD11" s="313"/>
      <c r="HE11" s="313"/>
      <c r="HF11" s="313"/>
      <c r="HG11" s="313"/>
      <c r="HH11" s="313"/>
      <c r="HI11" s="313"/>
      <c r="HJ11" s="313"/>
      <c r="HK11" s="313"/>
      <c r="HL11" s="313"/>
      <c r="HM11" s="313"/>
      <c r="HN11" s="313"/>
      <c r="HO11" s="313"/>
      <c r="HP11" s="313"/>
      <c r="HQ11" s="313"/>
      <c r="HR11" s="313"/>
      <c r="HS11" s="313"/>
      <c r="HT11" s="313"/>
      <c r="HU11" s="313"/>
      <c r="HV11" s="313"/>
      <c r="HW11" s="313"/>
      <c r="HX11" s="313"/>
      <c r="HY11" s="313"/>
      <c r="HZ11" s="313"/>
      <c r="IA11" s="313"/>
      <c r="IB11" s="313"/>
      <c r="IC11" s="313"/>
      <c r="ID11" s="313"/>
      <c r="IE11" s="313"/>
      <c r="IF11" s="313"/>
      <c r="IG11" s="313"/>
      <c r="IH11" s="313"/>
      <c r="II11" s="313"/>
      <c r="IJ11" s="313"/>
      <c r="IK11" s="313"/>
      <c r="IL11" s="313"/>
      <c r="IM11" s="313"/>
      <c r="IN11" s="313"/>
      <c r="IO11" s="313"/>
      <c r="IP11" s="313"/>
      <c r="IQ11" s="313"/>
      <c r="IR11" s="313"/>
      <c r="IS11" s="313"/>
      <c r="IT11" s="313"/>
      <c r="IU11" s="313"/>
    </row>
    <row r="12" spans="1:255">
      <c r="A12" s="330"/>
      <c r="B12" s="313" t="s">
        <v>218</v>
      </c>
      <c r="C12" s="331"/>
      <c r="D12" s="318">
        <f>+D13/3*2</f>
        <v>-5.8666666666666666E-2</v>
      </c>
      <c r="E12" s="327">
        <v>-0.12</v>
      </c>
      <c r="F12" s="319">
        <f t="shared" si="3"/>
        <v>-0.51111111111111107</v>
      </c>
      <c r="G12" s="318">
        <f t="shared" si="1"/>
        <v>0.05</v>
      </c>
      <c r="H12" s="318">
        <v>0.10138613861386132</v>
      </c>
      <c r="I12" s="319">
        <f>-1+G12/H12</f>
        <v>-0.50683593749999967</v>
      </c>
      <c r="J12" s="318">
        <f>+J13/3*2</f>
        <v>6.0198019801980168E-2</v>
      </c>
      <c r="K12" s="318">
        <v>0.11405940594059399</v>
      </c>
      <c r="L12" s="319">
        <f>-1+J12/K12</f>
        <v>-0.47222222222222221</v>
      </c>
      <c r="M12" s="313"/>
      <c r="N12" s="313"/>
      <c r="O12" s="313"/>
      <c r="P12" s="313"/>
      <c r="Q12" s="313"/>
      <c r="R12" s="314"/>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C12" s="313"/>
      <c r="DD12" s="313"/>
      <c r="DE12" s="313"/>
      <c r="DF12" s="313"/>
      <c r="DG12" s="313"/>
      <c r="DH12" s="313"/>
      <c r="DI12" s="313"/>
      <c r="DJ12" s="313"/>
      <c r="DK12" s="313"/>
      <c r="DL12" s="313"/>
      <c r="DM12" s="313"/>
      <c r="DN12" s="313"/>
      <c r="DO12" s="313"/>
      <c r="DP12" s="313"/>
      <c r="DQ12" s="313"/>
      <c r="DR12" s="313"/>
      <c r="DS12" s="313"/>
      <c r="DT12" s="313"/>
      <c r="DU12" s="313"/>
      <c r="DV12" s="313"/>
      <c r="DW12" s="313"/>
      <c r="DX12" s="313"/>
      <c r="DY12" s="313"/>
      <c r="DZ12" s="313"/>
      <c r="EA12" s="313"/>
      <c r="EB12" s="313"/>
      <c r="EC12" s="313"/>
      <c r="ED12" s="313"/>
      <c r="EE12" s="313"/>
      <c r="EF12" s="313"/>
      <c r="EG12" s="313"/>
      <c r="EH12" s="313"/>
      <c r="EI12" s="313"/>
      <c r="EJ12" s="313"/>
      <c r="EK12" s="313"/>
      <c r="EL12" s="313"/>
      <c r="EM12" s="313"/>
      <c r="EN12" s="313"/>
      <c r="EO12" s="313"/>
      <c r="EP12" s="313"/>
      <c r="EQ12" s="313"/>
      <c r="ER12" s="313"/>
      <c r="ES12" s="313"/>
      <c r="ET12" s="313"/>
      <c r="EU12" s="313"/>
      <c r="EV12" s="313"/>
      <c r="EW12" s="313"/>
      <c r="EX12" s="313"/>
      <c r="EY12" s="313"/>
      <c r="EZ12" s="313"/>
      <c r="FA12" s="313"/>
      <c r="FB12" s="313"/>
      <c r="FC12" s="313"/>
      <c r="FD12" s="313"/>
      <c r="FE12" s="313"/>
      <c r="FF12" s="313"/>
      <c r="FG12" s="313"/>
      <c r="FH12" s="313"/>
      <c r="FI12" s="313"/>
      <c r="FJ12" s="313"/>
      <c r="FK12" s="313"/>
      <c r="FL12" s="313"/>
      <c r="FM12" s="313"/>
      <c r="FN12" s="313"/>
      <c r="FO12" s="313"/>
      <c r="FP12" s="313"/>
      <c r="FQ12" s="313"/>
      <c r="FR12" s="313"/>
      <c r="FS12" s="313"/>
      <c r="FT12" s="313"/>
      <c r="FU12" s="313"/>
      <c r="FV12" s="313"/>
      <c r="FW12" s="313"/>
      <c r="FX12" s="313"/>
      <c r="FY12" s="313"/>
      <c r="FZ12" s="313"/>
      <c r="GA12" s="313"/>
      <c r="GB12" s="313"/>
      <c r="GC12" s="313"/>
      <c r="GD12" s="313"/>
      <c r="GE12" s="313"/>
      <c r="GF12" s="313"/>
      <c r="GG12" s="313"/>
      <c r="GH12" s="313"/>
      <c r="GI12" s="313"/>
      <c r="GJ12" s="313"/>
      <c r="GK12" s="313"/>
      <c r="GL12" s="313"/>
      <c r="GM12" s="313"/>
      <c r="GN12" s="313"/>
      <c r="GO12" s="313"/>
      <c r="GP12" s="313"/>
      <c r="GQ12" s="313"/>
      <c r="GR12" s="313"/>
      <c r="GS12" s="313"/>
      <c r="GT12" s="313"/>
      <c r="GU12" s="313"/>
      <c r="GV12" s="313"/>
      <c r="GW12" s="313"/>
      <c r="GX12" s="313"/>
      <c r="GY12" s="313"/>
      <c r="GZ12" s="313"/>
      <c r="HA12" s="313"/>
      <c r="HB12" s="313"/>
      <c r="HC12" s="313"/>
      <c r="HD12" s="313"/>
      <c r="HE12" s="313"/>
      <c r="HF12" s="313"/>
      <c r="HG12" s="313"/>
      <c r="HH12" s="313"/>
      <c r="HI12" s="313"/>
      <c r="HJ12" s="313"/>
      <c r="HK12" s="313"/>
      <c r="HL12" s="313"/>
      <c r="HM12" s="313"/>
      <c r="HN12" s="313"/>
      <c r="HO12" s="313"/>
      <c r="HP12" s="313"/>
      <c r="HQ12" s="313"/>
      <c r="HR12" s="313"/>
      <c r="HS12" s="313"/>
      <c r="HT12" s="313"/>
      <c r="HU12" s="313"/>
      <c r="HV12" s="313"/>
      <c r="HW12" s="313"/>
      <c r="HX12" s="313"/>
      <c r="HY12" s="313"/>
      <c r="HZ12" s="313"/>
      <c r="IA12" s="313"/>
      <c r="IB12" s="313"/>
      <c r="IC12" s="313"/>
      <c r="ID12" s="313"/>
      <c r="IE12" s="313"/>
      <c r="IF12" s="313"/>
      <c r="IG12" s="313"/>
      <c r="IH12" s="313"/>
      <c r="II12" s="313"/>
      <c r="IJ12" s="313"/>
      <c r="IK12" s="313"/>
      <c r="IL12" s="313"/>
      <c r="IM12" s="313"/>
      <c r="IN12" s="313"/>
      <c r="IO12" s="313"/>
      <c r="IP12" s="313"/>
      <c r="IQ12" s="313"/>
      <c r="IR12" s="313"/>
      <c r="IS12" s="313"/>
      <c r="IT12" s="313"/>
      <c r="IU12" s="313"/>
    </row>
    <row r="13" spans="1:255">
      <c r="A13" s="330"/>
      <c r="B13" s="313" t="s">
        <v>219</v>
      </c>
      <c r="C13" s="316"/>
      <c r="D13" s="318">
        <f t="shared" si="0"/>
        <v>-8.7999999999999995E-2</v>
      </c>
      <c r="E13" s="327">
        <v>-0.18</v>
      </c>
      <c r="F13" s="319">
        <f t="shared" si="3"/>
        <v>-0.51111111111111107</v>
      </c>
      <c r="G13" s="318">
        <f t="shared" si="1"/>
        <v>0.08</v>
      </c>
      <c r="H13" s="318">
        <v>0.15207920792079199</v>
      </c>
      <c r="I13" s="319">
        <f>-1+G13/H13</f>
        <v>-0.47395833333333304</v>
      </c>
      <c r="J13" s="318">
        <f>0.475247524752475*J14</f>
        <v>9.0297029702970252E-2</v>
      </c>
      <c r="K13" s="318">
        <v>0.17108910891089099</v>
      </c>
      <c r="L13" s="319">
        <f>-1+J13/K13</f>
        <v>-0.47222222222222221</v>
      </c>
      <c r="M13" s="313"/>
      <c r="N13" s="313"/>
      <c r="O13" s="313"/>
      <c r="P13" s="313"/>
      <c r="Q13" s="313"/>
      <c r="R13" s="314"/>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I13" s="313"/>
      <c r="CJ13" s="313"/>
      <c r="CK13" s="313"/>
      <c r="CL13" s="313"/>
      <c r="CM13" s="313"/>
      <c r="CN13" s="313"/>
      <c r="CO13" s="313"/>
      <c r="CP13" s="313"/>
      <c r="CQ13" s="313"/>
      <c r="CR13" s="313"/>
      <c r="CS13" s="313"/>
      <c r="CT13" s="313"/>
      <c r="CU13" s="313"/>
      <c r="CV13" s="313"/>
      <c r="CW13" s="313"/>
      <c r="CX13" s="313"/>
      <c r="CY13" s="313"/>
      <c r="CZ13" s="313"/>
      <c r="DA13" s="313"/>
      <c r="DB13" s="313"/>
      <c r="DC13" s="313"/>
      <c r="DD13" s="313"/>
      <c r="DE13" s="313"/>
      <c r="DF13" s="313"/>
      <c r="DG13" s="313"/>
      <c r="DH13" s="313"/>
      <c r="DI13" s="313"/>
      <c r="DJ13" s="313"/>
      <c r="DK13" s="313"/>
      <c r="DL13" s="313"/>
      <c r="DM13" s="313"/>
      <c r="DN13" s="313"/>
      <c r="DO13" s="313"/>
      <c r="DP13" s="313"/>
      <c r="DQ13" s="313"/>
      <c r="DR13" s="313"/>
      <c r="DS13" s="313"/>
      <c r="DT13" s="313"/>
      <c r="DU13" s="313"/>
      <c r="DV13" s="313"/>
      <c r="DW13" s="313"/>
      <c r="DX13" s="313"/>
      <c r="DY13" s="313"/>
      <c r="DZ13" s="313"/>
      <c r="EA13" s="313"/>
      <c r="EB13" s="313"/>
      <c r="EC13" s="313"/>
      <c r="ED13" s="313"/>
      <c r="EE13" s="313"/>
      <c r="EF13" s="313"/>
      <c r="EG13" s="313"/>
      <c r="EH13" s="313"/>
      <c r="EI13" s="313"/>
      <c r="EJ13" s="313"/>
      <c r="EK13" s="313"/>
      <c r="EL13" s="313"/>
      <c r="EM13" s="313"/>
      <c r="EN13" s="313"/>
      <c r="EO13" s="313"/>
      <c r="EP13" s="313"/>
      <c r="EQ13" s="313"/>
      <c r="ER13" s="313"/>
      <c r="ES13" s="313"/>
      <c r="ET13" s="313"/>
      <c r="EU13" s="313"/>
      <c r="EV13" s="313"/>
      <c r="EW13" s="313"/>
      <c r="EX13" s="313"/>
      <c r="EY13" s="313"/>
      <c r="EZ13" s="313"/>
      <c r="FA13" s="313"/>
      <c r="FB13" s="313"/>
      <c r="FC13" s="313"/>
      <c r="FD13" s="313"/>
      <c r="FE13" s="313"/>
      <c r="FF13" s="313"/>
      <c r="FG13" s="313"/>
      <c r="FH13" s="313"/>
      <c r="FI13" s="313"/>
      <c r="FJ13" s="313"/>
      <c r="FK13" s="313"/>
      <c r="FL13" s="313"/>
      <c r="FM13" s="313"/>
      <c r="FN13" s="313"/>
      <c r="FO13" s="313"/>
      <c r="FP13" s="313"/>
      <c r="FQ13" s="313"/>
      <c r="FR13" s="313"/>
      <c r="FS13" s="313"/>
      <c r="FT13" s="313"/>
      <c r="FU13" s="313"/>
      <c r="FV13" s="313"/>
      <c r="FW13" s="313"/>
      <c r="FX13" s="313"/>
      <c r="FY13" s="313"/>
      <c r="FZ13" s="313"/>
      <c r="GA13" s="313"/>
      <c r="GB13" s="313"/>
      <c r="GC13" s="313"/>
      <c r="GD13" s="313"/>
      <c r="GE13" s="313"/>
      <c r="GF13" s="313"/>
      <c r="GG13" s="313"/>
      <c r="GH13" s="313"/>
      <c r="GI13" s="313"/>
      <c r="GJ13" s="313"/>
      <c r="GK13" s="313"/>
      <c r="GL13" s="313"/>
      <c r="GM13" s="313"/>
      <c r="GN13" s="313"/>
      <c r="GO13" s="313"/>
      <c r="GP13" s="313"/>
      <c r="GQ13" s="313"/>
      <c r="GR13" s="313"/>
      <c r="GS13" s="313"/>
      <c r="GT13" s="313"/>
      <c r="GU13" s="313"/>
      <c r="GV13" s="313"/>
      <c r="GW13" s="313"/>
      <c r="GX13" s="313"/>
      <c r="GY13" s="313"/>
      <c r="GZ13" s="313"/>
      <c r="HA13" s="313"/>
      <c r="HB13" s="313"/>
      <c r="HC13" s="313"/>
      <c r="HD13" s="313"/>
      <c r="HE13" s="313"/>
      <c r="HF13" s="313"/>
      <c r="HG13" s="313"/>
      <c r="HH13" s="313"/>
      <c r="HI13" s="313"/>
      <c r="HJ13" s="313"/>
      <c r="HK13" s="313"/>
      <c r="HL13" s="313"/>
      <c r="HM13" s="313"/>
      <c r="HN13" s="313"/>
      <c r="HO13" s="313"/>
      <c r="HP13" s="313"/>
      <c r="HQ13" s="313"/>
      <c r="HR13" s="313"/>
      <c r="HS13" s="313"/>
      <c r="HT13" s="313"/>
      <c r="HU13" s="313"/>
      <c r="HV13" s="313"/>
      <c r="HW13" s="313"/>
      <c r="HX13" s="313"/>
      <c r="HY13" s="313"/>
      <c r="HZ13" s="313"/>
      <c r="IA13" s="313"/>
      <c r="IB13" s="313"/>
      <c r="IC13" s="313"/>
      <c r="ID13" s="313"/>
      <c r="IE13" s="313"/>
      <c r="IF13" s="313"/>
      <c r="IG13" s="313"/>
      <c r="IH13" s="313"/>
      <c r="II13" s="313"/>
      <c r="IJ13" s="313"/>
      <c r="IK13" s="313"/>
      <c r="IL13" s="313"/>
      <c r="IM13" s="313"/>
      <c r="IN13" s="313"/>
      <c r="IO13" s="313"/>
      <c r="IP13" s="313"/>
      <c r="IQ13" s="313"/>
      <c r="IR13" s="313"/>
      <c r="IS13" s="313"/>
      <c r="IT13" s="313"/>
      <c r="IU13" s="313"/>
    </row>
    <row r="14" spans="1:255">
      <c r="A14" s="330"/>
      <c r="B14" s="313" t="s">
        <v>220</v>
      </c>
      <c r="C14" s="316"/>
      <c r="D14" s="318">
        <f t="shared" si="0"/>
        <v>-0.18099999999999999</v>
      </c>
      <c r="E14" s="327">
        <v>-0.37</v>
      </c>
      <c r="F14" s="319">
        <f t="shared" si="3"/>
        <v>-0.51081081081081081</v>
      </c>
      <c r="G14" s="318">
        <f t="shared" si="1"/>
        <v>0.17</v>
      </c>
      <c r="H14" s="332">
        <v>0.32</v>
      </c>
      <c r="I14" s="319">
        <f t="shared" ref="I14:I20" si="4">-1+G14/H14</f>
        <v>-0.46875</v>
      </c>
      <c r="J14" s="318">
        <f t="shared" ref="J14:J15" si="5">ROUND(+K14*(1+$L$6),2)</f>
        <v>0.19</v>
      </c>
      <c r="K14" s="332">
        <v>0.36</v>
      </c>
      <c r="L14" s="319">
        <f t="shared" ref="L14:L20" si="6">-1+J14/K14</f>
        <v>-0.47222222222222221</v>
      </c>
      <c r="M14" s="313"/>
      <c r="N14" s="313"/>
      <c r="O14" s="313"/>
      <c r="P14" s="313"/>
      <c r="Q14" s="313"/>
      <c r="R14" s="314"/>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3"/>
      <c r="CG14" s="313"/>
      <c r="CH14" s="313"/>
      <c r="CI14" s="313"/>
      <c r="CJ14" s="313"/>
      <c r="CK14" s="313"/>
      <c r="CL14" s="313"/>
      <c r="CM14" s="313"/>
      <c r="CN14" s="313"/>
      <c r="CO14" s="313"/>
      <c r="CP14" s="313"/>
      <c r="CQ14" s="313"/>
      <c r="CR14" s="313"/>
      <c r="CS14" s="313"/>
      <c r="CT14" s="313"/>
      <c r="CU14" s="313"/>
      <c r="CV14" s="313"/>
      <c r="CW14" s="313"/>
      <c r="CX14" s="313"/>
      <c r="CY14" s="313"/>
      <c r="CZ14" s="313"/>
      <c r="DA14" s="313"/>
      <c r="DB14" s="313"/>
      <c r="DC14" s="313"/>
      <c r="DD14" s="313"/>
      <c r="DE14" s="313"/>
      <c r="DF14" s="313"/>
      <c r="DG14" s="313"/>
      <c r="DH14" s="313"/>
      <c r="DI14" s="313"/>
      <c r="DJ14" s="313"/>
      <c r="DK14" s="313"/>
      <c r="DL14" s="313"/>
      <c r="DM14" s="313"/>
      <c r="DN14" s="313"/>
      <c r="DO14" s="313"/>
      <c r="DP14" s="313"/>
      <c r="DQ14" s="313"/>
      <c r="DR14" s="313"/>
      <c r="DS14" s="313"/>
      <c r="DT14" s="313"/>
      <c r="DU14" s="313"/>
      <c r="DV14" s="313"/>
      <c r="DW14" s="313"/>
      <c r="DX14" s="313"/>
      <c r="DY14" s="313"/>
      <c r="DZ14" s="313"/>
      <c r="EA14" s="313"/>
      <c r="EB14" s="313"/>
      <c r="EC14" s="313"/>
      <c r="ED14" s="313"/>
      <c r="EE14" s="313"/>
      <c r="EF14" s="313"/>
      <c r="EG14" s="313"/>
      <c r="EH14" s="313"/>
      <c r="EI14" s="313"/>
      <c r="EJ14" s="313"/>
      <c r="EK14" s="313"/>
      <c r="EL14" s="313"/>
      <c r="EM14" s="313"/>
      <c r="EN14" s="313"/>
      <c r="EO14" s="313"/>
      <c r="EP14" s="313"/>
      <c r="EQ14" s="313"/>
      <c r="ER14" s="313"/>
      <c r="ES14" s="313"/>
      <c r="ET14" s="313"/>
      <c r="EU14" s="313"/>
      <c r="EV14" s="313"/>
      <c r="EW14" s="313"/>
      <c r="EX14" s="313"/>
      <c r="EY14" s="313"/>
      <c r="EZ14" s="313"/>
      <c r="FA14" s="313"/>
      <c r="FB14" s="313"/>
      <c r="FC14" s="313"/>
      <c r="FD14" s="313"/>
      <c r="FE14" s="313"/>
      <c r="FF14" s="313"/>
      <c r="FG14" s="313"/>
      <c r="FH14" s="313"/>
      <c r="FI14" s="313"/>
      <c r="FJ14" s="313"/>
      <c r="FK14" s="313"/>
      <c r="FL14" s="313"/>
      <c r="FM14" s="313"/>
      <c r="FN14" s="313"/>
      <c r="FO14" s="313"/>
      <c r="FP14" s="313"/>
      <c r="FQ14" s="313"/>
      <c r="FR14" s="313"/>
      <c r="FS14" s="313"/>
      <c r="FT14" s="313"/>
      <c r="FU14" s="313"/>
      <c r="FV14" s="313"/>
      <c r="FW14" s="313"/>
      <c r="FX14" s="313"/>
      <c r="FY14" s="313"/>
      <c r="FZ14" s="313"/>
      <c r="GA14" s="313"/>
      <c r="GB14" s="313"/>
      <c r="GC14" s="313"/>
      <c r="GD14" s="313"/>
      <c r="GE14" s="313"/>
      <c r="GF14" s="313"/>
      <c r="GG14" s="313"/>
      <c r="GH14" s="313"/>
      <c r="GI14" s="313"/>
      <c r="GJ14" s="313"/>
      <c r="GK14" s="313"/>
      <c r="GL14" s="313"/>
      <c r="GM14" s="313"/>
      <c r="GN14" s="313"/>
      <c r="GO14" s="313"/>
      <c r="GP14" s="313"/>
      <c r="GQ14" s="313"/>
      <c r="GR14" s="313"/>
      <c r="GS14" s="313"/>
      <c r="GT14" s="313"/>
      <c r="GU14" s="313"/>
      <c r="GV14" s="313"/>
      <c r="GW14" s="313"/>
      <c r="GX14" s="313"/>
      <c r="GY14" s="313"/>
      <c r="GZ14" s="313"/>
      <c r="HA14" s="313"/>
      <c r="HB14" s="313"/>
      <c r="HC14" s="313"/>
      <c r="HD14" s="313"/>
      <c r="HE14" s="313"/>
      <c r="HF14" s="313"/>
      <c r="HG14" s="313"/>
      <c r="HH14" s="313"/>
      <c r="HI14" s="313"/>
      <c r="HJ14" s="313"/>
      <c r="HK14" s="313"/>
      <c r="HL14" s="313"/>
      <c r="HM14" s="313"/>
      <c r="HN14" s="313"/>
      <c r="HO14" s="313"/>
      <c r="HP14" s="313"/>
      <c r="HQ14" s="313"/>
      <c r="HR14" s="313"/>
      <c r="HS14" s="313"/>
      <c r="HT14" s="313"/>
      <c r="HU14" s="313"/>
      <c r="HV14" s="313"/>
      <c r="HW14" s="313"/>
      <c r="HX14" s="313"/>
      <c r="HY14" s="313"/>
      <c r="HZ14" s="313"/>
      <c r="IA14" s="313"/>
      <c r="IB14" s="313"/>
      <c r="IC14" s="313"/>
      <c r="ID14" s="313"/>
      <c r="IE14" s="313"/>
      <c r="IF14" s="313"/>
      <c r="IG14" s="313"/>
      <c r="IH14" s="313"/>
      <c r="II14" s="313"/>
      <c r="IJ14" s="313"/>
      <c r="IK14" s="313"/>
      <c r="IL14" s="313"/>
      <c r="IM14" s="313"/>
      <c r="IN14" s="313"/>
      <c r="IO14" s="313"/>
      <c r="IP14" s="313"/>
      <c r="IQ14" s="313"/>
      <c r="IR14" s="313"/>
      <c r="IS14" s="313"/>
      <c r="IT14" s="313"/>
      <c r="IU14" s="313"/>
    </row>
    <row r="15" spans="1:255">
      <c r="A15" s="330"/>
      <c r="B15" s="313" t="s">
        <v>221</v>
      </c>
      <c r="C15" s="316"/>
      <c r="D15" s="318">
        <f t="shared" si="0"/>
        <v>-0.27</v>
      </c>
      <c r="E15" s="327">
        <v>-0.55000000000000004</v>
      </c>
      <c r="F15" s="319">
        <f t="shared" si="3"/>
        <v>-0.50909090909090904</v>
      </c>
      <c r="G15" s="318">
        <f t="shared" si="1"/>
        <v>0.22</v>
      </c>
      <c r="H15" s="318">
        <v>0.42</v>
      </c>
      <c r="I15" s="319">
        <f t="shared" si="4"/>
        <v>-0.47619047619047616</v>
      </c>
      <c r="J15" s="318">
        <f t="shared" si="5"/>
        <v>0.28000000000000003</v>
      </c>
      <c r="K15" s="318">
        <f>+K14*1.5</f>
        <v>0.54</v>
      </c>
      <c r="L15" s="319">
        <f t="shared" si="6"/>
        <v>-0.48148148148148151</v>
      </c>
      <c r="M15" s="313"/>
      <c r="N15" s="313"/>
      <c r="O15" s="313"/>
      <c r="P15" s="313"/>
      <c r="Q15" s="313"/>
      <c r="R15" s="314"/>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313"/>
      <c r="GZ15" s="313"/>
      <c r="HA15" s="313"/>
      <c r="HB15" s="313"/>
      <c r="HC15" s="313"/>
      <c r="HD15" s="313"/>
      <c r="HE15" s="313"/>
      <c r="HF15" s="313"/>
      <c r="HG15" s="313"/>
      <c r="HH15" s="313"/>
      <c r="HI15" s="313"/>
      <c r="HJ15" s="313"/>
      <c r="HK15" s="313"/>
      <c r="HL15" s="313"/>
      <c r="HM15" s="313"/>
      <c r="HN15" s="313"/>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c r="IS15" s="313"/>
      <c r="IT15" s="313"/>
      <c r="IU15" s="313"/>
    </row>
    <row r="16" spans="1:255">
      <c r="A16" s="330"/>
      <c r="B16" s="313" t="s">
        <v>222</v>
      </c>
      <c r="C16" s="316"/>
      <c r="D16" s="318">
        <f t="shared" si="0"/>
        <v>-0.36299999999999999</v>
      </c>
      <c r="E16" s="327">
        <v>-0.74</v>
      </c>
      <c r="F16" s="319">
        <f t="shared" si="3"/>
        <v>-0.50945945945945947</v>
      </c>
      <c r="G16" s="318">
        <f t="shared" si="1"/>
        <v>0.33</v>
      </c>
      <c r="H16" s="318">
        <v>0.64</v>
      </c>
      <c r="I16" s="319">
        <f t="shared" si="4"/>
        <v>-0.484375</v>
      </c>
      <c r="J16" s="318">
        <f>+J14*2</f>
        <v>0.38</v>
      </c>
      <c r="K16" s="318">
        <f>+K14*2</f>
        <v>0.72</v>
      </c>
      <c r="L16" s="319">
        <f t="shared" si="6"/>
        <v>-0.47222222222222221</v>
      </c>
      <c r="M16" s="313"/>
      <c r="N16" s="313"/>
      <c r="O16" s="313"/>
      <c r="P16" s="313"/>
      <c r="Q16" s="313"/>
      <c r="R16" s="314"/>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3"/>
      <c r="EN16" s="313"/>
      <c r="EO16" s="313"/>
      <c r="EP16" s="313"/>
      <c r="EQ16" s="313"/>
      <c r="ER16" s="313"/>
      <c r="ES16" s="313"/>
      <c r="ET16" s="313"/>
      <c r="EU16" s="313"/>
      <c r="EV16" s="313"/>
      <c r="EW16" s="313"/>
      <c r="EX16" s="313"/>
      <c r="EY16" s="313"/>
      <c r="EZ16" s="313"/>
      <c r="FA16" s="313"/>
      <c r="FB16" s="313"/>
      <c r="FC16" s="313"/>
      <c r="FD16" s="313"/>
      <c r="FE16" s="313"/>
      <c r="FF16" s="313"/>
      <c r="FG16" s="313"/>
      <c r="FH16" s="313"/>
      <c r="FI16" s="313"/>
      <c r="FJ16" s="313"/>
      <c r="FK16" s="313"/>
      <c r="FL16" s="313"/>
      <c r="FM16" s="313"/>
      <c r="FN16" s="313"/>
      <c r="FO16" s="313"/>
      <c r="FP16" s="313"/>
      <c r="FQ16" s="313"/>
      <c r="FR16" s="313"/>
      <c r="FS16" s="313"/>
      <c r="FT16" s="313"/>
      <c r="FU16" s="313"/>
      <c r="FV16" s="313"/>
      <c r="FW16" s="313"/>
      <c r="FX16" s="313"/>
      <c r="FY16" s="313"/>
      <c r="FZ16" s="313"/>
      <c r="GA16" s="313"/>
      <c r="GB16" s="313"/>
      <c r="GC16" s="313"/>
      <c r="GD16" s="313"/>
      <c r="GE16" s="313"/>
      <c r="GF16" s="313"/>
      <c r="GG16" s="313"/>
      <c r="GH16" s="313"/>
      <c r="GI16" s="313"/>
      <c r="GJ16" s="313"/>
      <c r="GK16" s="313"/>
      <c r="GL16" s="313"/>
      <c r="GM16" s="313"/>
      <c r="GN16" s="313"/>
      <c r="GO16" s="313"/>
      <c r="GP16" s="313"/>
      <c r="GQ16" s="313"/>
      <c r="GR16" s="313"/>
      <c r="GS16" s="313"/>
      <c r="GT16" s="313"/>
      <c r="GU16" s="313"/>
      <c r="GV16" s="313"/>
      <c r="GW16" s="313"/>
      <c r="GX16" s="313"/>
      <c r="GY16" s="313"/>
      <c r="GZ16" s="313"/>
      <c r="HA16" s="313"/>
      <c r="HB16" s="313"/>
      <c r="HC16" s="313"/>
      <c r="HD16" s="313"/>
      <c r="HE16" s="313"/>
      <c r="HF16" s="313"/>
      <c r="HG16" s="313"/>
      <c r="HH16" s="313"/>
      <c r="HI16" s="313"/>
      <c r="HJ16" s="313"/>
      <c r="HK16" s="313"/>
      <c r="HL16" s="313"/>
      <c r="HM16" s="313"/>
      <c r="HN16" s="313"/>
      <c r="HO16" s="313"/>
      <c r="HP16" s="313"/>
      <c r="HQ16" s="313"/>
      <c r="HR16" s="313"/>
      <c r="HS16" s="313"/>
      <c r="HT16" s="313"/>
      <c r="HU16" s="313"/>
      <c r="HV16" s="313"/>
      <c r="HW16" s="313"/>
      <c r="HX16" s="313"/>
      <c r="HY16" s="313"/>
      <c r="HZ16" s="313"/>
      <c r="IA16" s="313"/>
      <c r="IB16" s="313"/>
      <c r="IC16" s="313"/>
      <c r="ID16" s="313"/>
      <c r="IE16" s="313"/>
      <c r="IF16" s="313"/>
      <c r="IG16" s="313"/>
      <c r="IH16" s="313"/>
      <c r="II16" s="313"/>
      <c r="IJ16" s="313"/>
      <c r="IK16" s="313"/>
      <c r="IL16" s="313"/>
      <c r="IM16" s="313"/>
      <c r="IN16" s="313"/>
      <c r="IO16" s="313"/>
      <c r="IP16" s="313"/>
      <c r="IQ16" s="313"/>
      <c r="IR16" s="313"/>
      <c r="IS16" s="313"/>
      <c r="IT16" s="313"/>
      <c r="IU16" s="313"/>
    </row>
    <row r="17" spans="1:255">
      <c r="A17" s="330"/>
      <c r="B17" s="313" t="s">
        <v>223</v>
      </c>
      <c r="C17" s="316"/>
      <c r="D17" s="318">
        <f t="shared" si="0"/>
        <v>-0.54400000000000004</v>
      </c>
      <c r="E17" s="327">
        <v>-1.1100000000000001</v>
      </c>
      <c r="F17" s="319">
        <f t="shared" si="3"/>
        <v>-0.50990990990990992</v>
      </c>
      <c r="G17" s="318">
        <f t="shared" si="1"/>
        <v>0.5</v>
      </c>
      <c r="H17" s="318">
        <v>0.96</v>
      </c>
      <c r="I17" s="319">
        <f t="shared" si="4"/>
        <v>-0.47916666666666663</v>
      </c>
      <c r="J17" s="318">
        <f>+J14*3</f>
        <v>0.57000000000000006</v>
      </c>
      <c r="K17" s="318">
        <f>+K14*3</f>
        <v>1.08</v>
      </c>
      <c r="L17" s="319">
        <f t="shared" si="6"/>
        <v>-0.47222222222222221</v>
      </c>
      <c r="M17" s="313"/>
      <c r="N17" s="313"/>
      <c r="O17" s="313"/>
      <c r="P17" s="313"/>
      <c r="Q17" s="313"/>
      <c r="R17" s="314"/>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313"/>
      <c r="CO17" s="313"/>
      <c r="CP17" s="313"/>
      <c r="CQ17" s="313"/>
      <c r="CR17" s="313"/>
      <c r="CS17" s="313"/>
      <c r="CT17" s="313"/>
      <c r="CU17" s="313"/>
      <c r="CV17" s="313"/>
      <c r="CW17" s="313"/>
      <c r="CX17" s="313"/>
      <c r="CY17" s="313"/>
      <c r="CZ17" s="313"/>
      <c r="DA17" s="313"/>
      <c r="DB17" s="313"/>
      <c r="DC17" s="313"/>
      <c r="DD17" s="313"/>
      <c r="DE17" s="313"/>
      <c r="DF17" s="313"/>
      <c r="DG17" s="313"/>
      <c r="DH17" s="313"/>
      <c r="DI17" s="313"/>
      <c r="DJ17" s="313"/>
      <c r="DK17" s="313"/>
      <c r="DL17" s="313"/>
      <c r="DM17" s="313"/>
      <c r="DN17" s="313"/>
      <c r="DO17" s="313"/>
      <c r="DP17" s="313"/>
      <c r="DQ17" s="313"/>
      <c r="DR17" s="313"/>
      <c r="DS17" s="313"/>
      <c r="DT17" s="313"/>
      <c r="DU17" s="313"/>
      <c r="DV17" s="313"/>
      <c r="DW17" s="313"/>
      <c r="DX17" s="313"/>
      <c r="DY17" s="313"/>
      <c r="DZ17" s="313"/>
      <c r="EA17" s="313"/>
      <c r="EB17" s="313"/>
      <c r="EC17" s="313"/>
      <c r="ED17" s="313"/>
      <c r="EE17" s="313"/>
      <c r="EF17" s="313"/>
      <c r="EG17" s="313"/>
      <c r="EH17" s="313"/>
      <c r="EI17" s="313"/>
      <c r="EJ17" s="313"/>
      <c r="EK17" s="313"/>
      <c r="EL17" s="313"/>
      <c r="EM17" s="313"/>
      <c r="EN17" s="313"/>
      <c r="EO17" s="313"/>
      <c r="EP17" s="313"/>
      <c r="EQ17" s="313"/>
      <c r="ER17" s="313"/>
      <c r="ES17" s="313"/>
      <c r="ET17" s="313"/>
      <c r="EU17" s="313"/>
      <c r="EV17" s="313"/>
      <c r="EW17" s="313"/>
      <c r="EX17" s="313"/>
      <c r="EY17" s="313"/>
      <c r="EZ17" s="313"/>
      <c r="FA17" s="313"/>
      <c r="FB17" s="313"/>
      <c r="FC17" s="313"/>
      <c r="FD17" s="313"/>
      <c r="FE17" s="313"/>
      <c r="FF17" s="313"/>
      <c r="FG17" s="313"/>
      <c r="FH17" s="313"/>
      <c r="FI17" s="313"/>
      <c r="FJ17" s="313"/>
      <c r="FK17" s="313"/>
      <c r="FL17" s="313"/>
      <c r="FM17" s="313"/>
      <c r="FN17" s="313"/>
      <c r="FO17" s="313"/>
      <c r="FP17" s="313"/>
      <c r="FQ17" s="313"/>
      <c r="FR17" s="313"/>
      <c r="FS17" s="313"/>
      <c r="FT17" s="313"/>
      <c r="FU17" s="313"/>
      <c r="FV17" s="313"/>
      <c r="FW17" s="313"/>
      <c r="FX17" s="313"/>
      <c r="FY17" s="313"/>
      <c r="FZ17" s="313"/>
      <c r="GA17" s="313"/>
      <c r="GB17" s="313"/>
      <c r="GC17" s="313"/>
      <c r="GD17" s="313"/>
      <c r="GE17" s="313"/>
      <c r="GF17" s="313"/>
      <c r="GG17" s="313"/>
      <c r="GH17" s="313"/>
      <c r="GI17" s="313"/>
      <c r="GJ17" s="313"/>
      <c r="GK17" s="313"/>
      <c r="GL17" s="313"/>
      <c r="GM17" s="313"/>
      <c r="GN17" s="313"/>
      <c r="GO17" s="313"/>
      <c r="GP17" s="313"/>
      <c r="GQ17" s="313"/>
      <c r="GR17" s="313"/>
      <c r="GS17" s="313"/>
      <c r="GT17" s="313"/>
      <c r="GU17" s="313"/>
      <c r="GV17" s="313"/>
      <c r="GW17" s="313"/>
      <c r="GX17" s="313"/>
      <c r="GY17" s="313"/>
      <c r="GZ17" s="313"/>
      <c r="HA17" s="313"/>
      <c r="HB17" s="313"/>
      <c r="HC17" s="313"/>
      <c r="HD17" s="313"/>
      <c r="HE17" s="313"/>
      <c r="HF17" s="313"/>
      <c r="HG17" s="313"/>
      <c r="HH17" s="313"/>
      <c r="HI17" s="313"/>
      <c r="HJ17" s="313"/>
      <c r="HK17" s="313"/>
      <c r="HL17" s="313"/>
      <c r="HM17" s="313"/>
      <c r="HN17" s="313"/>
      <c r="HO17" s="313"/>
      <c r="HP17" s="313"/>
      <c r="HQ17" s="313"/>
      <c r="HR17" s="313"/>
      <c r="HS17" s="313"/>
      <c r="HT17" s="313"/>
      <c r="HU17" s="313"/>
      <c r="HV17" s="313"/>
      <c r="HW17" s="313"/>
      <c r="HX17" s="313"/>
      <c r="HY17" s="313"/>
      <c r="HZ17" s="313"/>
      <c r="IA17" s="313"/>
      <c r="IB17" s="313"/>
      <c r="IC17" s="313"/>
      <c r="ID17" s="313"/>
      <c r="IE17" s="313"/>
      <c r="IF17" s="313"/>
      <c r="IG17" s="313"/>
      <c r="IH17" s="313"/>
      <c r="II17" s="313"/>
      <c r="IJ17" s="313"/>
      <c r="IK17" s="313"/>
      <c r="IL17" s="313"/>
      <c r="IM17" s="313"/>
      <c r="IN17" s="313"/>
      <c r="IO17" s="313"/>
      <c r="IP17" s="313"/>
      <c r="IQ17" s="313"/>
      <c r="IR17" s="313"/>
      <c r="IS17" s="313"/>
      <c r="IT17" s="313"/>
      <c r="IU17" s="313"/>
    </row>
    <row r="18" spans="1:255">
      <c r="A18" s="330"/>
      <c r="B18" s="313" t="s">
        <v>224</v>
      </c>
      <c r="C18" s="316"/>
      <c r="D18" s="318">
        <f t="shared" si="0"/>
        <v>-0.72599999999999998</v>
      </c>
      <c r="E18" s="327">
        <v>-1.48</v>
      </c>
      <c r="F18" s="319">
        <f t="shared" si="3"/>
        <v>-0.50945945945945947</v>
      </c>
      <c r="G18" s="318">
        <f t="shared" si="1"/>
        <v>0.67</v>
      </c>
      <c r="H18" s="318">
        <v>1.28</v>
      </c>
      <c r="I18" s="319">
        <f t="shared" si="4"/>
        <v>-0.4765625</v>
      </c>
      <c r="J18" s="318">
        <f>+J14*4</f>
        <v>0.76</v>
      </c>
      <c r="K18" s="318">
        <f>+K14*4</f>
        <v>1.44</v>
      </c>
      <c r="L18" s="319">
        <f t="shared" si="6"/>
        <v>-0.47222222222222221</v>
      </c>
      <c r="M18" s="313"/>
      <c r="N18" s="313"/>
      <c r="O18" s="313"/>
      <c r="P18" s="313"/>
      <c r="Q18" s="313"/>
      <c r="R18" s="314"/>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3"/>
      <c r="CV18" s="313"/>
      <c r="CW18" s="313"/>
      <c r="CX18" s="313"/>
      <c r="CY18" s="313"/>
      <c r="CZ18" s="313"/>
      <c r="DA18" s="313"/>
      <c r="DB18" s="313"/>
      <c r="DC18" s="313"/>
      <c r="DD18" s="313"/>
      <c r="DE18" s="313"/>
      <c r="DF18" s="313"/>
      <c r="DG18" s="313"/>
      <c r="DH18" s="313"/>
      <c r="DI18" s="313"/>
      <c r="DJ18" s="313"/>
      <c r="DK18" s="313"/>
      <c r="DL18" s="313"/>
      <c r="DM18" s="313"/>
      <c r="DN18" s="313"/>
      <c r="DO18" s="313"/>
      <c r="DP18" s="313"/>
      <c r="DQ18" s="313"/>
      <c r="DR18" s="313"/>
      <c r="DS18" s="313"/>
      <c r="DT18" s="313"/>
      <c r="DU18" s="313"/>
      <c r="DV18" s="313"/>
      <c r="DW18" s="313"/>
      <c r="DX18" s="313"/>
      <c r="DY18" s="313"/>
      <c r="DZ18" s="313"/>
      <c r="EA18" s="313"/>
      <c r="EB18" s="313"/>
      <c r="EC18" s="313"/>
      <c r="ED18" s="313"/>
      <c r="EE18" s="313"/>
      <c r="EF18" s="313"/>
      <c r="EG18" s="313"/>
      <c r="EH18" s="313"/>
      <c r="EI18" s="313"/>
      <c r="EJ18" s="313"/>
      <c r="EK18" s="313"/>
      <c r="EL18" s="313"/>
      <c r="EM18" s="313"/>
      <c r="EN18" s="313"/>
      <c r="EO18" s="313"/>
      <c r="EP18" s="313"/>
      <c r="EQ18" s="313"/>
      <c r="ER18" s="313"/>
      <c r="ES18" s="313"/>
      <c r="ET18" s="313"/>
      <c r="EU18" s="313"/>
      <c r="EV18" s="313"/>
      <c r="EW18" s="313"/>
      <c r="EX18" s="313"/>
      <c r="EY18" s="313"/>
      <c r="EZ18" s="313"/>
      <c r="FA18" s="313"/>
      <c r="FB18" s="313"/>
      <c r="FC18" s="313"/>
      <c r="FD18" s="313"/>
      <c r="FE18" s="313"/>
      <c r="FF18" s="313"/>
      <c r="FG18" s="313"/>
      <c r="FH18" s="313"/>
      <c r="FI18" s="313"/>
      <c r="FJ18" s="313"/>
      <c r="FK18" s="313"/>
      <c r="FL18" s="313"/>
      <c r="FM18" s="313"/>
      <c r="FN18" s="313"/>
      <c r="FO18" s="313"/>
      <c r="FP18" s="313"/>
      <c r="FQ18" s="313"/>
      <c r="FR18" s="313"/>
      <c r="FS18" s="313"/>
      <c r="FT18" s="313"/>
      <c r="FU18" s="313"/>
      <c r="FV18" s="313"/>
      <c r="FW18" s="313"/>
      <c r="FX18" s="313"/>
      <c r="FY18" s="313"/>
      <c r="FZ18" s="313"/>
      <c r="GA18" s="313"/>
      <c r="GB18" s="313"/>
      <c r="GC18" s="313"/>
      <c r="GD18" s="313"/>
      <c r="GE18" s="313"/>
      <c r="GF18" s="313"/>
      <c r="GG18" s="313"/>
      <c r="GH18" s="313"/>
      <c r="GI18" s="313"/>
      <c r="GJ18" s="313"/>
      <c r="GK18" s="313"/>
      <c r="GL18" s="313"/>
      <c r="GM18" s="313"/>
      <c r="GN18" s="313"/>
      <c r="GO18" s="313"/>
      <c r="GP18" s="313"/>
      <c r="GQ18" s="313"/>
      <c r="GR18" s="313"/>
      <c r="GS18" s="313"/>
      <c r="GT18" s="313"/>
      <c r="GU18" s="313"/>
      <c r="GV18" s="313"/>
      <c r="GW18" s="313"/>
      <c r="GX18" s="313"/>
      <c r="GY18" s="313"/>
      <c r="GZ18" s="313"/>
      <c r="HA18" s="313"/>
      <c r="HB18" s="313"/>
      <c r="HC18" s="313"/>
      <c r="HD18" s="313"/>
      <c r="HE18" s="313"/>
      <c r="HF18" s="313"/>
      <c r="HG18" s="313"/>
      <c r="HH18" s="313"/>
      <c r="HI18" s="313"/>
      <c r="HJ18" s="313"/>
      <c r="HK18" s="313"/>
      <c r="HL18" s="313"/>
      <c r="HM18" s="313"/>
      <c r="HN18" s="313"/>
      <c r="HO18" s="313"/>
      <c r="HP18" s="313"/>
      <c r="HQ18" s="313"/>
      <c r="HR18" s="313"/>
      <c r="HS18" s="313"/>
      <c r="HT18" s="313"/>
      <c r="HU18" s="313"/>
      <c r="HV18" s="313"/>
      <c r="HW18" s="313"/>
      <c r="HX18" s="313"/>
      <c r="HY18" s="313"/>
      <c r="HZ18" s="313"/>
      <c r="IA18" s="313"/>
      <c r="IB18" s="313"/>
      <c r="IC18" s="313"/>
      <c r="ID18" s="313"/>
      <c r="IE18" s="313"/>
      <c r="IF18" s="313"/>
      <c r="IG18" s="313"/>
      <c r="IH18" s="313"/>
      <c r="II18" s="313"/>
      <c r="IJ18" s="313"/>
      <c r="IK18" s="313"/>
      <c r="IL18" s="313"/>
      <c r="IM18" s="313"/>
      <c r="IN18" s="313"/>
      <c r="IO18" s="313"/>
      <c r="IP18" s="313"/>
      <c r="IQ18" s="313"/>
      <c r="IR18" s="313"/>
      <c r="IS18" s="313"/>
      <c r="IT18" s="313"/>
      <c r="IU18" s="313"/>
    </row>
    <row r="19" spans="1:255">
      <c r="A19" s="330"/>
      <c r="B19" s="313" t="s">
        <v>225</v>
      </c>
      <c r="C19" s="316"/>
      <c r="D19" s="318">
        <f t="shared" si="0"/>
        <v>-1.0840000000000001</v>
      </c>
      <c r="E19" s="327">
        <v>-2.21</v>
      </c>
      <c r="F19" s="319">
        <f t="shared" si="3"/>
        <v>-0.50950226244343888</v>
      </c>
      <c r="G19" s="318">
        <f t="shared" si="1"/>
        <v>1</v>
      </c>
      <c r="H19" s="318">
        <v>1.92</v>
      </c>
      <c r="I19" s="319">
        <f t="shared" si="4"/>
        <v>-0.47916666666666663</v>
      </c>
      <c r="J19" s="318">
        <f>+J14*6</f>
        <v>1.1400000000000001</v>
      </c>
      <c r="K19" s="318">
        <f>+K14*6</f>
        <v>2.16</v>
      </c>
      <c r="L19" s="319">
        <f t="shared" si="6"/>
        <v>-0.47222222222222221</v>
      </c>
      <c r="M19" s="313"/>
      <c r="N19" s="313"/>
      <c r="O19" s="313"/>
      <c r="P19" s="313"/>
      <c r="Q19" s="313"/>
      <c r="R19" s="314"/>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313"/>
      <c r="CM19" s="313"/>
      <c r="CN19" s="313"/>
      <c r="CO19" s="313"/>
      <c r="CP19" s="313"/>
      <c r="CQ19" s="313"/>
      <c r="CR19" s="313"/>
      <c r="CS19" s="313"/>
      <c r="CT19" s="313"/>
      <c r="CU19" s="313"/>
      <c r="CV19" s="313"/>
      <c r="CW19" s="313"/>
      <c r="CX19" s="313"/>
      <c r="CY19" s="313"/>
      <c r="CZ19" s="313"/>
      <c r="DA19" s="313"/>
      <c r="DB19" s="313"/>
      <c r="DC19" s="313"/>
      <c r="DD19" s="313"/>
      <c r="DE19" s="313"/>
      <c r="DF19" s="313"/>
      <c r="DG19" s="313"/>
      <c r="DH19" s="313"/>
      <c r="DI19" s="313"/>
      <c r="DJ19" s="313"/>
      <c r="DK19" s="313"/>
      <c r="DL19" s="313"/>
      <c r="DM19" s="313"/>
      <c r="DN19" s="313"/>
      <c r="DO19" s="313"/>
      <c r="DP19" s="313"/>
      <c r="DQ19" s="313"/>
      <c r="DR19" s="313"/>
      <c r="DS19" s="313"/>
      <c r="DT19" s="313"/>
      <c r="DU19" s="313"/>
      <c r="DV19" s="313"/>
      <c r="DW19" s="313"/>
      <c r="DX19" s="313"/>
      <c r="DY19" s="313"/>
      <c r="DZ19" s="313"/>
      <c r="EA19" s="313"/>
      <c r="EB19" s="313"/>
      <c r="EC19" s="313"/>
      <c r="ED19" s="313"/>
      <c r="EE19" s="313"/>
      <c r="EF19" s="313"/>
      <c r="EG19" s="313"/>
      <c r="EH19" s="313"/>
      <c r="EI19" s="313"/>
      <c r="EJ19" s="313"/>
      <c r="EK19" s="313"/>
      <c r="EL19" s="313"/>
      <c r="EM19" s="313"/>
      <c r="EN19" s="313"/>
      <c r="EO19" s="313"/>
      <c r="EP19" s="313"/>
      <c r="EQ19" s="313"/>
      <c r="ER19" s="313"/>
      <c r="ES19" s="313"/>
      <c r="ET19" s="313"/>
      <c r="EU19" s="313"/>
      <c r="EV19" s="313"/>
      <c r="EW19" s="313"/>
      <c r="EX19" s="313"/>
      <c r="EY19" s="313"/>
      <c r="EZ19" s="313"/>
      <c r="FA19" s="313"/>
      <c r="FB19" s="313"/>
      <c r="FC19" s="313"/>
      <c r="FD19" s="313"/>
      <c r="FE19" s="313"/>
      <c r="FF19" s="313"/>
      <c r="FG19" s="313"/>
      <c r="FH19" s="313"/>
      <c r="FI19" s="313"/>
      <c r="FJ19" s="313"/>
      <c r="FK19" s="313"/>
      <c r="FL19" s="313"/>
      <c r="FM19" s="313"/>
      <c r="FN19" s="313"/>
      <c r="FO19" s="313"/>
      <c r="FP19" s="313"/>
      <c r="FQ19" s="313"/>
      <c r="FR19" s="313"/>
      <c r="FS19" s="313"/>
      <c r="FT19" s="313"/>
      <c r="FU19" s="313"/>
      <c r="FV19" s="313"/>
      <c r="FW19" s="313"/>
      <c r="FX19" s="313"/>
      <c r="FY19" s="313"/>
      <c r="FZ19" s="313"/>
      <c r="GA19" s="313"/>
      <c r="GB19" s="313"/>
      <c r="GC19" s="313"/>
      <c r="GD19" s="313"/>
      <c r="GE19" s="313"/>
      <c r="GF19" s="313"/>
      <c r="GG19" s="313"/>
      <c r="GH19" s="313"/>
      <c r="GI19" s="313"/>
      <c r="GJ19" s="313"/>
      <c r="GK19" s="313"/>
      <c r="GL19" s="313"/>
      <c r="GM19" s="313"/>
      <c r="GN19" s="313"/>
      <c r="GO19" s="313"/>
      <c r="GP19" s="313"/>
      <c r="GQ19" s="313"/>
      <c r="GR19" s="313"/>
      <c r="GS19" s="313"/>
      <c r="GT19" s="313"/>
      <c r="GU19" s="313"/>
      <c r="GV19" s="313"/>
      <c r="GW19" s="313"/>
      <c r="GX19" s="313"/>
      <c r="GY19" s="313"/>
      <c r="GZ19" s="313"/>
      <c r="HA19" s="313"/>
      <c r="HB19" s="313"/>
      <c r="HC19" s="313"/>
      <c r="HD19" s="313"/>
      <c r="HE19" s="313"/>
      <c r="HF19" s="313"/>
      <c r="HG19" s="313"/>
      <c r="HH19" s="313"/>
      <c r="HI19" s="313"/>
      <c r="HJ19" s="313"/>
      <c r="HK19" s="313"/>
      <c r="HL19" s="313"/>
      <c r="HM19" s="313"/>
      <c r="HN19" s="313"/>
      <c r="HO19" s="313"/>
      <c r="HP19" s="313"/>
      <c r="HQ19" s="313"/>
      <c r="HR19" s="313"/>
      <c r="HS19" s="313"/>
      <c r="HT19" s="313"/>
      <c r="HU19" s="313"/>
      <c r="HV19" s="313"/>
      <c r="HW19" s="313"/>
      <c r="HX19" s="313"/>
      <c r="HY19" s="313"/>
      <c r="HZ19" s="313"/>
      <c r="IA19" s="313"/>
      <c r="IB19" s="313"/>
      <c r="IC19" s="313"/>
      <c r="ID19" s="313"/>
      <c r="IE19" s="313"/>
      <c r="IF19" s="313"/>
      <c r="IG19" s="313"/>
      <c r="IH19" s="313"/>
      <c r="II19" s="313"/>
      <c r="IJ19" s="313"/>
      <c r="IK19" s="313"/>
      <c r="IL19" s="313"/>
      <c r="IM19" s="313"/>
      <c r="IN19" s="313"/>
      <c r="IO19" s="313"/>
      <c r="IP19" s="313"/>
      <c r="IQ19" s="313"/>
      <c r="IR19" s="313"/>
      <c r="IS19" s="313"/>
      <c r="IT19" s="313"/>
      <c r="IU19" s="313"/>
    </row>
    <row r="20" spans="1:255">
      <c r="A20" s="330"/>
      <c r="B20" s="313" t="s">
        <v>226</v>
      </c>
      <c r="C20" s="316"/>
      <c r="D20" s="318">
        <f t="shared" si="0"/>
        <v>-1.4470000000000001</v>
      </c>
      <c r="E20" s="327">
        <v>-2.95</v>
      </c>
      <c r="F20" s="319">
        <f t="shared" si="3"/>
        <v>-0.50949152542372889</v>
      </c>
      <c r="G20" s="318">
        <f t="shared" si="1"/>
        <v>1.33</v>
      </c>
      <c r="H20" s="318">
        <v>2.56</v>
      </c>
      <c r="I20" s="319">
        <f t="shared" si="4"/>
        <v>-0.48046875</v>
      </c>
      <c r="J20" s="318">
        <f>+J14*8</f>
        <v>1.52</v>
      </c>
      <c r="K20" s="318">
        <f>+K14*8</f>
        <v>2.88</v>
      </c>
      <c r="L20" s="319">
        <f t="shared" si="6"/>
        <v>-0.47222222222222221</v>
      </c>
      <c r="M20" s="313"/>
      <c r="N20" s="313"/>
      <c r="O20" s="313"/>
      <c r="P20" s="313"/>
      <c r="Q20" s="313"/>
      <c r="R20" s="314"/>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13"/>
      <c r="DC20" s="313"/>
      <c r="DD20" s="313"/>
      <c r="DE20" s="313"/>
      <c r="DF20" s="313"/>
      <c r="DG20" s="313"/>
      <c r="DH20" s="313"/>
      <c r="DI20" s="313"/>
      <c r="DJ20" s="313"/>
      <c r="DK20" s="313"/>
      <c r="DL20" s="313"/>
      <c r="DM20" s="313"/>
      <c r="DN20" s="313"/>
      <c r="DO20" s="313"/>
      <c r="DP20" s="313"/>
      <c r="DQ20" s="313"/>
      <c r="DR20" s="313"/>
      <c r="DS20" s="313"/>
      <c r="DT20" s="313"/>
      <c r="DU20" s="313"/>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c r="EU20" s="313"/>
      <c r="EV20" s="313"/>
      <c r="EW20" s="313"/>
      <c r="EX20" s="313"/>
      <c r="EY20" s="313"/>
      <c r="EZ20" s="313"/>
      <c r="FA20" s="313"/>
      <c r="FB20" s="313"/>
      <c r="FC20" s="313"/>
      <c r="FD20" s="313"/>
      <c r="FE20" s="313"/>
      <c r="FF20" s="313"/>
      <c r="FG20" s="313"/>
      <c r="FH20" s="313"/>
      <c r="FI20" s="313"/>
      <c r="FJ20" s="313"/>
      <c r="FK20" s="313"/>
      <c r="FL20" s="313"/>
      <c r="FM20" s="313"/>
      <c r="FN20" s="313"/>
      <c r="FO20" s="313"/>
      <c r="FP20" s="313"/>
      <c r="FQ20" s="313"/>
      <c r="FR20" s="313"/>
      <c r="FS20" s="313"/>
      <c r="FT20" s="313"/>
      <c r="FU20" s="313"/>
      <c r="FV20" s="313"/>
      <c r="FW20" s="313"/>
      <c r="FX20" s="313"/>
      <c r="FY20" s="313"/>
      <c r="FZ20" s="313"/>
      <c r="GA20" s="313"/>
      <c r="GB20" s="313"/>
      <c r="GC20" s="313"/>
      <c r="GD20" s="313"/>
      <c r="GE20" s="313"/>
      <c r="GF20" s="313"/>
      <c r="GG20" s="313"/>
      <c r="GH20" s="313"/>
      <c r="GI20" s="313"/>
      <c r="GJ20" s="313"/>
      <c r="GK20" s="313"/>
      <c r="GL20" s="313"/>
      <c r="GM20" s="313"/>
      <c r="GN20" s="313"/>
      <c r="GO20" s="313"/>
      <c r="GP20" s="313"/>
      <c r="GQ20" s="313"/>
      <c r="GR20" s="313"/>
      <c r="GS20" s="313"/>
      <c r="GT20" s="313"/>
      <c r="GU20" s="313"/>
      <c r="GV20" s="313"/>
      <c r="GW20" s="313"/>
      <c r="GX20" s="313"/>
      <c r="GY20" s="313"/>
      <c r="GZ20" s="313"/>
      <c r="HA20" s="313"/>
      <c r="HB20" s="313"/>
      <c r="HC20" s="313"/>
      <c r="HD20" s="313"/>
      <c r="HE20" s="313"/>
      <c r="HF20" s="313"/>
      <c r="HG20" s="313"/>
      <c r="HH20" s="313"/>
      <c r="HI20" s="313"/>
      <c r="HJ20" s="313"/>
      <c r="HK20" s="313"/>
      <c r="HL20" s="313"/>
      <c r="HM20" s="313"/>
      <c r="HN20" s="313"/>
      <c r="HO20" s="313"/>
      <c r="HP20" s="313"/>
      <c r="HQ20" s="313"/>
      <c r="HR20" s="313"/>
      <c r="HS20" s="313"/>
      <c r="HT20" s="313"/>
      <c r="HU20" s="313"/>
      <c r="HV20" s="313"/>
      <c r="HW20" s="313"/>
      <c r="HX20" s="313"/>
      <c r="HY20" s="313"/>
      <c r="HZ20" s="313"/>
      <c r="IA20" s="313"/>
      <c r="IB20" s="313"/>
      <c r="IC20" s="313"/>
      <c r="ID20" s="313"/>
      <c r="IE20" s="313"/>
      <c r="IF20" s="313"/>
      <c r="IG20" s="313"/>
      <c r="IH20" s="313"/>
      <c r="II20" s="313"/>
      <c r="IJ20" s="313"/>
      <c r="IK20" s="313"/>
      <c r="IL20" s="313"/>
      <c r="IM20" s="313"/>
      <c r="IN20" s="313"/>
      <c r="IO20" s="313"/>
      <c r="IP20" s="313"/>
      <c r="IQ20" s="313"/>
      <c r="IR20" s="313"/>
      <c r="IS20" s="313"/>
      <c r="IT20" s="313"/>
      <c r="IU20" s="313"/>
    </row>
    <row r="21" spans="1:255">
      <c r="A21" s="330"/>
      <c r="B21" s="313"/>
      <c r="C21" s="316"/>
      <c r="D21" s="326"/>
      <c r="E21" s="318"/>
      <c r="F21" s="326"/>
      <c r="G21" s="318"/>
      <c r="H21" s="318"/>
      <c r="I21" s="319"/>
      <c r="J21" s="318"/>
      <c r="K21" s="318"/>
      <c r="L21" s="319"/>
      <c r="M21" s="313"/>
      <c r="N21" s="313"/>
      <c r="O21" s="313"/>
      <c r="P21" s="313"/>
      <c r="Q21" s="313"/>
      <c r="R21" s="314"/>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13"/>
      <c r="DC21" s="313"/>
      <c r="DD21" s="313"/>
      <c r="DE21" s="313"/>
      <c r="DF21" s="313"/>
      <c r="DG21" s="313"/>
      <c r="DH21" s="313"/>
      <c r="DI21" s="313"/>
      <c r="DJ21" s="313"/>
      <c r="DK21" s="313"/>
      <c r="DL21" s="313"/>
      <c r="DM21" s="313"/>
      <c r="DN21" s="313"/>
      <c r="DO21" s="313"/>
      <c r="DP21" s="313"/>
      <c r="DQ21" s="313"/>
      <c r="DR21" s="313"/>
      <c r="DS21" s="313"/>
      <c r="DT21" s="313"/>
      <c r="DU21" s="313"/>
      <c r="DV21" s="313"/>
      <c r="DW21" s="313"/>
      <c r="DX21" s="313"/>
      <c r="DY21" s="313"/>
      <c r="DZ21" s="313"/>
      <c r="EA21" s="313"/>
      <c r="EB21" s="313"/>
      <c r="EC21" s="313"/>
      <c r="ED21" s="313"/>
      <c r="EE21" s="313"/>
      <c r="EF21" s="313"/>
      <c r="EG21" s="313"/>
      <c r="EH21" s="313"/>
      <c r="EI21" s="313"/>
      <c r="EJ21" s="313"/>
      <c r="EK21" s="313"/>
      <c r="EL21" s="313"/>
      <c r="EM21" s="313"/>
      <c r="EN21" s="313"/>
      <c r="EO21" s="313"/>
      <c r="EP21" s="313"/>
      <c r="EQ21" s="313"/>
      <c r="ER21" s="313"/>
      <c r="ES21" s="313"/>
      <c r="ET21" s="313"/>
      <c r="EU21" s="313"/>
      <c r="EV21" s="313"/>
      <c r="EW21" s="313"/>
      <c r="EX21" s="313"/>
      <c r="EY21" s="313"/>
      <c r="EZ21" s="313"/>
      <c r="FA21" s="313"/>
      <c r="FB21" s="313"/>
      <c r="FC21" s="313"/>
      <c r="FD21" s="313"/>
      <c r="FE21" s="313"/>
      <c r="FF21" s="313"/>
      <c r="FG21" s="313"/>
      <c r="FH21" s="313"/>
      <c r="FI21" s="313"/>
      <c r="FJ21" s="313"/>
      <c r="FK21" s="313"/>
      <c r="FL21" s="313"/>
      <c r="FM21" s="313"/>
      <c r="FN21" s="313"/>
      <c r="FO21" s="313"/>
      <c r="FP21" s="313"/>
      <c r="FQ21" s="313"/>
      <c r="FR21" s="313"/>
      <c r="FS21" s="313"/>
      <c r="FT21" s="313"/>
      <c r="FU21" s="313"/>
      <c r="FV21" s="313"/>
      <c r="FW21" s="313"/>
      <c r="FX21" s="313"/>
      <c r="FY21" s="313"/>
      <c r="FZ21" s="313"/>
      <c r="GA21" s="313"/>
      <c r="GB21" s="313"/>
      <c r="GC21" s="313"/>
      <c r="GD21" s="313"/>
      <c r="GE21" s="313"/>
      <c r="GF21" s="313"/>
      <c r="GG21" s="313"/>
      <c r="GH21" s="313"/>
      <c r="GI21" s="313"/>
      <c r="GJ21" s="313"/>
      <c r="GK21" s="313"/>
      <c r="GL21" s="313"/>
      <c r="GM21" s="313"/>
      <c r="GN21" s="313"/>
      <c r="GO21" s="313"/>
      <c r="GP21" s="313"/>
      <c r="GQ21" s="313"/>
      <c r="GR21" s="313"/>
      <c r="GS21" s="313"/>
      <c r="GT21" s="313"/>
      <c r="GU21" s="313"/>
      <c r="GV21" s="313"/>
      <c r="GW21" s="313"/>
      <c r="GX21" s="313"/>
      <c r="GY21" s="313"/>
      <c r="GZ21" s="313"/>
      <c r="HA21" s="313"/>
      <c r="HB21" s="313"/>
      <c r="HC21" s="313"/>
      <c r="HD21" s="313"/>
      <c r="HE21" s="313"/>
      <c r="HF21" s="313"/>
      <c r="HG21" s="313"/>
      <c r="HH21" s="313"/>
      <c r="HI21" s="313"/>
      <c r="HJ21" s="313"/>
      <c r="HK21" s="313"/>
      <c r="HL21" s="313"/>
      <c r="HM21" s="313"/>
      <c r="HN21" s="313"/>
      <c r="HO21" s="313"/>
      <c r="HP21" s="313"/>
      <c r="HQ21" s="313"/>
      <c r="HR21" s="313"/>
      <c r="HS21" s="313"/>
      <c r="HT21" s="313"/>
      <c r="HU21" s="313"/>
      <c r="HV21" s="313"/>
      <c r="HW21" s="313"/>
      <c r="HX21" s="313"/>
      <c r="HY21" s="313"/>
      <c r="HZ21" s="313"/>
      <c r="IA21" s="313"/>
      <c r="IB21" s="313"/>
      <c r="IC21" s="313"/>
      <c r="ID21" s="313"/>
      <c r="IE21" s="313"/>
      <c r="IF21" s="313"/>
      <c r="IG21" s="313"/>
      <c r="IH21" s="313"/>
      <c r="II21" s="313"/>
      <c r="IJ21" s="313"/>
      <c r="IK21" s="313"/>
      <c r="IL21" s="313"/>
      <c r="IM21" s="313"/>
      <c r="IN21" s="313"/>
      <c r="IO21" s="313"/>
      <c r="IP21" s="313"/>
      <c r="IQ21" s="313"/>
      <c r="IR21" s="313"/>
      <c r="IS21" s="313"/>
      <c r="IT21" s="313"/>
      <c r="IU21" s="313"/>
    </row>
    <row r="22" spans="1:255">
      <c r="A22" s="330"/>
      <c r="B22" s="313"/>
      <c r="C22" s="316"/>
      <c r="D22" s="326"/>
      <c r="E22" s="318"/>
      <c r="F22" s="326"/>
      <c r="G22" s="318"/>
      <c r="H22" s="318"/>
      <c r="I22" s="319"/>
      <c r="J22" s="318"/>
      <c r="K22" s="318"/>
      <c r="L22" s="319"/>
      <c r="M22" s="313"/>
      <c r="N22" s="313"/>
      <c r="O22" s="313"/>
      <c r="P22" s="313"/>
      <c r="Q22" s="313"/>
      <c r="R22" s="314"/>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313"/>
      <c r="CX22" s="313"/>
      <c r="CY22" s="313"/>
      <c r="CZ22" s="313"/>
      <c r="DA22" s="313"/>
      <c r="DB22" s="313"/>
      <c r="DC22" s="313"/>
      <c r="DD22" s="313"/>
      <c r="DE22" s="313"/>
      <c r="DF22" s="313"/>
      <c r="DG22" s="313"/>
      <c r="DH22" s="313"/>
      <c r="DI22" s="313"/>
      <c r="DJ22" s="313"/>
      <c r="DK22" s="313"/>
      <c r="DL22" s="313"/>
      <c r="DM22" s="313"/>
      <c r="DN22" s="313"/>
      <c r="DO22" s="313"/>
      <c r="DP22" s="313"/>
      <c r="DQ22" s="313"/>
      <c r="DR22" s="313"/>
      <c r="DS22" s="313"/>
      <c r="DT22" s="313"/>
      <c r="DU22" s="313"/>
      <c r="DV22" s="313"/>
      <c r="DW22" s="313"/>
      <c r="DX22" s="313"/>
      <c r="DY22" s="313"/>
      <c r="DZ22" s="313"/>
      <c r="EA22" s="313"/>
      <c r="EB22" s="313"/>
      <c r="EC22" s="313"/>
      <c r="ED22" s="313"/>
      <c r="EE22" s="313"/>
      <c r="EF22" s="313"/>
      <c r="EG22" s="313"/>
      <c r="EH22" s="313"/>
      <c r="EI22" s="313"/>
      <c r="EJ22" s="313"/>
      <c r="EK22" s="313"/>
      <c r="EL22" s="313"/>
      <c r="EM22" s="313"/>
      <c r="EN22" s="313"/>
      <c r="EO22" s="313"/>
      <c r="EP22" s="313"/>
      <c r="EQ22" s="313"/>
      <c r="ER22" s="313"/>
      <c r="ES22" s="313"/>
      <c r="ET22" s="313"/>
      <c r="EU22" s="313"/>
      <c r="EV22" s="313"/>
      <c r="EW22" s="313"/>
      <c r="EX22" s="313"/>
      <c r="EY22" s="313"/>
      <c r="EZ22" s="313"/>
      <c r="FA22" s="313"/>
      <c r="FB22" s="313"/>
      <c r="FC22" s="313"/>
      <c r="FD22" s="313"/>
      <c r="FE22" s="313"/>
      <c r="FF22" s="313"/>
      <c r="FG22" s="313"/>
      <c r="FH22" s="313"/>
      <c r="FI22" s="313"/>
      <c r="FJ22" s="313"/>
      <c r="FK22" s="313"/>
      <c r="FL22" s="313"/>
      <c r="FM22" s="313"/>
      <c r="FN22" s="313"/>
      <c r="FO22" s="313"/>
      <c r="FP22" s="313"/>
      <c r="FQ22" s="313"/>
      <c r="FR22" s="313"/>
      <c r="FS22" s="313"/>
      <c r="FT22" s="313"/>
      <c r="FU22" s="313"/>
      <c r="FV22" s="313"/>
      <c r="FW22" s="313"/>
      <c r="FX22" s="313"/>
      <c r="FY22" s="313"/>
      <c r="FZ22" s="313"/>
      <c r="GA22" s="313"/>
      <c r="GB22" s="313"/>
      <c r="GC22" s="313"/>
      <c r="GD22" s="313"/>
      <c r="GE22" s="313"/>
      <c r="GF22" s="313"/>
      <c r="GG22" s="313"/>
      <c r="GH22" s="313"/>
      <c r="GI22" s="313"/>
      <c r="GJ22" s="313"/>
      <c r="GK22" s="313"/>
      <c r="GL22" s="313"/>
      <c r="GM22" s="313"/>
      <c r="GN22" s="313"/>
      <c r="GO22" s="313"/>
      <c r="GP22" s="313"/>
      <c r="GQ22" s="313"/>
      <c r="GR22" s="313"/>
      <c r="GS22" s="313"/>
      <c r="GT22" s="313"/>
      <c r="GU22" s="313"/>
      <c r="GV22" s="313"/>
      <c r="GW22" s="313"/>
      <c r="GX22" s="313"/>
      <c r="GY22" s="313"/>
      <c r="GZ22" s="313"/>
      <c r="HA22" s="313"/>
      <c r="HB22" s="313"/>
      <c r="HC22" s="313"/>
      <c r="HD22" s="313"/>
      <c r="HE22" s="313"/>
      <c r="HF22" s="313"/>
      <c r="HG22" s="313"/>
      <c r="HH22" s="313"/>
      <c r="HI22" s="313"/>
      <c r="HJ22" s="313"/>
      <c r="HK22" s="313"/>
      <c r="HL22" s="313"/>
      <c r="HM22" s="313"/>
      <c r="HN22" s="313"/>
      <c r="HO22" s="313"/>
      <c r="HP22" s="313"/>
      <c r="HQ22" s="313"/>
      <c r="HR22" s="313"/>
      <c r="HS22" s="313"/>
      <c r="HT22" s="313"/>
      <c r="HU22" s="313"/>
      <c r="HV22" s="313"/>
      <c r="HW22" s="313"/>
      <c r="HX22" s="313"/>
      <c r="HY22" s="313"/>
      <c r="HZ22" s="313"/>
      <c r="IA22" s="313"/>
      <c r="IB22" s="313"/>
      <c r="IC22" s="313"/>
      <c r="ID22" s="313"/>
      <c r="IE22" s="313"/>
      <c r="IF22" s="313"/>
      <c r="IG22" s="313"/>
      <c r="IH22" s="313"/>
      <c r="II22" s="313"/>
      <c r="IJ22" s="313"/>
      <c r="IK22" s="313"/>
      <c r="IL22" s="313"/>
      <c r="IM22" s="313"/>
      <c r="IN22" s="313"/>
      <c r="IO22" s="313"/>
      <c r="IP22" s="313"/>
      <c r="IQ22" s="313"/>
      <c r="IR22" s="313"/>
      <c r="IS22" s="313"/>
      <c r="IT22" s="313"/>
      <c r="IU22" s="313"/>
    </row>
    <row r="23" spans="1:255" ht="15.75">
      <c r="A23" s="325" t="s">
        <v>227</v>
      </c>
      <c r="B23" s="313"/>
      <c r="C23" s="316"/>
      <c r="D23" s="326"/>
      <c r="E23" s="318"/>
      <c r="F23" s="326"/>
      <c r="G23" s="318"/>
      <c r="H23" s="318"/>
      <c r="I23" s="319"/>
      <c r="J23" s="318"/>
      <c r="K23" s="318"/>
      <c r="L23" s="319"/>
      <c r="M23" s="313"/>
      <c r="N23" s="313"/>
      <c r="O23" s="313"/>
      <c r="P23" s="313"/>
      <c r="Q23" s="313"/>
      <c r="R23" s="314"/>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13"/>
      <c r="DC23" s="313"/>
      <c r="DD23" s="313"/>
      <c r="DE23" s="313"/>
      <c r="DF23" s="313"/>
      <c r="DG23" s="313"/>
      <c r="DH23" s="313"/>
      <c r="DI23" s="313"/>
      <c r="DJ23" s="313"/>
      <c r="DK23" s="313"/>
      <c r="DL23" s="313"/>
      <c r="DM23" s="313"/>
      <c r="DN23" s="313"/>
      <c r="DO23" s="313"/>
      <c r="DP23" s="313"/>
      <c r="DQ23" s="313"/>
      <c r="DR23" s="313"/>
      <c r="DS23" s="313"/>
      <c r="DT23" s="313"/>
      <c r="DU23" s="313"/>
      <c r="DV23" s="313"/>
      <c r="DW23" s="313"/>
      <c r="DX23" s="313"/>
      <c r="DY23" s="313"/>
      <c r="DZ23" s="313"/>
      <c r="EA23" s="313"/>
      <c r="EB23" s="313"/>
      <c r="EC23" s="313"/>
      <c r="ED23" s="313"/>
      <c r="EE23" s="313"/>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3"/>
      <c r="FB23" s="313"/>
      <c r="FC23" s="313"/>
      <c r="FD23" s="313"/>
      <c r="FE23" s="313"/>
      <c r="FF23" s="313"/>
      <c r="FG23" s="313"/>
      <c r="FH23" s="313"/>
      <c r="FI23" s="313"/>
      <c r="FJ23" s="313"/>
      <c r="FK23" s="313"/>
      <c r="FL23" s="313"/>
      <c r="FM23" s="313"/>
      <c r="FN23" s="313"/>
      <c r="FO23" s="313"/>
      <c r="FP23" s="313"/>
      <c r="FQ23" s="313"/>
      <c r="FR23" s="313"/>
      <c r="FS23" s="313"/>
      <c r="FT23" s="313"/>
      <c r="FU23" s="313"/>
      <c r="FV23" s="313"/>
      <c r="FW23" s="313"/>
      <c r="FX23" s="313"/>
      <c r="FY23" s="313"/>
      <c r="FZ23" s="313"/>
      <c r="GA23" s="313"/>
      <c r="GB23" s="313"/>
      <c r="GC23" s="313"/>
      <c r="GD23" s="313"/>
      <c r="GE23" s="313"/>
      <c r="GF23" s="313"/>
      <c r="GG23" s="313"/>
      <c r="GH23" s="313"/>
      <c r="GI23" s="313"/>
      <c r="GJ23" s="313"/>
      <c r="GK23" s="313"/>
      <c r="GL23" s="313"/>
      <c r="GM23" s="313"/>
      <c r="GN23" s="313"/>
      <c r="GO23" s="313"/>
      <c r="GP23" s="313"/>
      <c r="GQ23" s="313"/>
      <c r="GR23" s="313"/>
      <c r="GS23" s="313"/>
      <c r="GT23" s="313"/>
      <c r="GU23" s="313"/>
      <c r="GV23" s="313"/>
      <c r="GW23" s="313"/>
      <c r="GX23" s="313"/>
      <c r="GY23" s="313"/>
      <c r="GZ23" s="313"/>
      <c r="HA23" s="313"/>
      <c r="HB23" s="313"/>
      <c r="HC23" s="313"/>
      <c r="HD23" s="313"/>
      <c r="HE23" s="313"/>
      <c r="HF23" s="313"/>
      <c r="HG23" s="313"/>
      <c r="HH23" s="313"/>
      <c r="HI23" s="313"/>
      <c r="HJ23" s="313"/>
      <c r="HK23" s="313"/>
      <c r="HL23" s="313"/>
      <c r="HM23" s="313"/>
      <c r="HN23" s="313"/>
      <c r="HO23" s="313"/>
      <c r="HP23" s="313"/>
      <c r="HQ23" s="313"/>
      <c r="HR23" s="313"/>
      <c r="HS23" s="313"/>
      <c r="HT23" s="313"/>
      <c r="HU23" s="313"/>
      <c r="HV23" s="313"/>
      <c r="HW23" s="313"/>
      <c r="HX23" s="313"/>
      <c r="HY23" s="313"/>
      <c r="HZ23" s="313"/>
      <c r="IA23" s="313"/>
      <c r="IB23" s="313"/>
      <c r="IC23" s="313"/>
      <c r="ID23" s="313"/>
      <c r="IE23" s="313"/>
      <c r="IF23" s="313"/>
      <c r="IG23" s="313"/>
      <c r="IH23" s="313"/>
      <c r="II23" s="313"/>
      <c r="IJ23" s="313"/>
      <c r="IK23" s="313"/>
      <c r="IL23" s="313"/>
      <c r="IM23" s="313"/>
      <c r="IN23" s="313"/>
      <c r="IO23" s="313"/>
      <c r="IP23" s="313"/>
      <c r="IQ23" s="313"/>
      <c r="IR23" s="313"/>
      <c r="IS23" s="313"/>
      <c r="IT23" s="313"/>
      <c r="IU23" s="313"/>
    </row>
    <row r="24" spans="1:255" ht="15.75">
      <c r="A24" s="325"/>
      <c r="B24" s="313" t="s">
        <v>215</v>
      </c>
      <c r="C24" s="316"/>
      <c r="D24" s="318">
        <f>+ROUND(E24*(1+$F$7),3)</f>
        <v>-2.9000000000000001E-2</v>
      </c>
      <c r="E24" s="318">
        <v>-0.08</v>
      </c>
      <c r="F24" s="319">
        <f t="shared" ref="F24:F35" si="7">-1+D24/E24</f>
        <v>-0.63749999999999996</v>
      </c>
      <c r="G24" s="318"/>
      <c r="H24" s="318"/>
      <c r="I24" s="319"/>
      <c r="J24" s="318"/>
      <c r="K24" s="318"/>
      <c r="L24" s="319"/>
      <c r="M24" s="313"/>
      <c r="N24" s="313"/>
      <c r="O24" s="313"/>
      <c r="P24" s="313"/>
      <c r="Q24" s="313"/>
      <c r="R24" s="314"/>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13"/>
      <c r="CN24" s="313"/>
      <c r="CO24" s="313"/>
      <c r="CP24" s="313"/>
      <c r="CQ24" s="313"/>
      <c r="CR24" s="313"/>
      <c r="CS24" s="313"/>
      <c r="CT24" s="313"/>
      <c r="CU24" s="313"/>
      <c r="CV24" s="313"/>
      <c r="CW24" s="313"/>
      <c r="CX24" s="313"/>
      <c r="CY24" s="313"/>
      <c r="CZ24" s="313"/>
      <c r="DA24" s="313"/>
      <c r="DB24" s="313"/>
      <c r="DC24" s="313"/>
      <c r="DD24" s="313"/>
      <c r="DE24" s="313"/>
      <c r="DF24" s="313"/>
      <c r="DG24" s="313"/>
      <c r="DH24" s="313"/>
      <c r="DI24" s="313"/>
      <c r="DJ24" s="313"/>
      <c r="DK24" s="313"/>
      <c r="DL24" s="313"/>
      <c r="DM24" s="313"/>
      <c r="DN24" s="313"/>
      <c r="DO24" s="313"/>
      <c r="DP24" s="313"/>
      <c r="DQ24" s="313"/>
      <c r="DR24" s="313"/>
      <c r="DS24" s="313"/>
      <c r="DT24" s="313"/>
      <c r="DU24" s="313"/>
      <c r="DV24" s="313"/>
      <c r="DW24" s="313"/>
      <c r="DX24" s="313"/>
      <c r="DY24" s="313"/>
      <c r="DZ24" s="313"/>
      <c r="EA24" s="313"/>
      <c r="EB24" s="313"/>
      <c r="EC24" s="313"/>
      <c r="ED24" s="313"/>
      <c r="EE24" s="313"/>
      <c r="EF24" s="313"/>
      <c r="EG24" s="313"/>
      <c r="EH24" s="313"/>
      <c r="EI24" s="313"/>
      <c r="EJ24" s="313"/>
      <c r="EK24" s="313"/>
      <c r="EL24" s="313"/>
      <c r="EM24" s="313"/>
      <c r="EN24" s="313"/>
      <c r="EO24" s="313"/>
      <c r="EP24" s="313"/>
      <c r="EQ24" s="313"/>
      <c r="ER24" s="313"/>
      <c r="ES24" s="313"/>
      <c r="ET24" s="313"/>
      <c r="EU24" s="313"/>
      <c r="EV24" s="313"/>
      <c r="EW24" s="313"/>
      <c r="EX24" s="313"/>
      <c r="EY24" s="313"/>
      <c r="EZ24" s="313"/>
      <c r="FA24" s="313"/>
      <c r="FB24" s="313"/>
      <c r="FC24" s="313"/>
      <c r="FD24" s="313"/>
      <c r="FE24" s="313"/>
      <c r="FF24" s="313"/>
      <c r="FG24" s="313"/>
      <c r="FH24" s="313"/>
      <c r="FI24" s="313"/>
      <c r="FJ24" s="313"/>
      <c r="FK24" s="313"/>
      <c r="FL24" s="313"/>
      <c r="FM24" s="313"/>
      <c r="FN24" s="313"/>
      <c r="FO24" s="313"/>
      <c r="FP24" s="313"/>
      <c r="FQ24" s="313"/>
      <c r="FR24" s="313"/>
      <c r="FS24" s="313"/>
      <c r="FT24" s="313"/>
      <c r="FU24" s="313"/>
      <c r="FV24" s="313"/>
      <c r="FW24" s="313"/>
      <c r="FX24" s="313"/>
      <c r="FY24" s="313"/>
      <c r="FZ24" s="313"/>
      <c r="GA24" s="313"/>
      <c r="GB24" s="313"/>
      <c r="GC24" s="313"/>
      <c r="GD24" s="313"/>
      <c r="GE24" s="313"/>
      <c r="GF24" s="313"/>
      <c r="GG24" s="313"/>
      <c r="GH24" s="313"/>
      <c r="GI24" s="313"/>
      <c r="GJ24" s="313"/>
      <c r="GK24" s="313"/>
      <c r="GL24" s="313"/>
      <c r="GM24" s="313"/>
      <c r="GN24" s="313"/>
      <c r="GO24" s="313"/>
      <c r="GP24" s="313"/>
      <c r="GQ24" s="313"/>
      <c r="GR24" s="313"/>
      <c r="GS24" s="313"/>
      <c r="GT24" s="313"/>
      <c r="GU24" s="313"/>
      <c r="GV24" s="313"/>
      <c r="GW24" s="313"/>
      <c r="GX24" s="313"/>
      <c r="GY24" s="313"/>
      <c r="GZ24" s="313"/>
      <c r="HA24" s="313"/>
      <c r="HB24" s="313"/>
      <c r="HC24" s="313"/>
      <c r="HD24" s="313"/>
      <c r="HE24" s="313"/>
      <c r="HF24" s="313"/>
      <c r="HG24" s="313"/>
      <c r="HH24" s="313"/>
      <c r="HI24" s="313"/>
      <c r="HJ24" s="313"/>
      <c r="HK24" s="313"/>
      <c r="HL24" s="313"/>
      <c r="HM24" s="313"/>
      <c r="HN24" s="313"/>
      <c r="HO24" s="313"/>
      <c r="HP24" s="313"/>
      <c r="HQ24" s="313"/>
      <c r="HR24" s="313"/>
      <c r="HS24" s="313"/>
      <c r="HT24" s="313"/>
      <c r="HU24" s="313"/>
      <c r="HV24" s="313"/>
      <c r="HW24" s="313"/>
      <c r="HX24" s="313"/>
      <c r="HY24" s="313"/>
      <c r="HZ24" s="313"/>
      <c r="IA24" s="313"/>
      <c r="IB24" s="313"/>
      <c r="IC24" s="313"/>
      <c r="ID24" s="313"/>
      <c r="IE24" s="313"/>
      <c r="IF24" s="313"/>
      <c r="IG24" s="313"/>
      <c r="IH24" s="313"/>
      <c r="II24" s="313"/>
      <c r="IJ24" s="313"/>
      <c r="IK24" s="313"/>
      <c r="IL24" s="313"/>
      <c r="IM24" s="313"/>
      <c r="IN24" s="313"/>
      <c r="IO24" s="313"/>
      <c r="IP24" s="313"/>
      <c r="IQ24" s="313"/>
      <c r="IR24" s="313"/>
      <c r="IS24" s="313"/>
      <c r="IT24" s="313"/>
      <c r="IU24" s="313"/>
    </row>
    <row r="25" spans="1:255">
      <c r="A25" s="330"/>
      <c r="B25" s="313" t="s">
        <v>216</v>
      </c>
      <c r="C25" s="331"/>
      <c r="D25" s="318">
        <f t="shared" ref="D25:D35" si="8">+ROUND(E25*(1+$F$7),3)</f>
        <v>-4.7E-2</v>
      </c>
      <c r="E25" s="318">
        <v>-0.13</v>
      </c>
      <c r="F25" s="319">
        <f t="shared" si="7"/>
        <v>-0.63846153846153841</v>
      </c>
      <c r="G25" s="318"/>
      <c r="H25" s="318"/>
      <c r="I25" s="319"/>
      <c r="J25" s="318"/>
      <c r="K25" s="318"/>
      <c r="L25" s="319"/>
      <c r="M25" s="313"/>
      <c r="N25" s="313"/>
      <c r="O25" s="313"/>
      <c r="P25" s="313"/>
      <c r="Q25" s="313"/>
      <c r="R25" s="314"/>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313"/>
      <c r="BQ25" s="313"/>
      <c r="BR25" s="313"/>
      <c r="BS25" s="313"/>
      <c r="BT25" s="313"/>
      <c r="BU25" s="313"/>
      <c r="BV25" s="313"/>
      <c r="BW25" s="313"/>
      <c r="BX25" s="313"/>
      <c r="BY25" s="313"/>
      <c r="BZ25" s="313"/>
      <c r="CA25" s="313"/>
      <c r="CB25" s="313"/>
      <c r="CC25" s="313"/>
      <c r="CD25" s="313"/>
      <c r="CE25" s="313"/>
      <c r="CF25" s="313"/>
      <c r="CG25" s="313"/>
      <c r="CH25" s="313"/>
      <c r="CI25" s="313"/>
      <c r="CJ25" s="313"/>
      <c r="CK25" s="313"/>
      <c r="CL25" s="313"/>
      <c r="CM25" s="313"/>
      <c r="CN25" s="313"/>
      <c r="CO25" s="313"/>
      <c r="CP25" s="313"/>
      <c r="CQ25" s="313"/>
      <c r="CR25" s="313"/>
      <c r="CS25" s="313"/>
      <c r="CT25" s="313"/>
      <c r="CU25" s="313"/>
      <c r="CV25" s="313"/>
      <c r="CW25" s="313"/>
      <c r="CX25" s="313"/>
      <c r="CY25" s="313"/>
      <c r="CZ25" s="313"/>
      <c r="DA25" s="313"/>
      <c r="DB25" s="313"/>
      <c r="DC25" s="313"/>
      <c r="DD25" s="313"/>
      <c r="DE25" s="313"/>
      <c r="DF25" s="313"/>
      <c r="DG25" s="313"/>
      <c r="DH25" s="313"/>
      <c r="DI25" s="313"/>
      <c r="DJ25" s="313"/>
      <c r="DK25" s="313"/>
      <c r="DL25" s="313"/>
      <c r="DM25" s="313"/>
      <c r="DN25" s="313"/>
      <c r="DO25" s="313"/>
      <c r="DP25" s="313"/>
      <c r="DQ25" s="313"/>
      <c r="DR25" s="313"/>
      <c r="DS25" s="313"/>
      <c r="DT25" s="313"/>
      <c r="DU25" s="313"/>
      <c r="DV25" s="313"/>
      <c r="DW25" s="313"/>
      <c r="DX25" s="313"/>
      <c r="DY25" s="313"/>
      <c r="DZ25" s="313"/>
      <c r="EA25" s="313"/>
      <c r="EB25" s="313"/>
      <c r="EC25" s="313"/>
      <c r="ED25" s="313"/>
      <c r="EE25" s="313"/>
      <c r="EF25" s="313"/>
      <c r="EG25" s="313"/>
      <c r="EH25" s="313"/>
      <c r="EI25" s="313"/>
      <c r="EJ25" s="313"/>
      <c r="EK25" s="313"/>
      <c r="EL25" s="313"/>
      <c r="EM25" s="313"/>
      <c r="EN25" s="313"/>
      <c r="EO25" s="313"/>
      <c r="EP25" s="313"/>
      <c r="EQ25" s="313"/>
      <c r="ER25" s="313"/>
      <c r="ES25" s="313"/>
      <c r="ET25" s="313"/>
      <c r="EU25" s="313"/>
      <c r="EV25" s="313"/>
      <c r="EW25" s="313"/>
      <c r="EX25" s="313"/>
      <c r="EY25" s="313"/>
      <c r="EZ25" s="313"/>
      <c r="FA25" s="313"/>
      <c r="FB25" s="313"/>
      <c r="FC25" s="313"/>
      <c r="FD25" s="313"/>
      <c r="FE25" s="313"/>
      <c r="FF25" s="313"/>
      <c r="FG25" s="313"/>
      <c r="FH25" s="313"/>
      <c r="FI25" s="313"/>
      <c r="FJ25" s="313"/>
      <c r="FK25" s="313"/>
      <c r="FL25" s="313"/>
      <c r="FM25" s="313"/>
      <c r="FN25" s="313"/>
      <c r="FO25" s="313"/>
      <c r="FP25" s="313"/>
      <c r="FQ25" s="313"/>
      <c r="FR25" s="313"/>
      <c r="FS25" s="313"/>
      <c r="FT25" s="313"/>
      <c r="FU25" s="313"/>
      <c r="FV25" s="313"/>
      <c r="FW25" s="313"/>
      <c r="FX25" s="313"/>
      <c r="FY25" s="313"/>
      <c r="FZ25" s="313"/>
      <c r="GA25" s="313"/>
      <c r="GB25" s="313"/>
      <c r="GC25" s="313"/>
      <c r="GD25" s="313"/>
      <c r="GE25" s="313"/>
      <c r="GF25" s="313"/>
      <c r="GG25" s="313"/>
      <c r="GH25" s="313"/>
      <c r="GI25" s="313"/>
      <c r="GJ25" s="313"/>
      <c r="GK25" s="313"/>
      <c r="GL25" s="313"/>
      <c r="GM25" s="313"/>
      <c r="GN25" s="313"/>
      <c r="GO25" s="313"/>
      <c r="GP25" s="313"/>
      <c r="GQ25" s="313"/>
      <c r="GR25" s="313"/>
      <c r="GS25" s="313"/>
      <c r="GT25" s="313"/>
      <c r="GU25" s="313"/>
      <c r="GV25" s="313"/>
      <c r="GW25" s="313"/>
      <c r="GX25" s="313"/>
      <c r="GY25" s="313"/>
      <c r="GZ25" s="313"/>
      <c r="HA25" s="313"/>
      <c r="HB25" s="313"/>
      <c r="HC25" s="313"/>
      <c r="HD25" s="313"/>
      <c r="HE25" s="313"/>
      <c r="HF25" s="313"/>
      <c r="HG25" s="313"/>
      <c r="HH25" s="313"/>
      <c r="HI25" s="313"/>
      <c r="HJ25" s="313"/>
      <c r="HK25" s="313"/>
      <c r="HL25" s="313"/>
      <c r="HM25" s="313"/>
      <c r="HN25" s="313"/>
      <c r="HO25" s="313"/>
      <c r="HP25" s="313"/>
      <c r="HQ25" s="313"/>
      <c r="HR25" s="313"/>
      <c r="HS25" s="313"/>
      <c r="HT25" s="313"/>
      <c r="HU25" s="313"/>
      <c r="HV25" s="313"/>
      <c r="HW25" s="313"/>
      <c r="HX25" s="313"/>
      <c r="HY25" s="313"/>
      <c r="HZ25" s="313"/>
      <c r="IA25" s="313"/>
      <c r="IB25" s="313"/>
      <c r="IC25" s="313"/>
      <c r="ID25" s="313"/>
      <c r="IE25" s="313"/>
      <c r="IF25" s="313"/>
      <c r="IG25" s="313"/>
      <c r="IH25" s="313"/>
      <c r="II25" s="313"/>
      <c r="IJ25" s="313"/>
      <c r="IK25" s="313"/>
      <c r="IL25" s="313"/>
      <c r="IM25" s="313"/>
      <c r="IN25" s="313"/>
      <c r="IO25" s="313"/>
      <c r="IP25" s="313"/>
      <c r="IQ25" s="313"/>
      <c r="IR25" s="313"/>
      <c r="IS25" s="313"/>
      <c r="IT25" s="313"/>
      <c r="IU25" s="313"/>
    </row>
    <row r="26" spans="1:255">
      <c r="A26" s="330"/>
      <c r="B26" s="313" t="s">
        <v>217</v>
      </c>
      <c r="C26" s="331"/>
      <c r="D26" s="318">
        <f t="shared" si="8"/>
        <v>-4.7E-2</v>
      </c>
      <c r="E26" s="318">
        <f>+E25</f>
        <v>-0.13</v>
      </c>
      <c r="F26" s="319">
        <f t="shared" si="7"/>
        <v>-0.63846153846153841</v>
      </c>
      <c r="G26" s="318"/>
      <c r="H26" s="318"/>
      <c r="I26" s="319"/>
      <c r="J26" s="318"/>
      <c r="K26" s="318"/>
      <c r="L26" s="319"/>
      <c r="M26" s="313"/>
      <c r="N26" s="313"/>
      <c r="O26" s="313"/>
      <c r="P26" s="313"/>
      <c r="Q26" s="313"/>
      <c r="R26" s="314"/>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13"/>
      <c r="BQ26" s="313"/>
      <c r="BR26" s="313"/>
      <c r="BS26" s="313"/>
      <c r="BT26" s="313"/>
      <c r="BU26" s="313"/>
      <c r="BV26" s="313"/>
      <c r="BW26" s="313"/>
      <c r="BX26" s="313"/>
      <c r="BY26" s="313"/>
      <c r="BZ26" s="313"/>
      <c r="CA26" s="313"/>
      <c r="CB26" s="313"/>
      <c r="CC26" s="313"/>
      <c r="CD26" s="313"/>
      <c r="CE26" s="313"/>
      <c r="CF26" s="313"/>
      <c r="CG26" s="313"/>
      <c r="CH26" s="313"/>
      <c r="CI26" s="313"/>
      <c r="CJ26" s="313"/>
      <c r="CK26" s="313"/>
      <c r="CL26" s="313"/>
      <c r="CM26" s="313"/>
      <c r="CN26" s="313"/>
      <c r="CO26" s="313"/>
      <c r="CP26" s="313"/>
      <c r="CQ26" s="313"/>
      <c r="CR26" s="313"/>
      <c r="CS26" s="313"/>
      <c r="CT26" s="313"/>
      <c r="CU26" s="313"/>
      <c r="CV26" s="313"/>
      <c r="CW26" s="313"/>
      <c r="CX26" s="313"/>
      <c r="CY26" s="313"/>
      <c r="CZ26" s="313"/>
      <c r="DA26" s="313"/>
      <c r="DB26" s="313"/>
      <c r="DC26" s="313"/>
      <c r="DD26" s="313"/>
      <c r="DE26" s="313"/>
      <c r="DF26" s="313"/>
      <c r="DG26" s="313"/>
      <c r="DH26" s="313"/>
      <c r="DI26" s="313"/>
      <c r="DJ26" s="313"/>
      <c r="DK26" s="313"/>
      <c r="DL26" s="313"/>
      <c r="DM26" s="313"/>
      <c r="DN26" s="313"/>
      <c r="DO26" s="313"/>
      <c r="DP26" s="313"/>
      <c r="DQ26" s="313"/>
      <c r="DR26" s="313"/>
      <c r="DS26" s="313"/>
      <c r="DT26" s="313"/>
      <c r="DU26" s="313"/>
      <c r="DV26" s="313"/>
      <c r="DW26" s="313"/>
      <c r="DX26" s="313"/>
      <c r="DY26" s="313"/>
      <c r="DZ26" s="313"/>
      <c r="EA26" s="313"/>
      <c r="EB26" s="313"/>
      <c r="EC26" s="313"/>
      <c r="ED26" s="313"/>
      <c r="EE26" s="313"/>
      <c r="EF26" s="313"/>
      <c r="EG26" s="313"/>
      <c r="EH26" s="313"/>
      <c r="EI26" s="313"/>
      <c r="EJ26" s="313"/>
      <c r="EK26" s="313"/>
      <c r="EL26" s="313"/>
      <c r="EM26" s="313"/>
      <c r="EN26" s="313"/>
      <c r="EO26" s="313"/>
      <c r="EP26" s="313"/>
      <c r="EQ26" s="313"/>
      <c r="ER26" s="313"/>
      <c r="ES26" s="313"/>
      <c r="ET26" s="313"/>
      <c r="EU26" s="313"/>
      <c r="EV26" s="313"/>
      <c r="EW26" s="313"/>
      <c r="EX26" s="313"/>
      <c r="EY26" s="313"/>
      <c r="EZ26" s="313"/>
      <c r="FA26" s="313"/>
      <c r="FB26" s="313"/>
      <c r="FC26" s="313"/>
      <c r="FD26" s="313"/>
      <c r="FE26" s="313"/>
      <c r="FF26" s="313"/>
      <c r="FG26" s="313"/>
      <c r="FH26" s="313"/>
      <c r="FI26" s="313"/>
      <c r="FJ26" s="313"/>
      <c r="FK26" s="313"/>
      <c r="FL26" s="313"/>
      <c r="FM26" s="313"/>
      <c r="FN26" s="313"/>
      <c r="FO26" s="313"/>
      <c r="FP26" s="313"/>
      <c r="FQ26" s="313"/>
      <c r="FR26" s="313"/>
      <c r="FS26" s="313"/>
      <c r="FT26" s="313"/>
      <c r="FU26" s="313"/>
      <c r="FV26" s="313"/>
      <c r="FW26" s="313"/>
      <c r="FX26" s="313"/>
      <c r="FY26" s="313"/>
      <c r="FZ26" s="313"/>
      <c r="GA26" s="313"/>
      <c r="GB26" s="313"/>
      <c r="GC26" s="313"/>
      <c r="GD26" s="313"/>
      <c r="GE26" s="313"/>
      <c r="GF26" s="313"/>
      <c r="GG26" s="313"/>
      <c r="GH26" s="313"/>
      <c r="GI26" s="313"/>
      <c r="GJ26" s="313"/>
      <c r="GK26" s="313"/>
      <c r="GL26" s="313"/>
      <c r="GM26" s="313"/>
      <c r="GN26" s="313"/>
      <c r="GO26" s="313"/>
      <c r="GP26" s="313"/>
      <c r="GQ26" s="313"/>
      <c r="GR26" s="313"/>
      <c r="GS26" s="313"/>
      <c r="GT26" s="313"/>
      <c r="GU26" s="313"/>
      <c r="GV26" s="313"/>
      <c r="GW26" s="313"/>
      <c r="GX26" s="313"/>
      <c r="GY26" s="313"/>
      <c r="GZ26" s="313"/>
      <c r="HA26" s="313"/>
      <c r="HB26" s="313"/>
      <c r="HC26" s="313"/>
      <c r="HD26" s="313"/>
      <c r="HE26" s="313"/>
      <c r="HF26" s="313"/>
      <c r="HG26" s="313"/>
      <c r="HH26" s="313"/>
      <c r="HI26" s="313"/>
      <c r="HJ26" s="313"/>
      <c r="HK26" s="313"/>
      <c r="HL26" s="313"/>
      <c r="HM26" s="313"/>
      <c r="HN26" s="313"/>
      <c r="HO26" s="313"/>
      <c r="HP26" s="313"/>
      <c r="HQ26" s="313"/>
      <c r="HR26" s="313"/>
      <c r="HS26" s="313"/>
      <c r="HT26" s="313"/>
      <c r="HU26" s="313"/>
      <c r="HV26" s="313"/>
      <c r="HW26" s="313"/>
      <c r="HX26" s="313"/>
      <c r="HY26" s="313"/>
      <c r="HZ26" s="313"/>
      <c r="IA26" s="313"/>
      <c r="IB26" s="313"/>
      <c r="IC26" s="313"/>
      <c r="ID26" s="313"/>
      <c r="IE26" s="313"/>
      <c r="IF26" s="313"/>
      <c r="IG26" s="313"/>
      <c r="IH26" s="313"/>
      <c r="II26" s="313"/>
      <c r="IJ26" s="313"/>
      <c r="IK26" s="313"/>
      <c r="IL26" s="313"/>
      <c r="IM26" s="313"/>
      <c r="IN26" s="313"/>
      <c r="IO26" s="313"/>
      <c r="IP26" s="313"/>
      <c r="IQ26" s="313"/>
      <c r="IR26" s="313"/>
      <c r="IS26" s="313"/>
      <c r="IT26" s="313"/>
      <c r="IU26" s="313"/>
    </row>
    <row r="27" spans="1:255">
      <c r="A27" s="330"/>
      <c r="B27" s="313" t="s">
        <v>218</v>
      </c>
      <c r="C27" s="331"/>
      <c r="D27" s="318">
        <f t="shared" si="8"/>
        <v>-6.2E-2</v>
      </c>
      <c r="E27" s="318">
        <v>-0.17</v>
      </c>
      <c r="F27" s="319">
        <f t="shared" si="7"/>
        <v>-0.63529411764705879</v>
      </c>
      <c r="G27" s="318"/>
      <c r="H27" s="318"/>
      <c r="I27" s="319"/>
      <c r="J27" s="318"/>
      <c r="K27" s="318"/>
      <c r="L27" s="319"/>
      <c r="M27" s="313"/>
      <c r="N27" s="313"/>
      <c r="O27" s="313"/>
      <c r="P27" s="313"/>
      <c r="Q27" s="313"/>
      <c r="R27" s="314"/>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3"/>
      <c r="BR27" s="313"/>
      <c r="BS27" s="313"/>
      <c r="BT27" s="313"/>
      <c r="BU27" s="313"/>
      <c r="BV27" s="313"/>
      <c r="BW27" s="313"/>
      <c r="BX27" s="313"/>
      <c r="BY27" s="313"/>
      <c r="BZ27" s="313"/>
      <c r="CA27" s="313"/>
      <c r="CB27" s="313"/>
      <c r="CC27" s="313"/>
      <c r="CD27" s="313"/>
      <c r="CE27" s="313"/>
      <c r="CF27" s="313"/>
      <c r="CG27" s="313"/>
      <c r="CH27" s="313"/>
      <c r="CI27" s="313"/>
      <c r="CJ27" s="313"/>
      <c r="CK27" s="313"/>
      <c r="CL27" s="313"/>
      <c r="CM27" s="313"/>
      <c r="CN27" s="313"/>
      <c r="CO27" s="313"/>
      <c r="CP27" s="313"/>
      <c r="CQ27" s="313"/>
      <c r="CR27" s="313"/>
      <c r="CS27" s="313"/>
      <c r="CT27" s="313"/>
      <c r="CU27" s="313"/>
      <c r="CV27" s="313"/>
      <c r="CW27" s="313"/>
      <c r="CX27" s="313"/>
      <c r="CY27" s="313"/>
      <c r="CZ27" s="313"/>
      <c r="DA27" s="313"/>
      <c r="DB27" s="313"/>
      <c r="DC27" s="313"/>
      <c r="DD27" s="313"/>
      <c r="DE27" s="313"/>
      <c r="DF27" s="313"/>
      <c r="DG27" s="313"/>
      <c r="DH27" s="313"/>
      <c r="DI27" s="313"/>
      <c r="DJ27" s="313"/>
      <c r="DK27" s="313"/>
      <c r="DL27" s="313"/>
      <c r="DM27" s="313"/>
      <c r="DN27" s="313"/>
      <c r="DO27" s="313"/>
      <c r="DP27" s="313"/>
      <c r="DQ27" s="313"/>
      <c r="DR27" s="313"/>
      <c r="DS27" s="313"/>
      <c r="DT27" s="313"/>
      <c r="DU27" s="313"/>
      <c r="DV27" s="313"/>
      <c r="DW27" s="313"/>
      <c r="DX27" s="313"/>
      <c r="DY27" s="313"/>
      <c r="DZ27" s="313"/>
      <c r="EA27" s="313"/>
      <c r="EB27" s="313"/>
      <c r="EC27" s="313"/>
      <c r="ED27" s="313"/>
      <c r="EE27" s="313"/>
      <c r="EF27" s="313"/>
      <c r="EG27" s="313"/>
      <c r="EH27" s="313"/>
      <c r="EI27" s="313"/>
      <c r="EJ27" s="313"/>
      <c r="EK27" s="313"/>
      <c r="EL27" s="313"/>
      <c r="EM27" s="313"/>
      <c r="EN27" s="313"/>
      <c r="EO27" s="313"/>
      <c r="EP27" s="313"/>
      <c r="EQ27" s="313"/>
      <c r="ER27" s="313"/>
      <c r="ES27" s="313"/>
      <c r="ET27" s="313"/>
      <c r="EU27" s="313"/>
      <c r="EV27" s="313"/>
      <c r="EW27" s="313"/>
      <c r="EX27" s="313"/>
      <c r="EY27" s="313"/>
      <c r="EZ27" s="313"/>
      <c r="FA27" s="313"/>
      <c r="FB27" s="313"/>
      <c r="FC27" s="313"/>
      <c r="FD27" s="313"/>
      <c r="FE27" s="313"/>
      <c r="FF27" s="313"/>
      <c r="FG27" s="313"/>
      <c r="FH27" s="313"/>
      <c r="FI27" s="313"/>
      <c r="FJ27" s="313"/>
      <c r="FK27" s="313"/>
      <c r="FL27" s="313"/>
      <c r="FM27" s="313"/>
      <c r="FN27" s="313"/>
      <c r="FO27" s="313"/>
      <c r="FP27" s="313"/>
      <c r="FQ27" s="313"/>
      <c r="FR27" s="313"/>
      <c r="FS27" s="313"/>
      <c r="FT27" s="313"/>
      <c r="FU27" s="313"/>
      <c r="FV27" s="313"/>
      <c r="FW27" s="313"/>
      <c r="FX27" s="313"/>
      <c r="FY27" s="313"/>
      <c r="FZ27" s="313"/>
      <c r="GA27" s="313"/>
      <c r="GB27" s="313"/>
      <c r="GC27" s="313"/>
      <c r="GD27" s="313"/>
      <c r="GE27" s="313"/>
      <c r="GF27" s="313"/>
      <c r="GG27" s="313"/>
      <c r="GH27" s="313"/>
      <c r="GI27" s="313"/>
      <c r="GJ27" s="313"/>
      <c r="GK27" s="313"/>
      <c r="GL27" s="313"/>
      <c r="GM27" s="313"/>
      <c r="GN27" s="313"/>
      <c r="GO27" s="313"/>
      <c r="GP27" s="313"/>
      <c r="GQ27" s="313"/>
      <c r="GR27" s="313"/>
      <c r="GS27" s="313"/>
      <c r="GT27" s="313"/>
      <c r="GU27" s="313"/>
      <c r="GV27" s="313"/>
      <c r="GW27" s="313"/>
      <c r="GX27" s="313"/>
      <c r="GY27" s="313"/>
      <c r="GZ27" s="313"/>
      <c r="HA27" s="313"/>
      <c r="HB27" s="313"/>
      <c r="HC27" s="313"/>
      <c r="HD27" s="313"/>
      <c r="HE27" s="313"/>
      <c r="HF27" s="313"/>
      <c r="HG27" s="313"/>
      <c r="HH27" s="313"/>
      <c r="HI27" s="313"/>
      <c r="HJ27" s="313"/>
      <c r="HK27" s="313"/>
      <c r="HL27" s="313"/>
      <c r="HM27" s="313"/>
      <c r="HN27" s="313"/>
      <c r="HO27" s="313"/>
      <c r="HP27" s="313"/>
      <c r="HQ27" s="313"/>
      <c r="HR27" s="313"/>
      <c r="HS27" s="313"/>
      <c r="HT27" s="313"/>
      <c r="HU27" s="313"/>
      <c r="HV27" s="313"/>
      <c r="HW27" s="313"/>
      <c r="HX27" s="313"/>
      <c r="HY27" s="313"/>
      <c r="HZ27" s="313"/>
      <c r="IA27" s="313"/>
      <c r="IB27" s="313"/>
      <c r="IC27" s="313"/>
      <c r="ID27" s="313"/>
      <c r="IE27" s="313"/>
      <c r="IF27" s="313"/>
      <c r="IG27" s="313"/>
      <c r="IH27" s="313"/>
      <c r="II27" s="313"/>
      <c r="IJ27" s="313"/>
      <c r="IK27" s="313"/>
      <c r="IL27" s="313"/>
      <c r="IM27" s="313"/>
      <c r="IN27" s="313"/>
      <c r="IO27" s="313"/>
      <c r="IP27" s="313"/>
      <c r="IQ27" s="313"/>
      <c r="IR27" s="313"/>
      <c r="IS27" s="313"/>
      <c r="IT27" s="313"/>
      <c r="IU27" s="313"/>
    </row>
    <row r="28" spans="1:255">
      <c r="A28" s="330"/>
      <c r="B28" s="313" t="s">
        <v>219</v>
      </c>
      <c r="C28" s="316"/>
      <c r="D28" s="318">
        <f t="shared" si="8"/>
        <v>-9.0999999999999998E-2</v>
      </c>
      <c r="E28" s="318">
        <v>-0.25</v>
      </c>
      <c r="F28" s="319">
        <f t="shared" si="7"/>
        <v>-0.63600000000000001</v>
      </c>
      <c r="G28" s="318"/>
      <c r="H28" s="318"/>
      <c r="I28" s="319"/>
      <c r="J28" s="318"/>
      <c r="K28" s="318"/>
      <c r="L28" s="319"/>
      <c r="M28" s="313"/>
      <c r="N28" s="313"/>
      <c r="O28" s="313"/>
      <c r="P28" s="313"/>
      <c r="Q28" s="313"/>
      <c r="R28" s="314"/>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13"/>
      <c r="BQ28" s="313"/>
      <c r="BR28" s="313"/>
      <c r="BS28" s="313"/>
      <c r="BT28" s="313"/>
      <c r="BU28" s="313"/>
      <c r="BV28" s="313"/>
      <c r="BW28" s="313"/>
      <c r="BX28" s="313"/>
      <c r="BY28" s="313"/>
      <c r="BZ28" s="313"/>
      <c r="CA28" s="313"/>
      <c r="CB28" s="313"/>
      <c r="CC28" s="313"/>
      <c r="CD28" s="313"/>
      <c r="CE28" s="313"/>
      <c r="CF28" s="313"/>
      <c r="CG28" s="313"/>
      <c r="CH28" s="313"/>
      <c r="CI28" s="313"/>
      <c r="CJ28" s="313"/>
      <c r="CK28" s="313"/>
      <c r="CL28" s="313"/>
      <c r="CM28" s="313"/>
      <c r="CN28" s="313"/>
      <c r="CO28" s="313"/>
      <c r="CP28" s="313"/>
      <c r="CQ28" s="313"/>
      <c r="CR28" s="313"/>
      <c r="CS28" s="313"/>
      <c r="CT28" s="313"/>
      <c r="CU28" s="313"/>
      <c r="CV28" s="313"/>
      <c r="CW28" s="313"/>
      <c r="CX28" s="313"/>
      <c r="CY28" s="313"/>
      <c r="CZ28" s="313"/>
      <c r="DA28" s="313"/>
      <c r="DB28" s="313"/>
      <c r="DC28" s="313"/>
      <c r="DD28" s="313"/>
      <c r="DE28" s="313"/>
      <c r="DF28" s="313"/>
      <c r="DG28" s="313"/>
      <c r="DH28" s="313"/>
      <c r="DI28" s="313"/>
      <c r="DJ28" s="313"/>
      <c r="DK28" s="313"/>
      <c r="DL28" s="313"/>
      <c r="DM28" s="313"/>
      <c r="DN28" s="313"/>
      <c r="DO28" s="313"/>
      <c r="DP28" s="313"/>
      <c r="DQ28" s="313"/>
      <c r="DR28" s="313"/>
      <c r="DS28" s="313"/>
      <c r="DT28" s="313"/>
      <c r="DU28" s="313"/>
      <c r="DV28" s="313"/>
      <c r="DW28" s="313"/>
      <c r="DX28" s="313"/>
      <c r="DY28" s="313"/>
      <c r="DZ28" s="313"/>
      <c r="EA28" s="313"/>
      <c r="EB28" s="313"/>
      <c r="EC28" s="313"/>
      <c r="ED28" s="313"/>
      <c r="EE28" s="313"/>
      <c r="EF28" s="313"/>
      <c r="EG28" s="313"/>
      <c r="EH28" s="313"/>
      <c r="EI28" s="313"/>
      <c r="EJ28" s="313"/>
      <c r="EK28" s="313"/>
      <c r="EL28" s="313"/>
      <c r="EM28" s="313"/>
      <c r="EN28" s="313"/>
      <c r="EO28" s="313"/>
      <c r="EP28" s="313"/>
      <c r="EQ28" s="313"/>
      <c r="ER28" s="313"/>
      <c r="ES28" s="313"/>
      <c r="ET28" s="313"/>
      <c r="EU28" s="313"/>
      <c r="EV28" s="313"/>
      <c r="EW28" s="313"/>
      <c r="EX28" s="313"/>
      <c r="EY28" s="313"/>
      <c r="EZ28" s="313"/>
      <c r="FA28" s="313"/>
      <c r="FB28" s="313"/>
      <c r="FC28" s="313"/>
      <c r="FD28" s="313"/>
      <c r="FE28" s="313"/>
      <c r="FF28" s="313"/>
      <c r="FG28" s="313"/>
      <c r="FH28" s="313"/>
      <c r="FI28" s="313"/>
      <c r="FJ28" s="313"/>
      <c r="FK28" s="313"/>
      <c r="FL28" s="313"/>
      <c r="FM28" s="313"/>
      <c r="FN28" s="313"/>
      <c r="FO28" s="313"/>
      <c r="FP28" s="313"/>
      <c r="FQ28" s="313"/>
      <c r="FR28" s="313"/>
      <c r="FS28" s="313"/>
      <c r="FT28" s="313"/>
      <c r="FU28" s="313"/>
      <c r="FV28" s="313"/>
      <c r="FW28" s="313"/>
      <c r="FX28" s="313"/>
      <c r="FY28" s="313"/>
      <c r="FZ28" s="313"/>
      <c r="GA28" s="313"/>
      <c r="GB28" s="313"/>
      <c r="GC28" s="313"/>
      <c r="GD28" s="313"/>
      <c r="GE28" s="313"/>
      <c r="GF28" s="313"/>
      <c r="GG28" s="313"/>
      <c r="GH28" s="313"/>
      <c r="GI28" s="313"/>
      <c r="GJ28" s="313"/>
      <c r="GK28" s="313"/>
      <c r="GL28" s="313"/>
      <c r="GM28" s="313"/>
      <c r="GN28" s="313"/>
      <c r="GO28" s="313"/>
      <c r="GP28" s="313"/>
      <c r="GQ28" s="313"/>
      <c r="GR28" s="313"/>
      <c r="GS28" s="313"/>
      <c r="GT28" s="313"/>
      <c r="GU28" s="313"/>
      <c r="GV28" s="313"/>
      <c r="GW28" s="313"/>
      <c r="GX28" s="313"/>
      <c r="GY28" s="313"/>
      <c r="GZ28" s="313"/>
      <c r="HA28" s="313"/>
      <c r="HB28" s="313"/>
      <c r="HC28" s="313"/>
      <c r="HD28" s="313"/>
      <c r="HE28" s="313"/>
      <c r="HF28" s="313"/>
      <c r="HG28" s="313"/>
      <c r="HH28" s="313"/>
      <c r="HI28" s="313"/>
      <c r="HJ28" s="313"/>
      <c r="HK28" s="313"/>
      <c r="HL28" s="313"/>
      <c r="HM28" s="313"/>
      <c r="HN28" s="313"/>
      <c r="HO28" s="313"/>
      <c r="HP28" s="313"/>
      <c r="HQ28" s="313"/>
      <c r="HR28" s="313"/>
      <c r="HS28" s="313"/>
      <c r="HT28" s="313"/>
      <c r="HU28" s="313"/>
      <c r="HV28" s="313"/>
      <c r="HW28" s="313"/>
      <c r="HX28" s="313"/>
      <c r="HY28" s="313"/>
      <c r="HZ28" s="313"/>
      <c r="IA28" s="313"/>
      <c r="IB28" s="313"/>
      <c r="IC28" s="313"/>
      <c r="ID28" s="313"/>
      <c r="IE28" s="313"/>
      <c r="IF28" s="313"/>
      <c r="IG28" s="313"/>
      <c r="IH28" s="313"/>
      <c r="II28" s="313"/>
      <c r="IJ28" s="313"/>
      <c r="IK28" s="313"/>
      <c r="IL28" s="313"/>
      <c r="IM28" s="313"/>
      <c r="IN28" s="313"/>
      <c r="IO28" s="313"/>
      <c r="IP28" s="313"/>
      <c r="IQ28" s="313"/>
      <c r="IR28" s="313"/>
      <c r="IS28" s="313"/>
      <c r="IT28" s="313"/>
      <c r="IU28" s="313"/>
    </row>
    <row r="29" spans="1:255">
      <c r="A29" s="330"/>
      <c r="B29" s="313" t="s">
        <v>220</v>
      </c>
      <c r="C29" s="316"/>
      <c r="D29" s="318">
        <f t="shared" si="8"/>
        <v>-0.185</v>
      </c>
      <c r="E29" s="327">
        <v>-0.51</v>
      </c>
      <c r="F29" s="319">
        <f t="shared" si="7"/>
        <v>-0.63725490196078427</v>
      </c>
      <c r="G29" s="318"/>
      <c r="H29" s="318"/>
      <c r="I29" s="319"/>
      <c r="J29" s="318"/>
      <c r="K29" s="318"/>
      <c r="L29" s="319"/>
      <c r="M29" s="313"/>
      <c r="N29" s="313"/>
      <c r="O29" s="313"/>
      <c r="P29" s="313"/>
      <c r="Q29" s="313"/>
      <c r="R29" s="314"/>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13"/>
      <c r="CD29" s="313"/>
      <c r="CE29" s="313"/>
      <c r="CF29" s="313"/>
      <c r="CG29" s="313"/>
      <c r="CH29" s="313"/>
      <c r="CI29" s="313"/>
      <c r="CJ29" s="313"/>
      <c r="CK29" s="313"/>
      <c r="CL29" s="313"/>
      <c r="CM29" s="313"/>
      <c r="CN29" s="313"/>
      <c r="CO29" s="313"/>
      <c r="CP29" s="313"/>
      <c r="CQ29" s="313"/>
      <c r="CR29" s="313"/>
      <c r="CS29" s="313"/>
      <c r="CT29" s="313"/>
      <c r="CU29" s="313"/>
      <c r="CV29" s="313"/>
      <c r="CW29" s="313"/>
      <c r="CX29" s="313"/>
      <c r="CY29" s="313"/>
      <c r="CZ29" s="313"/>
      <c r="DA29" s="313"/>
      <c r="DB29" s="313"/>
      <c r="DC29" s="313"/>
      <c r="DD29" s="313"/>
      <c r="DE29" s="313"/>
      <c r="DF29" s="313"/>
      <c r="DG29" s="313"/>
      <c r="DH29" s="313"/>
      <c r="DI29" s="313"/>
      <c r="DJ29" s="313"/>
      <c r="DK29" s="313"/>
      <c r="DL29" s="313"/>
      <c r="DM29" s="313"/>
      <c r="DN29" s="313"/>
      <c r="DO29" s="313"/>
      <c r="DP29" s="313"/>
      <c r="DQ29" s="313"/>
      <c r="DR29" s="313"/>
      <c r="DS29" s="313"/>
      <c r="DT29" s="313"/>
      <c r="DU29" s="313"/>
      <c r="DV29" s="313"/>
      <c r="DW29" s="313"/>
      <c r="DX29" s="313"/>
      <c r="DY29" s="313"/>
      <c r="DZ29" s="313"/>
      <c r="EA29" s="313"/>
      <c r="EB29" s="313"/>
      <c r="EC29" s="313"/>
      <c r="ED29" s="313"/>
      <c r="EE29" s="313"/>
      <c r="EF29" s="313"/>
      <c r="EG29" s="313"/>
      <c r="EH29" s="313"/>
      <c r="EI29" s="313"/>
      <c r="EJ29" s="313"/>
      <c r="EK29" s="313"/>
      <c r="EL29" s="313"/>
      <c r="EM29" s="313"/>
      <c r="EN29" s="313"/>
      <c r="EO29" s="313"/>
      <c r="EP29" s="313"/>
      <c r="EQ29" s="313"/>
      <c r="ER29" s="313"/>
      <c r="ES29" s="313"/>
      <c r="ET29" s="313"/>
      <c r="EU29" s="313"/>
      <c r="EV29" s="313"/>
      <c r="EW29" s="313"/>
      <c r="EX29" s="313"/>
      <c r="EY29" s="313"/>
      <c r="EZ29" s="313"/>
      <c r="FA29" s="313"/>
      <c r="FB29" s="313"/>
      <c r="FC29" s="313"/>
      <c r="FD29" s="313"/>
      <c r="FE29" s="313"/>
      <c r="FF29" s="313"/>
      <c r="FG29" s="313"/>
      <c r="FH29" s="313"/>
      <c r="FI29" s="313"/>
      <c r="FJ29" s="313"/>
      <c r="FK29" s="313"/>
      <c r="FL29" s="313"/>
      <c r="FM29" s="313"/>
      <c r="FN29" s="313"/>
      <c r="FO29" s="313"/>
      <c r="FP29" s="313"/>
      <c r="FQ29" s="313"/>
      <c r="FR29" s="313"/>
      <c r="FS29" s="313"/>
      <c r="FT29" s="313"/>
      <c r="FU29" s="313"/>
      <c r="FV29" s="313"/>
      <c r="FW29" s="313"/>
      <c r="FX29" s="313"/>
      <c r="FY29" s="313"/>
      <c r="FZ29" s="313"/>
      <c r="GA29" s="313"/>
      <c r="GB29" s="313"/>
      <c r="GC29" s="313"/>
      <c r="GD29" s="313"/>
      <c r="GE29" s="313"/>
      <c r="GF29" s="313"/>
      <c r="GG29" s="313"/>
      <c r="GH29" s="313"/>
      <c r="GI29" s="313"/>
      <c r="GJ29" s="313"/>
      <c r="GK29" s="313"/>
      <c r="GL29" s="313"/>
      <c r="GM29" s="313"/>
      <c r="GN29" s="313"/>
      <c r="GO29" s="313"/>
      <c r="GP29" s="313"/>
      <c r="GQ29" s="313"/>
      <c r="GR29" s="313"/>
      <c r="GS29" s="313"/>
      <c r="GT29" s="313"/>
      <c r="GU29" s="313"/>
      <c r="GV29" s="313"/>
      <c r="GW29" s="313"/>
      <c r="GX29" s="313"/>
      <c r="GY29" s="313"/>
      <c r="GZ29" s="313"/>
      <c r="HA29" s="313"/>
      <c r="HB29" s="313"/>
      <c r="HC29" s="313"/>
      <c r="HD29" s="313"/>
      <c r="HE29" s="313"/>
      <c r="HF29" s="313"/>
      <c r="HG29" s="313"/>
      <c r="HH29" s="313"/>
      <c r="HI29" s="313"/>
      <c r="HJ29" s="313"/>
      <c r="HK29" s="313"/>
      <c r="HL29" s="313"/>
      <c r="HM29" s="313"/>
      <c r="HN29" s="313"/>
      <c r="HO29" s="313"/>
      <c r="HP29" s="313"/>
      <c r="HQ29" s="313"/>
      <c r="HR29" s="313"/>
      <c r="HS29" s="313"/>
      <c r="HT29" s="313"/>
      <c r="HU29" s="313"/>
      <c r="HV29" s="313"/>
      <c r="HW29" s="313"/>
      <c r="HX29" s="313"/>
      <c r="HY29" s="313"/>
      <c r="HZ29" s="313"/>
      <c r="IA29" s="313"/>
      <c r="IB29" s="313"/>
      <c r="IC29" s="313"/>
      <c r="ID29" s="313"/>
      <c r="IE29" s="313"/>
      <c r="IF29" s="313"/>
      <c r="IG29" s="313"/>
      <c r="IH29" s="313"/>
      <c r="II29" s="313"/>
      <c r="IJ29" s="313"/>
      <c r="IK29" s="313"/>
      <c r="IL29" s="313"/>
      <c r="IM29" s="313"/>
      <c r="IN29" s="313"/>
      <c r="IO29" s="313"/>
      <c r="IP29" s="313"/>
      <c r="IQ29" s="313"/>
      <c r="IR29" s="313"/>
      <c r="IS29" s="313"/>
      <c r="IT29" s="313"/>
      <c r="IU29" s="313"/>
    </row>
    <row r="30" spans="1:255">
      <c r="A30" s="330"/>
      <c r="B30" s="313" t="s">
        <v>221</v>
      </c>
      <c r="C30" s="316"/>
      <c r="D30" s="318">
        <f t="shared" si="8"/>
        <v>-0.27900000000000003</v>
      </c>
      <c r="E30" s="327">
        <v>-0.77</v>
      </c>
      <c r="F30" s="319">
        <f t="shared" si="7"/>
        <v>-0.6376623376623376</v>
      </c>
      <c r="G30" s="318"/>
      <c r="H30" s="318"/>
      <c r="I30" s="319"/>
      <c r="J30" s="318"/>
      <c r="K30" s="318"/>
      <c r="L30" s="319"/>
      <c r="M30" s="313"/>
      <c r="N30" s="313"/>
      <c r="O30" s="313"/>
      <c r="P30" s="313"/>
      <c r="Q30" s="313"/>
      <c r="R30" s="314"/>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3"/>
      <c r="BS30" s="313"/>
      <c r="BT30" s="313"/>
      <c r="BU30" s="313"/>
      <c r="BV30" s="313"/>
      <c r="BW30" s="313"/>
      <c r="BX30" s="313"/>
      <c r="BY30" s="313"/>
      <c r="BZ30" s="313"/>
      <c r="CA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13"/>
      <c r="CY30" s="313"/>
      <c r="CZ30" s="313"/>
      <c r="DA30" s="313"/>
      <c r="DB30" s="313"/>
      <c r="DC30" s="313"/>
      <c r="DD30" s="313"/>
      <c r="DE30" s="313"/>
      <c r="DF30" s="313"/>
      <c r="DG30" s="313"/>
      <c r="DH30" s="313"/>
      <c r="DI30" s="313"/>
      <c r="DJ30" s="313"/>
      <c r="DK30" s="313"/>
      <c r="DL30" s="313"/>
      <c r="DM30" s="313"/>
      <c r="DN30" s="313"/>
      <c r="DO30" s="313"/>
      <c r="DP30" s="313"/>
      <c r="DQ30" s="313"/>
      <c r="DR30" s="313"/>
      <c r="DS30" s="313"/>
      <c r="DT30" s="313"/>
      <c r="DU30" s="313"/>
      <c r="DV30" s="313"/>
      <c r="DW30" s="313"/>
      <c r="DX30" s="313"/>
      <c r="DY30" s="313"/>
      <c r="DZ30" s="313"/>
      <c r="EA30" s="313"/>
      <c r="EB30" s="313"/>
      <c r="EC30" s="313"/>
      <c r="ED30" s="313"/>
      <c r="EE30" s="313"/>
      <c r="EF30" s="313"/>
      <c r="EG30" s="313"/>
      <c r="EH30" s="313"/>
      <c r="EI30" s="313"/>
      <c r="EJ30" s="313"/>
      <c r="EK30" s="313"/>
      <c r="EL30" s="313"/>
      <c r="EM30" s="313"/>
      <c r="EN30" s="313"/>
      <c r="EO30" s="313"/>
      <c r="EP30" s="313"/>
      <c r="EQ30" s="313"/>
      <c r="ER30" s="313"/>
      <c r="ES30" s="313"/>
      <c r="ET30" s="313"/>
      <c r="EU30" s="313"/>
      <c r="EV30" s="313"/>
      <c r="EW30" s="313"/>
      <c r="EX30" s="313"/>
      <c r="EY30" s="313"/>
      <c r="EZ30" s="313"/>
      <c r="FA30" s="313"/>
      <c r="FB30" s="313"/>
      <c r="FC30" s="313"/>
      <c r="FD30" s="313"/>
      <c r="FE30" s="313"/>
      <c r="FF30" s="313"/>
      <c r="FG30" s="313"/>
      <c r="FH30" s="313"/>
      <c r="FI30" s="313"/>
      <c r="FJ30" s="313"/>
      <c r="FK30" s="313"/>
      <c r="FL30" s="313"/>
      <c r="FM30" s="313"/>
      <c r="FN30" s="313"/>
      <c r="FO30" s="313"/>
      <c r="FP30" s="313"/>
      <c r="FQ30" s="313"/>
      <c r="FR30" s="313"/>
      <c r="FS30" s="313"/>
      <c r="FT30" s="313"/>
      <c r="FU30" s="313"/>
      <c r="FV30" s="313"/>
      <c r="FW30" s="313"/>
      <c r="FX30" s="313"/>
      <c r="FY30" s="313"/>
      <c r="FZ30" s="313"/>
      <c r="GA30" s="313"/>
      <c r="GB30" s="313"/>
      <c r="GC30" s="313"/>
      <c r="GD30" s="313"/>
      <c r="GE30" s="313"/>
      <c r="GF30" s="313"/>
      <c r="GG30" s="313"/>
      <c r="GH30" s="313"/>
      <c r="GI30" s="313"/>
      <c r="GJ30" s="313"/>
      <c r="GK30" s="313"/>
      <c r="GL30" s="313"/>
      <c r="GM30" s="313"/>
      <c r="GN30" s="313"/>
      <c r="GO30" s="313"/>
      <c r="GP30" s="313"/>
      <c r="GQ30" s="313"/>
      <c r="GR30" s="313"/>
      <c r="GS30" s="313"/>
      <c r="GT30" s="313"/>
      <c r="GU30" s="313"/>
      <c r="GV30" s="313"/>
      <c r="GW30" s="313"/>
      <c r="GX30" s="313"/>
      <c r="GY30" s="313"/>
      <c r="GZ30" s="313"/>
      <c r="HA30" s="313"/>
      <c r="HB30" s="313"/>
      <c r="HC30" s="313"/>
      <c r="HD30" s="313"/>
      <c r="HE30" s="313"/>
      <c r="HF30" s="313"/>
      <c r="HG30" s="313"/>
      <c r="HH30" s="313"/>
      <c r="HI30" s="313"/>
      <c r="HJ30" s="313"/>
      <c r="HK30" s="313"/>
      <c r="HL30" s="313"/>
      <c r="HM30" s="313"/>
      <c r="HN30" s="313"/>
      <c r="HO30" s="313"/>
      <c r="HP30" s="313"/>
      <c r="HQ30" s="313"/>
      <c r="HR30" s="313"/>
      <c r="HS30" s="313"/>
      <c r="HT30" s="313"/>
      <c r="HU30" s="313"/>
      <c r="HV30" s="313"/>
      <c r="HW30" s="313"/>
      <c r="HX30" s="313"/>
      <c r="HY30" s="313"/>
      <c r="HZ30" s="313"/>
      <c r="IA30" s="313"/>
      <c r="IB30" s="313"/>
      <c r="IC30" s="313"/>
      <c r="ID30" s="313"/>
      <c r="IE30" s="313"/>
      <c r="IF30" s="313"/>
      <c r="IG30" s="313"/>
      <c r="IH30" s="313"/>
      <c r="II30" s="313"/>
      <c r="IJ30" s="313"/>
      <c r="IK30" s="313"/>
      <c r="IL30" s="313"/>
      <c r="IM30" s="313"/>
      <c r="IN30" s="313"/>
      <c r="IO30" s="313"/>
      <c r="IP30" s="313"/>
      <c r="IQ30" s="313"/>
      <c r="IR30" s="313"/>
      <c r="IS30" s="313"/>
      <c r="IT30" s="313"/>
      <c r="IU30" s="313"/>
    </row>
    <row r="31" spans="1:255">
      <c r="A31" s="330"/>
      <c r="B31" s="313" t="s">
        <v>222</v>
      </c>
      <c r="C31" s="316"/>
      <c r="D31" s="318">
        <f t="shared" si="8"/>
        <v>-0.37</v>
      </c>
      <c r="E31" s="327">
        <v>-1.02</v>
      </c>
      <c r="F31" s="319">
        <f t="shared" si="7"/>
        <v>-0.63725490196078427</v>
      </c>
      <c r="G31" s="318"/>
      <c r="H31" s="318"/>
      <c r="I31" s="319"/>
      <c r="J31" s="318"/>
      <c r="K31" s="318"/>
      <c r="L31" s="319"/>
      <c r="M31" s="313"/>
      <c r="N31" s="313"/>
      <c r="O31" s="313"/>
      <c r="P31" s="313"/>
      <c r="Q31" s="313"/>
      <c r="R31" s="314"/>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c r="EO31" s="313"/>
      <c r="EP31" s="313"/>
      <c r="EQ31" s="313"/>
      <c r="ER31" s="313"/>
      <c r="ES31" s="313"/>
      <c r="ET31" s="313"/>
      <c r="EU31" s="313"/>
      <c r="EV31" s="313"/>
      <c r="EW31" s="313"/>
      <c r="EX31" s="313"/>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3"/>
      <c r="FU31" s="313"/>
      <c r="FV31" s="313"/>
      <c r="FW31" s="313"/>
      <c r="FX31" s="313"/>
      <c r="FY31" s="313"/>
      <c r="FZ31" s="313"/>
      <c r="GA31" s="313"/>
      <c r="GB31" s="313"/>
      <c r="GC31" s="313"/>
      <c r="GD31" s="313"/>
      <c r="GE31" s="313"/>
      <c r="GF31" s="313"/>
      <c r="GG31" s="313"/>
      <c r="GH31" s="313"/>
      <c r="GI31" s="313"/>
      <c r="GJ31" s="313"/>
      <c r="GK31" s="313"/>
      <c r="GL31" s="313"/>
      <c r="GM31" s="313"/>
      <c r="GN31" s="313"/>
      <c r="GO31" s="313"/>
      <c r="GP31" s="313"/>
      <c r="GQ31" s="313"/>
      <c r="GR31" s="313"/>
      <c r="GS31" s="313"/>
      <c r="GT31" s="313"/>
      <c r="GU31" s="313"/>
      <c r="GV31" s="313"/>
      <c r="GW31" s="313"/>
      <c r="GX31" s="313"/>
      <c r="GY31" s="313"/>
      <c r="GZ31" s="313"/>
      <c r="HA31" s="313"/>
      <c r="HB31" s="313"/>
      <c r="HC31" s="313"/>
      <c r="HD31" s="313"/>
      <c r="HE31" s="313"/>
      <c r="HF31" s="313"/>
      <c r="HG31" s="313"/>
      <c r="HH31" s="313"/>
      <c r="HI31" s="313"/>
      <c r="HJ31" s="313"/>
      <c r="HK31" s="313"/>
      <c r="HL31" s="313"/>
      <c r="HM31" s="313"/>
      <c r="HN31" s="313"/>
      <c r="HO31" s="313"/>
      <c r="HP31" s="313"/>
      <c r="HQ31" s="313"/>
      <c r="HR31" s="313"/>
      <c r="HS31" s="313"/>
      <c r="HT31" s="313"/>
      <c r="HU31" s="313"/>
      <c r="HV31" s="313"/>
      <c r="HW31" s="313"/>
      <c r="HX31" s="313"/>
      <c r="HY31" s="313"/>
      <c r="HZ31" s="313"/>
      <c r="IA31" s="313"/>
      <c r="IB31" s="313"/>
      <c r="IC31" s="313"/>
      <c r="ID31" s="313"/>
      <c r="IE31" s="313"/>
      <c r="IF31" s="313"/>
      <c r="IG31" s="313"/>
      <c r="IH31" s="313"/>
      <c r="II31" s="313"/>
      <c r="IJ31" s="313"/>
      <c r="IK31" s="313"/>
      <c r="IL31" s="313"/>
      <c r="IM31" s="313"/>
      <c r="IN31" s="313"/>
      <c r="IO31" s="313"/>
      <c r="IP31" s="313"/>
      <c r="IQ31" s="313"/>
      <c r="IR31" s="313"/>
      <c r="IS31" s="313"/>
      <c r="IT31" s="313"/>
      <c r="IU31" s="313"/>
    </row>
    <row r="32" spans="1:255">
      <c r="A32" s="330"/>
      <c r="B32" s="313" t="s">
        <v>223</v>
      </c>
      <c r="C32" s="316"/>
      <c r="D32" s="318">
        <f t="shared" si="8"/>
        <v>-0.55500000000000005</v>
      </c>
      <c r="E32" s="327">
        <v>-1.53</v>
      </c>
      <c r="F32" s="319">
        <f t="shared" si="7"/>
        <v>-0.63725490196078427</v>
      </c>
      <c r="G32" s="318"/>
      <c r="H32" s="318"/>
      <c r="I32" s="319"/>
      <c r="J32" s="318"/>
      <c r="K32" s="318"/>
      <c r="L32" s="319"/>
      <c r="M32" s="313"/>
      <c r="N32" s="313"/>
      <c r="O32" s="313"/>
      <c r="P32" s="313"/>
      <c r="Q32" s="313"/>
      <c r="R32" s="314"/>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c r="EC32" s="313"/>
      <c r="ED32" s="313"/>
      <c r="EE32" s="313"/>
      <c r="EF32" s="313"/>
      <c r="EG32" s="313"/>
      <c r="EH32" s="313"/>
      <c r="EI32" s="313"/>
      <c r="EJ32" s="313"/>
      <c r="EK32" s="313"/>
      <c r="EL32" s="313"/>
      <c r="EM32" s="313"/>
      <c r="EN32" s="313"/>
      <c r="EO32" s="313"/>
      <c r="EP32" s="313"/>
      <c r="EQ32" s="313"/>
      <c r="ER32" s="313"/>
      <c r="ES32" s="313"/>
      <c r="ET32" s="313"/>
      <c r="EU32" s="313"/>
      <c r="EV32" s="313"/>
      <c r="EW32" s="313"/>
      <c r="EX32" s="313"/>
      <c r="EY32" s="313"/>
      <c r="EZ32" s="313"/>
      <c r="FA32" s="313"/>
      <c r="FB32" s="313"/>
      <c r="FC32" s="313"/>
      <c r="FD32" s="313"/>
      <c r="FE32" s="313"/>
      <c r="FF32" s="313"/>
      <c r="FG32" s="313"/>
      <c r="FH32" s="313"/>
      <c r="FI32" s="313"/>
      <c r="FJ32" s="313"/>
      <c r="FK32" s="313"/>
      <c r="FL32" s="313"/>
      <c r="FM32" s="313"/>
      <c r="FN32" s="313"/>
      <c r="FO32" s="313"/>
      <c r="FP32" s="313"/>
      <c r="FQ32" s="313"/>
      <c r="FR32" s="313"/>
      <c r="FS32" s="313"/>
      <c r="FT32" s="313"/>
      <c r="FU32" s="313"/>
      <c r="FV32" s="313"/>
      <c r="FW32" s="313"/>
      <c r="FX32" s="313"/>
      <c r="FY32" s="313"/>
      <c r="FZ32" s="313"/>
      <c r="GA32" s="313"/>
      <c r="GB32" s="313"/>
      <c r="GC32" s="313"/>
      <c r="GD32" s="313"/>
      <c r="GE32" s="313"/>
      <c r="GF32" s="313"/>
      <c r="GG32" s="313"/>
      <c r="GH32" s="313"/>
      <c r="GI32" s="313"/>
      <c r="GJ32" s="313"/>
      <c r="GK32" s="313"/>
      <c r="GL32" s="313"/>
      <c r="GM32" s="313"/>
      <c r="GN32" s="313"/>
      <c r="GO32" s="313"/>
      <c r="GP32" s="313"/>
      <c r="GQ32" s="313"/>
      <c r="GR32" s="313"/>
      <c r="GS32" s="313"/>
      <c r="GT32" s="313"/>
      <c r="GU32" s="313"/>
      <c r="GV32" s="313"/>
      <c r="GW32" s="313"/>
      <c r="GX32" s="313"/>
      <c r="GY32" s="313"/>
      <c r="GZ32" s="313"/>
      <c r="HA32" s="313"/>
      <c r="HB32" s="313"/>
      <c r="HC32" s="313"/>
      <c r="HD32" s="313"/>
      <c r="HE32" s="313"/>
      <c r="HF32" s="313"/>
      <c r="HG32" s="313"/>
      <c r="HH32" s="313"/>
      <c r="HI32" s="313"/>
      <c r="HJ32" s="313"/>
      <c r="HK32" s="313"/>
      <c r="HL32" s="313"/>
      <c r="HM32" s="313"/>
      <c r="HN32" s="313"/>
      <c r="HO32" s="313"/>
      <c r="HP32" s="313"/>
      <c r="HQ32" s="313"/>
      <c r="HR32" s="313"/>
      <c r="HS32" s="313"/>
      <c r="HT32" s="313"/>
      <c r="HU32" s="313"/>
      <c r="HV32" s="313"/>
      <c r="HW32" s="313"/>
      <c r="HX32" s="313"/>
      <c r="HY32" s="313"/>
      <c r="HZ32" s="313"/>
      <c r="IA32" s="313"/>
      <c r="IB32" s="313"/>
      <c r="IC32" s="313"/>
      <c r="ID32" s="313"/>
      <c r="IE32" s="313"/>
      <c r="IF32" s="313"/>
      <c r="IG32" s="313"/>
      <c r="IH32" s="313"/>
      <c r="II32" s="313"/>
      <c r="IJ32" s="313"/>
      <c r="IK32" s="313"/>
      <c r="IL32" s="313"/>
      <c r="IM32" s="313"/>
      <c r="IN32" s="313"/>
      <c r="IO32" s="313"/>
      <c r="IP32" s="313"/>
      <c r="IQ32" s="313"/>
      <c r="IR32" s="313"/>
      <c r="IS32" s="313"/>
      <c r="IT32" s="313"/>
      <c r="IU32" s="313"/>
    </row>
    <row r="33" spans="1:255">
      <c r="A33" s="330"/>
      <c r="B33" s="313" t="s">
        <v>224</v>
      </c>
      <c r="C33" s="316"/>
      <c r="D33" s="318">
        <f t="shared" si="8"/>
        <v>-0.73899999999999999</v>
      </c>
      <c r="E33" s="327">
        <v>-2.04</v>
      </c>
      <c r="F33" s="319">
        <f t="shared" si="7"/>
        <v>-0.63774509803921564</v>
      </c>
      <c r="G33" s="318"/>
      <c r="H33" s="318"/>
      <c r="I33" s="319"/>
      <c r="J33" s="318"/>
      <c r="K33" s="318"/>
      <c r="L33" s="319"/>
      <c r="M33" s="313"/>
      <c r="N33" s="313"/>
      <c r="O33" s="313"/>
      <c r="P33" s="313"/>
      <c r="Q33" s="313"/>
      <c r="R33" s="314"/>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c r="EF33" s="313"/>
      <c r="EG33" s="313"/>
      <c r="EH33" s="313"/>
      <c r="EI33" s="313"/>
      <c r="EJ33" s="313"/>
      <c r="EK33" s="313"/>
      <c r="EL33" s="313"/>
      <c r="EM33" s="313"/>
      <c r="EN33" s="313"/>
      <c r="EO33" s="313"/>
      <c r="EP33" s="313"/>
      <c r="EQ33" s="313"/>
      <c r="ER33" s="313"/>
      <c r="ES33" s="313"/>
      <c r="ET33" s="313"/>
      <c r="EU33" s="313"/>
      <c r="EV33" s="313"/>
      <c r="EW33" s="313"/>
      <c r="EX33" s="313"/>
      <c r="EY33" s="313"/>
      <c r="EZ33" s="313"/>
      <c r="FA33" s="313"/>
      <c r="FB33" s="313"/>
      <c r="FC33" s="313"/>
      <c r="FD33" s="313"/>
      <c r="FE33" s="313"/>
      <c r="FF33" s="313"/>
      <c r="FG33" s="313"/>
      <c r="FH33" s="313"/>
      <c r="FI33" s="313"/>
      <c r="FJ33" s="313"/>
      <c r="FK33" s="313"/>
      <c r="FL33" s="313"/>
      <c r="FM33" s="313"/>
      <c r="FN33" s="313"/>
      <c r="FO33" s="313"/>
      <c r="FP33" s="313"/>
      <c r="FQ33" s="313"/>
      <c r="FR33" s="313"/>
      <c r="FS33" s="313"/>
      <c r="FT33" s="313"/>
      <c r="FU33" s="313"/>
      <c r="FV33" s="313"/>
      <c r="FW33" s="313"/>
      <c r="FX33" s="313"/>
      <c r="FY33" s="313"/>
      <c r="FZ33" s="313"/>
      <c r="GA33" s="313"/>
      <c r="GB33" s="313"/>
      <c r="GC33" s="313"/>
      <c r="GD33" s="313"/>
      <c r="GE33" s="313"/>
      <c r="GF33" s="313"/>
      <c r="GG33" s="313"/>
      <c r="GH33" s="313"/>
      <c r="GI33" s="313"/>
      <c r="GJ33" s="313"/>
      <c r="GK33" s="313"/>
      <c r="GL33" s="313"/>
      <c r="GM33" s="313"/>
      <c r="GN33" s="313"/>
      <c r="GO33" s="313"/>
      <c r="GP33" s="313"/>
      <c r="GQ33" s="313"/>
      <c r="GR33" s="313"/>
      <c r="GS33" s="313"/>
      <c r="GT33" s="313"/>
      <c r="GU33" s="313"/>
      <c r="GV33" s="313"/>
      <c r="GW33" s="313"/>
      <c r="GX33" s="313"/>
      <c r="GY33" s="313"/>
      <c r="GZ33" s="313"/>
      <c r="HA33" s="313"/>
      <c r="HB33" s="313"/>
      <c r="HC33" s="313"/>
      <c r="HD33" s="313"/>
      <c r="HE33" s="313"/>
      <c r="HF33" s="313"/>
      <c r="HG33" s="313"/>
      <c r="HH33" s="313"/>
      <c r="HI33" s="313"/>
      <c r="HJ33" s="313"/>
      <c r="HK33" s="313"/>
      <c r="HL33" s="313"/>
      <c r="HM33" s="313"/>
      <c r="HN33" s="313"/>
      <c r="HO33" s="313"/>
      <c r="HP33" s="313"/>
      <c r="HQ33" s="313"/>
      <c r="HR33" s="313"/>
      <c r="HS33" s="313"/>
      <c r="HT33" s="313"/>
      <c r="HU33" s="313"/>
      <c r="HV33" s="313"/>
      <c r="HW33" s="313"/>
      <c r="HX33" s="313"/>
      <c r="HY33" s="313"/>
      <c r="HZ33" s="313"/>
      <c r="IA33" s="313"/>
      <c r="IB33" s="313"/>
      <c r="IC33" s="313"/>
      <c r="ID33" s="313"/>
      <c r="IE33" s="313"/>
      <c r="IF33" s="313"/>
      <c r="IG33" s="313"/>
      <c r="IH33" s="313"/>
      <c r="II33" s="313"/>
      <c r="IJ33" s="313"/>
      <c r="IK33" s="313"/>
      <c r="IL33" s="313"/>
      <c r="IM33" s="313"/>
      <c r="IN33" s="313"/>
      <c r="IO33" s="313"/>
      <c r="IP33" s="313"/>
      <c r="IQ33" s="313"/>
      <c r="IR33" s="313"/>
      <c r="IS33" s="313"/>
      <c r="IT33" s="313"/>
      <c r="IU33" s="313"/>
    </row>
    <row r="34" spans="1:255">
      <c r="A34" s="330"/>
      <c r="B34" s="313" t="s">
        <v>225</v>
      </c>
      <c r="C34" s="316"/>
      <c r="D34" s="318">
        <f t="shared" si="8"/>
        <v>-1.109</v>
      </c>
      <c r="E34" s="327">
        <v>-3.06</v>
      </c>
      <c r="F34" s="319">
        <f t="shared" si="7"/>
        <v>-0.63758169934640518</v>
      </c>
      <c r="G34" s="318"/>
      <c r="H34" s="318"/>
      <c r="I34" s="319"/>
      <c r="J34" s="318"/>
      <c r="K34" s="318"/>
      <c r="L34" s="319"/>
      <c r="M34" s="313"/>
      <c r="N34" s="313"/>
      <c r="O34" s="313"/>
      <c r="P34" s="313"/>
      <c r="Q34" s="313"/>
      <c r="R34" s="314"/>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3"/>
      <c r="BS34" s="313"/>
      <c r="BT34" s="313"/>
      <c r="BU34" s="313"/>
      <c r="BV34" s="313"/>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3"/>
      <c r="DA34" s="313"/>
      <c r="DB34" s="313"/>
      <c r="DC34" s="313"/>
      <c r="DD34" s="313"/>
      <c r="DE34" s="313"/>
      <c r="DF34" s="313"/>
      <c r="DG34" s="313"/>
      <c r="DH34" s="313"/>
      <c r="DI34" s="313"/>
      <c r="DJ34" s="313"/>
      <c r="DK34" s="313"/>
      <c r="DL34" s="313"/>
      <c r="DM34" s="313"/>
      <c r="DN34" s="313"/>
      <c r="DO34" s="313"/>
      <c r="DP34" s="313"/>
      <c r="DQ34" s="313"/>
      <c r="DR34" s="313"/>
      <c r="DS34" s="313"/>
      <c r="DT34" s="313"/>
      <c r="DU34" s="313"/>
      <c r="DV34" s="313"/>
      <c r="DW34" s="313"/>
      <c r="DX34" s="313"/>
      <c r="DY34" s="313"/>
      <c r="DZ34" s="313"/>
      <c r="EA34" s="313"/>
      <c r="EB34" s="313"/>
      <c r="EC34" s="313"/>
      <c r="ED34" s="313"/>
      <c r="EE34" s="313"/>
      <c r="EF34" s="313"/>
      <c r="EG34" s="313"/>
      <c r="EH34" s="313"/>
      <c r="EI34" s="313"/>
      <c r="EJ34" s="313"/>
      <c r="EK34" s="313"/>
      <c r="EL34" s="313"/>
      <c r="EM34" s="313"/>
      <c r="EN34" s="313"/>
      <c r="EO34" s="313"/>
      <c r="EP34" s="313"/>
      <c r="EQ34" s="313"/>
      <c r="ER34" s="313"/>
      <c r="ES34" s="313"/>
      <c r="ET34" s="313"/>
      <c r="EU34" s="313"/>
      <c r="EV34" s="313"/>
      <c r="EW34" s="313"/>
      <c r="EX34" s="313"/>
      <c r="EY34" s="313"/>
      <c r="EZ34" s="313"/>
      <c r="FA34" s="313"/>
      <c r="FB34" s="313"/>
      <c r="FC34" s="313"/>
      <c r="FD34" s="313"/>
      <c r="FE34" s="313"/>
      <c r="FF34" s="313"/>
      <c r="FG34" s="313"/>
      <c r="FH34" s="313"/>
      <c r="FI34" s="313"/>
      <c r="FJ34" s="313"/>
      <c r="FK34" s="313"/>
      <c r="FL34" s="313"/>
      <c r="FM34" s="313"/>
      <c r="FN34" s="313"/>
      <c r="FO34" s="313"/>
      <c r="FP34" s="313"/>
      <c r="FQ34" s="313"/>
      <c r="FR34" s="313"/>
      <c r="FS34" s="313"/>
      <c r="FT34" s="313"/>
      <c r="FU34" s="313"/>
      <c r="FV34" s="313"/>
      <c r="FW34" s="313"/>
      <c r="FX34" s="313"/>
      <c r="FY34" s="313"/>
      <c r="FZ34" s="313"/>
      <c r="GA34" s="313"/>
      <c r="GB34" s="313"/>
      <c r="GC34" s="313"/>
      <c r="GD34" s="313"/>
      <c r="GE34" s="313"/>
      <c r="GF34" s="313"/>
      <c r="GG34" s="313"/>
      <c r="GH34" s="313"/>
      <c r="GI34" s="313"/>
      <c r="GJ34" s="313"/>
      <c r="GK34" s="313"/>
      <c r="GL34" s="313"/>
      <c r="GM34" s="313"/>
      <c r="GN34" s="313"/>
      <c r="GO34" s="313"/>
      <c r="GP34" s="313"/>
      <c r="GQ34" s="313"/>
      <c r="GR34" s="313"/>
      <c r="GS34" s="313"/>
      <c r="GT34" s="313"/>
      <c r="GU34" s="313"/>
      <c r="GV34" s="313"/>
      <c r="GW34" s="313"/>
      <c r="GX34" s="313"/>
      <c r="GY34" s="313"/>
      <c r="GZ34" s="313"/>
      <c r="HA34" s="313"/>
      <c r="HB34" s="313"/>
      <c r="HC34" s="313"/>
      <c r="HD34" s="313"/>
      <c r="HE34" s="313"/>
      <c r="HF34" s="313"/>
      <c r="HG34" s="313"/>
      <c r="HH34" s="313"/>
      <c r="HI34" s="313"/>
      <c r="HJ34" s="313"/>
      <c r="HK34" s="313"/>
      <c r="HL34" s="313"/>
      <c r="HM34" s="313"/>
      <c r="HN34" s="313"/>
      <c r="HO34" s="313"/>
      <c r="HP34" s="313"/>
      <c r="HQ34" s="313"/>
      <c r="HR34" s="313"/>
      <c r="HS34" s="313"/>
      <c r="HT34" s="313"/>
      <c r="HU34" s="313"/>
      <c r="HV34" s="313"/>
      <c r="HW34" s="313"/>
      <c r="HX34" s="313"/>
      <c r="HY34" s="313"/>
      <c r="HZ34" s="313"/>
      <c r="IA34" s="313"/>
      <c r="IB34" s="313"/>
      <c r="IC34" s="313"/>
      <c r="ID34" s="313"/>
      <c r="IE34" s="313"/>
      <c r="IF34" s="313"/>
      <c r="IG34" s="313"/>
      <c r="IH34" s="313"/>
      <c r="II34" s="313"/>
      <c r="IJ34" s="313"/>
      <c r="IK34" s="313"/>
      <c r="IL34" s="313"/>
      <c r="IM34" s="313"/>
      <c r="IN34" s="313"/>
      <c r="IO34" s="313"/>
      <c r="IP34" s="313"/>
      <c r="IQ34" s="313"/>
      <c r="IR34" s="313"/>
      <c r="IS34" s="313"/>
      <c r="IT34" s="313"/>
      <c r="IU34" s="313"/>
    </row>
    <row r="35" spans="1:255">
      <c r="A35" s="330"/>
      <c r="B35" s="313" t="s">
        <v>226</v>
      </c>
      <c r="C35" s="316"/>
      <c r="D35" s="318">
        <f t="shared" si="8"/>
        <v>-1.4790000000000001</v>
      </c>
      <c r="E35" s="327">
        <v>-4.08</v>
      </c>
      <c r="F35" s="319">
        <f t="shared" si="7"/>
        <v>-0.63749999999999996</v>
      </c>
      <c r="G35" s="318"/>
      <c r="H35" s="318"/>
      <c r="I35" s="319"/>
      <c r="J35" s="318"/>
      <c r="K35" s="318"/>
      <c r="L35" s="319"/>
      <c r="M35" s="313"/>
      <c r="N35" s="313"/>
      <c r="O35" s="313"/>
      <c r="P35" s="313"/>
      <c r="Q35" s="313"/>
      <c r="R35" s="314"/>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3"/>
      <c r="BM35" s="313"/>
      <c r="BN35" s="313"/>
      <c r="BO35" s="313"/>
      <c r="BP35" s="313"/>
      <c r="BQ35" s="313"/>
      <c r="BR35" s="313"/>
      <c r="BS35" s="313"/>
      <c r="BT35" s="313"/>
      <c r="BU35" s="313"/>
      <c r="BV35" s="313"/>
      <c r="BW35" s="313"/>
      <c r="BX35" s="313"/>
      <c r="BY35" s="313"/>
      <c r="BZ35" s="313"/>
      <c r="CA35" s="313"/>
      <c r="CB35" s="313"/>
      <c r="CC35" s="313"/>
      <c r="CD35" s="313"/>
      <c r="CE35" s="313"/>
      <c r="CF35" s="313"/>
      <c r="CG35" s="313"/>
      <c r="CH35" s="313"/>
      <c r="CI35" s="313"/>
      <c r="CJ35" s="313"/>
      <c r="CK35" s="313"/>
      <c r="CL35" s="313"/>
      <c r="CM35" s="313"/>
      <c r="CN35" s="313"/>
      <c r="CO35" s="313"/>
      <c r="CP35" s="313"/>
      <c r="CQ35" s="313"/>
      <c r="CR35" s="313"/>
      <c r="CS35" s="313"/>
      <c r="CT35" s="313"/>
      <c r="CU35" s="313"/>
      <c r="CV35" s="313"/>
      <c r="CW35" s="313"/>
      <c r="CX35" s="313"/>
      <c r="CY35" s="313"/>
      <c r="CZ35" s="313"/>
      <c r="DA35" s="313"/>
      <c r="DB35" s="313"/>
      <c r="DC35" s="313"/>
      <c r="DD35" s="313"/>
      <c r="DE35" s="313"/>
      <c r="DF35" s="313"/>
      <c r="DG35" s="313"/>
      <c r="DH35" s="313"/>
      <c r="DI35" s="313"/>
      <c r="DJ35" s="313"/>
      <c r="DK35" s="313"/>
      <c r="DL35" s="313"/>
      <c r="DM35" s="313"/>
      <c r="DN35" s="313"/>
      <c r="DO35" s="313"/>
      <c r="DP35" s="313"/>
      <c r="DQ35" s="313"/>
      <c r="DR35" s="313"/>
      <c r="DS35" s="313"/>
      <c r="DT35" s="313"/>
      <c r="DU35" s="313"/>
      <c r="DV35" s="313"/>
      <c r="DW35" s="313"/>
      <c r="DX35" s="313"/>
      <c r="DY35" s="313"/>
      <c r="DZ35" s="313"/>
      <c r="EA35" s="313"/>
      <c r="EB35" s="313"/>
      <c r="EC35" s="313"/>
      <c r="ED35" s="313"/>
      <c r="EE35" s="313"/>
      <c r="EF35" s="313"/>
      <c r="EG35" s="313"/>
      <c r="EH35" s="313"/>
      <c r="EI35" s="313"/>
      <c r="EJ35" s="313"/>
      <c r="EK35" s="313"/>
      <c r="EL35" s="313"/>
      <c r="EM35" s="313"/>
      <c r="EN35" s="313"/>
      <c r="EO35" s="313"/>
      <c r="EP35" s="313"/>
      <c r="EQ35" s="313"/>
      <c r="ER35" s="313"/>
      <c r="ES35" s="313"/>
      <c r="ET35" s="313"/>
      <c r="EU35" s="313"/>
      <c r="EV35" s="313"/>
      <c r="EW35" s="313"/>
      <c r="EX35" s="313"/>
      <c r="EY35" s="313"/>
      <c r="EZ35" s="313"/>
      <c r="FA35" s="313"/>
      <c r="FB35" s="313"/>
      <c r="FC35" s="313"/>
      <c r="FD35" s="313"/>
      <c r="FE35" s="313"/>
      <c r="FF35" s="313"/>
      <c r="FG35" s="313"/>
      <c r="FH35" s="313"/>
      <c r="FI35" s="313"/>
      <c r="FJ35" s="313"/>
      <c r="FK35" s="313"/>
      <c r="FL35" s="313"/>
      <c r="FM35" s="313"/>
      <c r="FN35" s="313"/>
      <c r="FO35" s="313"/>
      <c r="FP35" s="313"/>
      <c r="FQ35" s="313"/>
      <c r="FR35" s="313"/>
      <c r="FS35" s="313"/>
      <c r="FT35" s="313"/>
      <c r="FU35" s="313"/>
      <c r="FV35" s="313"/>
      <c r="FW35" s="313"/>
      <c r="FX35" s="313"/>
      <c r="FY35" s="313"/>
      <c r="FZ35" s="313"/>
      <c r="GA35" s="313"/>
      <c r="GB35" s="313"/>
      <c r="GC35" s="313"/>
      <c r="GD35" s="313"/>
      <c r="GE35" s="313"/>
      <c r="GF35" s="313"/>
      <c r="GG35" s="313"/>
      <c r="GH35" s="313"/>
      <c r="GI35" s="313"/>
      <c r="GJ35" s="313"/>
      <c r="GK35" s="313"/>
      <c r="GL35" s="313"/>
      <c r="GM35" s="313"/>
      <c r="GN35" s="313"/>
      <c r="GO35" s="313"/>
      <c r="GP35" s="313"/>
      <c r="GQ35" s="313"/>
      <c r="GR35" s="313"/>
      <c r="GS35" s="313"/>
      <c r="GT35" s="313"/>
      <c r="GU35" s="313"/>
      <c r="GV35" s="313"/>
      <c r="GW35" s="313"/>
      <c r="GX35" s="313"/>
      <c r="GY35" s="313"/>
      <c r="GZ35" s="313"/>
      <c r="HA35" s="313"/>
      <c r="HB35" s="313"/>
      <c r="HC35" s="313"/>
      <c r="HD35" s="313"/>
      <c r="HE35" s="313"/>
      <c r="HF35" s="313"/>
      <c r="HG35" s="313"/>
      <c r="HH35" s="313"/>
      <c r="HI35" s="313"/>
      <c r="HJ35" s="313"/>
      <c r="HK35" s="313"/>
      <c r="HL35" s="313"/>
      <c r="HM35" s="313"/>
      <c r="HN35" s="313"/>
      <c r="HO35" s="313"/>
      <c r="HP35" s="313"/>
      <c r="HQ35" s="313"/>
      <c r="HR35" s="313"/>
      <c r="HS35" s="313"/>
      <c r="HT35" s="313"/>
      <c r="HU35" s="313"/>
      <c r="HV35" s="313"/>
      <c r="HW35" s="313"/>
      <c r="HX35" s="313"/>
      <c r="HY35" s="313"/>
      <c r="HZ35" s="313"/>
      <c r="IA35" s="313"/>
      <c r="IB35" s="313"/>
      <c r="IC35" s="313"/>
      <c r="ID35" s="313"/>
      <c r="IE35" s="313"/>
      <c r="IF35" s="313"/>
      <c r="IG35" s="313"/>
      <c r="IH35" s="313"/>
      <c r="II35" s="313"/>
      <c r="IJ35" s="313"/>
      <c r="IK35" s="313"/>
      <c r="IL35" s="313"/>
      <c r="IM35" s="313"/>
      <c r="IN35" s="313"/>
      <c r="IO35" s="313"/>
      <c r="IP35" s="313"/>
      <c r="IQ35" s="313"/>
      <c r="IR35" s="313"/>
      <c r="IS35" s="313"/>
      <c r="IT35" s="313"/>
      <c r="IU35" s="313"/>
    </row>
    <row r="36" spans="1:255">
      <c r="A36" s="330"/>
      <c r="B36" s="313"/>
      <c r="C36" s="316"/>
      <c r="D36" s="326"/>
      <c r="E36" s="318"/>
      <c r="F36" s="326"/>
      <c r="G36" s="318"/>
      <c r="H36" s="327"/>
      <c r="I36" s="319"/>
      <c r="J36" s="318"/>
      <c r="K36" s="327"/>
      <c r="L36" s="319"/>
      <c r="M36" s="313"/>
      <c r="N36" s="313"/>
      <c r="O36" s="313"/>
      <c r="P36" s="313"/>
      <c r="Q36" s="313"/>
      <c r="R36" s="314"/>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3"/>
      <c r="BR36" s="313"/>
      <c r="BS36" s="313"/>
      <c r="BT36" s="313"/>
      <c r="BU36" s="313"/>
      <c r="BV36" s="313"/>
      <c r="BW36" s="313"/>
      <c r="BX36" s="313"/>
      <c r="BY36" s="313"/>
      <c r="BZ36" s="313"/>
      <c r="CA36" s="313"/>
      <c r="CB36" s="313"/>
      <c r="CC36" s="313"/>
      <c r="CD36" s="313"/>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3"/>
      <c r="DA36" s="313"/>
      <c r="DB36" s="313"/>
      <c r="DC36" s="313"/>
      <c r="DD36" s="313"/>
      <c r="DE36" s="313"/>
      <c r="DF36" s="313"/>
      <c r="DG36" s="313"/>
      <c r="DH36" s="313"/>
      <c r="DI36" s="313"/>
      <c r="DJ36" s="313"/>
      <c r="DK36" s="313"/>
      <c r="DL36" s="313"/>
      <c r="DM36" s="313"/>
      <c r="DN36" s="313"/>
      <c r="DO36" s="313"/>
      <c r="DP36" s="313"/>
      <c r="DQ36" s="313"/>
      <c r="DR36" s="313"/>
      <c r="DS36" s="313"/>
      <c r="DT36" s="313"/>
      <c r="DU36" s="313"/>
      <c r="DV36" s="313"/>
      <c r="DW36" s="313"/>
      <c r="DX36" s="313"/>
      <c r="DY36" s="313"/>
      <c r="DZ36" s="313"/>
      <c r="EA36" s="313"/>
      <c r="EB36" s="313"/>
      <c r="EC36" s="313"/>
      <c r="ED36" s="313"/>
      <c r="EE36" s="313"/>
      <c r="EF36" s="313"/>
      <c r="EG36" s="313"/>
      <c r="EH36" s="313"/>
      <c r="EI36" s="313"/>
      <c r="EJ36" s="313"/>
      <c r="EK36" s="313"/>
      <c r="EL36" s="313"/>
      <c r="EM36" s="313"/>
      <c r="EN36" s="313"/>
      <c r="EO36" s="313"/>
      <c r="EP36" s="313"/>
      <c r="EQ36" s="313"/>
      <c r="ER36" s="313"/>
      <c r="ES36" s="313"/>
      <c r="ET36" s="313"/>
      <c r="EU36" s="313"/>
      <c r="EV36" s="313"/>
      <c r="EW36" s="313"/>
      <c r="EX36" s="313"/>
      <c r="EY36" s="313"/>
      <c r="EZ36" s="313"/>
      <c r="FA36" s="313"/>
      <c r="FB36" s="313"/>
      <c r="FC36" s="313"/>
      <c r="FD36" s="313"/>
      <c r="FE36" s="313"/>
      <c r="FF36" s="313"/>
      <c r="FG36" s="313"/>
      <c r="FH36" s="313"/>
      <c r="FI36" s="313"/>
      <c r="FJ36" s="313"/>
      <c r="FK36" s="313"/>
      <c r="FL36" s="313"/>
      <c r="FM36" s="313"/>
      <c r="FN36" s="313"/>
      <c r="FO36" s="313"/>
      <c r="FP36" s="313"/>
      <c r="FQ36" s="313"/>
      <c r="FR36" s="313"/>
      <c r="FS36" s="313"/>
      <c r="FT36" s="313"/>
      <c r="FU36" s="313"/>
      <c r="FV36" s="313"/>
      <c r="FW36" s="313"/>
      <c r="FX36" s="313"/>
      <c r="FY36" s="313"/>
      <c r="FZ36" s="313"/>
      <c r="GA36" s="313"/>
      <c r="GB36" s="313"/>
      <c r="GC36" s="313"/>
      <c r="GD36" s="313"/>
      <c r="GE36" s="313"/>
      <c r="GF36" s="313"/>
      <c r="GG36" s="313"/>
      <c r="GH36" s="313"/>
      <c r="GI36" s="313"/>
      <c r="GJ36" s="313"/>
      <c r="GK36" s="313"/>
      <c r="GL36" s="313"/>
      <c r="GM36" s="313"/>
      <c r="GN36" s="313"/>
      <c r="GO36" s="313"/>
      <c r="GP36" s="313"/>
      <c r="GQ36" s="313"/>
      <c r="GR36" s="313"/>
      <c r="GS36" s="313"/>
      <c r="GT36" s="313"/>
      <c r="GU36" s="313"/>
      <c r="GV36" s="313"/>
      <c r="GW36" s="313"/>
      <c r="GX36" s="313"/>
      <c r="GY36" s="313"/>
      <c r="GZ36" s="313"/>
      <c r="HA36" s="313"/>
      <c r="HB36" s="313"/>
      <c r="HC36" s="313"/>
      <c r="HD36" s="313"/>
      <c r="HE36" s="313"/>
      <c r="HF36" s="313"/>
      <c r="HG36" s="313"/>
      <c r="HH36" s="313"/>
      <c r="HI36" s="313"/>
      <c r="HJ36" s="313"/>
      <c r="HK36" s="313"/>
      <c r="HL36" s="313"/>
      <c r="HM36" s="313"/>
      <c r="HN36" s="313"/>
      <c r="HO36" s="313"/>
      <c r="HP36" s="313"/>
      <c r="HQ36" s="313"/>
      <c r="HR36" s="313"/>
      <c r="HS36" s="313"/>
      <c r="HT36" s="313"/>
      <c r="HU36" s="313"/>
      <c r="HV36" s="313"/>
      <c r="HW36" s="313"/>
      <c r="HX36" s="313"/>
      <c r="HY36" s="313"/>
      <c r="HZ36" s="313"/>
      <c r="IA36" s="313"/>
      <c r="IB36" s="313"/>
      <c r="IC36" s="313"/>
      <c r="ID36" s="313"/>
      <c r="IE36" s="313"/>
      <c r="IF36" s="313"/>
      <c r="IG36" s="313"/>
      <c r="IH36" s="313"/>
      <c r="II36" s="313"/>
      <c r="IJ36" s="313"/>
      <c r="IK36" s="313"/>
      <c r="IL36" s="313"/>
      <c r="IM36" s="313"/>
      <c r="IN36" s="313"/>
      <c r="IO36" s="313"/>
      <c r="IP36" s="313"/>
      <c r="IQ36" s="313"/>
      <c r="IR36" s="313"/>
      <c r="IS36" s="313"/>
      <c r="IT36" s="313"/>
      <c r="IU36" s="313"/>
    </row>
    <row r="37" spans="1:255" ht="15.75">
      <c r="A37" s="325" t="s">
        <v>228</v>
      </c>
      <c r="B37" s="313"/>
      <c r="C37" s="316"/>
      <c r="D37" s="326"/>
      <c r="E37" s="318"/>
      <c r="F37" s="326"/>
      <c r="G37" s="318"/>
      <c r="H37" s="327"/>
      <c r="I37" s="319"/>
      <c r="J37" s="318"/>
      <c r="K37" s="327"/>
      <c r="L37" s="319"/>
      <c r="M37" s="313"/>
      <c r="N37" s="313"/>
      <c r="O37" s="313"/>
      <c r="P37" s="313"/>
      <c r="Q37" s="313"/>
      <c r="R37" s="314"/>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313"/>
      <c r="CO37" s="313"/>
      <c r="CP37" s="313"/>
      <c r="CQ37" s="313"/>
      <c r="CR37" s="313"/>
      <c r="CS37" s="313"/>
      <c r="CT37" s="313"/>
      <c r="CU37" s="313"/>
      <c r="CV37" s="313"/>
      <c r="CW37" s="313"/>
      <c r="CX37" s="313"/>
      <c r="CY37" s="313"/>
      <c r="CZ37" s="313"/>
      <c r="DA37" s="313"/>
      <c r="DB37" s="313"/>
      <c r="DC37" s="313"/>
      <c r="DD37" s="313"/>
      <c r="DE37" s="313"/>
      <c r="DF37" s="313"/>
      <c r="DG37" s="313"/>
      <c r="DH37" s="313"/>
      <c r="DI37" s="313"/>
      <c r="DJ37" s="313"/>
      <c r="DK37" s="313"/>
      <c r="DL37" s="313"/>
      <c r="DM37" s="313"/>
      <c r="DN37" s="313"/>
      <c r="DO37" s="313"/>
      <c r="DP37" s="313"/>
      <c r="DQ37" s="313"/>
      <c r="DR37" s="313"/>
      <c r="DS37" s="313"/>
      <c r="DT37" s="313"/>
      <c r="DU37" s="313"/>
      <c r="DV37" s="313"/>
      <c r="DW37" s="313"/>
      <c r="DX37" s="313"/>
      <c r="DY37" s="313"/>
      <c r="DZ37" s="313"/>
      <c r="EA37" s="313"/>
      <c r="EB37" s="313"/>
      <c r="EC37" s="313"/>
      <c r="ED37" s="313"/>
      <c r="EE37" s="313"/>
      <c r="EF37" s="313"/>
      <c r="EG37" s="313"/>
      <c r="EH37" s="313"/>
      <c r="EI37" s="313"/>
      <c r="EJ37" s="313"/>
      <c r="EK37" s="313"/>
      <c r="EL37" s="313"/>
      <c r="EM37" s="313"/>
      <c r="EN37" s="313"/>
      <c r="EO37" s="313"/>
      <c r="EP37" s="313"/>
      <c r="EQ37" s="313"/>
      <c r="ER37" s="313"/>
      <c r="ES37" s="313"/>
      <c r="ET37" s="313"/>
      <c r="EU37" s="313"/>
      <c r="EV37" s="313"/>
      <c r="EW37" s="313"/>
      <c r="EX37" s="313"/>
      <c r="EY37" s="313"/>
      <c r="EZ37" s="313"/>
      <c r="FA37" s="313"/>
      <c r="FB37" s="313"/>
      <c r="FC37" s="313"/>
      <c r="FD37" s="313"/>
      <c r="FE37" s="313"/>
      <c r="FF37" s="313"/>
      <c r="FG37" s="313"/>
      <c r="FH37" s="313"/>
      <c r="FI37" s="313"/>
      <c r="FJ37" s="313"/>
      <c r="FK37" s="313"/>
      <c r="FL37" s="313"/>
      <c r="FM37" s="313"/>
      <c r="FN37" s="313"/>
      <c r="FO37" s="313"/>
      <c r="FP37" s="313"/>
      <c r="FQ37" s="313"/>
      <c r="FR37" s="313"/>
      <c r="FS37" s="313"/>
      <c r="FT37" s="313"/>
      <c r="FU37" s="313"/>
      <c r="FV37" s="313"/>
      <c r="FW37" s="313"/>
      <c r="FX37" s="313"/>
      <c r="FY37" s="313"/>
      <c r="FZ37" s="313"/>
      <c r="GA37" s="313"/>
      <c r="GB37" s="313"/>
      <c r="GC37" s="313"/>
      <c r="GD37" s="313"/>
      <c r="GE37" s="313"/>
      <c r="GF37" s="313"/>
      <c r="GG37" s="313"/>
      <c r="GH37" s="313"/>
      <c r="GI37" s="313"/>
      <c r="GJ37" s="313"/>
      <c r="GK37" s="313"/>
      <c r="GL37" s="313"/>
      <c r="GM37" s="313"/>
      <c r="GN37" s="313"/>
      <c r="GO37" s="313"/>
      <c r="GP37" s="313"/>
      <c r="GQ37" s="313"/>
      <c r="GR37" s="313"/>
      <c r="GS37" s="313"/>
      <c r="GT37" s="313"/>
      <c r="GU37" s="313"/>
      <c r="GV37" s="313"/>
      <c r="GW37" s="313"/>
      <c r="GX37" s="313"/>
      <c r="GY37" s="313"/>
      <c r="GZ37" s="313"/>
      <c r="HA37" s="313"/>
      <c r="HB37" s="313"/>
      <c r="HC37" s="313"/>
      <c r="HD37" s="313"/>
      <c r="HE37" s="313"/>
      <c r="HF37" s="313"/>
      <c r="HG37" s="313"/>
      <c r="HH37" s="313"/>
      <c r="HI37" s="313"/>
      <c r="HJ37" s="313"/>
      <c r="HK37" s="313"/>
      <c r="HL37" s="313"/>
      <c r="HM37" s="313"/>
      <c r="HN37" s="313"/>
      <c r="HO37" s="313"/>
      <c r="HP37" s="313"/>
      <c r="HQ37" s="313"/>
      <c r="HR37" s="313"/>
      <c r="HS37" s="313"/>
      <c r="HT37" s="313"/>
      <c r="HU37" s="313"/>
      <c r="HV37" s="313"/>
      <c r="HW37" s="313"/>
      <c r="HX37" s="313"/>
      <c r="HY37" s="313"/>
      <c r="HZ37" s="313"/>
      <c r="IA37" s="313"/>
      <c r="IB37" s="313"/>
      <c r="IC37" s="313"/>
      <c r="ID37" s="313"/>
      <c r="IE37" s="313"/>
      <c r="IF37" s="313"/>
      <c r="IG37" s="313"/>
      <c r="IH37" s="313"/>
      <c r="II37" s="313"/>
      <c r="IJ37" s="313"/>
      <c r="IK37" s="313"/>
      <c r="IL37" s="313"/>
      <c r="IM37" s="313"/>
      <c r="IN37" s="313"/>
      <c r="IO37" s="313"/>
      <c r="IP37" s="313"/>
      <c r="IQ37" s="313"/>
      <c r="IR37" s="313"/>
      <c r="IS37" s="313"/>
      <c r="IT37" s="313"/>
      <c r="IU37" s="313"/>
    </row>
    <row r="38" spans="1:255">
      <c r="A38" s="330"/>
      <c r="B38" s="313" t="s">
        <v>229</v>
      </c>
      <c r="C38" s="316"/>
      <c r="D38" s="326"/>
      <c r="E38" s="318"/>
      <c r="F38" s="326"/>
      <c r="G38" s="318">
        <f t="shared" ref="G38:G39" si="9">ROUND(+H38*(1+$I$6),2)</f>
        <v>-0.03</v>
      </c>
      <c r="H38" s="327">
        <v>-0.05</v>
      </c>
      <c r="I38" s="319">
        <f>-1+G38/H38</f>
        <v>-0.4</v>
      </c>
      <c r="J38" s="318">
        <f>ROUND(+K38*(1+$L$6),2)</f>
        <v>-0.03</v>
      </c>
      <c r="K38" s="318">
        <v>-0.06</v>
      </c>
      <c r="L38" s="319">
        <f>-1+J38/K38</f>
        <v>-0.5</v>
      </c>
      <c r="M38" s="313"/>
      <c r="N38" s="313"/>
      <c r="O38" s="313"/>
      <c r="P38" s="313"/>
      <c r="Q38" s="313"/>
      <c r="R38" s="314"/>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3"/>
      <c r="BR38" s="313"/>
      <c r="BS38" s="313"/>
      <c r="BT38" s="313"/>
      <c r="BU38" s="313"/>
      <c r="BV38" s="313"/>
      <c r="BW38" s="313"/>
      <c r="BX38" s="313"/>
      <c r="BY38" s="313"/>
      <c r="BZ38" s="313"/>
      <c r="CA38" s="313"/>
      <c r="CB38" s="313"/>
      <c r="CC38" s="313"/>
      <c r="CD38" s="313"/>
      <c r="CE38" s="313"/>
      <c r="CF38" s="313"/>
      <c r="CG38" s="313"/>
      <c r="CH38" s="313"/>
      <c r="CI38" s="313"/>
      <c r="CJ38" s="313"/>
      <c r="CK38" s="313"/>
      <c r="CL38" s="313"/>
      <c r="CM38" s="313"/>
      <c r="CN38" s="313"/>
      <c r="CO38" s="313"/>
      <c r="CP38" s="313"/>
      <c r="CQ38" s="313"/>
      <c r="CR38" s="313"/>
      <c r="CS38" s="313"/>
      <c r="CT38" s="313"/>
      <c r="CU38" s="313"/>
      <c r="CV38" s="313"/>
      <c r="CW38" s="313"/>
      <c r="CX38" s="313"/>
      <c r="CY38" s="313"/>
      <c r="CZ38" s="313"/>
      <c r="DA38" s="313"/>
      <c r="DB38" s="313"/>
      <c r="DC38" s="313"/>
      <c r="DD38" s="313"/>
      <c r="DE38" s="313"/>
      <c r="DF38" s="313"/>
      <c r="DG38" s="313"/>
      <c r="DH38" s="313"/>
      <c r="DI38" s="313"/>
      <c r="DJ38" s="313"/>
      <c r="DK38" s="313"/>
      <c r="DL38" s="313"/>
      <c r="DM38" s="313"/>
      <c r="DN38" s="313"/>
      <c r="DO38" s="313"/>
      <c r="DP38" s="313"/>
      <c r="DQ38" s="313"/>
      <c r="DR38" s="313"/>
      <c r="DS38" s="313"/>
      <c r="DT38" s="313"/>
      <c r="DU38" s="313"/>
      <c r="DV38" s="313"/>
      <c r="DW38" s="313"/>
      <c r="DX38" s="313"/>
      <c r="DY38" s="313"/>
      <c r="DZ38" s="313"/>
      <c r="EA38" s="313"/>
      <c r="EB38" s="313"/>
      <c r="EC38" s="313"/>
      <c r="ED38" s="313"/>
      <c r="EE38" s="313"/>
      <c r="EF38" s="313"/>
      <c r="EG38" s="313"/>
      <c r="EH38" s="313"/>
      <c r="EI38" s="313"/>
      <c r="EJ38" s="313"/>
      <c r="EK38" s="313"/>
      <c r="EL38" s="313"/>
      <c r="EM38" s="313"/>
      <c r="EN38" s="313"/>
      <c r="EO38" s="313"/>
      <c r="EP38" s="313"/>
      <c r="EQ38" s="313"/>
      <c r="ER38" s="313"/>
      <c r="ES38" s="313"/>
      <c r="ET38" s="313"/>
      <c r="EU38" s="313"/>
      <c r="EV38" s="313"/>
      <c r="EW38" s="313"/>
      <c r="EX38" s="313"/>
      <c r="EY38" s="313"/>
      <c r="EZ38" s="313"/>
      <c r="FA38" s="313"/>
      <c r="FB38" s="313"/>
      <c r="FC38" s="313"/>
      <c r="FD38" s="313"/>
      <c r="FE38" s="313"/>
      <c r="FF38" s="313"/>
      <c r="FG38" s="313"/>
      <c r="FH38" s="313"/>
      <c r="FI38" s="313"/>
      <c r="FJ38" s="313"/>
      <c r="FK38" s="313"/>
      <c r="FL38" s="313"/>
      <c r="FM38" s="313"/>
      <c r="FN38" s="313"/>
      <c r="FO38" s="313"/>
      <c r="FP38" s="313"/>
      <c r="FQ38" s="313"/>
      <c r="FR38" s="313"/>
      <c r="FS38" s="313"/>
      <c r="FT38" s="313"/>
      <c r="FU38" s="313"/>
      <c r="FV38" s="313"/>
      <c r="FW38" s="313"/>
      <c r="FX38" s="313"/>
      <c r="FY38" s="313"/>
      <c r="FZ38" s="313"/>
      <c r="GA38" s="313"/>
      <c r="GB38" s="313"/>
      <c r="GC38" s="313"/>
      <c r="GD38" s="313"/>
      <c r="GE38" s="313"/>
      <c r="GF38" s="313"/>
      <c r="GG38" s="313"/>
      <c r="GH38" s="313"/>
      <c r="GI38" s="313"/>
      <c r="GJ38" s="313"/>
      <c r="GK38" s="313"/>
      <c r="GL38" s="313"/>
      <c r="GM38" s="313"/>
      <c r="GN38" s="313"/>
      <c r="GO38" s="313"/>
      <c r="GP38" s="313"/>
      <c r="GQ38" s="313"/>
      <c r="GR38" s="313"/>
      <c r="GS38" s="313"/>
      <c r="GT38" s="313"/>
      <c r="GU38" s="313"/>
      <c r="GV38" s="313"/>
      <c r="GW38" s="313"/>
      <c r="GX38" s="313"/>
      <c r="GY38" s="313"/>
      <c r="GZ38" s="313"/>
      <c r="HA38" s="313"/>
      <c r="HB38" s="313"/>
      <c r="HC38" s="313"/>
      <c r="HD38" s="313"/>
      <c r="HE38" s="313"/>
      <c r="HF38" s="313"/>
      <c r="HG38" s="313"/>
      <c r="HH38" s="313"/>
      <c r="HI38" s="313"/>
      <c r="HJ38" s="313"/>
      <c r="HK38" s="313"/>
      <c r="HL38" s="313"/>
      <c r="HM38" s="313"/>
      <c r="HN38" s="313"/>
      <c r="HO38" s="313"/>
      <c r="HP38" s="313"/>
      <c r="HQ38" s="313"/>
      <c r="HR38" s="313"/>
      <c r="HS38" s="313"/>
      <c r="HT38" s="313"/>
      <c r="HU38" s="313"/>
      <c r="HV38" s="313"/>
      <c r="HW38" s="313"/>
      <c r="HX38" s="313"/>
      <c r="HY38" s="313"/>
      <c r="HZ38" s="313"/>
      <c r="IA38" s="313"/>
      <c r="IB38" s="313"/>
      <c r="IC38" s="313"/>
      <c r="ID38" s="313"/>
      <c r="IE38" s="313"/>
      <c r="IF38" s="313"/>
      <c r="IG38" s="313"/>
      <c r="IH38" s="313"/>
      <c r="II38" s="313"/>
      <c r="IJ38" s="313"/>
      <c r="IK38" s="313"/>
      <c r="IL38" s="313"/>
      <c r="IM38" s="313"/>
      <c r="IN38" s="313"/>
      <c r="IO38" s="313"/>
      <c r="IP38" s="313"/>
      <c r="IQ38" s="313"/>
      <c r="IR38" s="313"/>
      <c r="IS38" s="313"/>
      <c r="IT38" s="313"/>
      <c r="IU38" s="313"/>
    </row>
    <row r="39" spans="1:255">
      <c r="A39" s="330"/>
      <c r="B39" s="313" t="s">
        <v>230</v>
      </c>
      <c r="C39" s="316"/>
      <c r="D39" s="326"/>
      <c r="E39" s="318"/>
      <c r="F39" s="326"/>
      <c r="G39" s="318">
        <f t="shared" si="9"/>
        <v>-0.03</v>
      </c>
      <c r="H39" s="327">
        <v>-0.05</v>
      </c>
      <c r="I39" s="319">
        <f>-1+G39/H39</f>
        <v>-0.4</v>
      </c>
      <c r="J39" s="318">
        <f>ROUND(+K39*(1+$L$6),2)</f>
        <v>-0.03</v>
      </c>
      <c r="K39" s="318">
        <v>-0.06</v>
      </c>
      <c r="L39" s="319">
        <f>-1+J39/K39</f>
        <v>-0.5</v>
      </c>
      <c r="M39" s="313"/>
      <c r="N39" s="313"/>
      <c r="O39" s="313"/>
      <c r="P39" s="313"/>
      <c r="Q39" s="313"/>
      <c r="R39" s="314"/>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3"/>
      <c r="DE39" s="313"/>
      <c r="DF39" s="313"/>
      <c r="DG39" s="313"/>
      <c r="DH39" s="313"/>
      <c r="DI39" s="313"/>
      <c r="DJ39" s="313"/>
      <c r="DK39" s="313"/>
      <c r="DL39" s="313"/>
      <c r="DM39" s="313"/>
      <c r="DN39" s="313"/>
      <c r="DO39" s="313"/>
      <c r="DP39" s="313"/>
      <c r="DQ39" s="313"/>
      <c r="DR39" s="313"/>
      <c r="DS39" s="313"/>
      <c r="DT39" s="313"/>
      <c r="DU39" s="313"/>
      <c r="DV39" s="313"/>
      <c r="DW39" s="313"/>
      <c r="DX39" s="313"/>
      <c r="DY39" s="313"/>
      <c r="DZ39" s="313"/>
      <c r="EA39" s="313"/>
      <c r="EB39" s="313"/>
      <c r="EC39" s="313"/>
      <c r="ED39" s="313"/>
      <c r="EE39" s="313"/>
      <c r="EF39" s="313"/>
      <c r="EG39" s="313"/>
      <c r="EH39" s="313"/>
      <c r="EI39" s="313"/>
      <c r="EJ39" s="313"/>
      <c r="EK39" s="313"/>
      <c r="EL39" s="313"/>
      <c r="EM39" s="313"/>
      <c r="EN39" s="313"/>
      <c r="EO39" s="313"/>
      <c r="EP39" s="313"/>
      <c r="EQ39" s="313"/>
      <c r="ER39" s="313"/>
      <c r="ES39" s="313"/>
      <c r="ET39" s="313"/>
      <c r="EU39" s="313"/>
      <c r="EV39" s="313"/>
      <c r="EW39" s="313"/>
      <c r="EX39" s="313"/>
      <c r="EY39" s="313"/>
      <c r="EZ39" s="313"/>
      <c r="FA39" s="313"/>
      <c r="FB39" s="313"/>
      <c r="FC39" s="313"/>
      <c r="FD39" s="313"/>
      <c r="FE39" s="313"/>
      <c r="FF39" s="313"/>
      <c r="FG39" s="313"/>
      <c r="FH39" s="313"/>
      <c r="FI39" s="313"/>
      <c r="FJ39" s="313"/>
      <c r="FK39" s="313"/>
      <c r="FL39" s="313"/>
      <c r="FM39" s="313"/>
      <c r="FN39" s="313"/>
      <c r="FO39" s="313"/>
      <c r="FP39" s="313"/>
      <c r="FQ39" s="313"/>
      <c r="FR39" s="313"/>
      <c r="FS39" s="313"/>
      <c r="FT39" s="313"/>
      <c r="FU39" s="313"/>
      <c r="FV39" s="313"/>
      <c r="FW39" s="313"/>
      <c r="FX39" s="313"/>
      <c r="FY39" s="313"/>
      <c r="FZ39" s="313"/>
      <c r="GA39" s="313"/>
      <c r="GB39" s="313"/>
      <c r="GC39" s="313"/>
      <c r="GD39" s="313"/>
      <c r="GE39" s="313"/>
      <c r="GF39" s="313"/>
      <c r="GG39" s="313"/>
      <c r="GH39" s="313"/>
      <c r="GI39" s="313"/>
      <c r="GJ39" s="313"/>
      <c r="GK39" s="313"/>
      <c r="GL39" s="313"/>
      <c r="GM39" s="313"/>
      <c r="GN39" s="313"/>
      <c r="GO39" s="313"/>
      <c r="GP39" s="313"/>
      <c r="GQ39" s="313"/>
      <c r="GR39" s="313"/>
      <c r="GS39" s="313"/>
      <c r="GT39" s="313"/>
      <c r="GU39" s="313"/>
      <c r="GV39" s="313"/>
      <c r="GW39" s="313"/>
      <c r="GX39" s="313"/>
      <c r="GY39" s="313"/>
      <c r="GZ39" s="313"/>
      <c r="HA39" s="313"/>
      <c r="HB39" s="313"/>
      <c r="HC39" s="313"/>
      <c r="HD39" s="313"/>
      <c r="HE39" s="313"/>
      <c r="HF39" s="313"/>
      <c r="HG39" s="313"/>
      <c r="HH39" s="313"/>
      <c r="HI39" s="313"/>
      <c r="HJ39" s="313"/>
      <c r="HK39" s="313"/>
      <c r="HL39" s="313"/>
      <c r="HM39" s="313"/>
      <c r="HN39" s="313"/>
      <c r="HO39" s="313"/>
      <c r="HP39" s="313"/>
      <c r="HQ39" s="313"/>
      <c r="HR39" s="313"/>
      <c r="HS39" s="313"/>
      <c r="HT39" s="313"/>
      <c r="HU39" s="313"/>
      <c r="HV39" s="313"/>
      <c r="HW39" s="313"/>
      <c r="HX39" s="313"/>
      <c r="HY39" s="313"/>
      <c r="HZ39" s="313"/>
      <c r="IA39" s="313"/>
      <c r="IB39" s="313"/>
      <c r="IC39" s="313"/>
      <c r="ID39" s="313"/>
      <c r="IE39" s="313"/>
      <c r="IF39" s="313"/>
      <c r="IG39" s="313"/>
      <c r="IH39" s="313"/>
      <c r="II39" s="313"/>
      <c r="IJ39" s="313"/>
      <c r="IK39" s="313"/>
      <c r="IL39" s="313"/>
      <c r="IM39" s="313"/>
      <c r="IN39" s="313"/>
      <c r="IO39" s="313"/>
      <c r="IP39" s="313"/>
      <c r="IQ39" s="313"/>
      <c r="IR39" s="313"/>
      <c r="IS39" s="313"/>
      <c r="IT39" s="313"/>
      <c r="IU39" s="313"/>
    </row>
    <row r="40" spans="1:255">
      <c r="A40" s="330"/>
      <c r="B40" s="313"/>
      <c r="C40" s="316"/>
      <c r="D40" s="326"/>
      <c r="E40" s="318"/>
      <c r="F40" s="326"/>
      <c r="G40" s="318"/>
      <c r="H40" s="318"/>
      <c r="I40" s="319"/>
      <c r="J40" s="318"/>
      <c r="K40" s="334"/>
      <c r="L40" s="319"/>
      <c r="M40" s="313"/>
      <c r="N40" s="313"/>
      <c r="O40" s="313"/>
      <c r="P40" s="313"/>
      <c r="Q40" s="313"/>
      <c r="R40" s="314"/>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3"/>
      <c r="DA40" s="313"/>
      <c r="DB40" s="313"/>
      <c r="DC40" s="313"/>
      <c r="DD40" s="313"/>
      <c r="DE40" s="313"/>
      <c r="DF40" s="313"/>
      <c r="DG40" s="313"/>
      <c r="DH40" s="313"/>
      <c r="DI40" s="313"/>
      <c r="DJ40" s="313"/>
      <c r="DK40" s="313"/>
      <c r="DL40" s="313"/>
      <c r="DM40" s="313"/>
      <c r="DN40" s="313"/>
      <c r="DO40" s="313"/>
      <c r="DP40" s="313"/>
      <c r="DQ40" s="313"/>
      <c r="DR40" s="313"/>
      <c r="DS40" s="313"/>
      <c r="DT40" s="313"/>
      <c r="DU40" s="313"/>
      <c r="DV40" s="313"/>
      <c r="DW40" s="313"/>
      <c r="DX40" s="313"/>
      <c r="DY40" s="313"/>
      <c r="DZ40" s="313"/>
      <c r="EA40" s="313"/>
      <c r="EB40" s="313"/>
      <c r="EC40" s="313"/>
      <c r="ED40" s="313"/>
      <c r="EE40" s="313"/>
      <c r="EF40" s="313"/>
      <c r="EG40" s="313"/>
      <c r="EH40" s="313"/>
      <c r="EI40" s="313"/>
      <c r="EJ40" s="313"/>
      <c r="EK40" s="313"/>
      <c r="EL40" s="313"/>
      <c r="EM40" s="313"/>
      <c r="EN40" s="313"/>
      <c r="EO40" s="313"/>
      <c r="EP40" s="313"/>
      <c r="EQ40" s="313"/>
      <c r="ER40" s="313"/>
      <c r="ES40" s="313"/>
      <c r="ET40" s="313"/>
      <c r="EU40" s="313"/>
      <c r="EV40" s="313"/>
      <c r="EW40" s="313"/>
      <c r="EX40" s="313"/>
      <c r="EY40" s="313"/>
      <c r="EZ40" s="313"/>
      <c r="FA40" s="313"/>
      <c r="FB40" s="313"/>
      <c r="FC40" s="313"/>
      <c r="FD40" s="313"/>
      <c r="FE40" s="313"/>
      <c r="FF40" s="313"/>
      <c r="FG40" s="313"/>
      <c r="FH40" s="313"/>
      <c r="FI40" s="313"/>
      <c r="FJ40" s="313"/>
      <c r="FK40" s="313"/>
      <c r="FL40" s="313"/>
      <c r="FM40" s="313"/>
      <c r="FN40" s="313"/>
      <c r="FO40" s="313"/>
      <c r="FP40" s="313"/>
      <c r="FQ40" s="313"/>
      <c r="FR40" s="313"/>
      <c r="FS40" s="313"/>
      <c r="FT40" s="313"/>
      <c r="FU40" s="313"/>
      <c r="FV40" s="313"/>
      <c r="FW40" s="313"/>
      <c r="FX40" s="313"/>
      <c r="FY40" s="313"/>
      <c r="FZ40" s="313"/>
      <c r="GA40" s="313"/>
      <c r="GB40" s="313"/>
      <c r="GC40" s="313"/>
      <c r="GD40" s="313"/>
      <c r="GE40" s="313"/>
      <c r="GF40" s="313"/>
      <c r="GG40" s="313"/>
      <c r="GH40" s="313"/>
      <c r="GI40" s="313"/>
      <c r="GJ40" s="313"/>
      <c r="GK40" s="313"/>
      <c r="GL40" s="313"/>
      <c r="GM40" s="313"/>
      <c r="GN40" s="313"/>
      <c r="GO40" s="313"/>
      <c r="GP40" s="313"/>
      <c r="GQ40" s="313"/>
      <c r="GR40" s="313"/>
      <c r="GS40" s="313"/>
      <c r="GT40" s="313"/>
      <c r="GU40" s="313"/>
      <c r="GV40" s="313"/>
      <c r="GW40" s="313"/>
      <c r="GX40" s="313"/>
      <c r="GY40" s="313"/>
      <c r="GZ40" s="313"/>
      <c r="HA40" s="313"/>
      <c r="HB40" s="313"/>
      <c r="HC40" s="313"/>
      <c r="HD40" s="313"/>
      <c r="HE40" s="313"/>
      <c r="HF40" s="313"/>
      <c r="HG40" s="313"/>
      <c r="HH40" s="313"/>
      <c r="HI40" s="313"/>
      <c r="HJ40" s="313"/>
      <c r="HK40" s="313"/>
      <c r="HL40" s="313"/>
      <c r="HM40" s="313"/>
      <c r="HN40" s="313"/>
      <c r="HO40" s="313"/>
      <c r="HP40" s="313"/>
      <c r="HQ40" s="313"/>
      <c r="HR40" s="313"/>
      <c r="HS40" s="313"/>
      <c r="HT40" s="313"/>
      <c r="HU40" s="313"/>
      <c r="HV40" s="313"/>
      <c r="HW40" s="313"/>
      <c r="HX40" s="313"/>
      <c r="HY40" s="313"/>
      <c r="HZ40" s="313"/>
      <c r="IA40" s="313"/>
      <c r="IB40" s="313"/>
      <c r="IC40" s="313"/>
      <c r="ID40" s="313"/>
      <c r="IE40" s="313"/>
      <c r="IF40" s="313"/>
      <c r="IG40" s="313"/>
      <c r="IH40" s="313"/>
      <c r="II40" s="313"/>
      <c r="IJ40" s="313"/>
      <c r="IK40" s="313"/>
      <c r="IL40" s="313"/>
      <c r="IM40" s="313"/>
      <c r="IN40" s="313"/>
      <c r="IO40" s="313"/>
      <c r="IP40" s="313"/>
      <c r="IQ40" s="313"/>
      <c r="IR40" s="313"/>
      <c r="IS40" s="313"/>
      <c r="IT40" s="313"/>
      <c r="IU40" s="313"/>
    </row>
    <row r="41" spans="1:255">
      <c r="A41" s="330"/>
      <c r="B41" s="313" t="s">
        <v>218</v>
      </c>
      <c r="C41" s="316"/>
      <c r="D41" s="318">
        <f t="shared" ref="D41" si="10">+ROUND(E41*(1+$F$6),3)</f>
        <v>-8.7999999999999995E-2</v>
      </c>
      <c r="E41" s="327">
        <v>-0.18</v>
      </c>
      <c r="F41" s="319">
        <f t="shared" ref="F41:F49" si="11">-1+D41/E41</f>
        <v>-0.51111111111111107</v>
      </c>
      <c r="G41" s="318"/>
      <c r="H41" s="318"/>
      <c r="I41" s="319"/>
      <c r="J41" s="318"/>
      <c r="K41" s="334"/>
      <c r="L41" s="319"/>
      <c r="M41" s="313"/>
      <c r="N41" s="313"/>
      <c r="O41" s="313"/>
      <c r="P41" s="313"/>
      <c r="Q41" s="313"/>
      <c r="R41" s="314"/>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c r="EF41" s="313"/>
      <c r="EG41" s="313"/>
      <c r="EH41" s="313"/>
      <c r="EI41" s="313"/>
      <c r="EJ41" s="313"/>
      <c r="EK41" s="313"/>
      <c r="EL41" s="313"/>
      <c r="EM41" s="313"/>
      <c r="EN41" s="313"/>
      <c r="EO41" s="313"/>
      <c r="EP41" s="313"/>
      <c r="EQ41" s="313"/>
      <c r="ER41" s="313"/>
      <c r="ES41" s="313"/>
      <c r="ET41" s="313"/>
      <c r="EU41" s="313"/>
      <c r="EV41" s="313"/>
      <c r="EW41" s="313"/>
      <c r="EX41" s="313"/>
      <c r="EY41" s="313"/>
      <c r="EZ41" s="313"/>
      <c r="FA41" s="313"/>
      <c r="FB41" s="313"/>
      <c r="FC41" s="313"/>
      <c r="FD41" s="313"/>
      <c r="FE41" s="313"/>
      <c r="FF41" s="313"/>
      <c r="FG41" s="313"/>
      <c r="FH41" s="313"/>
      <c r="FI41" s="313"/>
      <c r="FJ41" s="313"/>
      <c r="FK41" s="313"/>
      <c r="FL41" s="313"/>
      <c r="FM41" s="313"/>
      <c r="FN41" s="313"/>
      <c r="FO41" s="313"/>
      <c r="FP41" s="313"/>
      <c r="FQ41" s="313"/>
      <c r="FR41" s="313"/>
      <c r="FS41" s="313"/>
      <c r="FT41" s="313"/>
      <c r="FU41" s="313"/>
      <c r="FV41" s="313"/>
      <c r="FW41" s="313"/>
      <c r="FX41" s="313"/>
      <c r="FY41" s="313"/>
      <c r="FZ41" s="313"/>
      <c r="GA41" s="313"/>
      <c r="GB41" s="313"/>
      <c r="GC41" s="313"/>
      <c r="GD41" s="313"/>
      <c r="GE41" s="313"/>
      <c r="GF41" s="313"/>
      <c r="GG41" s="313"/>
      <c r="GH41" s="313"/>
      <c r="GI41" s="313"/>
      <c r="GJ41" s="313"/>
      <c r="GK41" s="313"/>
      <c r="GL41" s="313"/>
      <c r="GM41" s="313"/>
      <c r="GN41" s="313"/>
      <c r="GO41" s="313"/>
      <c r="GP41" s="313"/>
      <c r="GQ41" s="313"/>
      <c r="GR41" s="313"/>
      <c r="GS41" s="313"/>
      <c r="GT41" s="313"/>
      <c r="GU41" s="313"/>
      <c r="GV41" s="313"/>
      <c r="GW41" s="313"/>
      <c r="GX41" s="313"/>
      <c r="GY41" s="313"/>
      <c r="GZ41" s="313"/>
      <c r="HA41" s="313"/>
      <c r="HB41" s="313"/>
      <c r="HC41" s="313"/>
      <c r="HD41" s="313"/>
      <c r="HE41" s="313"/>
      <c r="HF41" s="313"/>
      <c r="HG41" s="313"/>
      <c r="HH41" s="313"/>
      <c r="HI41" s="313"/>
      <c r="HJ41" s="313"/>
      <c r="HK41" s="313"/>
      <c r="HL41" s="313"/>
      <c r="HM41" s="313"/>
      <c r="HN41" s="313"/>
      <c r="HO41" s="313"/>
      <c r="HP41" s="313"/>
      <c r="HQ41" s="313"/>
      <c r="HR41" s="313"/>
      <c r="HS41" s="313"/>
      <c r="HT41" s="313"/>
      <c r="HU41" s="313"/>
      <c r="HV41" s="313"/>
      <c r="HW41" s="313"/>
      <c r="HX41" s="313"/>
      <c r="HY41" s="313"/>
      <c r="HZ41" s="313"/>
      <c r="IA41" s="313"/>
      <c r="IB41" s="313"/>
      <c r="IC41" s="313"/>
      <c r="ID41" s="313"/>
      <c r="IE41" s="313"/>
      <c r="IF41" s="313"/>
      <c r="IG41" s="313"/>
      <c r="IH41" s="313"/>
      <c r="II41" s="313"/>
      <c r="IJ41" s="313"/>
      <c r="IK41" s="313"/>
      <c r="IL41" s="313"/>
      <c r="IM41" s="313"/>
      <c r="IN41" s="313"/>
      <c r="IO41" s="313"/>
      <c r="IP41" s="313"/>
      <c r="IQ41" s="313"/>
      <c r="IR41" s="313"/>
      <c r="IS41" s="313"/>
      <c r="IT41" s="313"/>
      <c r="IU41" s="313"/>
    </row>
    <row r="42" spans="1:255">
      <c r="A42" s="330"/>
      <c r="B42" s="313" t="s">
        <v>219</v>
      </c>
      <c r="C42" s="316"/>
      <c r="D42" s="333">
        <f t="shared" ref="D42:D49" si="12">ROUND(+E42+E42*F$6,3)</f>
        <v>-0.13700000000000001</v>
      </c>
      <c r="E42" s="327">
        <v>-0.28000000000000003</v>
      </c>
      <c r="F42" s="319">
        <f t="shared" si="11"/>
        <v>-0.51071428571428568</v>
      </c>
      <c r="G42" s="318"/>
      <c r="H42" s="318"/>
      <c r="I42" s="319"/>
      <c r="J42" s="318"/>
      <c r="K42" s="334"/>
      <c r="L42" s="319"/>
      <c r="M42" s="313"/>
      <c r="N42" s="313"/>
      <c r="O42" s="313"/>
      <c r="P42" s="313"/>
      <c r="Q42" s="313"/>
      <c r="R42" s="314"/>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c r="GM42" s="313"/>
      <c r="GN42" s="313"/>
      <c r="GO42" s="313"/>
      <c r="GP42" s="313"/>
      <c r="GQ42" s="313"/>
      <c r="GR42" s="313"/>
      <c r="GS42" s="313"/>
      <c r="GT42" s="313"/>
      <c r="GU42" s="313"/>
      <c r="GV42" s="313"/>
      <c r="GW42" s="313"/>
      <c r="GX42" s="313"/>
      <c r="GY42" s="313"/>
      <c r="GZ42" s="313"/>
      <c r="HA42" s="313"/>
      <c r="HB42" s="313"/>
      <c r="HC42" s="313"/>
      <c r="HD42" s="313"/>
      <c r="HE42" s="313"/>
      <c r="HF42" s="313"/>
      <c r="HG42" s="313"/>
      <c r="HH42" s="313"/>
      <c r="HI42" s="313"/>
      <c r="HJ42" s="313"/>
      <c r="HK42" s="313"/>
      <c r="HL42" s="313"/>
      <c r="HM42" s="313"/>
      <c r="HN42" s="313"/>
      <c r="HO42" s="313"/>
      <c r="HP42" s="313"/>
      <c r="HQ42" s="313"/>
      <c r="HR42" s="313"/>
      <c r="HS42" s="313"/>
      <c r="HT42" s="313"/>
      <c r="HU42" s="313"/>
      <c r="HV42" s="313"/>
      <c r="HW42" s="313"/>
      <c r="HX42" s="313"/>
      <c r="HY42" s="313"/>
      <c r="HZ42" s="313"/>
      <c r="IA42" s="313"/>
      <c r="IB42" s="313"/>
      <c r="IC42" s="313"/>
      <c r="ID42" s="313"/>
      <c r="IE42" s="313"/>
      <c r="IF42" s="313"/>
      <c r="IG42" s="313"/>
      <c r="IH42" s="313"/>
      <c r="II42" s="313"/>
      <c r="IJ42" s="313"/>
      <c r="IK42" s="313"/>
      <c r="IL42" s="313"/>
      <c r="IM42" s="313"/>
      <c r="IN42" s="313"/>
      <c r="IO42" s="313"/>
      <c r="IP42" s="313"/>
      <c r="IQ42" s="313"/>
      <c r="IR42" s="313"/>
      <c r="IS42" s="313"/>
      <c r="IT42" s="313"/>
      <c r="IU42" s="313"/>
    </row>
    <row r="43" spans="1:255">
      <c r="A43" s="330"/>
      <c r="B43" s="313" t="s">
        <v>220</v>
      </c>
      <c r="C43" s="316"/>
      <c r="D43" s="333">
        <f t="shared" si="12"/>
        <v>-0.27</v>
      </c>
      <c r="E43" s="327">
        <v>-0.55000000000000004</v>
      </c>
      <c r="F43" s="319">
        <f t="shared" si="11"/>
        <v>-0.50909090909090904</v>
      </c>
      <c r="G43" s="318"/>
      <c r="H43" s="318"/>
      <c r="I43" s="319"/>
      <c r="J43" s="318"/>
      <c r="K43" s="318"/>
      <c r="L43" s="319"/>
      <c r="M43" s="313"/>
      <c r="N43" s="313"/>
      <c r="O43" s="313"/>
      <c r="P43" s="313"/>
      <c r="Q43" s="313"/>
      <c r="R43" s="314"/>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c r="EF43" s="313"/>
      <c r="EG43" s="313"/>
      <c r="EH43" s="313"/>
      <c r="EI43" s="313"/>
      <c r="EJ43" s="313"/>
      <c r="EK43" s="313"/>
      <c r="EL43" s="313"/>
      <c r="EM43" s="313"/>
      <c r="EN43" s="313"/>
      <c r="EO43" s="313"/>
      <c r="EP43" s="313"/>
      <c r="EQ43" s="313"/>
      <c r="ER43" s="313"/>
      <c r="ES43" s="313"/>
      <c r="ET43" s="313"/>
      <c r="EU43" s="313"/>
      <c r="EV43" s="313"/>
      <c r="EW43" s="313"/>
      <c r="EX43" s="313"/>
      <c r="EY43" s="313"/>
      <c r="EZ43" s="313"/>
      <c r="FA43" s="313"/>
      <c r="FB43" s="313"/>
      <c r="FC43" s="313"/>
      <c r="FD43" s="313"/>
      <c r="FE43" s="313"/>
      <c r="FF43" s="313"/>
      <c r="FG43" s="313"/>
      <c r="FH43" s="313"/>
      <c r="FI43" s="313"/>
      <c r="FJ43" s="313"/>
      <c r="FK43" s="313"/>
      <c r="FL43" s="313"/>
      <c r="FM43" s="313"/>
      <c r="FN43" s="313"/>
      <c r="FO43" s="313"/>
      <c r="FP43" s="313"/>
      <c r="FQ43" s="313"/>
      <c r="FR43" s="313"/>
      <c r="FS43" s="313"/>
      <c r="FT43" s="313"/>
      <c r="FU43" s="313"/>
      <c r="FV43" s="313"/>
      <c r="FW43" s="313"/>
      <c r="FX43" s="313"/>
      <c r="FY43" s="313"/>
      <c r="FZ43" s="313"/>
      <c r="GA43" s="313"/>
      <c r="GB43" s="313"/>
      <c r="GC43" s="313"/>
      <c r="GD43" s="313"/>
      <c r="GE43" s="313"/>
      <c r="GF43" s="313"/>
      <c r="GG43" s="313"/>
      <c r="GH43" s="313"/>
      <c r="GI43" s="313"/>
      <c r="GJ43" s="313"/>
      <c r="GK43" s="313"/>
      <c r="GL43" s="313"/>
      <c r="GM43" s="313"/>
      <c r="GN43" s="313"/>
      <c r="GO43" s="313"/>
      <c r="GP43" s="313"/>
      <c r="GQ43" s="313"/>
      <c r="GR43" s="313"/>
      <c r="GS43" s="313"/>
      <c r="GT43" s="313"/>
      <c r="GU43" s="313"/>
      <c r="GV43" s="313"/>
      <c r="GW43" s="313"/>
      <c r="GX43" s="313"/>
      <c r="GY43" s="313"/>
      <c r="GZ43" s="313"/>
      <c r="HA43" s="313"/>
      <c r="HB43" s="313"/>
      <c r="HC43" s="313"/>
      <c r="HD43" s="313"/>
      <c r="HE43" s="313"/>
      <c r="HF43" s="313"/>
      <c r="HG43" s="313"/>
      <c r="HH43" s="313"/>
      <c r="HI43" s="313"/>
      <c r="HJ43" s="313"/>
      <c r="HK43" s="313"/>
      <c r="HL43" s="313"/>
      <c r="HM43" s="313"/>
      <c r="HN43" s="313"/>
      <c r="HO43" s="313"/>
      <c r="HP43" s="313"/>
      <c r="HQ43" s="313"/>
      <c r="HR43" s="313"/>
      <c r="HS43" s="313"/>
      <c r="HT43" s="313"/>
      <c r="HU43" s="313"/>
      <c r="HV43" s="313"/>
      <c r="HW43" s="313"/>
      <c r="HX43" s="313"/>
      <c r="HY43" s="313"/>
      <c r="HZ43" s="313"/>
      <c r="IA43" s="313"/>
      <c r="IB43" s="313"/>
      <c r="IC43" s="313"/>
      <c r="ID43" s="313"/>
      <c r="IE43" s="313"/>
      <c r="IF43" s="313"/>
      <c r="IG43" s="313"/>
      <c r="IH43" s="313"/>
      <c r="II43" s="313"/>
      <c r="IJ43" s="313"/>
      <c r="IK43" s="313"/>
      <c r="IL43" s="313"/>
      <c r="IM43" s="313"/>
      <c r="IN43" s="313"/>
      <c r="IO43" s="313"/>
      <c r="IP43" s="313"/>
      <c r="IQ43" s="313"/>
      <c r="IR43" s="313"/>
      <c r="IS43" s="313"/>
      <c r="IT43" s="313"/>
      <c r="IU43" s="313"/>
    </row>
    <row r="44" spans="1:255">
      <c r="A44" s="330"/>
      <c r="B44" s="313" t="s">
        <v>221</v>
      </c>
      <c r="C44" s="316"/>
      <c r="D44" s="333">
        <f t="shared" si="12"/>
        <v>-0.31900000000000001</v>
      </c>
      <c r="E44" s="327">
        <v>-0.65</v>
      </c>
      <c r="F44" s="319">
        <f t="shared" si="11"/>
        <v>-0.50923076923076926</v>
      </c>
      <c r="G44" s="318"/>
      <c r="H44" s="318"/>
      <c r="I44" s="319"/>
      <c r="J44" s="318"/>
      <c r="K44" s="318"/>
      <c r="L44" s="319"/>
      <c r="M44" s="313"/>
      <c r="N44" s="313"/>
      <c r="O44" s="313"/>
      <c r="P44" s="313"/>
      <c r="Q44" s="313"/>
      <c r="R44" s="314"/>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3"/>
      <c r="BR44" s="313"/>
      <c r="BS44" s="313"/>
      <c r="BT44" s="313"/>
      <c r="BU44" s="313"/>
      <c r="BV44" s="313"/>
      <c r="BW44" s="313"/>
      <c r="BX44" s="313"/>
      <c r="BY44" s="313"/>
      <c r="BZ44" s="313"/>
      <c r="CA44" s="313"/>
      <c r="CB44" s="313"/>
      <c r="CC44" s="313"/>
      <c r="CD44" s="313"/>
      <c r="CE44" s="313"/>
      <c r="CF44" s="313"/>
      <c r="CG44" s="313"/>
      <c r="CH44" s="313"/>
      <c r="CI44" s="313"/>
      <c r="CJ44" s="313"/>
      <c r="CK44" s="313"/>
      <c r="CL44" s="313"/>
      <c r="CM44" s="313"/>
      <c r="CN44" s="313"/>
      <c r="CO44" s="313"/>
      <c r="CP44" s="313"/>
      <c r="CQ44" s="313"/>
      <c r="CR44" s="313"/>
      <c r="CS44" s="313"/>
      <c r="CT44" s="313"/>
      <c r="CU44" s="313"/>
      <c r="CV44" s="313"/>
      <c r="CW44" s="313"/>
      <c r="CX44" s="313"/>
      <c r="CY44" s="313"/>
      <c r="CZ44" s="313"/>
      <c r="DA44" s="313"/>
      <c r="DB44" s="313"/>
      <c r="DC44" s="313"/>
      <c r="DD44" s="313"/>
      <c r="DE44" s="313"/>
      <c r="DF44" s="313"/>
      <c r="DG44" s="313"/>
      <c r="DH44" s="313"/>
      <c r="DI44" s="313"/>
      <c r="DJ44" s="313"/>
      <c r="DK44" s="313"/>
      <c r="DL44" s="313"/>
      <c r="DM44" s="313"/>
      <c r="DN44" s="313"/>
      <c r="DO44" s="313"/>
      <c r="DP44" s="313"/>
      <c r="DQ44" s="313"/>
      <c r="DR44" s="313"/>
      <c r="DS44" s="313"/>
      <c r="DT44" s="313"/>
      <c r="DU44" s="313"/>
      <c r="DV44" s="313"/>
      <c r="DW44" s="313"/>
      <c r="DX44" s="313"/>
      <c r="DY44" s="313"/>
      <c r="DZ44" s="313"/>
      <c r="EA44" s="313"/>
      <c r="EB44" s="313"/>
      <c r="EC44" s="313"/>
      <c r="ED44" s="313"/>
      <c r="EE44" s="313"/>
      <c r="EF44" s="313"/>
      <c r="EG44" s="313"/>
      <c r="EH44" s="313"/>
      <c r="EI44" s="313"/>
      <c r="EJ44" s="313"/>
      <c r="EK44" s="313"/>
      <c r="EL44" s="313"/>
      <c r="EM44" s="313"/>
      <c r="EN44" s="313"/>
      <c r="EO44" s="313"/>
      <c r="EP44" s="313"/>
      <c r="EQ44" s="313"/>
      <c r="ER44" s="313"/>
      <c r="ES44" s="313"/>
      <c r="ET44" s="313"/>
      <c r="EU44" s="313"/>
      <c r="EV44" s="313"/>
      <c r="EW44" s="313"/>
      <c r="EX44" s="313"/>
      <c r="EY44" s="313"/>
      <c r="EZ44" s="313"/>
      <c r="FA44" s="313"/>
      <c r="FB44" s="313"/>
      <c r="FC44" s="313"/>
      <c r="FD44" s="313"/>
      <c r="FE44" s="313"/>
      <c r="FF44" s="313"/>
      <c r="FG44" s="313"/>
      <c r="FH44" s="313"/>
      <c r="FI44" s="313"/>
      <c r="FJ44" s="313"/>
      <c r="FK44" s="313"/>
      <c r="FL44" s="313"/>
      <c r="FM44" s="313"/>
      <c r="FN44" s="313"/>
      <c r="FO44" s="313"/>
      <c r="FP44" s="313"/>
      <c r="FQ44" s="313"/>
      <c r="FR44" s="313"/>
      <c r="FS44" s="313"/>
      <c r="FT44" s="313"/>
      <c r="FU44" s="313"/>
      <c r="FV44" s="313"/>
      <c r="FW44" s="313"/>
      <c r="FX44" s="313"/>
      <c r="FY44" s="313"/>
      <c r="FZ44" s="313"/>
      <c r="GA44" s="313"/>
      <c r="GB44" s="313"/>
      <c r="GC44" s="313"/>
      <c r="GD44" s="313"/>
      <c r="GE44" s="313"/>
      <c r="GF44" s="313"/>
      <c r="GG44" s="313"/>
      <c r="GH44" s="313"/>
      <c r="GI44" s="313"/>
      <c r="GJ44" s="313"/>
      <c r="GK44" s="313"/>
      <c r="GL44" s="313"/>
      <c r="GM44" s="313"/>
      <c r="GN44" s="313"/>
      <c r="GO44" s="313"/>
      <c r="GP44" s="313"/>
      <c r="GQ44" s="313"/>
      <c r="GR44" s="313"/>
      <c r="GS44" s="313"/>
      <c r="GT44" s="313"/>
      <c r="GU44" s="313"/>
      <c r="GV44" s="313"/>
      <c r="GW44" s="313"/>
      <c r="GX44" s="313"/>
      <c r="GY44" s="313"/>
      <c r="GZ44" s="313"/>
      <c r="HA44" s="313"/>
      <c r="HB44" s="313"/>
      <c r="HC44" s="313"/>
      <c r="HD44" s="313"/>
      <c r="HE44" s="313"/>
      <c r="HF44" s="313"/>
      <c r="HG44" s="313"/>
      <c r="HH44" s="313"/>
      <c r="HI44" s="313"/>
      <c r="HJ44" s="313"/>
      <c r="HK44" s="313"/>
      <c r="HL44" s="313"/>
      <c r="HM44" s="313"/>
      <c r="HN44" s="313"/>
      <c r="HO44" s="313"/>
      <c r="HP44" s="313"/>
      <c r="HQ44" s="313"/>
      <c r="HR44" s="313"/>
      <c r="HS44" s="313"/>
      <c r="HT44" s="313"/>
      <c r="HU44" s="313"/>
      <c r="HV44" s="313"/>
      <c r="HW44" s="313"/>
      <c r="HX44" s="313"/>
      <c r="HY44" s="313"/>
      <c r="HZ44" s="313"/>
      <c r="IA44" s="313"/>
      <c r="IB44" s="313"/>
      <c r="IC44" s="313"/>
      <c r="ID44" s="313"/>
      <c r="IE44" s="313"/>
      <c r="IF44" s="313"/>
      <c r="IG44" s="313"/>
      <c r="IH44" s="313"/>
      <c r="II44" s="313"/>
      <c r="IJ44" s="313"/>
      <c r="IK44" s="313"/>
      <c r="IL44" s="313"/>
      <c r="IM44" s="313"/>
      <c r="IN44" s="313"/>
      <c r="IO44" s="313"/>
      <c r="IP44" s="313"/>
      <c r="IQ44" s="313"/>
      <c r="IR44" s="313"/>
      <c r="IS44" s="313"/>
      <c r="IT44" s="313"/>
      <c r="IU44" s="313"/>
    </row>
    <row r="45" spans="1:255">
      <c r="A45" s="330"/>
      <c r="B45" s="313" t="s">
        <v>222</v>
      </c>
      <c r="C45" s="316"/>
      <c r="D45" s="333">
        <f t="shared" si="12"/>
        <v>-0.40699999999999997</v>
      </c>
      <c r="E45" s="327">
        <v>-0.83</v>
      </c>
      <c r="F45" s="319">
        <f t="shared" si="11"/>
        <v>-0.50963855421686755</v>
      </c>
      <c r="G45" s="318"/>
      <c r="H45" s="334"/>
      <c r="I45" s="319"/>
      <c r="J45" s="318"/>
      <c r="K45" s="318"/>
      <c r="L45" s="319"/>
      <c r="M45" s="313"/>
      <c r="N45" s="313"/>
      <c r="O45" s="313"/>
      <c r="P45" s="313"/>
      <c r="Q45" s="313"/>
      <c r="R45" s="314"/>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c r="GM45" s="313"/>
      <c r="GN45" s="313"/>
      <c r="GO45" s="313"/>
      <c r="GP45" s="313"/>
      <c r="GQ45" s="313"/>
      <c r="GR45" s="313"/>
      <c r="GS45" s="313"/>
      <c r="GT45" s="313"/>
      <c r="GU45" s="313"/>
      <c r="GV45" s="313"/>
      <c r="GW45" s="313"/>
      <c r="GX45" s="313"/>
      <c r="GY45" s="313"/>
      <c r="GZ45" s="313"/>
      <c r="HA45" s="313"/>
      <c r="HB45" s="313"/>
      <c r="HC45" s="313"/>
      <c r="HD45" s="313"/>
      <c r="HE45" s="313"/>
      <c r="HF45" s="313"/>
      <c r="HG45" s="313"/>
      <c r="HH45" s="313"/>
      <c r="HI45" s="313"/>
      <c r="HJ45" s="313"/>
      <c r="HK45" s="313"/>
      <c r="HL45" s="313"/>
      <c r="HM45" s="313"/>
      <c r="HN45" s="313"/>
      <c r="HO45" s="313"/>
      <c r="HP45" s="313"/>
      <c r="HQ45" s="313"/>
      <c r="HR45" s="313"/>
      <c r="HS45" s="313"/>
      <c r="HT45" s="313"/>
      <c r="HU45" s="313"/>
      <c r="HV45" s="313"/>
      <c r="HW45" s="313"/>
      <c r="HX45" s="313"/>
      <c r="HY45" s="313"/>
      <c r="HZ45" s="313"/>
      <c r="IA45" s="313"/>
      <c r="IB45" s="313"/>
      <c r="IC45" s="313"/>
      <c r="ID45" s="313"/>
      <c r="IE45" s="313"/>
      <c r="IF45" s="313"/>
      <c r="IG45" s="313"/>
      <c r="IH45" s="313"/>
      <c r="II45" s="313"/>
      <c r="IJ45" s="313"/>
      <c r="IK45" s="313"/>
      <c r="IL45" s="313"/>
      <c r="IM45" s="313"/>
      <c r="IN45" s="313"/>
      <c r="IO45" s="313"/>
      <c r="IP45" s="313"/>
      <c r="IQ45" s="313"/>
      <c r="IR45" s="313"/>
      <c r="IS45" s="313"/>
      <c r="IT45" s="313"/>
      <c r="IU45" s="313"/>
    </row>
    <row r="46" spans="1:255">
      <c r="A46" s="330"/>
      <c r="B46" s="313" t="s">
        <v>223</v>
      </c>
      <c r="C46" s="316"/>
      <c r="D46" s="333">
        <f t="shared" si="12"/>
        <v>-0.58899999999999997</v>
      </c>
      <c r="E46" s="327">
        <v>-1.2</v>
      </c>
      <c r="F46" s="319">
        <f t="shared" si="11"/>
        <v>-0.50916666666666666</v>
      </c>
      <c r="G46" s="318"/>
      <c r="H46" s="334"/>
      <c r="I46" s="319"/>
      <c r="J46" s="318"/>
      <c r="K46" s="318"/>
      <c r="L46" s="319"/>
      <c r="M46" s="313"/>
      <c r="N46" s="313"/>
      <c r="O46" s="313"/>
      <c r="P46" s="313"/>
      <c r="Q46" s="313"/>
      <c r="R46" s="314"/>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c r="HM46" s="313"/>
      <c r="HN46" s="313"/>
      <c r="HO46" s="313"/>
      <c r="HP46" s="313"/>
      <c r="HQ46" s="313"/>
      <c r="HR46" s="313"/>
      <c r="HS46" s="313"/>
      <c r="HT46" s="313"/>
      <c r="HU46" s="313"/>
      <c r="HV46" s="313"/>
      <c r="HW46" s="313"/>
      <c r="HX46" s="313"/>
      <c r="HY46" s="313"/>
      <c r="HZ46" s="313"/>
      <c r="IA46" s="313"/>
      <c r="IB46" s="313"/>
      <c r="IC46" s="313"/>
      <c r="ID46" s="313"/>
      <c r="IE46" s="313"/>
      <c r="IF46" s="313"/>
      <c r="IG46" s="313"/>
      <c r="IH46" s="313"/>
      <c r="II46" s="313"/>
      <c r="IJ46" s="313"/>
      <c r="IK46" s="313"/>
      <c r="IL46" s="313"/>
      <c r="IM46" s="313"/>
      <c r="IN46" s="313"/>
      <c r="IO46" s="313"/>
      <c r="IP46" s="313"/>
      <c r="IQ46" s="313"/>
      <c r="IR46" s="313"/>
      <c r="IS46" s="313"/>
      <c r="IT46" s="313"/>
      <c r="IU46" s="313"/>
    </row>
    <row r="47" spans="1:255">
      <c r="A47" s="330"/>
      <c r="B47" s="313" t="s">
        <v>224</v>
      </c>
      <c r="C47" s="316"/>
      <c r="D47" s="333">
        <f t="shared" si="12"/>
        <v>-0.67700000000000005</v>
      </c>
      <c r="E47" s="327">
        <v>-1.38</v>
      </c>
      <c r="F47" s="319">
        <f t="shared" si="11"/>
        <v>-0.50942028985507237</v>
      </c>
      <c r="G47" s="318"/>
      <c r="H47" s="318"/>
      <c r="I47" s="319"/>
      <c r="J47" s="318"/>
      <c r="K47" s="318"/>
      <c r="L47" s="319"/>
      <c r="M47" s="313"/>
      <c r="N47" s="313"/>
      <c r="O47" s="313"/>
      <c r="P47" s="313"/>
      <c r="Q47" s="313"/>
      <c r="R47" s="314"/>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c r="HM47" s="313"/>
      <c r="HN47" s="313"/>
      <c r="HO47" s="313"/>
      <c r="HP47" s="313"/>
      <c r="HQ47" s="313"/>
      <c r="HR47" s="313"/>
      <c r="HS47" s="313"/>
      <c r="HT47" s="313"/>
      <c r="HU47" s="313"/>
      <c r="HV47" s="313"/>
      <c r="HW47" s="313"/>
      <c r="HX47" s="313"/>
      <c r="HY47" s="313"/>
      <c r="HZ47" s="313"/>
      <c r="IA47" s="313"/>
      <c r="IB47" s="313"/>
      <c r="IC47" s="313"/>
      <c r="ID47" s="313"/>
      <c r="IE47" s="313"/>
      <c r="IF47" s="313"/>
      <c r="IG47" s="313"/>
      <c r="IH47" s="313"/>
      <c r="II47" s="313"/>
      <c r="IJ47" s="313"/>
      <c r="IK47" s="313"/>
      <c r="IL47" s="313"/>
      <c r="IM47" s="313"/>
      <c r="IN47" s="313"/>
      <c r="IO47" s="313"/>
      <c r="IP47" s="313"/>
      <c r="IQ47" s="313"/>
      <c r="IR47" s="313"/>
      <c r="IS47" s="313"/>
      <c r="IT47" s="313"/>
      <c r="IU47" s="313"/>
    </row>
    <row r="48" spans="1:255">
      <c r="A48" s="330"/>
      <c r="B48" s="313" t="s">
        <v>225</v>
      </c>
      <c r="C48" s="316"/>
      <c r="D48" s="333">
        <f t="shared" si="12"/>
        <v>-0.77</v>
      </c>
      <c r="E48" s="327">
        <v>-1.57</v>
      </c>
      <c r="F48" s="319">
        <f t="shared" si="11"/>
        <v>-0.50955414012738853</v>
      </c>
      <c r="G48" s="318"/>
      <c r="H48" s="318"/>
      <c r="I48" s="319"/>
      <c r="J48" s="318"/>
      <c r="K48" s="318"/>
      <c r="L48" s="319"/>
      <c r="M48" s="313"/>
      <c r="N48" s="313"/>
      <c r="O48" s="313"/>
      <c r="P48" s="313"/>
      <c r="Q48" s="313"/>
      <c r="R48" s="314"/>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c r="HM48" s="313"/>
      <c r="HN48" s="313"/>
      <c r="HO48" s="313"/>
      <c r="HP48" s="313"/>
      <c r="HQ48" s="313"/>
      <c r="HR48" s="313"/>
      <c r="HS48" s="313"/>
      <c r="HT48" s="313"/>
      <c r="HU48" s="313"/>
      <c r="HV48" s="313"/>
      <c r="HW48" s="313"/>
      <c r="HX48" s="313"/>
      <c r="HY48" s="313"/>
      <c r="HZ48" s="313"/>
      <c r="IA48" s="313"/>
      <c r="IB48" s="313"/>
      <c r="IC48" s="313"/>
      <c r="ID48" s="313"/>
      <c r="IE48" s="313"/>
      <c r="IF48" s="313"/>
      <c r="IG48" s="313"/>
      <c r="IH48" s="313"/>
      <c r="II48" s="313"/>
      <c r="IJ48" s="313"/>
      <c r="IK48" s="313"/>
      <c r="IL48" s="313"/>
      <c r="IM48" s="313"/>
      <c r="IN48" s="313"/>
      <c r="IO48" s="313"/>
      <c r="IP48" s="313"/>
      <c r="IQ48" s="313"/>
      <c r="IR48" s="313"/>
      <c r="IS48" s="313"/>
      <c r="IT48" s="313"/>
      <c r="IU48" s="313"/>
    </row>
    <row r="49" spans="1:255">
      <c r="A49" s="330"/>
      <c r="B49" s="313" t="s">
        <v>226</v>
      </c>
      <c r="C49" s="316"/>
      <c r="D49" s="333">
        <f t="shared" si="12"/>
        <v>-0.85799999999999998</v>
      </c>
      <c r="E49" s="327">
        <v>-1.75</v>
      </c>
      <c r="F49" s="319">
        <f t="shared" si="11"/>
        <v>-0.50971428571428579</v>
      </c>
      <c r="G49" s="318"/>
      <c r="H49" s="318"/>
      <c r="I49" s="319"/>
      <c r="J49" s="318"/>
      <c r="K49" s="318"/>
      <c r="L49" s="319"/>
      <c r="M49" s="313"/>
      <c r="N49" s="313"/>
      <c r="O49" s="313"/>
      <c r="P49" s="313"/>
      <c r="Q49" s="313"/>
      <c r="R49" s="314"/>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313"/>
      <c r="EN49" s="313"/>
      <c r="EO49" s="313"/>
      <c r="EP49" s="313"/>
      <c r="EQ49" s="313"/>
      <c r="ER49" s="313"/>
      <c r="ES49" s="313"/>
      <c r="ET49" s="313"/>
      <c r="EU49" s="313"/>
      <c r="EV49" s="313"/>
      <c r="EW49" s="313"/>
      <c r="EX49" s="313"/>
      <c r="EY49" s="313"/>
      <c r="EZ49" s="313"/>
      <c r="FA49" s="313"/>
      <c r="FB49" s="313"/>
      <c r="FC49" s="313"/>
      <c r="FD49" s="313"/>
      <c r="FE49" s="313"/>
      <c r="FF49" s="313"/>
      <c r="FG49" s="313"/>
      <c r="FH49" s="313"/>
      <c r="FI49" s="313"/>
      <c r="FJ49" s="313"/>
      <c r="FK49" s="313"/>
      <c r="FL49" s="313"/>
      <c r="FM49" s="313"/>
      <c r="FN49" s="313"/>
      <c r="FO49" s="313"/>
      <c r="FP49" s="313"/>
      <c r="FQ49" s="313"/>
      <c r="FR49" s="313"/>
      <c r="FS49" s="313"/>
      <c r="FT49" s="313"/>
      <c r="FU49" s="313"/>
      <c r="FV49" s="313"/>
      <c r="FW49" s="313"/>
      <c r="FX49" s="313"/>
      <c r="FY49" s="313"/>
      <c r="FZ49" s="313"/>
      <c r="GA49" s="313"/>
      <c r="GB49" s="313"/>
      <c r="GC49" s="313"/>
      <c r="GD49" s="313"/>
      <c r="GE49" s="313"/>
      <c r="GF49" s="313"/>
      <c r="GG49" s="313"/>
      <c r="GH49" s="313"/>
      <c r="GI49" s="313"/>
      <c r="GJ49" s="313"/>
      <c r="GK49" s="313"/>
      <c r="GL49" s="313"/>
      <c r="GM49" s="313"/>
      <c r="GN49" s="313"/>
      <c r="GO49" s="313"/>
      <c r="GP49" s="313"/>
      <c r="GQ49" s="313"/>
      <c r="GR49" s="313"/>
      <c r="GS49" s="313"/>
      <c r="GT49" s="313"/>
      <c r="GU49" s="313"/>
      <c r="GV49" s="313"/>
      <c r="GW49" s="313"/>
      <c r="GX49" s="313"/>
      <c r="GY49" s="313"/>
      <c r="GZ49" s="313"/>
      <c r="HA49" s="313"/>
      <c r="HB49" s="313"/>
      <c r="HC49" s="313"/>
      <c r="HD49" s="313"/>
      <c r="HE49" s="313"/>
      <c r="HF49" s="313"/>
      <c r="HG49" s="313"/>
      <c r="HH49" s="313"/>
      <c r="HI49" s="313"/>
      <c r="HJ49" s="313"/>
      <c r="HK49" s="313"/>
      <c r="HL49" s="313"/>
      <c r="HM49" s="313"/>
      <c r="HN49" s="313"/>
      <c r="HO49" s="313"/>
      <c r="HP49" s="313"/>
      <c r="HQ49" s="313"/>
      <c r="HR49" s="313"/>
      <c r="HS49" s="313"/>
      <c r="HT49" s="313"/>
      <c r="HU49" s="313"/>
      <c r="HV49" s="313"/>
      <c r="HW49" s="313"/>
      <c r="HX49" s="313"/>
      <c r="HY49" s="313"/>
      <c r="HZ49" s="313"/>
      <c r="IA49" s="313"/>
      <c r="IB49" s="313"/>
      <c r="IC49" s="313"/>
      <c r="ID49" s="313"/>
      <c r="IE49" s="313"/>
      <c r="IF49" s="313"/>
      <c r="IG49" s="313"/>
      <c r="IH49" s="313"/>
      <c r="II49" s="313"/>
      <c r="IJ49" s="313"/>
      <c r="IK49" s="313"/>
      <c r="IL49" s="313"/>
      <c r="IM49" s="313"/>
      <c r="IN49" s="313"/>
      <c r="IO49" s="313"/>
      <c r="IP49" s="313"/>
      <c r="IQ49" s="313"/>
      <c r="IR49" s="313"/>
      <c r="IS49" s="313"/>
      <c r="IT49" s="313"/>
      <c r="IU49" s="313"/>
    </row>
    <row r="50" spans="1:255">
      <c r="A50" s="330"/>
      <c r="B50" s="313"/>
      <c r="C50" s="316"/>
      <c r="D50" s="318"/>
      <c r="E50" s="327"/>
      <c r="F50" s="319"/>
      <c r="G50" s="318"/>
      <c r="H50" s="318"/>
      <c r="I50" s="319"/>
      <c r="J50" s="318"/>
      <c r="K50" s="318"/>
      <c r="L50" s="319"/>
      <c r="M50" s="313"/>
      <c r="N50" s="313"/>
      <c r="O50" s="313"/>
      <c r="P50" s="313"/>
      <c r="Q50" s="313"/>
      <c r="R50" s="314"/>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c r="GM50" s="313"/>
      <c r="GN50" s="313"/>
      <c r="GO50" s="313"/>
      <c r="GP50" s="313"/>
      <c r="GQ50" s="313"/>
      <c r="GR50" s="313"/>
      <c r="GS50" s="313"/>
      <c r="GT50" s="313"/>
      <c r="GU50" s="313"/>
      <c r="GV50" s="313"/>
      <c r="GW50" s="313"/>
      <c r="GX50" s="313"/>
      <c r="GY50" s="313"/>
      <c r="GZ50" s="313"/>
      <c r="HA50" s="313"/>
      <c r="HB50" s="313"/>
      <c r="HC50" s="313"/>
      <c r="HD50" s="313"/>
      <c r="HE50" s="313"/>
      <c r="HF50" s="313"/>
      <c r="HG50" s="313"/>
      <c r="HH50" s="313"/>
      <c r="HI50" s="313"/>
      <c r="HJ50" s="313"/>
      <c r="HK50" s="313"/>
      <c r="HL50" s="313"/>
      <c r="HM50" s="313"/>
      <c r="HN50" s="313"/>
      <c r="HO50" s="313"/>
      <c r="HP50" s="313"/>
      <c r="HQ50" s="313"/>
      <c r="HR50" s="313"/>
      <c r="HS50" s="313"/>
      <c r="HT50" s="313"/>
      <c r="HU50" s="313"/>
      <c r="HV50" s="313"/>
      <c r="HW50" s="313"/>
      <c r="HX50" s="313"/>
      <c r="HY50" s="313"/>
      <c r="HZ50" s="313"/>
      <c r="IA50" s="313"/>
      <c r="IB50" s="313"/>
      <c r="IC50" s="313"/>
      <c r="ID50" s="313"/>
      <c r="IE50" s="313"/>
      <c r="IF50" s="313"/>
      <c r="IG50" s="313"/>
      <c r="IH50" s="313"/>
      <c r="II50" s="313"/>
      <c r="IJ50" s="313"/>
      <c r="IK50" s="313"/>
      <c r="IL50" s="313"/>
      <c r="IM50" s="313"/>
      <c r="IN50" s="313"/>
      <c r="IO50" s="313"/>
      <c r="IP50" s="313"/>
      <c r="IQ50" s="313"/>
      <c r="IR50" s="313"/>
      <c r="IS50" s="313"/>
      <c r="IT50" s="313"/>
      <c r="IU50" s="313"/>
    </row>
    <row r="51" spans="1:255">
      <c r="A51" s="330"/>
      <c r="B51" s="313"/>
      <c r="C51" s="316"/>
      <c r="D51" s="318"/>
      <c r="E51" s="327"/>
      <c r="F51" s="319"/>
      <c r="G51" s="318"/>
      <c r="H51" s="318"/>
      <c r="I51" s="319"/>
      <c r="J51" s="318"/>
      <c r="K51" s="318"/>
      <c r="L51" s="319"/>
      <c r="M51" s="313"/>
      <c r="N51" s="313"/>
      <c r="O51" s="313"/>
      <c r="P51" s="313"/>
      <c r="Q51" s="313"/>
      <c r="R51" s="314"/>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c r="HN51" s="313"/>
      <c r="HO51" s="313"/>
      <c r="HP51" s="313"/>
      <c r="HQ51" s="313"/>
      <c r="HR51" s="313"/>
      <c r="HS51" s="313"/>
      <c r="HT51" s="313"/>
      <c r="HU51" s="313"/>
      <c r="HV51" s="313"/>
      <c r="HW51" s="313"/>
      <c r="HX51" s="313"/>
      <c r="HY51" s="313"/>
      <c r="HZ51" s="313"/>
      <c r="IA51" s="313"/>
      <c r="IB51" s="313"/>
      <c r="IC51" s="313"/>
      <c r="ID51" s="313"/>
      <c r="IE51" s="313"/>
      <c r="IF51" s="313"/>
      <c r="IG51" s="313"/>
      <c r="IH51" s="313"/>
      <c r="II51" s="313"/>
      <c r="IJ51" s="313"/>
      <c r="IK51" s="313"/>
      <c r="IL51" s="313"/>
      <c r="IM51" s="313"/>
      <c r="IN51" s="313"/>
      <c r="IO51" s="313"/>
      <c r="IP51" s="313"/>
      <c r="IQ51" s="313"/>
      <c r="IR51" s="313"/>
      <c r="IS51" s="313"/>
      <c r="IT51" s="313"/>
      <c r="IU51" s="313"/>
    </row>
    <row r="52" spans="1:255" ht="15.75">
      <c r="A52" s="325" t="s">
        <v>231</v>
      </c>
      <c r="B52" s="313"/>
      <c r="C52" s="316"/>
      <c r="D52" s="318"/>
      <c r="E52" s="327"/>
      <c r="F52" s="319"/>
      <c r="G52" s="318"/>
      <c r="H52" s="318"/>
      <c r="I52" s="319"/>
      <c r="J52" s="318"/>
      <c r="K52" s="318"/>
      <c r="L52" s="319"/>
      <c r="M52" s="313"/>
      <c r="N52" s="313"/>
      <c r="O52" s="313"/>
      <c r="P52" s="313"/>
      <c r="Q52" s="313"/>
      <c r="R52" s="314"/>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c r="HN52" s="313"/>
      <c r="HO52" s="313"/>
      <c r="HP52" s="313"/>
      <c r="HQ52" s="313"/>
      <c r="HR52" s="313"/>
      <c r="HS52" s="313"/>
      <c r="HT52" s="313"/>
      <c r="HU52" s="313"/>
      <c r="HV52" s="313"/>
      <c r="HW52" s="313"/>
      <c r="HX52" s="313"/>
      <c r="HY52" s="313"/>
      <c r="HZ52" s="313"/>
      <c r="IA52" s="313"/>
      <c r="IB52" s="313"/>
      <c r="IC52" s="313"/>
      <c r="ID52" s="313"/>
      <c r="IE52" s="313"/>
      <c r="IF52" s="313"/>
      <c r="IG52" s="313"/>
      <c r="IH52" s="313"/>
      <c r="II52" s="313"/>
      <c r="IJ52" s="313"/>
      <c r="IK52" s="313"/>
      <c r="IL52" s="313"/>
      <c r="IM52" s="313"/>
      <c r="IN52" s="313"/>
      <c r="IO52" s="313"/>
      <c r="IP52" s="313"/>
      <c r="IQ52" s="313"/>
      <c r="IR52" s="313"/>
      <c r="IS52" s="313"/>
      <c r="IT52" s="313"/>
      <c r="IU52" s="313"/>
    </row>
    <row r="53" spans="1:255">
      <c r="A53" s="330"/>
      <c r="B53" s="313" t="s">
        <v>218</v>
      </c>
      <c r="C53" s="316"/>
      <c r="D53" s="318">
        <f>+ROUND(E53*(1+$F$7),3)</f>
        <v>-9.0999999999999998E-2</v>
      </c>
      <c r="E53" s="327">
        <v>-0.25</v>
      </c>
      <c r="F53" s="319">
        <f t="shared" ref="F53:F61" si="13">-1+D53/E53</f>
        <v>-0.63600000000000001</v>
      </c>
      <c r="G53" s="318"/>
      <c r="H53" s="318"/>
      <c r="I53" s="319"/>
      <c r="J53" s="318"/>
      <c r="K53" s="318"/>
      <c r="L53" s="319"/>
      <c r="M53" s="313"/>
      <c r="N53" s="313"/>
      <c r="O53" s="313"/>
      <c r="P53" s="313"/>
      <c r="Q53" s="313"/>
      <c r="R53" s="314"/>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c r="HN53" s="313"/>
      <c r="HO53" s="313"/>
      <c r="HP53" s="313"/>
      <c r="HQ53" s="313"/>
      <c r="HR53" s="313"/>
      <c r="HS53" s="313"/>
      <c r="HT53" s="313"/>
      <c r="HU53" s="313"/>
      <c r="HV53" s="313"/>
      <c r="HW53" s="313"/>
      <c r="HX53" s="313"/>
      <c r="HY53" s="313"/>
      <c r="HZ53" s="313"/>
      <c r="IA53" s="313"/>
      <c r="IB53" s="313"/>
      <c r="IC53" s="313"/>
      <c r="ID53" s="313"/>
      <c r="IE53" s="313"/>
      <c r="IF53" s="313"/>
      <c r="IG53" s="313"/>
      <c r="IH53" s="313"/>
      <c r="II53" s="313"/>
      <c r="IJ53" s="313"/>
      <c r="IK53" s="313"/>
      <c r="IL53" s="313"/>
      <c r="IM53" s="313"/>
      <c r="IN53" s="313"/>
      <c r="IO53" s="313"/>
      <c r="IP53" s="313"/>
      <c r="IQ53" s="313"/>
      <c r="IR53" s="313"/>
      <c r="IS53" s="313"/>
      <c r="IT53" s="313"/>
      <c r="IU53" s="313"/>
    </row>
    <row r="54" spans="1:255">
      <c r="A54" s="330"/>
      <c r="B54" s="313" t="s">
        <v>219</v>
      </c>
      <c r="C54" s="316"/>
      <c r="D54" s="318">
        <f t="shared" ref="D54:D61" si="14">+ROUND(E54*(1+$F$7),3)</f>
        <v>-0.13800000000000001</v>
      </c>
      <c r="E54" s="327">
        <v>-0.38</v>
      </c>
      <c r="F54" s="319">
        <f t="shared" si="13"/>
        <v>-0.63684210526315788</v>
      </c>
      <c r="G54" s="318"/>
      <c r="H54" s="318"/>
      <c r="I54" s="319"/>
      <c r="J54" s="318"/>
      <c r="K54" s="318"/>
      <c r="L54" s="319"/>
      <c r="M54" s="313"/>
      <c r="N54" s="313"/>
      <c r="O54" s="313"/>
      <c r="P54" s="313"/>
      <c r="Q54" s="313"/>
      <c r="R54" s="314"/>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313"/>
      <c r="EN54" s="313"/>
      <c r="EO54" s="313"/>
      <c r="EP54" s="313"/>
      <c r="EQ54" s="313"/>
      <c r="ER54" s="313"/>
      <c r="ES54" s="313"/>
      <c r="ET54" s="313"/>
      <c r="EU54" s="313"/>
      <c r="EV54" s="313"/>
      <c r="EW54" s="313"/>
      <c r="EX54" s="313"/>
      <c r="EY54" s="313"/>
      <c r="EZ54" s="313"/>
      <c r="FA54" s="313"/>
      <c r="FB54" s="313"/>
      <c r="FC54" s="313"/>
      <c r="FD54" s="313"/>
      <c r="FE54" s="313"/>
      <c r="FF54" s="313"/>
      <c r="FG54" s="313"/>
      <c r="FH54" s="313"/>
      <c r="FI54" s="313"/>
      <c r="FJ54" s="313"/>
      <c r="FK54" s="313"/>
      <c r="FL54" s="313"/>
      <c r="FM54" s="313"/>
      <c r="FN54" s="313"/>
      <c r="FO54" s="313"/>
      <c r="FP54" s="313"/>
      <c r="FQ54" s="313"/>
      <c r="FR54" s="313"/>
      <c r="FS54" s="313"/>
      <c r="FT54" s="313"/>
      <c r="FU54" s="313"/>
      <c r="FV54" s="313"/>
      <c r="FW54" s="313"/>
      <c r="FX54" s="313"/>
      <c r="FY54" s="313"/>
      <c r="FZ54" s="313"/>
      <c r="GA54" s="313"/>
      <c r="GB54" s="313"/>
      <c r="GC54" s="313"/>
      <c r="GD54" s="313"/>
      <c r="GE54" s="313"/>
      <c r="GF54" s="313"/>
      <c r="GG54" s="313"/>
      <c r="GH54" s="313"/>
      <c r="GI54" s="313"/>
      <c r="GJ54" s="313"/>
      <c r="GK54" s="313"/>
      <c r="GL54" s="313"/>
      <c r="GM54" s="313"/>
      <c r="GN54" s="313"/>
      <c r="GO54" s="313"/>
      <c r="GP54" s="313"/>
      <c r="GQ54" s="313"/>
      <c r="GR54" s="313"/>
      <c r="GS54" s="313"/>
      <c r="GT54" s="313"/>
      <c r="GU54" s="313"/>
      <c r="GV54" s="313"/>
      <c r="GW54" s="313"/>
      <c r="GX54" s="313"/>
      <c r="GY54" s="313"/>
      <c r="GZ54" s="313"/>
      <c r="HA54" s="313"/>
      <c r="HB54" s="313"/>
      <c r="HC54" s="313"/>
      <c r="HD54" s="313"/>
      <c r="HE54" s="313"/>
      <c r="HF54" s="313"/>
      <c r="HG54" s="313"/>
      <c r="HH54" s="313"/>
      <c r="HI54" s="313"/>
      <c r="HJ54" s="313"/>
      <c r="HK54" s="313"/>
      <c r="HL54" s="313"/>
      <c r="HM54" s="313"/>
      <c r="HN54" s="313"/>
      <c r="HO54" s="313"/>
      <c r="HP54" s="313"/>
      <c r="HQ54" s="313"/>
      <c r="HR54" s="313"/>
      <c r="HS54" s="313"/>
      <c r="HT54" s="313"/>
      <c r="HU54" s="313"/>
      <c r="HV54" s="313"/>
      <c r="HW54" s="313"/>
      <c r="HX54" s="313"/>
      <c r="HY54" s="313"/>
      <c r="HZ54" s="313"/>
      <c r="IA54" s="313"/>
      <c r="IB54" s="313"/>
      <c r="IC54" s="313"/>
      <c r="ID54" s="313"/>
      <c r="IE54" s="313"/>
      <c r="IF54" s="313"/>
      <c r="IG54" s="313"/>
      <c r="IH54" s="313"/>
      <c r="II54" s="313"/>
      <c r="IJ54" s="313"/>
      <c r="IK54" s="313"/>
      <c r="IL54" s="313"/>
      <c r="IM54" s="313"/>
      <c r="IN54" s="313"/>
      <c r="IO54" s="313"/>
      <c r="IP54" s="313"/>
      <c r="IQ54" s="313"/>
      <c r="IR54" s="313"/>
      <c r="IS54" s="313"/>
      <c r="IT54" s="313"/>
      <c r="IU54" s="313"/>
    </row>
    <row r="55" spans="1:255">
      <c r="A55" s="330"/>
      <c r="B55" s="313" t="s">
        <v>220</v>
      </c>
      <c r="C55" s="316"/>
      <c r="D55" s="318">
        <f t="shared" si="14"/>
        <v>-0.27500000000000002</v>
      </c>
      <c r="E55" s="327">
        <v>-0.76</v>
      </c>
      <c r="F55" s="319">
        <f t="shared" si="13"/>
        <v>-0.63815789473684204</v>
      </c>
      <c r="G55" s="318"/>
      <c r="H55" s="318"/>
      <c r="I55" s="319"/>
      <c r="J55" s="318"/>
      <c r="K55" s="318"/>
      <c r="L55" s="319"/>
      <c r="M55" s="313"/>
      <c r="N55" s="313"/>
      <c r="O55" s="313"/>
      <c r="P55" s="313"/>
      <c r="Q55" s="313"/>
      <c r="R55" s="314"/>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c r="HN55" s="313"/>
      <c r="HO55" s="313"/>
      <c r="HP55" s="313"/>
      <c r="HQ55" s="313"/>
      <c r="HR55" s="313"/>
      <c r="HS55" s="313"/>
      <c r="HT55" s="313"/>
      <c r="HU55" s="313"/>
      <c r="HV55" s="313"/>
      <c r="HW55" s="313"/>
      <c r="HX55" s="313"/>
      <c r="HY55" s="313"/>
      <c r="HZ55" s="313"/>
      <c r="IA55" s="313"/>
      <c r="IB55" s="313"/>
      <c r="IC55" s="313"/>
      <c r="ID55" s="313"/>
      <c r="IE55" s="313"/>
      <c r="IF55" s="313"/>
      <c r="IG55" s="313"/>
      <c r="IH55" s="313"/>
      <c r="II55" s="313"/>
      <c r="IJ55" s="313"/>
      <c r="IK55" s="313"/>
      <c r="IL55" s="313"/>
      <c r="IM55" s="313"/>
      <c r="IN55" s="313"/>
      <c r="IO55" s="313"/>
      <c r="IP55" s="313"/>
      <c r="IQ55" s="313"/>
      <c r="IR55" s="313"/>
      <c r="IS55" s="313"/>
      <c r="IT55" s="313"/>
      <c r="IU55" s="313"/>
    </row>
    <row r="56" spans="1:255">
      <c r="A56" s="330"/>
      <c r="B56" s="313" t="s">
        <v>221</v>
      </c>
      <c r="C56" s="316"/>
      <c r="D56" s="318">
        <f t="shared" si="14"/>
        <v>-0.32300000000000001</v>
      </c>
      <c r="E56" s="327">
        <v>-0.89</v>
      </c>
      <c r="F56" s="319">
        <f t="shared" si="13"/>
        <v>-0.63707865168539324</v>
      </c>
      <c r="G56" s="318"/>
      <c r="H56" s="318"/>
      <c r="I56" s="319"/>
      <c r="J56" s="318"/>
      <c r="K56" s="318"/>
      <c r="L56" s="319"/>
      <c r="M56" s="313"/>
      <c r="N56" s="313"/>
      <c r="O56" s="313"/>
      <c r="P56" s="313"/>
      <c r="Q56" s="313"/>
      <c r="R56" s="314"/>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c r="HN56" s="313"/>
      <c r="HO56" s="313"/>
      <c r="HP56" s="313"/>
      <c r="HQ56" s="313"/>
      <c r="HR56" s="313"/>
      <c r="HS56" s="313"/>
      <c r="HT56" s="313"/>
      <c r="HU56" s="313"/>
      <c r="HV56" s="313"/>
      <c r="HW56" s="313"/>
      <c r="HX56" s="313"/>
      <c r="HY56" s="313"/>
      <c r="HZ56" s="313"/>
      <c r="IA56" s="313"/>
      <c r="IB56" s="313"/>
      <c r="IC56" s="313"/>
      <c r="ID56" s="313"/>
      <c r="IE56" s="313"/>
      <c r="IF56" s="313"/>
      <c r="IG56" s="313"/>
      <c r="IH56" s="313"/>
      <c r="II56" s="313"/>
      <c r="IJ56" s="313"/>
      <c r="IK56" s="313"/>
      <c r="IL56" s="313"/>
      <c r="IM56" s="313"/>
      <c r="IN56" s="313"/>
      <c r="IO56" s="313"/>
      <c r="IP56" s="313"/>
      <c r="IQ56" s="313"/>
      <c r="IR56" s="313"/>
      <c r="IS56" s="313"/>
      <c r="IT56" s="313"/>
      <c r="IU56" s="313"/>
    </row>
    <row r="57" spans="1:255">
      <c r="A57" s="330"/>
      <c r="B57" s="313" t="s">
        <v>222</v>
      </c>
      <c r="C57" s="316"/>
      <c r="D57" s="318">
        <f t="shared" si="14"/>
        <v>-0.41699999999999998</v>
      </c>
      <c r="E57" s="327">
        <v>-1.1499999999999999</v>
      </c>
      <c r="F57" s="319">
        <f t="shared" si="13"/>
        <v>-0.63739130434782609</v>
      </c>
      <c r="G57" s="318"/>
      <c r="H57" s="318"/>
      <c r="I57" s="319"/>
      <c r="J57" s="318"/>
      <c r="K57" s="318"/>
      <c r="L57" s="319"/>
      <c r="M57" s="313"/>
      <c r="N57" s="313"/>
      <c r="O57" s="313"/>
      <c r="P57" s="313"/>
      <c r="Q57" s="313"/>
      <c r="R57" s="314"/>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c r="HN57" s="313"/>
      <c r="HO57" s="313"/>
      <c r="HP57" s="313"/>
      <c r="HQ57" s="313"/>
      <c r="HR57" s="313"/>
      <c r="HS57" s="313"/>
      <c r="HT57" s="313"/>
      <c r="HU57" s="313"/>
      <c r="HV57" s="313"/>
      <c r="HW57" s="313"/>
      <c r="HX57" s="313"/>
      <c r="HY57" s="313"/>
      <c r="HZ57" s="313"/>
      <c r="IA57" s="313"/>
      <c r="IB57" s="313"/>
      <c r="IC57" s="313"/>
      <c r="ID57" s="313"/>
      <c r="IE57" s="313"/>
      <c r="IF57" s="313"/>
      <c r="IG57" s="313"/>
      <c r="IH57" s="313"/>
      <c r="II57" s="313"/>
      <c r="IJ57" s="313"/>
      <c r="IK57" s="313"/>
      <c r="IL57" s="313"/>
      <c r="IM57" s="313"/>
      <c r="IN57" s="313"/>
      <c r="IO57" s="313"/>
      <c r="IP57" s="313"/>
      <c r="IQ57" s="313"/>
      <c r="IR57" s="313"/>
      <c r="IS57" s="313"/>
      <c r="IT57" s="313"/>
      <c r="IU57" s="313"/>
    </row>
    <row r="58" spans="1:255">
      <c r="A58" s="330"/>
      <c r="B58" s="313" t="s">
        <v>223</v>
      </c>
      <c r="C58" s="316"/>
      <c r="D58" s="318">
        <f t="shared" si="14"/>
        <v>-0.57999999999999996</v>
      </c>
      <c r="E58" s="327">
        <v>-1.6</v>
      </c>
      <c r="F58" s="319">
        <f t="shared" si="13"/>
        <v>-0.63750000000000007</v>
      </c>
      <c r="G58" s="318"/>
      <c r="H58" s="318"/>
      <c r="I58" s="319"/>
      <c r="J58" s="318"/>
      <c r="K58" s="318"/>
      <c r="L58" s="319"/>
      <c r="M58" s="313"/>
      <c r="N58" s="313"/>
      <c r="O58" s="313"/>
      <c r="P58" s="313"/>
      <c r="Q58" s="313"/>
      <c r="R58" s="314"/>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c r="HN58" s="313"/>
      <c r="HO58" s="313"/>
      <c r="HP58" s="313"/>
      <c r="HQ58" s="313"/>
      <c r="HR58" s="313"/>
      <c r="HS58" s="313"/>
      <c r="HT58" s="313"/>
      <c r="HU58" s="313"/>
      <c r="HV58" s="313"/>
      <c r="HW58" s="313"/>
      <c r="HX58" s="313"/>
      <c r="HY58" s="313"/>
      <c r="HZ58" s="313"/>
      <c r="IA58" s="313"/>
      <c r="IB58" s="313"/>
      <c r="IC58" s="313"/>
      <c r="ID58" s="313"/>
      <c r="IE58" s="313"/>
      <c r="IF58" s="313"/>
      <c r="IG58" s="313"/>
      <c r="IH58" s="313"/>
      <c r="II58" s="313"/>
      <c r="IJ58" s="313"/>
      <c r="IK58" s="313"/>
      <c r="IL58" s="313"/>
      <c r="IM58" s="313"/>
      <c r="IN58" s="313"/>
      <c r="IO58" s="313"/>
      <c r="IP58" s="313"/>
      <c r="IQ58" s="313"/>
      <c r="IR58" s="313"/>
      <c r="IS58" s="313"/>
      <c r="IT58" s="313"/>
      <c r="IU58" s="313"/>
    </row>
    <row r="59" spans="1:255">
      <c r="A59" s="330"/>
      <c r="B59" s="313" t="s">
        <v>224</v>
      </c>
      <c r="C59" s="316"/>
      <c r="D59" s="318">
        <f t="shared" si="14"/>
        <v>-0.69199999999999995</v>
      </c>
      <c r="E59" s="327">
        <v>-1.91</v>
      </c>
      <c r="F59" s="319">
        <f t="shared" si="13"/>
        <v>-0.63769633507853407</v>
      </c>
      <c r="G59" s="318"/>
      <c r="H59" s="318"/>
      <c r="I59" s="319"/>
      <c r="J59" s="318"/>
      <c r="K59" s="318"/>
      <c r="L59" s="319"/>
      <c r="M59" s="313"/>
      <c r="N59" s="313"/>
      <c r="O59" s="313"/>
      <c r="P59" s="313"/>
      <c r="Q59" s="313"/>
      <c r="R59" s="314"/>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3"/>
      <c r="EJ59" s="313"/>
      <c r="EK59" s="313"/>
      <c r="EL59" s="313"/>
      <c r="EM59" s="313"/>
      <c r="EN59" s="313"/>
      <c r="EO59" s="313"/>
      <c r="EP59" s="313"/>
      <c r="EQ59" s="313"/>
      <c r="ER59" s="313"/>
      <c r="ES59" s="313"/>
      <c r="ET59" s="313"/>
      <c r="EU59" s="313"/>
      <c r="EV59" s="313"/>
      <c r="EW59" s="313"/>
      <c r="EX59" s="313"/>
      <c r="EY59" s="313"/>
      <c r="EZ59" s="313"/>
      <c r="FA59" s="313"/>
      <c r="FB59" s="313"/>
      <c r="FC59" s="313"/>
      <c r="FD59" s="313"/>
      <c r="FE59" s="313"/>
      <c r="FF59" s="313"/>
      <c r="FG59" s="313"/>
      <c r="FH59" s="313"/>
      <c r="FI59" s="313"/>
      <c r="FJ59" s="313"/>
      <c r="FK59" s="313"/>
      <c r="FL59" s="313"/>
      <c r="FM59" s="313"/>
      <c r="FN59" s="313"/>
      <c r="FO59" s="313"/>
      <c r="FP59" s="313"/>
      <c r="FQ59" s="313"/>
      <c r="FR59" s="313"/>
      <c r="FS59" s="313"/>
      <c r="FT59" s="313"/>
      <c r="FU59" s="313"/>
      <c r="FV59" s="313"/>
      <c r="FW59" s="313"/>
      <c r="FX59" s="313"/>
      <c r="FY59" s="313"/>
      <c r="FZ59" s="313"/>
      <c r="GA59" s="313"/>
      <c r="GB59" s="313"/>
      <c r="GC59" s="313"/>
      <c r="GD59" s="313"/>
      <c r="GE59" s="313"/>
      <c r="GF59" s="313"/>
      <c r="GG59" s="313"/>
      <c r="GH59" s="313"/>
      <c r="GI59" s="313"/>
      <c r="GJ59" s="313"/>
      <c r="GK59" s="313"/>
      <c r="GL59" s="313"/>
      <c r="GM59" s="313"/>
      <c r="GN59" s="313"/>
      <c r="GO59" s="313"/>
      <c r="GP59" s="313"/>
      <c r="GQ59" s="313"/>
      <c r="GR59" s="313"/>
      <c r="GS59" s="313"/>
      <c r="GT59" s="313"/>
      <c r="GU59" s="313"/>
      <c r="GV59" s="313"/>
      <c r="GW59" s="313"/>
      <c r="GX59" s="313"/>
      <c r="GY59" s="313"/>
      <c r="GZ59" s="313"/>
      <c r="HA59" s="313"/>
      <c r="HB59" s="313"/>
      <c r="HC59" s="313"/>
      <c r="HD59" s="313"/>
      <c r="HE59" s="313"/>
      <c r="HF59" s="313"/>
      <c r="HG59" s="313"/>
      <c r="HH59" s="313"/>
      <c r="HI59" s="313"/>
      <c r="HJ59" s="313"/>
      <c r="HK59" s="313"/>
      <c r="HL59" s="313"/>
      <c r="HM59" s="313"/>
      <c r="HN59" s="313"/>
      <c r="HO59" s="313"/>
      <c r="HP59" s="313"/>
      <c r="HQ59" s="313"/>
      <c r="HR59" s="313"/>
      <c r="HS59" s="313"/>
      <c r="HT59" s="313"/>
      <c r="HU59" s="313"/>
      <c r="HV59" s="313"/>
      <c r="HW59" s="313"/>
      <c r="HX59" s="313"/>
      <c r="HY59" s="313"/>
      <c r="HZ59" s="313"/>
      <c r="IA59" s="313"/>
      <c r="IB59" s="313"/>
      <c r="IC59" s="313"/>
      <c r="ID59" s="313"/>
      <c r="IE59" s="313"/>
      <c r="IF59" s="313"/>
      <c r="IG59" s="313"/>
      <c r="IH59" s="313"/>
      <c r="II59" s="313"/>
      <c r="IJ59" s="313"/>
      <c r="IK59" s="313"/>
      <c r="IL59" s="313"/>
      <c r="IM59" s="313"/>
      <c r="IN59" s="313"/>
      <c r="IO59" s="313"/>
      <c r="IP59" s="313"/>
      <c r="IQ59" s="313"/>
      <c r="IR59" s="313"/>
      <c r="IS59" s="313"/>
      <c r="IT59" s="313"/>
      <c r="IU59" s="313"/>
    </row>
    <row r="60" spans="1:255">
      <c r="A60" s="330"/>
      <c r="B60" s="313" t="s">
        <v>225</v>
      </c>
      <c r="C60" s="316"/>
      <c r="D60" s="318">
        <f t="shared" si="14"/>
        <v>-0.78600000000000003</v>
      </c>
      <c r="E60" s="327">
        <v>-2.17</v>
      </c>
      <c r="F60" s="319">
        <f t="shared" si="13"/>
        <v>-0.63778801843317967</v>
      </c>
      <c r="G60" s="318"/>
      <c r="H60" s="318"/>
      <c r="I60" s="319"/>
      <c r="J60" s="318"/>
      <c r="K60" s="318"/>
      <c r="L60" s="319"/>
      <c r="M60" s="313"/>
      <c r="N60" s="313"/>
      <c r="O60" s="313"/>
      <c r="P60" s="313"/>
      <c r="Q60" s="313"/>
      <c r="R60" s="314"/>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13"/>
      <c r="CZ60" s="313"/>
      <c r="DA60" s="313"/>
      <c r="DB60" s="313"/>
      <c r="DC60" s="313"/>
      <c r="DD60" s="313"/>
      <c r="DE60" s="313"/>
      <c r="DF60" s="313"/>
      <c r="DG60" s="313"/>
      <c r="DH60" s="313"/>
      <c r="DI60" s="313"/>
      <c r="DJ60" s="313"/>
      <c r="DK60" s="313"/>
      <c r="DL60" s="313"/>
      <c r="DM60" s="313"/>
      <c r="DN60" s="313"/>
      <c r="DO60" s="313"/>
      <c r="DP60" s="313"/>
      <c r="DQ60" s="313"/>
      <c r="DR60" s="313"/>
      <c r="DS60" s="313"/>
      <c r="DT60" s="313"/>
      <c r="DU60" s="313"/>
      <c r="DV60" s="313"/>
      <c r="DW60" s="313"/>
      <c r="DX60" s="313"/>
      <c r="DY60" s="313"/>
      <c r="DZ60" s="313"/>
      <c r="EA60" s="313"/>
      <c r="EB60" s="313"/>
      <c r="EC60" s="313"/>
      <c r="ED60" s="313"/>
      <c r="EE60" s="313"/>
      <c r="EF60" s="313"/>
      <c r="EG60" s="313"/>
      <c r="EH60" s="313"/>
      <c r="EI60" s="313"/>
      <c r="EJ60" s="313"/>
      <c r="EK60" s="313"/>
      <c r="EL60" s="313"/>
      <c r="EM60" s="313"/>
      <c r="EN60" s="313"/>
      <c r="EO60" s="313"/>
      <c r="EP60" s="313"/>
      <c r="EQ60" s="313"/>
      <c r="ER60" s="313"/>
      <c r="ES60" s="313"/>
      <c r="ET60" s="313"/>
      <c r="EU60" s="313"/>
      <c r="EV60" s="313"/>
      <c r="EW60" s="313"/>
      <c r="EX60" s="313"/>
      <c r="EY60" s="313"/>
      <c r="EZ60" s="313"/>
      <c r="FA60" s="313"/>
      <c r="FB60" s="313"/>
      <c r="FC60" s="313"/>
      <c r="FD60" s="313"/>
      <c r="FE60" s="313"/>
      <c r="FF60" s="313"/>
      <c r="FG60" s="313"/>
      <c r="FH60" s="313"/>
      <c r="FI60" s="313"/>
      <c r="FJ60" s="313"/>
      <c r="FK60" s="313"/>
      <c r="FL60" s="313"/>
      <c r="FM60" s="313"/>
      <c r="FN60" s="313"/>
      <c r="FO60" s="313"/>
      <c r="FP60" s="313"/>
      <c r="FQ60" s="313"/>
      <c r="FR60" s="313"/>
      <c r="FS60" s="313"/>
      <c r="FT60" s="313"/>
      <c r="FU60" s="313"/>
      <c r="FV60" s="313"/>
      <c r="FW60" s="313"/>
      <c r="FX60" s="313"/>
      <c r="FY60" s="313"/>
      <c r="FZ60" s="313"/>
      <c r="GA60" s="313"/>
      <c r="GB60" s="313"/>
      <c r="GC60" s="313"/>
      <c r="GD60" s="313"/>
      <c r="GE60" s="313"/>
      <c r="GF60" s="313"/>
      <c r="GG60" s="313"/>
      <c r="GH60" s="313"/>
      <c r="GI60" s="313"/>
      <c r="GJ60" s="313"/>
      <c r="GK60" s="313"/>
      <c r="GL60" s="313"/>
      <c r="GM60" s="313"/>
      <c r="GN60" s="313"/>
      <c r="GO60" s="313"/>
      <c r="GP60" s="313"/>
      <c r="GQ60" s="313"/>
      <c r="GR60" s="313"/>
      <c r="GS60" s="313"/>
      <c r="GT60" s="313"/>
      <c r="GU60" s="313"/>
      <c r="GV60" s="313"/>
      <c r="GW60" s="313"/>
      <c r="GX60" s="313"/>
      <c r="GY60" s="313"/>
      <c r="GZ60" s="313"/>
      <c r="HA60" s="313"/>
      <c r="HB60" s="313"/>
      <c r="HC60" s="313"/>
      <c r="HD60" s="313"/>
      <c r="HE60" s="313"/>
      <c r="HF60" s="313"/>
      <c r="HG60" s="313"/>
      <c r="HH60" s="313"/>
      <c r="HI60" s="313"/>
      <c r="HJ60" s="313"/>
      <c r="HK60" s="313"/>
      <c r="HL60" s="313"/>
      <c r="HM60" s="313"/>
      <c r="HN60" s="313"/>
      <c r="HO60" s="313"/>
      <c r="HP60" s="313"/>
      <c r="HQ60" s="313"/>
      <c r="HR60" s="313"/>
      <c r="HS60" s="313"/>
      <c r="HT60" s="313"/>
      <c r="HU60" s="313"/>
      <c r="HV60" s="313"/>
      <c r="HW60" s="313"/>
      <c r="HX60" s="313"/>
      <c r="HY60" s="313"/>
      <c r="HZ60" s="313"/>
      <c r="IA60" s="313"/>
      <c r="IB60" s="313"/>
      <c r="IC60" s="313"/>
      <c r="ID60" s="313"/>
      <c r="IE60" s="313"/>
      <c r="IF60" s="313"/>
      <c r="IG60" s="313"/>
      <c r="IH60" s="313"/>
      <c r="II60" s="313"/>
      <c r="IJ60" s="313"/>
      <c r="IK60" s="313"/>
      <c r="IL60" s="313"/>
      <c r="IM60" s="313"/>
      <c r="IN60" s="313"/>
      <c r="IO60" s="313"/>
      <c r="IP60" s="313"/>
      <c r="IQ60" s="313"/>
      <c r="IR60" s="313"/>
      <c r="IS60" s="313"/>
      <c r="IT60" s="313"/>
      <c r="IU60" s="313"/>
    </row>
    <row r="61" spans="1:255">
      <c r="A61" s="330"/>
      <c r="B61" s="313" t="s">
        <v>226</v>
      </c>
      <c r="C61" s="316"/>
      <c r="D61" s="318">
        <f t="shared" si="14"/>
        <v>-0.877</v>
      </c>
      <c r="E61" s="327">
        <v>-2.42</v>
      </c>
      <c r="F61" s="319">
        <f t="shared" si="13"/>
        <v>-0.63760330578512403</v>
      </c>
      <c r="G61" s="318"/>
      <c r="H61" s="318"/>
      <c r="I61" s="319"/>
      <c r="J61" s="318"/>
      <c r="K61" s="318"/>
      <c r="L61" s="319"/>
      <c r="M61" s="313"/>
      <c r="N61" s="313"/>
      <c r="O61" s="313"/>
      <c r="P61" s="313"/>
      <c r="Q61" s="313"/>
      <c r="R61" s="314"/>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3"/>
      <c r="BQ61" s="313"/>
      <c r="BR61" s="313"/>
      <c r="BS61" s="313"/>
      <c r="BT61" s="313"/>
      <c r="BU61" s="313"/>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13"/>
      <c r="CZ61" s="313"/>
      <c r="DA61" s="313"/>
      <c r="DB61" s="313"/>
      <c r="DC61" s="313"/>
      <c r="DD61" s="313"/>
      <c r="DE61" s="313"/>
      <c r="DF61" s="313"/>
      <c r="DG61" s="313"/>
      <c r="DH61" s="313"/>
      <c r="DI61" s="313"/>
      <c r="DJ61" s="313"/>
      <c r="DK61" s="313"/>
      <c r="DL61" s="313"/>
      <c r="DM61" s="313"/>
      <c r="DN61" s="313"/>
      <c r="DO61" s="313"/>
      <c r="DP61" s="313"/>
      <c r="DQ61" s="313"/>
      <c r="DR61" s="313"/>
      <c r="DS61" s="313"/>
      <c r="DT61" s="313"/>
      <c r="DU61" s="313"/>
      <c r="DV61" s="313"/>
      <c r="DW61" s="313"/>
      <c r="DX61" s="313"/>
      <c r="DY61" s="313"/>
      <c r="DZ61" s="313"/>
      <c r="EA61" s="313"/>
      <c r="EB61" s="313"/>
      <c r="EC61" s="313"/>
      <c r="ED61" s="313"/>
      <c r="EE61" s="313"/>
      <c r="EF61" s="313"/>
      <c r="EG61" s="313"/>
      <c r="EH61" s="313"/>
      <c r="EI61" s="313"/>
      <c r="EJ61" s="313"/>
      <c r="EK61" s="313"/>
      <c r="EL61" s="313"/>
      <c r="EM61" s="313"/>
      <c r="EN61" s="313"/>
      <c r="EO61" s="313"/>
      <c r="EP61" s="313"/>
      <c r="EQ61" s="313"/>
      <c r="ER61" s="313"/>
      <c r="ES61" s="313"/>
      <c r="ET61" s="313"/>
      <c r="EU61" s="313"/>
      <c r="EV61" s="313"/>
      <c r="EW61" s="313"/>
      <c r="EX61" s="313"/>
      <c r="EY61" s="313"/>
      <c r="EZ61" s="313"/>
      <c r="FA61" s="313"/>
      <c r="FB61" s="313"/>
      <c r="FC61" s="313"/>
      <c r="FD61" s="313"/>
      <c r="FE61" s="313"/>
      <c r="FF61" s="313"/>
      <c r="FG61" s="313"/>
      <c r="FH61" s="313"/>
      <c r="FI61" s="313"/>
      <c r="FJ61" s="313"/>
      <c r="FK61" s="313"/>
      <c r="FL61" s="313"/>
      <c r="FM61" s="313"/>
      <c r="FN61" s="313"/>
      <c r="FO61" s="313"/>
      <c r="FP61" s="313"/>
      <c r="FQ61" s="313"/>
      <c r="FR61" s="313"/>
      <c r="FS61" s="313"/>
      <c r="FT61" s="313"/>
      <c r="FU61" s="313"/>
      <c r="FV61" s="313"/>
      <c r="FW61" s="313"/>
      <c r="FX61" s="313"/>
      <c r="FY61" s="313"/>
      <c r="FZ61" s="313"/>
      <c r="GA61" s="313"/>
      <c r="GB61" s="313"/>
      <c r="GC61" s="313"/>
      <c r="GD61" s="313"/>
      <c r="GE61" s="313"/>
      <c r="GF61" s="313"/>
      <c r="GG61" s="313"/>
      <c r="GH61" s="313"/>
      <c r="GI61" s="313"/>
      <c r="GJ61" s="313"/>
      <c r="GK61" s="313"/>
      <c r="GL61" s="313"/>
      <c r="GM61" s="313"/>
      <c r="GN61" s="313"/>
      <c r="GO61" s="313"/>
      <c r="GP61" s="313"/>
      <c r="GQ61" s="313"/>
      <c r="GR61" s="313"/>
      <c r="GS61" s="313"/>
      <c r="GT61" s="313"/>
      <c r="GU61" s="313"/>
      <c r="GV61" s="313"/>
      <c r="GW61" s="313"/>
      <c r="GX61" s="313"/>
      <c r="GY61" s="313"/>
      <c r="GZ61" s="313"/>
      <c r="HA61" s="313"/>
      <c r="HB61" s="313"/>
      <c r="HC61" s="313"/>
      <c r="HD61" s="313"/>
      <c r="HE61" s="313"/>
      <c r="HF61" s="313"/>
      <c r="HG61" s="313"/>
      <c r="HH61" s="313"/>
      <c r="HI61" s="313"/>
      <c r="HJ61" s="313"/>
      <c r="HK61" s="313"/>
      <c r="HL61" s="313"/>
      <c r="HM61" s="313"/>
      <c r="HN61" s="313"/>
      <c r="HO61" s="313"/>
      <c r="HP61" s="313"/>
      <c r="HQ61" s="313"/>
      <c r="HR61" s="313"/>
      <c r="HS61" s="313"/>
      <c r="HT61" s="313"/>
      <c r="HU61" s="313"/>
      <c r="HV61" s="313"/>
      <c r="HW61" s="313"/>
      <c r="HX61" s="313"/>
      <c r="HY61" s="313"/>
      <c r="HZ61" s="313"/>
      <c r="IA61" s="313"/>
      <c r="IB61" s="313"/>
      <c r="IC61" s="313"/>
      <c r="ID61" s="313"/>
      <c r="IE61" s="313"/>
      <c r="IF61" s="313"/>
      <c r="IG61" s="313"/>
      <c r="IH61" s="313"/>
      <c r="II61" s="313"/>
      <c r="IJ61" s="313"/>
      <c r="IK61" s="313"/>
      <c r="IL61" s="313"/>
      <c r="IM61" s="313"/>
      <c r="IN61" s="313"/>
      <c r="IO61" s="313"/>
      <c r="IP61" s="313"/>
      <c r="IQ61" s="313"/>
      <c r="IR61" s="313"/>
      <c r="IS61" s="313"/>
      <c r="IT61" s="313"/>
      <c r="IU61" s="313"/>
    </row>
    <row r="62" spans="1:255" ht="15.75" thickBot="1">
      <c r="A62" s="335"/>
      <c r="B62" s="336"/>
      <c r="C62" s="337"/>
      <c r="D62" s="338"/>
      <c r="E62" s="339"/>
      <c r="F62" s="338"/>
      <c r="G62" s="340"/>
      <c r="H62" s="340"/>
      <c r="I62" s="341"/>
      <c r="J62" s="340"/>
      <c r="K62" s="340"/>
      <c r="L62" s="341"/>
      <c r="M62" s="313"/>
      <c r="N62" s="313"/>
      <c r="O62" s="313"/>
      <c r="P62" s="313"/>
      <c r="Q62" s="313"/>
      <c r="R62" s="314"/>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13"/>
      <c r="GK62" s="313"/>
      <c r="GL62" s="313"/>
      <c r="GM62" s="313"/>
      <c r="GN62" s="313"/>
      <c r="GO62" s="313"/>
      <c r="GP62" s="313"/>
      <c r="GQ62" s="313"/>
      <c r="GR62" s="313"/>
      <c r="GS62" s="313"/>
      <c r="GT62" s="313"/>
      <c r="GU62" s="313"/>
      <c r="GV62" s="313"/>
      <c r="GW62" s="313"/>
      <c r="GX62" s="313"/>
      <c r="GY62" s="313"/>
      <c r="GZ62" s="313"/>
      <c r="HA62" s="313"/>
      <c r="HB62" s="313"/>
      <c r="HC62" s="313"/>
      <c r="HD62" s="313"/>
      <c r="HE62" s="313"/>
      <c r="HF62" s="313"/>
      <c r="HG62" s="313"/>
      <c r="HH62" s="313"/>
      <c r="HI62" s="313"/>
      <c r="HJ62" s="313"/>
      <c r="HK62" s="313"/>
      <c r="HL62" s="313"/>
      <c r="HM62" s="313"/>
      <c r="HN62" s="313"/>
      <c r="HO62" s="313"/>
      <c r="HP62" s="313"/>
      <c r="HQ62" s="313"/>
      <c r="HR62" s="313"/>
      <c r="HS62" s="313"/>
      <c r="HT62" s="313"/>
      <c r="HU62" s="313"/>
      <c r="HV62" s="313"/>
      <c r="HW62" s="313"/>
      <c r="HX62" s="313"/>
      <c r="HY62" s="313"/>
      <c r="HZ62" s="313"/>
      <c r="IA62" s="313"/>
      <c r="IB62" s="313"/>
      <c r="IC62" s="313"/>
      <c r="ID62" s="313"/>
      <c r="IE62" s="313"/>
      <c r="IF62" s="313"/>
      <c r="IG62" s="313"/>
      <c r="IH62" s="313"/>
      <c r="II62" s="313"/>
      <c r="IJ62" s="313"/>
      <c r="IK62" s="313"/>
      <c r="IL62" s="313"/>
      <c r="IM62" s="313"/>
      <c r="IN62" s="313"/>
      <c r="IO62" s="313"/>
      <c r="IP62" s="313"/>
      <c r="IQ62" s="313"/>
      <c r="IR62" s="313"/>
      <c r="IS62" s="313"/>
      <c r="IT62" s="313"/>
      <c r="IU62" s="313"/>
    </row>
    <row r="63" spans="1:255">
      <c r="A63" s="313"/>
      <c r="B63" s="313"/>
      <c r="C63" s="313"/>
      <c r="D63" s="313"/>
      <c r="E63" s="342"/>
      <c r="F63" s="313"/>
      <c r="G63" s="313"/>
      <c r="H63" s="342"/>
      <c r="I63" s="313"/>
      <c r="J63" s="313"/>
      <c r="K63" s="313"/>
      <c r="L63" s="329"/>
      <c r="M63" s="313"/>
      <c r="N63" s="313"/>
      <c r="O63" s="313"/>
      <c r="P63" s="313"/>
      <c r="Q63" s="313"/>
      <c r="R63" s="314"/>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313"/>
      <c r="CK63" s="313"/>
      <c r="CL63" s="313"/>
      <c r="CM63" s="313"/>
      <c r="CN63" s="313"/>
      <c r="CO63" s="313"/>
      <c r="CP63" s="313"/>
      <c r="CQ63" s="313"/>
      <c r="CR63" s="313"/>
      <c r="CS63" s="313"/>
      <c r="CT63" s="313"/>
      <c r="CU63" s="313"/>
      <c r="CV63" s="313"/>
      <c r="CW63" s="313"/>
      <c r="CX63" s="313"/>
      <c r="CY63" s="313"/>
      <c r="CZ63" s="313"/>
      <c r="DA63" s="313"/>
      <c r="DB63" s="313"/>
      <c r="DC63" s="313"/>
      <c r="DD63" s="313"/>
      <c r="DE63" s="313"/>
      <c r="DF63" s="313"/>
      <c r="DG63" s="313"/>
      <c r="DH63" s="313"/>
      <c r="DI63" s="313"/>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313"/>
      <c r="EK63" s="313"/>
      <c r="EL63" s="313"/>
      <c r="EM63" s="313"/>
      <c r="EN63" s="313"/>
      <c r="EO63" s="313"/>
      <c r="EP63" s="313"/>
      <c r="EQ63" s="313"/>
      <c r="ER63" s="313"/>
      <c r="ES63" s="313"/>
      <c r="ET63" s="313"/>
      <c r="EU63" s="313"/>
      <c r="EV63" s="313"/>
      <c r="EW63" s="313"/>
      <c r="EX63" s="313"/>
      <c r="EY63" s="313"/>
      <c r="EZ63" s="313"/>
      <c r="FA63" s="313"/>
      <c r="FB63" s="313"/>
      <c r="FC63" s="313"/>
      <c r="FD63" s="313"/>
      <c r="FE63" s="313"/>
      <c r="FF63" s="313"/>
      <c r="FG63" s="313"/>
      <c r="FH63" s="313"/>
      <c r="FI63" s="313"/>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313"/>
      <c r="GK63" s="313"/>
      <c r="GL63" s="313"/>
      <c r="GM63" s="313"/>
      <c r="GN63" s="313"/>
      <c r="GO63" s="313"/>
      <c r="GP63" s="313"/>
      <c r="GQ63" s="313"/>
      <c r="GR63" s="313"/>
      <c r="GS63" s="313"/>
      <c r="GT63" s="313"/>
      <c r="GU63" s="313"/>
      <c r="GV63" s="313"/>
      <c r="GW63" s="313"/>
      <c r="GX63" s="313"/>
      <c r="GY63" s="313"/>
      <c r="GZ63" s="313"/>
      <c r="HA63" s="313"/>
      <c r="HB63" s="313"/>
      <c r="HC63" s="313"/>
      <c r="HD63" s="313"/>
      <c r="HE63" s="313"/>
      <c r="HF63" s="313"/>
      <c r="HG63" s="313"/>
      <c r="HH63" s="313"/>
      <c r="HI63" s="313"/>
      <c r="HJ63" s="313"/>
      <c r="HK63" s="313"/>
      <c r="HL63" s="313"/>
      <c r="HM63" s="313"/>
      <c r="HN63" s="313"/>
      <c r="HO63" s="313"/>
      <c r="HP63" s="313"/>
      <c r="HQ63" s="313"/>
      <c r="HR63" s="313"/>
      <c r="HS63" s="313"/>
      <c r="HT63" s="313"/>
      <c r="HU63" s="313"/>
      <c r="HV63" s="313"/>
      <c r="HW63" s="313"/>
      <c r="HX63" s="313"/>
      <c r="HY63" s="313"/>
      <c r="HZ63" s="313"/>
      <c r="IA63" s="313"/>
      <c r="IB63" s="313"/>
      <c r="IC63" s="313"/>
      <c r="ID63" s="313"/>
      <c r="IE63" s="313"/>
      <c r="IF63" s="313"/>
      <c r="IG63" s="313"/>
      <c r="IH63" s="313"/>
      <c r="II63" s="313"/>
      <c r="IJ63" s="313"/>
      <c r="IK63" s="313"/>
      <c r="IL63" s="313"/>
      <c r="IM63" s="313"/>
      <c r="IN63" s="313"/>
      <c r="IO63" s="313"/>
      <c r="IP63" s="313"/>
      <c r="IQ63" s="313"/>
      <c r="IR63" s="313"/>
      <c r="IS63" s="313"/>
      <c r="IT63" s="313"/>
      <c r="IU63" s="313"/>
    </row>
    <row r="64" spans="1:255" ht="15.75">
      <c r="A64" s="343" t="s">
        <v>232</v>
      </c>
      <c r="B64" s="454" t="s">
        <v>233</v>
      </c>
      <c r="C64" s="455"/>
      <c r="D64" s="455"/>
      <c r="E64" s="455"/>
      <c r="F64" s="455"/>
      <c r="G64" s="455"/>
      <c r="H64" s="455"/>
      <c r="I64" s="455"/>
      <c r="J64" s="455"/>
      <c r="K64" s="455"/>
      <c r="L64" s="455"/>
      <c r="M64" s="313"/>
      <c r="N64" s="313"/>
      <c r="O64" s="313"/>
      <c r="P64" s="313"/>
      <c r="Q64" s="313"/>
      <c r="R64" s="314"/>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313"/>
      <c r="CK64" s="313"/>
      <c r="CL64" s="313"/>
      <c r="CM64" s="313"/>
      <c r="CN64" s="313"/>
      <c r="CO64" s="313"/>
      <c r="CP64" s="313"/>
      <c r="CQ64" s="313"/>
      <c r="CR64" s="313"/>
      <c r="CS64" s="313"/>
      <c r="CT64" s="313"/>
      <c r="CU64" s="313"/>
      <c r="CV64" s="313"/>
      <c r="CW64" s="313"/>
      <c r="CX64" s="313"/>
      <c r="CY64" s="313"/>
      <c r="CZ64" s="313"/>
      <c r="DA64" s="313"/>
      <c r="DB64" s="313"/>
      <c r="DC64" s="313"/>
      <c r="DD64" s="313"/>
      <c r="DE64" s="313"/>
      <c r="DF64" s="313"/>
      <c r="DG64" s="313"/>
      <c r="DH64" s="313"/>
      <c r="DI64" s="313"/>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313"/>
      <c r="EK64" s="313"/>
      <c r="EL64" s="313"/>
      <c r="EM64" s="313"/>
      <c r="EN64" s="313"/>
      <c r="EO64" s="313"/>
      <c r="EP64" s="313"/>
      <c r="EQ64" s="313"/>
      <c r="ER64" s="313"/>
      <c r="ES64" s="313"/>
      <c r="ET64" s="313"/>
      <c r="EU64" s="313"/>
      <c r="EV64" s="313"/>
      <c r="EW64" s="313"/>
      <c r="EX64" s="313"/>
      <c r="EY64" s="313"/>
      <c r="EZ64" s="313"/>
      <c r="FA64" s="313"/>
      <c r="FB64" s="313"/>
      <c r="FC64" s="313"/>
      <c r="FD64" s="313"/>
      <c r="FE64" s="313"/>
      <c r="FF64" s="313"/>
      <c r="FG64" s="313"/>
      <c r="FH64" s="313"/>
      <c r="FI64" s="313"/>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313"/>
      <c r="GK64" s="313"/>
      <c r="GL64" s="313"/>
      <c r="GM64" s="313"/>
      <c r="GN64" s="313"/>
      <c r="GO64" s="313"/>
      <c r="GP64" s="313"/>
      <c r="GQ64" s="313"/>
      <c r="GR64" s="313"/>
      <c r="GS64" s="313"/>
      <c r="GT64" s="313"/>
      <c r="GU64" s="313"/>
      <c r="GV64" s="313"/>
      <c r="GW64" s="313"/>
      <c r="GX64" s="313"/>
      <c r="GY64" s="313"/>
      <c r="GZ64" s="313"/>
      <c r="HA64" s="313"/>
      <c r="HB64" s="313"/>
      <c r="HC64" s="313"/>
      <c r="HD64" s="313"/>
      <c r="HE64" s="313"/>
      <c r="HF64" s="313"/>
      <c r="HG64" s="313"/>
      <c r="HH64" s="313"/>
      <c r="HI64" s="313"/>
      <c r="HJ64" s="313"/>
      <c r="HK64" s="313"/>
      <c r="HL64" s="313"/>
      <c r="HM64" s="313"/>
      <c r="HN64" s="313"/>
      <c r="HO64" s="313"/>
      <c r="HP64" s="313"/>
      <c r="HQ64" s="313"/>
      <c r="HR64" s="313"/>
      <c r="HS64" s="313"/>
      <c r="HT64" s="313"/>
      <c r="HU64" s="313"/>
      <c r="HV64" s="313"/>
      <c r="HW64" s="313"/>
      <c r="HX64" s="313"/>
      <c r="HY64" s="313"/>
      <c r="HZ64" s="313"/>
      <c r="IA64" s="313"/>
      <c r="IB64" s="313"/>
      <c r="IC64" s="313"/>
      <c r="ID64" s="313"/>
      <c r="IE64" s="313"/>
      <c r="IF64" s="313"/>
      <c r="IG64" s="313"/>
      <c r="IH64" s="313"/>
      <c r="II64" s="313"/>
      <c r="IJ64" s="313"/>
      <c r="IK64" s="313"/>
      <c r="IL64" s="313"/>
      <c r="IM64" s="313"/>
      <c r="IN64" s="313"/>
      <c r="IO64" s="313"/>
      <c r="IP64" s="313"/>
      <c r="IQ64" s="313"/>
      <c r="IR64" s="313"/>
      <c r="IS64" s="313"/>
      <c r="IT64" s="313"/>
      <c r="IU64" s="313"/>
    </row>
    <row r="65" spans="1:255">
      <c r="A65" s="313"/>
      <c r="B65" s="455"/>
      <c r="C65" s="455"/>
      <c r="D65" s="455"/>
      <c r="E65" s="455"/>
      <c r="F65" s="455"/>
      <c r="G65" s="455"/>
      <c r="H65" s="455"/>
      <c r="I65" s="455"/>
      <c r="J65" s="455"/>
      <c r="K65" s="455"/>
      <c r="L65" s="455"/>
      <c r="M65" s="313"/>
      <c r="N65" s="313"/>
      <c r="O65" s="313"/>
      <c r="P65" s="313"/>
      <c r="Q65" s="313"/>
      <c r="R65" s="314"/>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c r="GJ65" s="313"/>
      <c r="GK65" s="313"/>
      <c r="GL65" s="313"/>
      <c r="GM65" s="313"/>
      <c r="GN65" s="313"/>
      <c r="GO65" s="313"/>
      <c r="GP65" s="313"/>
      <c r="GQ65" s="313"/>
      <c r="GR65" s="313"/>
      <c r="GS65" s="313"/>
      <c r="GT65" s="313"/>
      <c r="GU65" s="313"/>
      <c r="GV65" s="313"/>
      <c r="GW65" s="313"/>
      <c r="GX65" s="313"/>
      <c r="GY65" s="313"/>
      <c r="GZ65" s="313"/>
      <c r="HA65" s="313"/>
      <c r="HB65" s="313"/>
      <c r="HC65" s="313"/>
      <c r="HD65" s="313"/>
      <c r="HE65" s="313"/>
      <c r="HF65" s="313"/>
      <c r="HG65" s="313"/>
      <c r="HH65" s="313"/>
      <c r="HI65" s="313"/>
      <c r="HJ65" s="313"/>
      <c r="HK65" s="313"/>
      <c r="HL65" s="313"/>
      <c r="HM65" s="313"/>
      <c r="HN65" s="313"/>
      <c r="HO65" s="313"/>
      <c r="HP65" s="313"/>
      <c r="HQ65" s="313"/>
      <c r="HR65" s="313"/>
      <c r="HS65" s="313"/>
      <c r="HT65" s="313"/>
      <c r="HU65" s="313"/>
      <c r="HV65" s="313"/>
      <c r="HW65" s="313"/>
      <c r="HX65" s="313"/>
      <c r="HY65" s="313"/>
      <c r="HZ65" s="313"/>
      <c r="IA65" s="313"/>
      <c r="IB65" s="313"/>
      <c r="IC65" s="313"/>
      <c r="ID65" s="313"/>
      <c r="IE65" s="313"/>
      <c r="IF65" s="313"/>
      <c r="IG65" s="313"/>
      <c r="IH65" s="313"/>
      <c r="II65" s="313"/>
      <c r="IJ65" s="313"/>
      <c r="IK65" s="313"/>
      <c r="IL65" s="313"/>
      <c r="IM65" s="313"/>
      <c r="IN65" s="313"/>
      <c r="IO65" s="313"/>
      <c r="IP65" s="313"/>
      <c r="IQ65" s="313"/>
      <c r="IR65" s="313"/>
      <c r="IS65" s="313"/>
      <c r="IT65" s="313"/>
      <c r="IU65" s="313"/>
    </row>
    <row r="66" spans="1:255">
      <c r="A66" s="313"/>
      <c r="B66" s="313"/>
      <c r="C66" s="313"/>
      <c r="D66" s="313"/>
      <c r="E66" s="342"/>
      <c r="F66" s="313"/>
      <c r="G66" s="313"/>
      <c r="H66" s="342"/>
      <c r="I66" s="313"/>
      <c r="J66" s="313"/>
      <c r="K66" s="313"/>
      <c r="L66" s="313"/>
      <c r="M66" s="313"/>
      <c r="N66" s="313"/>
      <c r="O66" s="313"/>
      <c r="P66" s="313"/>
      <c r="Q66" s="313"/>
      <c r="R66" s="314"/>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c r="BC66" s="313"/>
      <c r="BD66" s="313"/>
      <c r="BE66" s="313"/>
      <c r="BF66" s="313"/>
      <c r="BG66" s="313"/>
      <c r="BH66" s="313"/>
      <c r="BI66" s="313"/>
      <c r="BJ66" s="313"/>
      <c r="BK66" s="313"/>
      <c r="BL66" s="313"/>
      <c r="BM66" s="313"/>
      <c r="BN66" s="313"/>
      <c r="BO66" s="313"/>
      <c r="BP66" s="313"/>
      <c r="BQ66" s="313"/>
      <c r="BR66" s="313"/>
      <c r="BS66" s="313"/>
      <c r="BT66" s="313"/>
      <c r="BU66" s="313"/>
      <c r="BV66" s="313"/>
      <c r="BW66" s="313"/>
      <c r="BX66" s="313"/>
      <c r="BY66" s="313"/>
      <c r="BZ66" s="313"/>
      <c r="CA66" s="313"/>
      <c r="CB66" s="313"/>
      <c r="CC66" s="313"/>
      <c r="CD66" s="313"/>
      <c r="CE66" s="313"/>
      <c r="CF66" s="313"/>
      <c r="CG66" s="313"/>
      <c r="CH66" s="313"/>
      <c r="CI66" s="313"/>
      <c r="CJ66" s="313"/>
      <c r="CK66" s="313"/>
      <c r="CL66" s="313"/>
      <c r="CM66" s="313"/>
      <c r="CN66" s="313"/>
      <c r="CO66" s="313"/>
      <c r="CP66" s="313"/>
      <c r="CQ66" s="313"/>
      <c r="CR66" s="313"/>
      <c r="CS66" s="313"/>
      <c r="CT66" s="313"/>
      <c r="CU66" s="313"/>
      <c r="CV66" s="313"/>
      <c r="CW66" s="313"/>
      <c r="CX66" s="313"/>
      <c r="CY66" s="313"/>
      <c r="CZ66" s="313"/>
      <c r="DA66" s="313"/>
      <c r="DB66" s="313"/>
      <c r="DC66" s="313"/>
      <c r="DD66" s="313"/>
      <c r="DE66" s="313"/>
      <c r="DF66" s="313"/>
      <c r="DG66" s="313"/>
      <c r="DH66" s="313"/>
      <c r="DI66" s="313"/>
      <c r="DJ66" s="313"/>
      <c r="DK66" s="313"/>
      <c r="DL66" s="313"/>
      <c r="DM66" s="313"/>
      <c r="DN66" s="313"/>
      <c r="DO66" s="313"/>
      <c r="DP66" s="313"/>
      <c r="DQ66" s="313"/>
      <c r="DR66" s="313"/>
      <c r="DS66" s="313"/>
      <c r="DT66" s="313"/>
      <c r="DU66" s="313"/>
      <c r="DV66" s="313"/>
      <c r="DW66" s="313"/>
      <c r="DX66" s="313"/>
      <c r="DY66" s="313"/>
      <c r="DZ66" s="313"/>
      <c r="EA66" s="313"/>
      <c r="EB66" s="313"/>
      <c r="EC66" s="313"/>
      <c r="ED66" s="313"/>
      <c r="EE66" s="313"/>
      <c r="EF66" s="313"/>
      <c r="EG66" s="313"/>
      <c r="EH66" s="313"/>
      <c r="EI66" s="313"/>
      <c r="EJ66" s="313"/>
      <c r="EK66" s="313"/>
      <c r="EL66" s="313"/>
      <c r="EM66" s="313"/>
      <c r="EN66" s="313"/>
      <c r="EO66" s="313"/>
      <c r="EP66" s="313"/>
      <c r="EQ66" s="313"/>
      <c r="ER66" s="313"/>
      <c r="ES66" s="313"/>
      <c r="ET66" s="313"/>
      <c r="EU66" s="313"/>
      <c r="EV66" s="313"/>
      <c r="EW66" s="313"/>
      <c r="EX66" s="313"/>
      <c r="EY66" s="313"/>
      <c r="EZ66" s="313"/>
      <c r="FA66" s="313"/>
      <c r="FB66" s="313"/>
      <c r="FC66" s="313"/>
      <c r="FD66" s="313"/>
      <c r="FE66" s="313"/>
      <c r="FF66" s="313"/>
      <c r="FG66" s="313"/>
      <c r="FH66" s="313"/>
      <c r="FI66" s="313"/>
      <c r="FJ66" s="313"/>
      <c r="FK66" s="313"/>
      <c r="FL66" s="313"/>
      <c r="FM66" s="313"/>
      <c r="FN66" s="313"/>
      <c r="FO66" s="313"/>
      <c r="FP66" s="313"/>
      <c r="FQ66" s="313"/>
      <c r="FR66" s="313"/>
      <c r="FS66" s="313"/>
      <c r="FT66" s="313"/>
      <c r="FU66" s="313"/>
      <c r="FV66" s="313"/>
      <c r="FW66" s="313"/>
      <c r="FX66" s="313"/>
      <c r="FY66" s="313"/>
      <c r="FZ66" s="313"/>
      <c r="GA66" s="313"/>
      <c r="GB66" s="313"/>
      <c r="GC66" s="313"/>
      <c r="GD66" s="313"/>
      <c r="GE66" s="313"/>
      <c r="GF66" s="313"/>
      <c r="GG66" s="313"/>
      <c r="GH66" s="313"/>
      <c r="GI66" s="313"/>
      <c r="GJ66" s="313"/>
      <c r="GK66" s="313"/>
      <c r="GL66" s="313"/>
      <c r="GM66" s="313"/>
      <c r="GN66" s="313"/>
      <c r="GO66" s="313"/>
      <c r="GP66" s="313"/>
      <c r="GQ66" s="313"/>
      <c r="GR66" s="313"/>
      <c r="GS66" s="313"/>
      <c r="GT66" s="313"/>
      <c r="GU66" s="313"/>
      <c r="GV66" s="313"/>
      <c r="GW66" s="313"/>
      <c r="GX66" s="313"/>
      <c r="GY66" s="313"/>
      <c r="GZ66" s="313"/>
      <c r="HA66" s="313"/>
      <c r="HB66" s="313"/>
      <c r="HC66" s="313"/>
      <c r="HD66" s="313"/>
      <c r="HE66" s="313"/>
      <c r="HF66" s="313"/>
      <c r="HG66" s="313"/>
      <c r="HH66" s="313"/>
      <c r="HI66" s="313"/>
      <c r="HJ66" s="313"/>
      <c r="HK66" s="313"/>
      <c r="HL66" s="313"/>
      <c r="HM66" s="313"/>
      <c r="HN66" s="313"/>
      <c r="HO66" s="313"/>
      <c r="HP66" s="313"/>
      <c r="HQ66" s="313"/>
      <c r="HR66" s="313"/>
      <c r="HS66" s="313"/>
      <c r="HT66" s="313"/>
      <c r="HU66" s="313"/>
      <c r="HV66" s="313"/>
      <c r="HW66" s="313"/>
      <c r="HX66" s="313"/>
      <c r="HY66" s="313"/>
      <c r="HZ66" s="313"/>
      <c r="IA66" s="313"/>
      <c r="IB66" s="313"/>
      <c r="IC66" s="313"/>
      <c r="ID66" s="313"/>
      <c r="IE66" s="313"/>
      <c r="IF66" s="313"/>
      <c r="IG66" s="313"/>
      <c r="IH66" s="313"/>
      <c r="II66" s="313"/>
      <c r="IJ66" s="313"/>
      <c r="IK66" s="313"/>
      <c r="IL66" s="313"/>
      <c r="IM66" s="313"/>
      <c r="IN66" s="313"/>
      <c r="IO66" s="313"/>
      <c r="IP66" s="313"/>
      <c r="IQ66" s="313"/>
      <c r="IR66" s="313"/>
      <c r="IS66" s="313"/>
      <c r="IT66" s="313"/>
      <c r="IU66" s="313"/>
    </row>
    <row r="67" spans="1:255">
      <c r="A67" s="313"/>
      <c r="B67" s="313"/>
      <c r="C67" s="313"/>
      <c r="D67" s="313"/>
      <c r="E67" s="342"/>
      <c r="F67" s="313"/>
      <c r="G67" s="313"/>
      <c r="H67" s="342"/>
      <c r="I67" s="313"/>
      <c r="J67" s="313"/>
      <c r="K67" s="313"/>
      <c r="L67" s="313"/>
      <c r="M67" s="313"/>
      <c r="N67" s="313"/>
      <c r="O67" s="313"/>
      <c r="P67" s="313"/>
      <c r="Q67" s="313"/>
      <c r="R67" s="314"/>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3"/>
      <c r="AY67" s="313"/>
      <c r="AZ67" s="313"/>
      <c r="BA67" s="313"/>
      <c r="BB67" s="313"/>
      <c r="BC67" s="313"/>
      <c r="BD67" s="313"/>
      <c r="BE67" s="313"/>
      <c r="BF67" s="313"/>
      <c r="BG67" s="313"/>
      <c r="BH67" s="313"/>
      <c r="BI67" s="313"/>
      <c r="BJ67" s="313"/>
      <c r="BK67" s="313"/>
      <c r="BL67" s="313"/>
      <c r="BM67" s="313"/>
      <c r="BN67" s="313"/>
      <c r="BO67" s="313"/>
      <c r="BP67" s="313"/>
      <c r="BQ67" s="313"/>
      <c r="BR67" s="313"/>
      <c r="BS67" s="313"/>
      <c r="BT67" s="313"/>
      <c r="BU67" s="313"/>
      <c r="BV67" s="313"/>
      <c r="BW67" s="313"/>
      <c r="BX67" s="313"/>
      <c r="BY67" s="313"/>
      <c r="BZ67" s="313"/>
      <c r="CA67" s="313"/>
      <c r="CB67" s="313"/>
      <c r="CC67" s="313"/>
      <c r="CD67" s="313"/>
      <c r="CE67" s="313"/>
      <c r="CF67" s="313"/>
      <c r="CG67" s="313"/>
      <c r="CH67" s="313"/>
      <c r="CI67" s="313"/>
      <c r="CJ67" s="313"/>
      <c r="CK67" s="313"/>
      <c r="CL67" s="313"/>
      <c r="CM67" s="313"/>
      <c r="CN67" s="313"/>
      <c r="CO67" s="313"/>
      <c r="CP67" s="313"/>
      <c r="CQ67" s="313"/>
      <c r="CR67" s="313"/>
      <c r="CS67" s="313"/>
      <c r="CT67" s="313"/>
      <c r="CU67" s="313"/>
      <c r="CV67" s="313"/>
      <c r="CW67" s="313"/>
      <c r="CX67" s="313"/>
      <c r="CY67" s="313"/>
      <c r="CZ67" s="313"/>
      <c r="DA67" s="313"/>
      <c r="DB67" s="313"/>
      <c r="DC67" s="313"/>
      <c r="DD67" s="313"/>
      <c r="DE67" s="313"/>
      <c r="DF67" s="313"/>
      <c r="DG67" s="313"/>
      <c r="DH67" s="313"/>
      <c r="DI67" s="313"/>
      <c r="DJ67" s="313"/>
      <c r="DK67" s="313"/>
      <c r="DL67" s="313"/>
      <c r="DM67" s="313"/>
      <c r="DN67" s="313"/>
      <c r="DO67" s="313"/>
      <c r="DP67" s="313"/>
      <c r="DQ67" s="313"/>
      <c r="DR67" s="313"/>
      <c r="DS67" s="313"/>
      <c r="DT67" s="313"/>
      <c r="DU67" s="313"/>
      <c r="DV67" s="313"/>
      <c r="DW67" s="313"/>
      <c r="DX67" s="313"/>
      <c r="DY67" s="313"/>
      <c r="DZ67" s="313"/>
      <c r="EA67" s="313"/>
      <c r="EB67" s="313"/>
      <c r="EC67" s="313"/>
      <c r="ED67" s="313"/>
      <c r="EE67" s="313"/>
      <c r="EF67" s="313"/>
      <c r="EG67" s="313"/>
      <c r="EH67" s="313"/>
      <c r="EI67" s="313"/>
      <c r="EJ67" s="313"/>
      <c r="EK67" s="313"/>
      <c r="EL67" s="313"/>
      <c r="EM67" s="313"/>
      <c r="EN67" s="313"/>
      <c r="EO67" s="313"/>
      <c r="EP67" s="313"/>
      <c r="EQ67" s="313"/>
      <c r="ER67" s="313"/>
      <c r="ES67" s="313"/>
      <c r="ET67" s="313"/>
      <c r="EU67" s="313"/>
      <c r="EV67" s="313"/>
      <c r="EW67" s="313"/>
      <c r="EX67" s="313"/>
      <c r="EY67" s="313"/>
      <c r="EZ67" s="313"/>
      <c r="FA67" s="313"/>
      <c r="FB67" s="313"/>
      <c r="FC67" s="313"/>
      <c r="FD67" s="313"/>
      <c r="FE67" s="313"/>
      <c r="FF67" s="313"/>
      <c r="FG67" s="313"/>
      <c r="FH67" s="313"/>
      <c r="FI67" s="313"/>
      <c r="FJ67" s="313"/>
      <c r="FK67" s="313"/>
      <c r="FL67" s="313"/>
      <c r="FM67" s="313"/>
      <c r="FN67" s="313"/>
      <c r="FO67" s="313"/>
      <c r="FP67" s="313"/>
      <c r="FQ67" s="313"/>
      <c r="FR67" s="313"/>
      <c r="FS67" s="313"/>
      <c r="FT67" s="313"/>
      <c r="FU67" s="313"/>
      <c r="FV67" s="313"/>
      <c r="FW67" s="313"/>
      <c r="FX67" s="313"/>
      <c r="FY67" s="313"/>
      <c r="FZ67" s="313"/>
      <c r="GA67" s="313"/>
      <c r="GB67" s="313"/>
      <c r="GC67" s="313"/>
      <c r="GD67" s="313"/>
      <c r="GE67" s="313"/>
      <c r="GF67" s="313"/>
      <c r="GG67" s="313"/>
      <c r="GH67" s="313"/>
      <c r="GI67" s="313"/>
      <c r="GJ67" s="313"/>
      <c r="GK67" s="313"/>
      <c r="GL67" s="313"/>
      <c r="GM67" s="313"/>
      <c r="GN67" s="313"/>
      <c r="GO67" s="313"/>
      <c r="GP67" s="313"/>
      <c r="GQ67" s="313"/>
      <c r="GR67" s="313"/>
      <c r="GS67" s="313"/>
      <c r="GT67" s="313"/>
      <c r="GU67" s="313"/>
      <c r="GV67" s="313"/>
      <c r="GW67" s="313"/>
      <c r="GX67" s="313"/>
      <c r="GY67" s="313"/>
      <c r="GZ67" s="313"/>
      <c r="HA67" s="313"/>
      <c r="HB67" s="313"/>
      <c r="HC67" s="313"/>
      <c r="HD67" s="313"/>
      <c r="HE67" s="313"/>
      <c r="HF67" s="313"/>
      <c r="HG67" s="313"/>
      <c r="HH67" s="313"/>
      <c r="HI67" s="313"/>
      <c r="HJ67" s="313"/>
      <c r="HK67" s="313"/>
      <c r="HL67" s="313"/>
      <c r="HM67" s="313"/>
      <c r="HN67" s="313"/>
      <c r="HO67" s="313"/>
      <c r="HP67" s="313"/>
      <c r="HQ67" s="313"/>
      <c r="HR67" s="313"/>
      <c r="HS67" s="313"/>
      <c r="HT67" s="313"/>
      <c r="HU67" s="313"/>
      <c r="HV67" s="313"/>
      <c r="HW67" s="313"/>
      <c r="HX67" s="313"/>
      <c r="HY67" s="313"/>
      <c r="HZ67" s="313"/>
      <c r="IA67" s="313"/>
      <c r="IB67" s="313"/>
      <c r="IC67" s="313"/>
      <c r="ID67" s="313"/>
      <c r="IE67" s="313"/>
      <c r="IF67" s="313"/>
      <c r="IG67" s="313"/>
      <c r="IH67" s="313"/>
      <c r="II67" s="313"/>
      <c r="IJ67" s="313"/>
      <c r="IK67" s="313"/>
      <c r="IL67" s="313"/>
      <c r="IM67" s="313"/>
      <c r="IN67" s="313"/>
      <c r="IO67" s="313"/>
      <c r="IP67" s="313"/>
      <c r="IQ67" s="313"/>
      <c r="IR67" s="313"/>
      <c r="IS67" s="313"/>
      <c r="IT67" s="313"/>
      <c r="IU67" s="313"/>
    </row>
    <row r="68" spans="1:255">
      <c r="A68" s="313"/>
      <c r="B68" s="313"/>
      <c r="C68" s="313"/>
      <c r="D68" s="313"/>
      <c r="E68" s="342"/>
      <c r="F68" s="313"/>
      <c r="G68" s="313"/>
      <c r="H68" s="342"/>
      <c r="I68" s="313"/>
      <c r="J68" s="313"/>
      <c r="K68" s="313"/>
      <c r="L68" s="313"/>
      <c r="M68" s="313"/>
      <c r="N68" s="313"/>
      <c r="O68" s="313"/>
      <c r="P68" s="313"/>
      <c r="Q68" s="313"/>
      <c r="R68" s="314"/>
      <c r="S68" s="313"/>
      <c r="T68" s="313"/>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313"/>
      <c r="AR68" s="313"/>
      <c r="AS68" s="313"/>
      <c r="AT68" s="313"/>
      <c r="AU68" s="313"/>
      <c r="AV68" s="313"/>
      <c r="AW68" s="313"/>
      <c r="AX68" s="313"/>
      <c r="AY68" s="313"/>
      <c r="AZ68" s="313"/>
      <c r="BA68" s="313"/>
      <c r="BB68" s="313"/>
      <c r="BC68" s="313"/>
      <c r="BD68" s="313"/>
      <c r="BE68" s="313"/>
      <c r="BF68" s="313"/>
      <c r="BG68" s="313"/>
      <c r="BH68" s="313"/>
      <c r="BI68" s="313"/>
      <c r="BJ68" s="313"/>
      <c r="BK68" s="313"/>
      <c r="BL68" s="313"/>
      <c r="BM68" s="313"/>
      <c r="BN68" s="313"/>
      <c r="BO68" s="313"/>
      <c r="BP68" s="313"/>
      <c r="BQ68" s="313"/>
      <c r="BR68" s="313"/>
      <c r="BS68" s="313"/>
      <c r="BT68" s="313"/>
      <c r="BU68" s="313"/>
      <c r="BV68" s="313"/>
      <c r="BW68" s="313"/>
      <c r="BX68" s="313"/>
      <c r="BY68" s="313"/>
      <c r="BZ68" s="313"/>
      <c r="CA68" s="313"/>
      <c r="CB68" s="313"/>
      <c r="CC68" s="313"/>
      <c r="CD68" s="313"/>
      <c r="CE68" s="313"/>
      <c r="CF68" s="313"/>
      <c r="CG68" s="313"/>
      <c r="CH68" s="313"/>
      <c r="CI68" s="313"/>
      <c r="CJ68" s="313"/>
      <c r="CK68" s="313"/>
      <c r="CL68" s="313"/>
      <c r="CM68" s="313"/>
      <c r="CN68" s="313"/>
      <c r="CO68" s="313"/>
      <c r="CP68" s="313"/>
      <c r="CQ68" s="313"/>
      <c r="CR68" s="313"/>
      <c r="CS68" s="313"/>
      <c r="CT68" s="313"/>
      <c r="CU68" s="313"/>
      <c r="CV68" s="313"/>
      <c r="CW68" s="313"/>
      <c r="CX68" s="313"/>
      <c r="CY68" s="313"/>
      <c r="CZ68" s="313"/>
      <c r="DA68" s="313"/>
      <c r="DB68" s="313"/>
      <c r="DC68" s="313"/>
      <c r="DD68" s="313"/>
      <c r="DE68" s="313"/>
      <c r="DF68" s="313"/>
      <c r="DG68" s="313"/>
      <c r="DH68" s="313"/>
      <c r="DI68" s="313"/>
      <c r="DJ68" s="313"/>
      <c r="DK68" s="313"/>
      <c r="DL68" s="313"/>
      <c r="DM68" s="313"/>
      <c r="DN68" s="313"/>
      <c r="DO68" s="313"/>
      <c r="DP68" s="313"/>
      <c r="DQ68" s="313"/>
      <c r="DR68" s="313"/>
      <c r="DS68" s="313"/>
      <c r="DT68" s="313"/>
      <c r="DU68" s="313"/>
      <c r="DV68" s="313"/>
      <c r="DW68" s="313"/>
      <c r="DX68" s="313"/>
      <c r="DY68" s="313"/>
      <c r="DZ68" s="313"/>
      <c r="EA68" s="313"/>
      <c r="EB68" s="313"/>
      <c r="EC68" s="313"/>
      <c r="ED68" s="313"/>
      <c r="EE68" s="313"/>
      <c r="EF68" s="313"/>
      <c r="EG68" s="313"/>
      <c r="EH68" s="313"/>
      <c r="EI68" s="313"/>
      <c r="EJ68" s="313"/>
      <c r="EK68" s="313"/>
      <c r="EL68" s="313"/>
      <c r="EM68" s="313"/>
      <c r="EN68" s="313"/>
      <c r="EO68" s="313"/>
      <c r="EP68" s="313"/>
      <c r="EQ68" s="313"/>
      <c r="ER68" s="313"/>
      <c r="ES68" s="313"/>
      <c r="ET68" s="313"/>
      <c r="EU68" s="313"/>
      <c r="EV68" s="313"/>
      <c r="EW68" s="313"/>
      <c r="EX68" s="313"/>
      <c r="EY68" s="313"/>
      <c r="EZ68" s="313"/>
      <c r="FA68" s="313"/>
      <c r="FB68" s="313"/>
      <c r="FC68" s="313"/>
      <c r="FD68" s="313"/>
      <c r="FE68" s="313"/>
      <c r="FF68" s="313"/>
      <c r="FG68" s="313"/>
      <c r="FH68" s="313"/>
      <c r="FI68" s="313"/>
      <c r="FJ68" s="313"/>
      <c r="FK68" s="313"/>
      <c r="FL68" s="313"/>
      <c r="FM68" s="313"/>
      <c r="FN68" s="313"/>
      <c r="FO68" s="313"/>
      <c r="FP68" s="313"/>
      <c r="FQ68" s="313"/>
      <c r="FR68" s="313"/>
      <c r="FS68" s="313"/>
      <c r="FT68" s="313"/>
      <c r="FU68" s="313"/>
      <c r="FV68" s="313"/>
      <c r="FW68" s="313"/>
      <c r="FX68" s="313"/>
      <c r="FY68" s="313"/>
      <c r="FZ68" s="313"/>
      <c r="GA68" s="313"/>
      <c r="GB68" s="313"/>
      <c r="GC68" s="313"/>
      <c r="GD68" s="313"/>
      <c r="GE68" s="313"/>
      <c r="GF68" s="313"/>
      <c r="GG68" s="313"/>
      <c r="GH68" s="313"/>
      <c r="GI68" s="313"/>
      <c r="GJ68" s="313"/>
      <c r="GK68" s="313"/>
      <c r="GL68" s="313"/>
      <c r="GM68" s="313"/>
      <c r="GN68" s="313"/>
      <c r="GO68" s="313"/>
      <c r="GP68" s="313"/>
      <c r="GQ68" s="313"/>
      <c r="GR68" s="313"/>
      <c r="GS68" s="313"/>
      <c r="GT68" s="313"/>
      <c r="GU68" s="313"/>
      <c r="GV68" s="313"/>
      <c r="GW68" s="313"/>
      <c r="GX68" s="313"/>
      <c r="GY68" s="313"/>
      <c r="GZ68" s="313"/>
      <c r="HA68" s="313"/>
      <c r="HB68" s="313"/>
      <c r="HC68" s="313"/>
      <c r="HD68" s="313"/>
      <c r="HE68" s="313"/>
      <c r="HF68" s="313"/>
      <c r="HG68" s="313"/>
      <c r="HH68" s="313"/>
      <c r="HI68" s="313"/>
      <c r="HJ68" s="313"/>
      <c r="HK68" s="313"/>
      <c r="HL68" s="313"/>
      <c r="HM68" s="313"/>
      <c r="HN68" s="313"/>
      <c r="HO68" s="313"/>
      <c r="HP68" s="313"/>
      <c r="HQ68" s="313"/>
      <c r="HR68" s="313"/>
      <c r="HS68" s="313"/>
      <c r="HT68" s="313"/>
      <c r="HU68" s="313"/>
      <c r="HV68" s="313"/>
      <c r="HW68" s="313"/>
      <c r="HX68" s="313"/>
      <c r="HY68" s="313"/>
      <c r="HZ68" s="313"/>
      <c r="IA68" s="313"/>
      <c r="IB68" s="313"/>
      <c r="IC68" s="313"/>
      <c r="ID68" s="313"/>
      <c r="IE68" s="313"/>
      <c r="IF68" s="313"/>
      <c r="IG68" s="313"/>
      <c r="IH68" s="313"/>
      <c r="II68" s="313"/>
      <c r="IJ68" s="313"/>
      <c r="IK68" s="313"/>
      <c r="IL68" s="313"/>
      <c r="IM68" s="313"/>
      <c r="IN68" s="313"/>
      <c r="IO68" s="313"/>
      <c r="IP68" s="313"/>
      <c r="IQ68" s="313"/>
      <c r="IR68" s="313"/>
      <c r="IS68" s="313"/>
      <c r="IT68" s="313"/>
      <c r="IU68" s="313"/>
    </row>
    <row r="69" spans="1:255">
      <c r="A69" s="344"/>
      <c r="B69" s="344"/>
      <c r="C69" s="344"/>
      <c r="D69" s="342"/>
      <c r="E69" s="342"/>
      <c r="F69" s="344"/>
      <c r="G69" s="344"/>
      <c r="H69" s="344"/>
      <c r="I69" s="344"/>
      <c r="J69" s="344"/>
      <c r="K69" s="344"/>
      <c r="L69" s="344"/>
      <c r="M69" s="344"/>
      <c r="N69" s="344"/>
      <c r="O69" s="344"/>
      <c r="P69" s="344"/>
      <c r="Q69" s="344"/>
      <c r="R69" s="31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CZ69" s="344"/>
      <c r="DA69" s="344"/>
      <c r="DB69" s="344"/>
      <c r="DC69" s="344"/>
      <c r="DD69" s="344"/>
      <c r="DE69" s="344"/>
      <c r="DF69" s="344"/>
      <c r="DG69" s="344"/>
      <c r="DH69" s="344"/>
      <c r="DI69" s="344"/>
      <c r="DJ69" s="344"/>
      <c r="DK69" s="344"/>
      <c r="DL69" s="344"/>
      <c r="DM69" s="344"/>
      <c r="DN69" s="344"/>
      <c r="DO69" s="344"/>
      <c r="DP69" s="344"/>
      <c r="DQ69" s="344"/>
      <c r="DR69" s="344"/>
      <c r="DS69" s="344"/>
      <c r="DT69" s="344"/>
      <c r="DU69" s="344"/>
      <c r="DV69" s="344"/>
      <c r="DW69" s="344"/>
      <c r="DX69" s="344"/>
      <c r="DY69" s="344"/>
      <c r="DZ69" s="344"/>
      <c r="EA69" s="344"/>
      <c r="EB69" s="344"/>
      <c r="EC69" s="344"/>
      <c r="ED69" s="344"/>
      <c r="EE69" s="344"/>
      <c r="EF69" s="344"/>
      <c r="EG69" s="344"/>
      <c r="EH69" s="344"/>
      <c r="EI69" s="344"/>
      <c r="EJ69" s="344"/>
      <c r="EK69" s="344"/>
      <c r="EL69" s="344"/>
      <c r="EM69" s="344"/>
      <c r="EN69" s="344"/>
      <c r="EO69" s="344"/>
      <c r="EP69" s="344"/>
      <c r="EQ69" s="344"/>
      <c r="ER69" s="344"/>
      <c r="ES69" s="344"/>
      <c r="ET69" s="344"/>
      <c r="EU69" s="344"/>
      <c r="EV69" s="344"/>
      <c r="EW69" s="344"/>
      <c r="EX69" s="344"/>
      <c r="EY69" s="344"/>
      <c r="EZ69" s="344"/>
      <c r="FA69" s="344"/>
      <c r="FB69" s="344"/>
      <c r="FC69" s="344"/>
      <c r="FD69" s="344"/>
      <c r="FE69" s="344"/>
      <c r="FF69" s="344"/>
      <c r="FG69" s="344"/>
      <c r="FH69" s="344"/>
      <c r="FI69" s="344"/>
      <c r="FJ69" s="344"/>
      <c r="FK69" s="344"/>
      <c r="FL69" s="344"/>
      <c r="FM69" s="344"/>
      <c r="FN69" s="344"/>
      <c r="FO69" s="344"/>
      <c r="FP69" s="344"/>
      <c r="FQ69" s="344"/>
      <c r="FR69" s="344"/>
      <c r="FS69" s="344"/>
      <c r="FT69" s="344"/>
      <c r="FU69" s="344"/>
      <c r="FV69" s="344"/>
      <c r="FW69" s="344"/>
      <c r="FX69" s="344"/>
      <c r="FY69" s="344"/>
      <c r="FZ69" s="344"/>
      <c r="GA69" s="344"/>
      <c r="GB69" s="344"/>
      <c r="GC69" s="344"/>
      <c r="GD69" s="344"/>
      <c r="GE69" s="344"/>
      <c r="GF69" s="344"/>
      <c r="GG69" s="344"/>
      <c r="GH69" s="344"/>
      <c r="GI69" s="344"/>
      <c r="GJ69" s="344"/>
      <c r="GK69" s="344"/>
      <c r="GL69" s="344"/>
      <c r="GM69" s="344"/>
      <c r="GN69" s="344"/>
      <c r="GO69" s="344"/>
      <c r="GP69" s="344"/>
      <c r="GQ69" s="344"/>
      <c r="GR69" s="344"/>
      <c r="GS69" s="344"/>
      <c r="GT69" s="344"/>
      <c r="GU69" s="344"/>
      <c r="GV69" s="344"/>
      <c r="GW69" s="344"/>
      <c r="GX69" s="344"/>
      <c r="GY69" s="344"/>
      <c r="GZ69" s="344"/>
      <c r="HA69" s="344"/>
      <c r="HB69" s="344"/>
      <c r="HC69" s="344"/>
      <c r="HD69" s="344"/>
      <c r="HE69" s="344"/>
      <c r="HF69" s="344"/>
      <c r="HG69" s="344"/>
      <c r="HH69" s="344"/>
      <c r="HI69" s="344"/>
      <c r="HJ69" s="344"/>
      <c r="HK69" s="344"/>
      <c r="HL69" s="344"/>
      <c r="HM69" s="344"/>
      <c r="HN69" s="344"/>
      <c r="HO69" s="344"/>
      <c r="HP69" s="344"/>
      <c r="HQ69" s="344"/>
      <c r="HR69" s="344"/>
      <c r="HS69" s="344"/>
      <c r="HT69" s="344"/>
      <c r="HU69" s="344"/>
      <c r="HV69" s="344"/>
      <c r="HW69" s="344"/>
      <c r="HX69" s="344"/>
      <c r="HY69" s="344"/>
      <c r="HZ69" s="344"/>
      <c r="IA69" s="344"/>
      <c r="IB69" s="344"/>
      <c r="IC69" s="344"/>
      <c r="ID69" s="344"/>
      <c r="IE69" s="344"/>
      <c r="IF69" s="344"/>
      <c r="IG69" s="344"/>
      <c r="IH69" s="344"/>
      <c r="II69" s="344"/>
      <c r="IJ69" s="344"/>
      <c r="IK69" s="344"/>
      <c r="IL69" s="344"/>
      <c r="IM69" s="344"/>
      <c r="IN69" s="344"/>
      <c r="IO69" s="344"/>
      <c r="IP69" s="344"/>
      <c r="IQ69" s="344"/>
      <c r="IR69" s="344"/>
      <c r="IS69" s="344"/>
      <c r="IT69" s="344"/>
      <c r="IU69" s="344"/>
    </row>
    <row r="70" spans="1:255">
      <c r="A70" s="313"/>
      <c r="B70" s="313"/>
      <c r="C70" s="313"/>
      <c r="D70" s="313"/>
      <c r="E70" s="342"/>
      <c r="F70" s="313"/>
      <c r="G70" s="313"/>
      <c r="H70" s="342"/>
      <c r="I70" s="313"/>
      <c r="J70" s="313"/>
      <c r="K70" s="313"/>
      <c r="L70" s="313"/>
      <c r="M70" s="313"/>
      <c r="N70" s="313"/>
      <c r="O70" s="313"/>
      <c r="P70" s="313"/>
      <c r="Q70" s="313"/>
      <c r="R70" s="314"/>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c r="BJ70" s="313"/>
      <c r="BK70" s="313"/>
      <c r="BL70" s="313"/>
      <c r="BM70" s="313"/>
      <c r="BN70" s="313"/>
      <c r="BO70" s="313"/>
      <c r="BP70" s="313"/>
      <c r="BQ70" s="313"/>
      <c r="BR70" s="313"/>
      <c r="BS70" s="313"/>
      <c r="BT70" s="313"/>
      <c r="BU70" s="313"/>
      <c r="BV70" s="313"/>
      <c r="BW70" s="313"/>
      <c r="BX70" s="313"/>
      <c r="BY70" s="313"/>
      <c r="BZ70" s="313"/>
      <c r="CA70" s="313"/>
      <c r="CB70" s="313"/>
      <c r="CC70" s="313"/>
      <c r="CD70" s="313"/>
      <c r="CE70" s="313"/>
      <c r="CF70" s="313"/>
      <c r="CG70" s="313"/>
      <c r="CH70" s="313"/>
      <c r="CI70" s="313"/>
      <c r="CJ70" s="313"/>
      <c r="CK70" s="313"/>
      <c r="CL70" s="313"/>
      <c r="CM70" s="313"/>
      <c r="CN70" s="313"/>
      <c r="CO70" s="313"/>
      <c r="CP70" s="313"/>
      <c r="CQ70" s="313"/>
      <c r="CR70" s="313"/>
      <c r="CS70" s="313"/>
      <c r="CT70" s="313"/>
      <c r="CU70" s="313"/>
      <c r="CV70" s="313"/>
      <c r="CW70" s="313"/>
      <c r="CX70" s="313"/>
      <c r="CY70" s="313"/>
      <c r="CZ70" s="313"/>
      <c r="DA70" s="313"/>
      <c r="DB70" s="313"/>
      <c r="DC70" s="313"/>
      <c r="DD70" s="313"/>
      <c r="DE70" s="313"/>
      <c r="DF70" s="313"/>
      <c r="DG70" s="313"/>
      <c r="DH70" s="313"/>
      <c r="DI70" s="313"/>
      <c r="DJ70" s="313"/>
      <c r="DK70" s="313"/>
      <c r="DL70" s="313"/>
      <c r="DM70" s="313"/>
      <c r="DN70" s="313"/>
      <c r="DO70" s="313"/>
      <c r="DP70" s="313"/>
      <c r="DQ70" s="313"/>
      <c r="DR70" s="313"/>
      <c r="DS70" s="313"/>
      <c r="DT70" s="313"/>
      <c r="DU70" s="313"/>
      <c r="DV70" s="313"/>
      <c r="DW70" s="313"/>
      <c r="DX70" s="313"/>
      <c r="DY70" s="313"/>
      <c r="DZ70" s="313"/>
      <c r="EA70" s="313"/>
      <c r="EB70" s="313"/>
      <c r="EC70" s="313"/>
      <c r="ED70" s="313"/>
      <c r="EE70" s="313"/>
      <c r="EF70" s="313"/>
      <c r="EG70" s="313"/>
      <c r="EH70" s="313"/>
      <c r="EI70" s="313"/>
      <c r="EJ70" s="313"/>
      <c r="EK70" s="313"/>
      <c r="EL70" s="313"/>
      <c r="EM70" s="313"/>
      <c r="EN70" s="313"/>
      <c r="EO70" s="313"/>
      <c r="EP70" s="313"/>
      <c r="EQ70" s="313"/>
      <c r="ER70" s="313"/>
      <c r="ES70" s="313"/>
      <c r="ET70" s="313"/>
      <c r="EU70" s="313"/>
      <c r="EV70" s="313"/>
      <c r="EW70" s="313"/>
      <c r="EX70" s="313"/>
      <c r="EY70" s="313"/>
      <c r="EZ70" s="313"/>
      <c r="FA70" s="313"/>
      <c r="FB70" s="313"/>
      <c r="FC70" s="313"/>
      <c r="FD70" s="313"/>
      <c r="FE70" s="313"/>
      <c r="FF70" s="313"/>
      <c r="FG70" s="313"/>
      <c r="FH70" s="313"/>
      <c r="FI70" s="313"/>
      <c r="FJ70" s="313"/>
      <c r="FK70" s="313"/>
      <c r="FL70" s="313"/>
      <c r="FM70" s="313"/>
      <c r="FN70" s="313"/>
      <c r="FO70" s="313"/>
      <c r="FP70" s="313"/>
      <c r="FQ70" s="313"/>
      <c r="FR70" s="313"/>
      <c r="FS70" s="313"/>
      <c r="FT70" s="313"/>
      <c r="FU70" s="313"/>
      <c r="FV70" s="313"/>
      <c r="FW70" s="313"/>
      <c r="FX70" s="313"/>
      <c r="FY70" s="313"/>
      <c r="FZ70" s="313"/>
      <c r="GA70" s="313"/>
      <c r="GB70" s="313"/>
      <c r="GC70" s="313"/>
      <c r="GD70" s="313"/>
      <c r="GE70" s="313"/>
      <c r="GF70" s="313"/>
      <c r="GG70" s="313"/>
      <c r="GH70" s="313"/>
      <c r="GI70" s="313"/>
      <c r="GJ70" s="313"/>
      <c r="GK70" s="313"/>
      <c r="GL70" s="313"/>
      <c r="GM70" s="313"/>
      <c r="GN70" s="313"/>
      <c r="GO70" s="313"/>
      <c r="GP70" s="313"/>
      <c r="GQ70" s="313"/>
      <c r="GR70" s="313"/>
      <c r="GS70" s="313"/>
      <c r="GT70" s="313"/>
      <c r="GU70" s="313"/>
      <c r="GV70" s="313"/>
      <c r="GW70" s="313"/>
      <c r="GX70" s="313"/>
      <c r="GY70" s="313"/>
      <c r="GZ70" s="313"/>
      <c r="HA70" s="313"/>
      <c r="HB70" s="313"/>
      <c r="HC70" s="313"/>
      <c r="HD70" s="313"/>
      <c r="HE70" s="313"/>
      <c r="HF70" s="313"/>
      <c r="HG70" s="313"/>
      <c r="HH70" s="313"/>
      <c r="HI70" s="313"/>
      <c r="HJ70" s="313"/>
      <c r="HK70" s="313"/>
      <c r="HL70" s="313"/>
      <c r="HM70" s="313"/>
      <c r="HN70" s="313"/>
      <c r="HO70" s="313"/>
      <c r="HP70" s="313"/>
      <c r="HQ70" s="313"/>
      <c r="HR70" s="313"/>
      <c r="HS70" s="313"/>
      <c r="HT70" s="313"/>
      <c r="HU70" s="313"/>
      <c r="HV70" s="313"/>
      <c r="HW70" s="313"/>
      <c r="HX70" s="313"/>
      <c r="HY70" s="313"/>
      <c r="HZ70" s="313"/>
      <c r="IA70" s="313"/>
      <c r="IB70" s="313"/>
      <c r="IC70" s="313"/>
      <c r="ID70" s="313"/>
      <c r="IE70" s="313"/>
      <c r="IF70" s="313"/>
      <c r="IG70" s="313"/>
      <c r="IH70" s="313"/>
      <c r="II70" s="313"/>
      <c r="IJ70" s="313"/>
      <c r="IK70" s="313"/>
      <c r="IL70" s="313"/>
      <c r="IM70" s="313"/>
      <c r="IN70" s="313"/>
      <c r="IO70" s="313"/>
      <c r="IP70" s="313"/>
      <c r="IQ70" s="313"/>
      <c r="IR70" s="313"/>
      <c r="IS70" s="313"/>
      <c r="IT70" s="313"/>
      <c r="IU70" s="313"/>
    </row>
    <row r="71" spans="1:255">
      <c r="A71" s="314"/>
      <c r="B71" s="314"/>
      <c r="C71" s="314"/>
      <c r="D71" s="314"/>
      <c r="E71" s="342"/>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4"/>
      <c r="AZ71" s="314"/>
      <c r="BA71" s="314"/>
      <c r="BB71" s="314"/>
      <c r="BC71" s="314"/>
      <c r="BD71" s="314"/>
      <c r="BE71" s="314"/>
      <c r="BF71" s="314"/>
      <c r="BG71" s="314"/>
      <c r="BH71" s="314"/>
      <c r="BI71" s="314"/>
      <c r="BJ71" s="314"/>
      <c r="BK71" s="314"/>
      <c r="BL71" s="314"/>
      <c r="BM71" s="314"/>
      <c r="BN71" s="314"/>
      <c r="BO71" s="314"/>
      <c r="BP71" s="314"/>
      <c r="BQ71" s="314"/>
      <c r="BR71" s="314"/>
      <c r="BS71" s="314"/>
      <c r="BT71" s="314"/>
      <c r="BU71" s="314"/>
      <c r="BV71" s="314"/>
      <c r="BW71" s="314"/>
      <c r="BX71" s="314"/>
      <c r="BY71" s="314"/>
      <c r="BZ71" s="314"/>
      <c r="CA71" s="314"/>
      <c r="CB71" s="314"/>
      <c r="CC71" s="314"/>
      <c r="CD71" s="314"/>
      <c r="CE71" s="314"/>
      <c r="CF71" s="314"/>
      <c r="CG71" s="314"/>
      <c r="CH71" s="314"/>
      <c r="CI71" s="314"/>
      <c r="CJ71" s="314"/>
      <c r="CK71" s="314"/>
      <c r="CL71" s="314"/>
      <c r="CM71" s="314"/>
      <c r="CN71" s="314"/>
      <c r="CO71" s="314"/>
      <c r="CP71" s="314"/>
      <c r="CQ71" s="314"/>
      <c r="CR71" s="314"/>
      <c r="CS71" s="314"/>
      <c r="CT71" s="314"/>
      <c r="CU71" s="314"/>
      <c r="CV71" s="314"/>
      <c r="CW71" s="314"/>
      <c r="CX71" s="314"/>
      <c r="CY71" s="314"/>
      <c r="CZ71" s="314"/>
      <c r="DA71" s="314"/>
      <c r="DB71" s="314"/>
      <c r="DC71" s="314"/>
      <c r="DD71" s="314"/>
      <c r="DE71" s="314"/>
      <c r="DF71" s="314"/>
      <c r="DG71" s="314"/>
      <c r="DH71" s="314"/>
      <c r="DI71" s="314"/>
      <c r="DJ71" s="314"/>
      <c r="DK71" s="314"/>
      <c r="DL71" s="314"/>
      <c r="DM71" s="314"/>
      <c r="DN71" s="314"/>
      <c r="DO71" s="314"/>
      <c r="DP71" s="314"/>
      <c r="DQ71" s="314"/>
      <c r="DR71" s="314"/>
      <c r="DS71" s="314"/>
      <c r="DT71" s="314"/>
      <c r="DU71" s="314"/>
      <c r="DV71" s="314"/>
      <c r="DW71" s="314"/>
      <c r="DX71" s="314"/>
      <c r="DY71" s="314"/>
      <c r="DZ71" s="314"/>
      <c r="EA71" s="314"/>
      <c r="EB71" s="314"/>
      <c r="EC71" s="314"/>
      <c r="ED71" s="314"/>
      <c r="EE71" s="314"/>
      <c r="EF71" s="314"/>
      <c r="EG71" s="314"/>
      <c r="EH71" s="314"/>
      <c r="EI71" s="314"/>
      <c r="EJ71" s="314"/>
      <c r="EK71" s="314"/>
      <c r="EL71" s="314"/>
      <c r="EM71" s="314"/>
      <c r="EN71" s="314"/>
      <c r="EO71" s="314"/>
      <c r="EP71" s="314"/>
      <c r="EQ71" s="314"/>
      <c r="ER71" s="314"/>
      <c r="ES71" s="314"/>
      <c r="ET71" s="314"/>
      <c r="EU71" s="314"/>
      <c r="EV71" s="314"/>
      <c r="EW71" s="314"/>
      <c r="EX71" s="314"/>
      <c r="EY71" s="314"/>
      <c r="EZ71" s="314"/>
      <c r="FA71" s="314"/>
      <c r="FB71" s="314"/>
      <c r="FC71" s="314"/>
      <c r="FD71" s="314"/>
      <c r="FE71" s="314"/>
      <c r="FF71" s="314"/>
      <c r="FG71" s="314"/>
      <c r="FH71" s="314"/>
      <c r="FI71" s="314"/>
      <c r="FJ71" s="314"/>
      <c r="FK71" s="314"/>
      <c r="FL71" s="314"/>
      <c r="FM71" s="314"/>
      <c r="FN71" s="314"/>
      <c r="FO71" s="314"/>
      <c r="FP71" s="314"/>
      <c r="FQ71" s="314"/>
      <c r="FR71" s="314"/>
      <c r="FS71" s="314"/>
      <c r="FT71" s="314"/>
      <c r="FU71" s="314"/>
      <c r="FV71" s="314"/>
      <c r="FW71" s="314"/>
      <c r="FX71" s="314"/>
      <c r="FY71" s="314"/>
      <c r="FZ71" s="314"/>
      <c r="GA71" s="314"/>
      <c r="GB71" s="314"/>
      <c r="GC71" s="314"/>
      <c r="GD71" s="314"/>
      <c r="GE71" s="314"/>
      <c r="GF71" s="314"/>
      <c r="GG71" s="314"/>
      <c r="GH71" s="314"/>
      <c r="GI71" s="314"/>
      <c r="GJ71" s="314"/>
      <c r="GK71" s="314"/>
      <c r="GL71" s="314"/>
      <c r="GM71" s="314"/>
      <c r="GN71" s="314"/>
      <c r="GO71" s="314"/>
      <c r="GP71" s="314"/>
      <c r="GQ71" s="314"/>
      <c r="GR71" s="314"/>
      <c r="GS71" s="314"/>
      <c r="GT71" s="314"/>
      <c r="GU71" s="314"/>
      <c r="GV71" s="314"/>
      <c r="GW71" s="314"/>
      <c r="GX71" s="314"/>
      <c r="GY71" s="314"/>
      <c r="GZ71" s="314"/>
      <c r="HA71" s="314"/>
      <c r="HB71" s="314"/>
      <c r="HC71" s="314"/>
      <c r="HD71" s="314"/>
      <c r="HE71" s="314"/>
      <c r="HF71" s="314"/>
      <c r="HG71" s="314"/>
      <c r="HH71" s="314"/>
      <c r="HI71" s="314"/>
      <c r="HJ71" s="314"/>
      <c r="HK71" s="314"/>
      <c r="HL71" s="314"/>
      <c r="HM71" s="314"/>
      <c r="HN71" s="314"/>
      <c r="HO71" s="314"/>
      <c r="HP71" s="314"/>
      <c r="HQ71" s="314"/>
      <c r="HR71" s="314"/>
      <c r="HS71" s="314"/>
      <c r="HT71" s="314"/>
      <c r="HU71" s="314"/>
      <c r="HV71" s="314"/>
      <c r="HW71" s="314"/>
      <c r="HX71" s="314"/>
      <c r="HY71" s="314"/>
      <c r="HZ71" s="314"/>
      <c r="IA71" s="314"/>
      <c r="IB71" s="314"/>
      <c r="IC71" s="314"/>
      <c r="ID71" s="314"/>
      <c r="IE71" s="314"/>
      <c r="IF71" s="314"/>
      <c r="IG71" s="314"/>
      <c r="IH71" s="314"/>
      <c r="II71" s="314"/>
      <c r="IJ71" s="314"/>
      <c r="IK71" s="314"/>
      <c r="IL71" s="314"/>
      <c r="IM71" s="314"/>
      <c r="IN71" s="314"/>
      <c r="IO71" s="314"/>
      <c r="IP71" s="314"/>
      <c r="IQ71" s="314"/>
      <c r="IR71" s="314"/>
      <c r="IS71" s="314"/>
      <c r="IT71" s="314"/>
      <c r="IU71" s="314"/>
    </row>
    <row r="72" spans="1:255">
      <c r="A72" s="313"/>
      <c r="B72" s="313"/>
      <c r="C72" s="313"/>
      <c r="D72" s="313"/>
      <c r="E72" s="342"/>
      <c r="F72" s="313"/>
      <c r="G72" s="313"/>
      <c r="H72" s="313"/>
      <c r="I72" s="313"/>
      <c r="J72" s="313"/>
      <c r="K72" s="313"/>
      <c r="L72" s="313"/>
      <c r="M72" s="313"/>
      <c r="N72" s="313"/>
      <c r="O72" s="313"/>
      <c r="P72" s="313"/>
      <c r="Q72" s="313"/>
      <c r="R72" s="314"/>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c r="AY72" s="313"/>
      <c r="AZ72" s="313"/>
      <c r="BA72" s="313"/>
      <c r="BB72" s="313"/>
      <c r="BC72" s="313"/>
      <c r="BD72" s="313"/>
      <c r="BE72" s="313"/>
      <c r="BF72" s="313"/>
      <c r="BG72" s="313"/>
      <c r="BH72" s="313"/>
      <c r="BI72" s="313"/>
      <c r="BJ72" s="313"/>
      <c r="BK72" s="313"/>
      <c r="BL72" s="313"/>
      <c r="BM72" s="313"/>
      <c r="BN72" s="313"/>
      <c r="BO72" s="313"/>
      <c r="BP72" s="313"/>
      <c r="BQ72" s="313"/>
      <c r="BR72" s="313"/>
      <c r="BS72" s="313"/>
      <c r="BT72" s="313"/>
      <c r="BU72" s="313"/>
      <c r="BV72" s="313"/>
      <c r="BW72" s="313"/>
      <c r="BX72" s="313"/>
      <c r="BY72" s="313"/>
      <c r="BZ72" s="313"/>
      <c r="CA72" s="313"/>
      <c r="CB72" s="313"/>
      <c r="CC72" s="313"/>
      <c r="CD72" s="313"/>
      <c r="CE72" s="313"/>
      <c r="CF72" s="313"/>
      <c r="CG72" s="313"/>
      <c r="CH72" s="313"/>
      <c r="CI72" s="313"/>
      <c r="CJ72" s="313"/>
      <c r="CK72" s="313"/>
      <c r="CL72" s="313"/>
      <c r="CM72" s="313"/>
      <c r="CN72" s="313"/>
      <c r="CO72" s="313"/>
      <c r="CP72" s="313"/>
      <c r="CQ72" s="313"/>
      <c r="CR72" s="313"/>
      <c r="CS72" s="313"/>
      <c r="CT72" s="313"/>
      <c r="CU72" s="313"/>
      <c r="CV72" s="313"/>
      <c r="CW72" s="313"/>
      <c r="CX72" s="313"/>
      <c r="CY72" s="313"/>
      <c r="CZ72" s="313"/>
      <c r="DA72" s="313"/>
      <c r="DB72" s="313"/>
      <c r="DC72" s="313"/>
      <c r="DD72" s="313"/>
      <c r="DE72" s="313"/>
      <c r="DF72" s="313"/>
      <c r="DG72" s="313"/>
      <c r="DH72" s="313"/>
      <c r="DI72" s="313"/>
      <c r="DJ72" s="313"/>
      <c r="DK72" s="313"/>
      <c r="DL72" s="313"/>
      <c r="DM72" s="313"/>
      <c r="DN72" s="313"/>
      <c r="DO72" s="313"/>
      <c r="DP72" s="313"/>
      <c r="DQ72" s="313"/>
      <c r="DR72" s="313"/>
      <c r="DS72" s="313"/>
      <c r="DT72" s="313"/>
      <c r="DU72" s="313"/>
      <c r="DV72" s="313"/>
      <c r="DW72" s="313"/>
      <c r="DX72" s="313"/>
      <c r="DY72" s="313"/>
      <c r="DZ72" s="313"/>
      <c r="EA72" s="313"/>
      <c r="EB72" s="313"/>
      <c r="EC72" s="313"/>
      <c r="ED72" s="313"/>
      <c r="EE72" s="313"/>
      <c r="EF72" s="313"/>
      <c r="EG72" s="313"/>
      <c r="EH72" s="313"/>
      <c r="EI72" s="313"/>
      <c r="EJ72" s="313"/>
      <c r="EK72" s="313"/>
      <c r="EL72" s="313"/>
      <c r="EM72" s="313"/>
      <c r="EN72" s="313"/>
      <c r="EO72" s="313"/>
      <c r="EP72" s="313"/>
      <c r="EQ72" s="313"/>
      <c r="ER72" s="313"/>
      <c r="ES72" s="313"/>
      <c r="ET72" s="313"/>
      <c r="EU72" s="313"/>
      <c r="EV72" s="313"/>
      <c r="EW72" s="313"/>
      <c r="EX72" s="313"/>
      <c r="EY72" s="313"/>
      <c r="EZ72" s="313"/>
      <c r="FA72" s="313"/>
      <c r="FB72" s="313"/>
      <c r="FC72" s="313"/>
      <c r="FD72" s="313"/>
      <c r="FE72" s="313"/>
      <c r="FF72" s="313"/>
      <c r="FG72" s="313"/>
      <c r="FH72" s="313"/>
      <c r="FI72" s="313"/>
      <c r="FJ72" s="313"/>
      <c r="FK72" s="313"/>
      <c r="FL72" s="313"/>
      <c r="FM72" s="313"/>
      <c r="FN72" s="313"/>
      <c r="FO72" s="313"/>
      <c r="FP72" s="313"/>
      <c r="FQ72" s="313"/>
      <c r="FR72" s="313"/>
      <c r="FS72" s="313"/>
      <c r="FT72" s="313"/>
      <c r="FU72" s="313"/>
      <c r="FV72" s="313"/>
      <c r="FW72" s="313"/>
      <c r="FX72" s="313"/>
      <c r="FY72" s="313"/>
      <c r="FZ72" s="313"/>
      <c r="GA72" s="313"/>
      <c r="GB72" s="313"/>
      <c r="GC72" s="313"/>
      <c r="GD72" s="313"/>
      <c r="GE72" s="313"/>
      <c r="GF72" s="313"/>
      <c r="GG72" s="313"/>
      <c r="GH72" s="313"/>
      <c r="GI72" s="313"/>
      <c r="GJ72" s="313"/>
      <c r="GK72" s="313"/>
      <c r="GL72" s="313"/>
      <c r="GM72" s="313"/>
      <c r="GN72" s="313"/>
      <c r="GO72" s="313"/>
      <c r="GP72" s="313"/>
      <c r="GQ72" s="313"/>
      <c r="GR72" s="313"/>
      <c r="GS72" s="313"/>
      <c r="GT72" s="313"/>
      <c r="GU72" s="313"/>
      <c r="GV72" s="313"/>
      <c r="GW72" s="313"/>
      <c r="GX72" s="313"/>
      <c r="GY72" s="313"/>
      <c r="GZ72" s="313"/>
      <c r="HA72" s="313"/>
      <c r="HB72" s="313"/>
      <c r="HC72" s="313"/>
      <c r="HD72" s="313"/>
      <c r="HE72" s="313"/>
      <c r="HF72" s="313"/>
      <c r="HG72" s="313"/>
      <c r="HH72" s="313"/>
      <c r="HI72" s="313"/>
      <c r="HJ72" s="313"/>
      <c r="HK72" s="313"/>
      <c r="HL72" s="313"/>
      <c r="HM72" s="313"/>
      <c r="HN72" s="313"/>
      <c r="HO72" s="313"/>
      <c r="HP72" s="313"/>
      <c r="HQ72" s="313"/>
      <c r="HR72" s="313"/>
      <c r="HS72" s="313"/>
      <c r="HT72" s="313"/>
      <c r="HU72" s="313"/>
      <c r="HV72" s="313"/>
      <c r="HW72" s="313"/>
      <c r="HX72" s="313"/>
      <c r="HY72" s="313"/>
      <c r="HZ72" s="313"/>
      <c r="IA72" s="313"/>
      <c r="IB72" s="313"/>
      <c r="IC72" s="313"/>
      <c r="ID72" s="313"/>
      <c r="IE72" s="313"/>
      <c r="IF72" s="313"/>
      <c r="IG72" s="313"/>
      <c r="IH72" s="313"/>
      <c r="II72" s="313"/>
      <c r="IJ72" s="313"/>
      <c r="IK72" s="313"/>
      <c r="IL72" s="313"/>
      <c r="IM72" s="313"/>
      <c r="IN72" s="313"/>
      <c r="IO72" s="313"/>
      <c r="IP72" s="313"/>
      <c r="IQ72" s="313"/>
      <c r="IR72" s="313"/>
      <c r="IS72" s="313"/>
      <c r="IT72" s="313"/>
      <c r="IU72" s="313"/>
    </row>
    <row r="73" spans="1:255">
      <c r="A73" s="313"/>
      <c r="B73" s="313"/>
      <c r="C73" s="313"/>
      <c r="D73" s="313"/>
      <c r="E73" s="342"/>
      <c r="F73" s="313"/>
      <c r="G73" s="313"/>
      <c r="H73" s="313"/>
      <c r="I73" s="313"/>
      <c r="J73" s="313"/>
      <c r="K73" s="313"/>
      <c r="L73" s="313"/>
      <c r="M73" s="313"/>
      <c r="N73" s="313"/>
      <c r="O73" s="313"/>
      <c r="P73" s="313"/>
      <c r="Q73" s="313"/>
      <c r="R73" s="314"/>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c r="BN73" s="313"/>
      <c r="BO73" s="313"/>
      <c r="BP73" s="313"/>
      <c r="BQ73" s="313"/>
      <c r="BR73" s="313"/>
      <c r="BS73" s="313"/>
      <c r="BT73" s="313"/>
      <c r="BU73" s="313"/>
      <c r="BV73" s="313"/>
      <c r="BW73" s="313"/>
      <c r="BX73" s="313"/>
      <c r="BY73" s="313"/>
      <c r="BZ73" s="313"/>
      <c r="CA73" s="313"/>
      <c r="CB73" s="313"/>
      <c r="CC73" s="313"/>
      <c r="CD73" s="313"/>
      <c r="CE73" s="313"/>
      <c r="CF73" s="313"/>
      <c r="CG73" s="313"/>
      <c r="CH73" s="313"/>
      <c r="CI73" s="313"/>
      <c r="CJ73" s="313"/>
      <c r="CK73" s="313"/>
      <c r="CL73" s="313"/>
      <c r="CM73" s="313"/>
      <c r="CN73" s="313"/>
      <c r="CO73" s="313"/>
      <c r="CP73" s="313"/>
      <c r="CQ73" s="313"/>
      <c r="CR73" s="313"/>
      <c r="CS73" s="313"/>
      <c r="CT73" s="313"/>
      <c r="CU73" s="313"/>
      <c r="CV73" s="313"/>
      <c r="CW73" s="313"/>
      <c r="CX73" s="313"/>
      <c r="CY73" s="313"/>
      <c r="CZ73" s="313"/>
      <c r="DA73" s="313"/>
      <c r="DB73" s="313"/>
      <c r="DC73" s="313"/>
      <c r="DD73" s="313"/>
      <c r="DE73" s="313"/>
      <c r="DF73" s="313"/>
      <c r="DG73" s="313"/>
      <c r="DH73" s="313"/>
      <c r="DI73" s="313"/>
      <c r="DJ73" s="313"/>
      <c r="DK73" s="313"/>
      <c r="DL73" s="313"/>
      <c r="DM73" s="313"/>
      <c r="DN73" s="313"/>
      <c r="DO73" s="313"/>
      <c r="DP73" s="313"/>
      <c r="DQ73" s="313"/>
      <c r="DR73" s="313"/>
      <c r="DS73" s="313"/>
      <c r="DT73" s="313"/>
      <c r="DU73" s="313"/>
      <c r="DV73" s="313"/>
      <c r="DW73" s="313"/>
      <c r="DX73" s="313"/>
      <c r="DY73" s="313"/>
      <c r="DZ73" s="313"/>
      <c r="EA73" s="313"/>
      <c r="EB73" s="313"/>
      <c r="EC73" s="313"/>
      <c r="ED73" s="313"/>
      <c r="EE73" s="313"/>
      <c r="EF73" s="313"/>
      <c r="EG73" s="313"/>
      <c r="EH73" s="313"/>
      <c r="EI73" s="313"/>
      <c r="EJ73" s="313"/>
      <c r="EK73" s="313"/>
      <c r="EL73" s="313"/>
      <c r="EM73" s="313"/>
      <c r="EN73" s="313"/>
      <c r="EO73" s="313"/>
      <c r="EP73" s="313"/>
      <c r="EQ73" s="313"/>
      <c r="ER73" s="313"/>
      <c r="ES73" s="313"/>
      <c r="ET73" s="313"/>
      <c r="EU73" s="313"/>
      <c r="EV73" s="313"/>
      <c r="EW73" s="313"/>
      <c r="EX73" s="313"/>
      <c r="EY73" s="313"/>
      <c r="EZ73" s="313"/>
      <c r="FA73" s="313"/>
      <c r="FB73" s="313"/>
      <c r="FC73" s="313"/>
      <c r="FD73" s="313"/>
      <c r="FE73" s="313"/>
      <c r="FF73" s="313"/>
      <c r="FG73" s="313"/>
      <c r="FH73" s="313"/>
      <c r="FI73" s="313"/>
      <c r="FJ73" s="313"/>
      <c r="FK73" s="313"/>
      <c r="FL73" s="313"/>
      <c r="FM73" s="313"/>
      <c r="FN73" s="313"/>
      <c r="FO73" s="313"/>
      <c r="FP73" s="313"/>
      <c r="FQ73" s="313"/>
      <c r="FR73" s="313"/>
      <c r="FS73" s="313"/>
      <c r="FT73" s="313"/>
      <c r="FU73" s="313"/>
      <c r="FV73" s="313"/>
      <c r="FW73" s="313"/>
      <c r="FX73" s="313"/>
      <c r="FY73" s="313"/>
      <c r="FZ73" s="313"/>
      <c r="GA73" s="313"/>
      <c r="GB73" s="313"/>
      <c r="GC73" s="313"/>
      <c r="GD73" s="313"/>
      <c r="GE73" s="313"/>
      <c r="GF73" s="313"/>
      <c r="GG73" s="313"/>
      <c r="GH73" s="313"/>
      <c r="GI73" s="313"/>
      <c r="GJ73" s="313"/>
      <c r="GK73" s="313"/>
      <c r="GL73" s="313"/>
      <c r="GM73" s="313"/>
      <c r="GN73" s="313"/>
      <c r="GO73" s="313"/>
      <c r="GP73" s="313"/>
      <c r="GQ73" s="313"/>
      <c r="GR73" s="313"/>
      <c r="GS73" s="313"/>
      <c r="GT73" s="313"/>
      <c r="GU73" s="313"/>
      <c r="GV73" s="313"/>
      <c r="GW73" s="313"/>
      <c r="GX73" s="313"/>
      <c r="GY73" s="313"/>
      <c r="GZ73" s="313"/>
      <c r="HA73" s="313"/>
      <c r="HB73" s="313"/>
      <c r="HC73" s="313"/>
      <c r="HD73" s="313"/>
      <c r="HE73" s="313"/>
      <c r="HF73" s="313"/>
      <c r="HG73" s="313"/>
      <c r="HH73" s="313"/>
      <c r="HI73" s="313"/>
      <c r="HJ73" s="313"/>
      <c r="HK73" s="313"/>
      <c r="HL73" s="313"/>
      <c r="HM73" s="313"/>
      <c r="HN73" s="313"/>
      <c r="HO73" s="313"/>
      <c r="HP73" s="313"/>
      <c r="HQ73" s="313"/>
      <c r="HR73" s="313"/>
      <c r="HS73" s="313"/>
      <c r="HT73" s="313"/>
      <c r="HU73" s="313"/>
      <c r="HV73" s="313"/>
      <c r="HW73" s="313"/>
      <c r="HX73" s="313"/>
      <c r="HY73" s="313"/>
      <c r="HZ73" s="313"/>
      <c r="IA73" s="313"/>
      <c r="IB73" s="313"/>
      <c r="IC73" s="313"/>
      <c r="ID73" s="313"/>
      <c r="IE73" s="313"/>
      <c r="IF73" s="313"/>
      <c r="IG73" s="313"/>
      <c r="IH73" s="313"/>
      <c r="II73" s="313"/>
      <c r="IJ73" s="313"/>
      <c r="IK73" s="313"/>
      <c r="IL73" s="313"/>
      <c r="IM73" s="313"/>
      <c r="IN73" s="313"/>
      <c r="IO73" s="313"/>
      <c r="IP73" s="313"/>
      <c r="IQ73" s="313"/>
      <c r="IR73" s="313"/>
      <c r="IS73" s="313"/>
      <c r="IT73" s="313"/>
      <c r="IU73" s="313"/>
    </row>
    <row r="74" spans="1:255">
      <c r="A74" s="313"/>
      <c r="B74" s="313"/>
      <c r="C74" s="313"/>
      <c r="D74" s="313"/>
      <c r="E74" s="342"/>
      <c r="F74" s="313"/>
      <c r="G74" s="313"/>
      <c r="H74" s="313"/>
      <c r="I74" s="313"/>
      <c r="J74" s="313"/>
      <c r="K74" s="313"/>
      <c r="L74" s="313"/>
      <c r="M74" s="313"/>
      <c r="N74" s="313"/>
      <c r="O74" s="313"/>
      <c r="P74" s="313"/>
      <c r="Q74" s="313"/>
      <c r="R74" s="314"/>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3"/>
      <c r="AY74" s="313"/>
      <c r="AZ74" s="313"/>
      <c r="BA74" s="313"/>
      <c r="BB74" s="313"/>
      <c r="BC74" s="313"/>
      <c r="BD74" s="313"/>
      <c r="BE74" s="313"/>
      <c r="BF74" s="313"/>
      <c r="BG74" s="313"/>
      <c r="BH74" s="313"/>
      <c r="BI74" s="313"/>
      <c r="BJ74" s="313"/>
      <c r="BK74" s="313"/>
      <c r="BL74" s="313"/>
      <c r="BM74" s="313"/>
      <c r="BN74" s="313"/>
      <c r="BO74" s="313"/>
      <c r="BP74" s="313"/>
      <c r="BQ74" s="313"/>
      <c r="BR74" s="313"/>
      <c r="BS74" s="313"/>
      <c r="BT74" s="313"/>
      <c r="BU74" s="313"/>
      <c r="BV74" s="313"/>
      <c r="BW74" s="313"/>
      <c r="BX74" s="313"/>
      <c r="BY74" s="313"/>
      <c r="BZ74" s="313"/>
      <c r="CA74" s="313"/>
      <c r="CB74" s="313"/>
      <c r="CC74" s="313"/>
      <c r="CD74" s="313"/>
      <c r="CE74" s="313"/>
      <c r="CF74" s="313"/>
      <c r="CG74" s="313"/>
      <c r="CH74" s="313"/>
      <c r="CI74" s="313"/>
      <c r="CJ74" s="313"/>
      <c r="CK74" s="313"/>
      <c r="CL74" s="313"/>
      <c r="CM74" s="313"/>
      <c r="CN74" s="313"/>
      <c r="CO74" s="313"/>
      <c r="CP74" s="313"/>
      <c r="CQ74" s="313"/>
      <c r="CR74" s="313"/>
      <c r="CS74" s="313"/>
      <c r="CT74" s="313"/>
      <c r="CU74" s="313"/>
      <c r="CV74" s="313"/>
      <c r="CW74" s="313"/>
      <c r="CX74" s="313"/>
      <c r="CY74" s="313"/>
      <c r="CZ74" s="313"/>
      <c r="DA74" s="313"/>
      <c r="DB74" s="313"/>
      <c r="DC74" s="313"/>
      <c r="DD74" s="313"/>
      <c r="DE74" s="313"/>
      <c r="DF74" s="313"/>
      <c r="DG74" s="313"/>
      <c r="DH74" s="313"/>
      <c r="DI74" s="313"/>
      <c r="DJ74" s="313"/>
      <c r="DK74" s="313"/>
      <c r="DL74" s="313"/>
      <c r="DM74" s="313"/>
      <c r="DN74" s="313"/>
      <c r="DO74" s="313"/>
      <c r="DP74" s="313"/>
      <c r="DQ74" s="313"/>
      <c r="DR74" s="313"/>
      <c r="DS74" s="313"/>
      <c r="DT74" s="313"/>
      <c r="DU74" s="313"/>
      <c r="DV74" s="313"/>
      <c r="DW74" s="313"/>
      <c r="DX74" s="313"/>
      <c r="DY74" s="313"/>
      <c r="DZ74" s="313"/>
      <c r="EA74" s="313"/>
      <c r="EB74" s="313"/>
      <c r="EC74" s="313"/>
      <c r="ED74" s="313"/>
      <c r="EE74" s="313"/>
      <c r="EF74" s="313"/>
      <c r="EG74" s="313"/>
      <c r="EH74" s="313"/>
      <c r="EI74" s="313"/>
      <c r="EJ74" s="313"/>
      <c r="EK74" s="313"/>
      <c r="EL74" s="313"/>
      <c r="EM74" s="313"/>
      <c r="EN74" s="313"/>
      <c r="EO74" s="313"/>
      <c r="EP74" s="313"/>
      <c r="EQ74" s="313"/>
      <c r="ER74" s="313"/>
      <c r="ES74" s="313"/>
      <c r="ET74" s="313"/>
      <c r="EU74" s="313"/>
      <c r="EV74" s="313"/>
      <c r="EW74" s="313"/>
      <c r="EX74" s="313"/>
      <c r="EY74" s="313"/>
      <c r="EZ74" s="313"/>
      <c r="FA74" s="313"/>
      <c r="FB74" s="313"/>
      <c r="FC74" s="313"/>
      <c r="FD74" s="313"/>
      <c r="FE74" s="313"/>
      <c r="FF74" s="313"/>
      <c r="FG74" s="313"/>
      <c r="FH74" s="313"/>
      <c r="FI74" s="313"/>
      <c r="FJ74" s="313"/>
      <c r="FK74" s="313"/>
      <c r="FL74" s="313"/>
      <c r="FM74" s="313"/>
      <c r="FN74" s="313"/>
      <c r="FO74" s="313"/>
      <c r="FP74" s="313"/>
      <c r="FQ74" s="313"/>
      <c r="FR74" s="313"/>
      <c r="FS74" s="313"/>
      <c r="FT74" s="313"/>
      <c r="FU74" s="313"/>
      <c r="FV74" s="313"/>
      <c r="FW74" s="313"/>
      <c r="FX74" s="313"/>
      <c r="FY74" s="313"/>
      <c r="FZ74" s="313"/>
      <c r="GA74" s="313"/>
      <c r="GB74" s="313"/>
      <c r="GC74" s="313"/>
      <c r="GD74" s="313"/>
      <c r="GE74" s="313"/>
      <c r="GF74" s="313"/>
      <c r="GG74" s="313"/>
      <c r="GH74" s="313"/>
      <c r="GI74" s="313"/>
      <c r="GJ74" s="313"/>
      <c r="GK74" s="313"/>
      <c r="GL74" s="313"/>
      <c r="GM74" s="313"/>
      <c r="GN74" s="313"/>
      <c r="GO74" s="313"/>
      <c r="GP74" s="313"/>
      <c r="GQ74" s="313"/>
      <c r="GR74" s="313"/>
      <c r="GS74" s="313"/>
      <c r="GT74" s="313"/>
      <c r="GU74" s="313"/>
      <c r="GV74" s="313"/>
      <c r="GW74" s="313"/>
      <c r="GX74" s="313"/>
      <c r="GY74" s="313"/>
      <c r="GZ74" s="313"/>
      <c r="HA74" s="313"/>
      <c r="HB74" s="313"/>
      <c r="HC74" s="313"/>
      <c r="HD74" s="313"/>
      <c r="HE74" s="313"/>
      <c r="HF74" s="313"/>
      <c r="HG74" s="313"/>
      <c r="HH74" s="313"/>
      <c r="HI74" s="313"/>
      <c r="HJ74" s="313"/>
      <c r="HK74" s="313"/>
      <c r="HL74" s="313"/>
      <c r="HM74" s="313"/>
      <c r="HN74" s="313"/>
      <c r="HO74" s="313"/>
      <c r="HP74" s="313"/>
      <c r="HQ74" s="313"/>
      <c r="HR74" s="313"/>
      <c r="HS74" s="313"/>
      <c r="HT74" s="313"/>
      <c r="HU74" s="313"/>
      <c r="HV74" s="313"/>
      <c r="HW74" s="313"/>
      <c r="HX74" s="313"/>
      <c r="HY74" s="313"/>
      <c r="HZ74" s="313"/>
      <c r="IA74" s="313"/>
      <c r="IB74" s="313"/>
      <c r="IC74" s="313"/>
      <c r="ID74" s="313"/>
      <c r="IE74" s="313"/>
      <c r="IF74" s="313"/>
      <c r="IG74" s="313"/>
      <c r="IH74" s="313"/>
      <c r="II74" s="313"/>
      <c r="IJ74" s="313"/>
      <c r="IK74" s="313"/>
      <c r="IL74" s="313"/>
      <c r="IM74" s="313"/>
      <c r="IN74" s="313"/>
      <c r="IO74" s="313"/>
      <c r="IP74" s="313"/>
      <c r="IQ74" s="313"/>
      <c r="IR74" s="313"/>
      <c r="IS74" s="313"/>
      <c r="IT74" s="313"/>
      <c r="IU74" s="313"/>
    </row>
    <row r="75" spans="1:255">
      <c r="A75" s="313"/>
      <c r="B75" s="313"/>
      <c r="C75" s="313"/>
      <c r="D75" s="313"/>
      <c r="E75" s="342"/>
      <c r="F75" s="313"/>
      <c r="G75" s="313"/>
      <c r="H75" s="313"/>
      <c r="I75" s="313"/>
      <c r="J75" s="313"/>
      <c r="K75" s="313"/>
      <c r="L75" s="313"/>
      <c r="M75" s="313"/>
      <c r="N75" s="313"/>
      <c r="O75" s="313"/>
      <c r="P75" s="313"/>
      <c r="Q75" s="313"/>
      <c r="R75" s="314"/>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3"/>
      <c r="AY75" s="313"/>
      <c r="AZ75" s="313"/>
      <c r="BA75" s="313"/>
      <c r="BB75" s="313"/>
      <c r="BC75" s="313"/>
      <c r="BD75" s="313"/>
      <c r="BE75" s="313"/>
      <c r="BF75" s="313"/>
      <c r="BG75" s="313"/>
      <c r="BH75" s="313"/>
      <c r="BI75" s="313"/>
      <c r="BJ75" s="313"/>
      <c r="BK75" s="313"/>
      <c r="BL75" s="313"/>
      <c r="BM75" s="313"/>
      <c r="BN75" s="313"/>
      <c r="BO75" s="313"/>
      <c r="BP75" s="313"/>
      <c r="BQ75" s="313"/>
      <c r="BR75" s="313"/>
      <c r="BS75" s="313"/>
      <c r="BT75" s="313"/>
      <c r="BU75" s="313"/>
      <c r="BV75" s="313"/>
      <c r="BW75" s="313"/>
      <c r="BX75" s="313"/>
      <c r="BY75" s="313"/>
      <c r="BZ75" s="313"/>
      <c r="CA75" s="313"/>
      <c r="CB75" s="313"/>
      <c r="CC75" s="313"/>
      <c r="CD75" s="313"/>
      <c r="CE75" s="313"/>
      <c r="CF75" s="313"/>
      <c r="CG75" s="313"/>
      <c r="CH75" s="313"/>
      <c r="CI75" s="313"/>
      <c r="CJ75" s="313"/>
      <c r="CK75" s="313"/>
      <c r="CL75" s="313"/>
      <c r="CM75" s="313"/>
      <c r="CN75" s="313"/>
      <c r="CO75" s="313"/>
      <c r="CP75" s="313"/>
      <c r="CQ75" s="313"/>
      <c r="CR75" s="313"/>
      <c r="CS75" s="313"/>
      <c r="CT75" s="313"/>
      <c r="CU75" s="313"/>
      <c r="CV75" s="313"/>
      <c r="CW75" s="313"/>
      <c r="CX75" s="313"/>
      <c r="CY75" s="313"/>
      <c r="CZ75" s="313"/>
      <c r="DA75" s="313"/>
      <c r="DB75" s="313"/>
      <c r="DC75" s="313"/>
      <c r="DD75" s="313"/>
      <c r="DE75" s="313"/>
      <c r="DF75" s="313"/>
      <c r="DG75" s="313"/>
      <c r="DH75" s="313"/>
      <c r="DI75" s="313"/>
      <c r="DJ75" s="313"/>
      <c r="DK75" s="313"/>
      <c r="DL75" s="313"/>
      <c r="DM75" s="313"/>
      <c r="DN75" s="313"/>
      <c r="DO75" s="313"/>
      <c r="DP75" s="313"/>
      <c r="DQ75" s="313"/>
      <c r="DR75" s="313"/>
      <c r="DS75" s="313"/>
      <c r="DT75" s="313"/>
      <c r="DU75" s="313"/>
      <c r="DV75" s="313"/>
      <c r="DW75" s="313"/>
      <c r="DX75" s="313"/>
      <c r="DY75" s="313"/>
      <c r="DZ75" s="313"/>
      <c r="EA75" s="313"/>
      <c r="EB75" s="313"/>
      <c r="EC75" s="313"/>
      <c r="ED75" s="313"/>
      <c r="EE75" s="313"/>
      <c r="EF75" s="313"/>
      <c r="EG75" s="313"/>
      <c r="EH75" s="313"/>
      <c r="EI75" s="313"/>
      <c r="EJ75" s="313"/>
      <c r="EK75" s="313"/>
      <c r="EL75" s="313"/>
      <c r="EM75" s="313"/>
      <c r="EN75" s="313"/>
      <c r="EO75" s="313"/>
      <c r="EP75" s="313"/>
      <c r="EQ75" s="313"/>
      <c r="ER75" s="313"/>
      <c r="ES75" s="313"/>
      <c r="ET75" s="313"/>
      <c r="EU75" s="313"/>
      <c r="EV75" s="313"/>
      <c r="EW75" s="313"/>
      <c r="EX75" s="313"/>
      <c r="EY75" s="313"/>
      <c r="EZ75" s="313"/>
      <c r="FA75" s="313"/>
      <c r="FB75" s="313"/>
      <c r="FC75" s="313"/>
      <c r="FD75" s="313"/>
      <c r="FE75" s="313"/>
      <c r="FF75" s="313"/>
      <c r="FG75" s="313"/>
      <c r="FH75" s="313"/>
      <c r="FI75" s="313"/>
      <c r="FJ75" s="313"/>
      <c r="FK75" s="313"/>
      <c r="FL75" s="313"/>
      <c r="FM75" s="313"/>
      <c r="FN75" s="313"/>
      <c r="FO75" s="313"/>
      <c r="FP75" s="313"/>
      <c r="FQ75" s="313"/>
      <c r="FR75" s="313"/>
      <c r="FS75" s="313"/>
      <c r="FT75" s="313"/>
      <c r="FU75" s="313"/>
      <c r="FV75" s="313"/>
      <c r="FW75" s="313"/>
      <c r="FX75" s="313"/>
      <c r="FY75" s="313"/>
      <c r="FZ75" s="313"/>
      <c r="GA75" s="313"/>
      <c r="GB75" s="313"/>
      <c r="GC75" s="313"/>
      <c r="GD75" s="313"/>
      <c r="GE75" s="313"/>
      <c r="GF75" s="313"/>
      <c r="GG75" s="313"/>
      <c r="GH75" s="313"/>
      <c r="GI75" s="313"/>
      <c r="GJ75" s="313"/>
      <c r="GK75" s="313"/>
      <c r="GL75" s="313"/>
      <c r="GM75" s="313"/>
      <c r="GN75" s="313"/>
      <c r="GO75" s="313"/>
      <c r="GP75" s="313"/>
      <c r="GQ75" s="313"/>
      <c r="GR75" s="313"/>
      <c r="GS75" s="313"/>
      <c r="GT75" s="313"/>
      <c r="GU75" s="313"/>
      <c r="GV75" s="313"/>
      <c r="GW75" s="313"/>
      <c r="GX75" s="313"/>
      <c r="GY75" s="313"/>
      <c r="GZ75" s="313"/>
      <c r="HA75" s="313"/>
      <c r="HB75" s="313"/>
      <c r="HC75" s="313"/>
      <c r="HD75" s="313"/>
      <c r="HE75" s="313"/>
      <c r="HF75" s="313"/>
      <c r="HG75" s="313"/>
      <c r="HH75" s="313"/>
      <c r="HI75" s="313"/>
      <c r="HJ75" s="313"/>
      <c r="HK75" s="313"/>
      <c r="HL75" s="313"/>
      <c r="HM75" s="313"/>
      <c r="HN75" s="313"/>
      <c r="HO75" s="313"/>
      <c r="HP75" s="313"/>
      <c r="HQ75" s="313"/>
      <c r="HR75" s="313"/>
      <c r="HS75" s="313"/>
      <c r="HT75" s="313"/>
      <c r="HU75" s="313"/>
      <c r="HV75" s="313"/>
      <c r="HW75" s="313"/>
      <c r="HX75" s="313"/>
      <c r="HY75" s="313"/>
      <c r="HZ75" s="313"/>
      <c r="IA75" s="313"/>
      <c r="IB75" s="313"/>
      <c r="IC75" s="313"/>
      <c r="ID75" s="313"/>
      <c r="IE75" s="313"/>
      <c r="IF75" s="313"/>
      <c r="IG75" s="313"/>
      <c r="IH75" s="313"/>
      <c r="II75" s="313"/>
      <c r="IJ75" s="313"/>
      <c r="IK75" s="313"/>
      <c r="IL75" s="313"/>
      <c r="IM75" s="313"/>
      <c r="IN75" s="313"/>
      <c r="IO75" s="313"/>
      <c r="IP75" s="313"/>
      <c r="IQ75" s="313"/>
      <c r="IR75" s="313"/>
      <c r="IS75" s="313"/>
      <c r="IT75" s="313"/>
      <c r="IU75" s="313"/>
    </row>
    <row r="76" spans="1:255">
      <c r="A76" s="313"/>
      <c r="B76" s="313"/>
      <c r="C76" s="313"/>
      <c r="D76" s="313"/>
      <c r="E76" s="342"/>
      <c r="F76" s="313"/>
      <c r="G76" s="313"/>
      <c r="H76" s="313"/>
      <c r="I76" s="313"/>
      <c r="J76" s="313"/>
      <c r="K76" s="313"/>
      <c r="L76" s="313"/>
      <c r="M76" s="313"/>
      <c r="N76" s="313"/>
      <c r="O76" s="313"/>
      <c r="P76" s="313"/>
      <c r="Q76" s="313"/>
      <c r="R76" s="314"/>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13"/>
      <c r="AY76" s="313"/>
      <c r="AZ76" s="313"/>
      <c r="BA76" s="313"/>
      <c r="BB76" s="313"/>
      <c r="BC76" s="313"/>
      <c r="BD76" s="313"/>
      <c r="BE76" s="313"/>
      <c r="BF76" s="313"/>
      <c r="BG76" s="313"/>
      <c r="BH76" s="313"/>
      <c r="BI76" s="313"/>
      <c r="BJ76" s="313"/>
      <c r="BK76" s="313"/>
      <c r="BL76" s="313"/>
      <c r="BM76" s="313"/>
      <c r="BN76" s="313"/>
      <c r="BO76" s="313"/>
      <c r="BP76" s="313"/>
      <c r="BQ76" s="313"/>
      <c r="BR76" s="313"/>
      <c r="BS76" s="313"/>
      <c r="BT76" s="313"/>
      <c r="BU76" s="313"/>
      <c r="BV76" s="313"/>
      <c r="BW76" s="313"/>
      <c r="BX76" s="313"/>
      <c r="BY76" s="313"/>
      <c r="BZ76" s="313"/>
      <c r="CA76" s="313"/>
      <c r="CB76" s="313"/>
      <c r="CC76" s="313"/>
      <c r="CD76" s="313"/>
      <c r="CE76" s="313"/>
      <c r="CF76" s="313"/>
      <c r="CG76" s="313"/>
      <c r="CH76" s="313"/>
      <c r="CI76" s="313"/>
      <c r="CJ76" s="313"/>
      <c r="CK76" s="313"/>
      <c r="CL76" s="313"/>
      <c r="CM76" s="313"/>
      <c r="CN76" s="313"/>
      <c r="CO76" s="313"/>
      <c r="CP76" s="313"/>
      <c r="CQ76" s="313"/>
      <c r="CR76" s="313"/>
      <c r="CS76" s="313"/>
      <c r="CT76" s="313"/>
      <c r="CU76" s="313"/>
      <c r="CV76" s="313"/>
      <c r="CW76" s="313"/>
      <c r="CX76" s="313"/>
      <c r="CY76" s="313"/>
      <c r="CZ76" s="313"/>
      <c r="DA76" s="313"/>
      <c r="DB76" s="313"/>
      <c r="DC76" s="313"/>
      <c r="DD76" s="313"/>
      <c r="DE76" s="313"/>
      <c r="DF76" s="313"/>
      <c r="DG76" s="313"/>
      <c r="DH76" s="313"/>
      <c r="DI76" s="313"/>
      <c r="DJ76" s="313"/>
      <c r="DK76" s="313"/>
      <c r="DL76" s="313"/>
      <c r="DM76" s="313"/>
      <c r="DN76" s="313"/>
      <c r="DO76" s="313"/>
      <c r="DP76" s="313"/>
      <c r="DQ76" s="313"/>
      <c r="DR76" s="313"/>
      <c r="DS76" s="313"/>
      <c r="DT76" s="313"/>
      <c r="DU76" s="313"/>
      <c r="DV76" s="313"/>
      <c r="DW76" s="313"/>
      <c r="DX76" s="313"/>
      <c r="DY76" s="313"/>
      <c r="DZ76" s="313"/>
      <c r="EA76" s="313"/>
      <c r="EB76" s="313"/>
      <c r="EC76" s="313"/>
      <c r="ED76" s="313"/>
      <c r="EE76" s="313"/>
      <c r="EF76" s="313"/>
      <c r="EG76" s="313"/>
      <c r="EH76" s="313"/>
      <c r="EI76" s="313"/>
      <c r="EJ76" s="313"/>
      <c r="EK76" s="313"/>
      <c r="EL76" s="313"/>
      <c r="EM76" s="313"/>
      <c r="EN76" s="313"/>
      <c r="EO76" s="313"/>
      <c r="EP76" s="313"/>
      <c r="EQ76" s="313"/>
      <c r="ER76" s="313"/>
      <c r="ES76" s="313"/>
      <c r="ET76" s="313"/>
      <c r="EU76" s="313"/>
      <c r="EV76" s="313"/>
      <c r="EW76" s="313"/>
      <c r="EX76" s="313"/>
      <c r="EY76" s="313"/>
      <c r="EZ76" s="313"/>
      <c r="FA76" s="313"/>
      <c r="FB76" s="313"/>
      <c r="FC76" s="313"/>
      <c r="FD76" s="313"/>
      <c r="FE76" s="313"/>
      <c r="FF76" s="313"/>
      <c r="FG76" s="313"/>
      <c r="FH76" s="313"/>
      <c r="FI76" s="313"/>
      <c r="FJ76" s="313"/>
      <c r="FK76" s="313"/>
      <c r="FL76" s="313"/>
      <c r="FM76" s="313"/>
      <c r="FN76" s="313"/>
      <c r="FO76" s="313"/>
      <c r="FP76" s="313"/>
      <c r="FQ76" s="313"/>
      <c r="FR76" s="313"/>
      <c r="FS76" s="313"/>
      <c r="FT76" s="313"/>
      <c r="FU76" s="313"/>
      <c r="FV76" s="313"/>
      <c r="FW76" s="313"/>
      <c r="FX76" s="313"/>
      <c r="FY76" s="313"/>
      <c r="FZ76" s="313"/>
      <c r="GA76" s="313"/>
      <c r="GB76" s="313"/>
      <c r="GC76" s="313"/>
      <c r="GD76" s="313"/>
      <c r="GE76" s="313"/>
      <c r="GF76" s="313"/>
      <c r="GG76" s="313"/>
      <c r="GH76" s="313"/>
      <c r="GI76" s="313"/>
      <c r="GJ76" s="313"/>
      <c r="GK76" s="313"/>
      <c r="GL76" s="313"/>
      <c r="GM76" s="313"/>
      <c r="GN76" s="313"/>
      <c r="GO76" s="313"/>
      <c r="GP76" s="313"/>
      <c r="GQ76" s="313"/>
      <c r="GR76" s="313"/>
      <c r="GS76" s="313"/>
      <c r="GT76" s="313"/>
      <c r="GU76" s="313"/>
      <c r="GV76" s="313"/>
      <c r="GW76" s="313"/>
      <c r="GX76" s="313"/>
      <c r="GY76" s="313"/>
      <c r="GZ76" s="313"/>
      <c r="HA76" s="313"/>
      <c r="HB76" s="313"/>
      <c r="HC76" s="313"/>
      <c r="HD76" s="313"/>
      <c r="HE76" s="313"/>
      <c r="HF76" s="313"/>
      <c r="HG76" s="313"/>
      <c r="HH76" s="313"/>
      <c r="HI76" s="313"/>
      <c r="HJ76" s="313"/>
      <c r="HK76" s="313"/>
      <c r="HL76" s="313"/>
      <c r="HM76" s="313"/>
      <c r="HN76" s="313"/>
      <c r="HO76" s="313"/>
      <c r="HP76" s="313"/>
      <c r="HQ76" s="313"/>
      <c r="HR76" s="313"/>
      <c r="HS76" s="313"/>
      <c r="HT76" s="313"/>
      <c r="HU76" s="313"/>
      <c r="HV76" s="313"/>
      <c r="HW76" s="313"/>
      <c r="HX76" s="313"/>
      <c r="HY76" s="313"/>
      <c r="HZ76" s="313"/>
      <c r="IA76" s="313"/>
      <c r="IB76" s="313"/>
      <c r="IC76" s="313"/>
      <c r="ID76" s="313"/>
      <c r="IE76" s="313"/>
      <c r="IF76" s="313"/>
      <c r="IG76" s="313"/>
      <c r="IH76" s="313"/>
      <c r="II76" s="313"/>
      <c r="IJ76" s="313"/>
      <c r="IK76" s="313"/>
      <c r="IL76" s="313"/>
      <c r="IM76" s="313"/>
      <c r="IN76" s="313"/>
      <c r="IO76" s="313"/>
      <c r="IP76" s="313"/>
      <c r="IQ76" s="313"/>
      <c r="IR76" s="313"/>
      <c r="IS76" s="313"/>
      <c r="IT76" s="313"/>
      <c r="IU76" s="313"/>
    </row>
    <row r="77" spans="1:255">
      <c r="A77" s="313"/>
      <c r="B77" s="313"/>
      <c r="C77" s="313"/>
      <c r="D77" s="313"/>
      <c r="E77" s="342"/>
      <c r="F77" s="313"/>
      <c r="G77" s="313"/>
      <c r="H77" s="313"/>
      <c r="I77" s="313"/>
      <c r="J77" s="313"/>
      <c r="K77" s="313"/>
      <c r="L77" s="313"/>
      <c r="M77" s="313"/>
      <c r="N77" s="313"/>
      <c r="O77" s="313"/>
      <c r="P77" s="313"/>
      <c r="Q77" s="313"/>
      <c r="R77" s="314"/>
      <c r="S77" s="313"/>
      <c r="T77" s="313"/>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c r="AT77" s="313"/>
      <c r="AU77" s="313"/>
      <c r="AV77" s="313"/>
      <c r="AW77" s="313"/>
      <c r="AX77" s="313"/>
      <c r="AY77" s="313"/>
      <c r="AZ77" s="313"/>
      <c r="BA77" s="313"/>
      <c r="BB77" s="313"/>
      <c r="BC77" s="313"/>
      <c r="BD77" s="313"/>
      <c r="BE77" s="313"/>
      <c r="BF77" s="313"/>
      <c r="BG77" s="313"/>
      <c r="BH77" s="313"/>
      <c r="BI77" s="313"/>
      <c r="BJ77" s="313"/>
      <c r="BK77" s="313"/>
      <c r="BL77" s="313"/>
      <c r="BM77" s="313"/>
      <c r="BN77" s="313"/>
      <c r="BO77" s="313"/>
      <c r="BP77" s="313"/>
      <c r="BQ77" s="313"/>
      <c r="BR77" s="313"/>
      <c r="BS77" s="313"/>
      <c r="BT77" s="313"/>
      <c r="BU77" s="313"/>
      <c r="BV77" s="313"/>
      <c r="BW77" s="313"/>
      <c r="BX77" s="313"/>
      <c r="BY77" s="313"/>
      <c r="BZ77" s="313"/>
      <c r="CA77" s="313"/>
      <c r="CB77" s="313"/>
      <c r="CC77" s="313"/>
      <c r="CD77" s="313"/>
      <c r="CE77" s="313"/>
      <c r="CF77" s="313"/>
      <c r="CG77" s="313"/>
      <c r="CH77" s="313"/>
      <c r="CI77" s="313"/>
      <c r="CJ77" s="313"/>
      <c r="CK77" s="313"/>
      <c r="CL77" s="313"/>
      <c r="CM77" s="313"/>
      <c r="CN77" s="313"/>
      <c r="CO77" s="313"/>
      <c r="CP77" s="313"/>
      <c r="CQ77" s="313"/>
      <c r="CR77" s="313"/>
      <c r="CS77" s="313"/>
      <c r="CT77" s="313"/>
      <c r="CU77" s="313"/>
      <c r="CV77" s="313"/>
      <c r="CW77" s="313"/>
      <c r="CX77" s="313"/>
      <c r="CY77" s="313"/>
      <c r="CZ77" s="313"/>
      <c r="DA77" s="313"/>
      <c r="DB77" s="313"/>
      <c r="DC77" s="313"/>
      <c r="DD77" s="313"/>
      <c r="DE77" s="313"/>
      <c r="DF77" s="313"/>
      <c r="DG77" s="313"/>
      <c r="DH77" s="313"/>
      <c r="DI77" s="313"/>
      <c r="DJ77" s="313"/>
      <c r="DK77" s="313"/>
      <c r="DL77" s="313"/>
      <c r="DM77" s="313"/>
      <c r="DN77" s="313"/>
      <c r="DO77" s="313"/>
      <c r="DP77" s="313"/>
      <c r="DQ77" s="313"/>
      <c r="DR77" s="313"/>
      <c r="DS77" s="313"/>
      <c r="DT77" s="313"/>
      <c r="DU77" s="313"/>
      <c r="DV77" s="313"/>
      <c r="DW77" s="313"/>
      <c r="DX77" s="313"/>
      <c r="DY77" s="313"/>
      <c r="DZ77" s="313"/>
      <c r="EA77" s="313"/>
      <c r="EB77" s="313"/>
      <c r="EC77" s="313"/>
      <c r="ED77" s="313"/>
      <c r="EE77" s="313"/>
      <c r="EF77" s="313"/>
      <c r="EG77" s="313"/>
      <c r="EH77" s="313"/>
      <c r="EI77" s="313"/>
      <c r="EJ77" s="313"/>
      <c r="EK77" s="313"/>
      <c r="EL77" s="313"/>
      <c r="EM77" s="313"/>
      <c r="EN77" s="313"/>
      <c r="EO77" s="313"/>
      <c r="EP77" s="313"/>
      <c r="EQ77" s="313"/>
      <c r="ER77" s="313"/>
      <c r="ES77" s="313"/>
      <c r="ET77" s="313"/>
      <c r="EU77" s="313"/>
      <c r="EV77" s="313"/>
      <c r="EW77" s="313"/>
      <c r="EX77" s="313"/>
      <c r="EY77" s="313"/>
      <c r="EZ77" s="313"/>
      <c r="FA77" s="313"/>
      <c r="FB77" s="313"/>
      <c r="FC77" s="313"/>
      <c r="FD77" s="313"/>
      <c r="FE77" s="313"/>
      <c r="FF77" s="313"/>
      <c r="FG77" s="313"/>
      <c r="FH77" s="313"/>
      <c r="FI77" s="313"/>
      <c r="FJ77" s="313"/>
      <c r="FK77" s="313"/>
      <c r="FL77" s="313"/>
      <c r="FM77" s="313"/>
      <c r="FN77" s="313"/>
      <c r="FO77" s="313"/>
      <c r="FP77" s="313"/>
      <c r="FQ77" s="313"/>
      <c r="FR77" s="313"/>
      <c r="FS77" s="313"/>
      <c r="FT77" s="313"/>
      <c r="FU77" s="313"/>
      <c r="FV77" s="313"/>
      <c r="FW77" s="313"/>
      <c r="FX77" s="313"/>
      <c r="FY77" s="313"/>
      <c r="FZ77" s="313"/>
      <c r="GA77" s="313"/>
      <c r="GB77" s="313"/>
      <c r="GC77" s="313"/>
      <c r="GD77" s="313"/>
      <c r="GE77" s="313"/>
      <c r="GF77" s="313"/>
      <c r="GG77" s="313"/>
      <c r="GH77" s="313"/>
      <c r="GI77" s="313"/>
      <c r="GJ77" s="313"/>
      <c r="GK77" s="313"/>
      <c r="GL77" s="313"/>
      <c r="GM77" s="313"/>
      <c r="GN77" s="313"/>
      <c r="GO77" s="313"/>
      <c r="GP77" s="313"/>
      <c r="GQ77" s="313"/>
      <c r="GR77" s="313"/>
      <c r="GS77" s="313"/>
      <c r="GT77" s="313"/>
      <c r="GU77" s="313"/>
      <c r="GV77" s="313"/>
      <c r="GW77" s="313"/>
      <c r="GX77" s="313"/>
      <c r="GY77" s="313"/>
      <c r="GZ77" s="313"/>
      <c r="HA77" s="313"/>
      <c r="HB77" s="313"/>
      <c r="HC77" s="313"/>
      <c r="HD77" s="313"/>
      <c r="HE77" s="313"/>
      <c r="HF77" s="313"/>
      <c r="HG77" s="313"/>
      <c r="HH77" s="313"/>
      <c r="HI77" s="313"/>
      <c r="HJ77" s="313"/>
      <c r="HK77" s="313"/>
      <c r="HL77" s="313"/>
      <c r="HM77" s="313"/>
      <c r="HN77" s="313"/>
      <c r="HO77" s="313"/>
      <c r="HP77" s="313"/>
      <c r="HQ77" s="313"/>
      <c r="HR77" s="313"/>
      <c r="HS77" s="313"/>
      <c r="HT77" s="313"/>
      <c r="HU77" s="313"/>
      <c r="HV77" s="313"/>
      <c r="HW77" s="313"/>
      <c r="HX77" s="313"/>
      <c r="HY77" s="313"/>
      <c r="HZ77" s="313"/>
      <c r="IA77" s="313"/>
      <c r="IB77" s="313"/>
      <c r="IC77" s="313"/>
      <c r="ID77" s="313"/>
      <c r="IE77" s="313"/>
      <c r="IF77" s="313"/>
      <c r="IG77" s="313"/>
      <c r="IH77" s="313"/>
      <c r="II77" s="313"/>
      <c r="IJ77" s="313"/>
      <c r="IK77" s="313"/>
      <c r="IL77" s="313"/>
      <c r="IM77" s="313"/>
      <c r="IN77" s="313"/>
      <c r="IO77" s="313"/>
      <c r="IP77" s="313"/>
      <c r="IQ77" s="313"/>
      <c r="IR77" s="313"/>
      <c r="IS77" s="313"/>
      <c r="IT77" s="313"/>
      <c r="IU77" s="313"/>
    </row>
    <row r="78" spans="1:255">
      <c r="A78" s="313"/>
      <c r="B78" s="313"/>
      <c r="C78" s="313"/>
      <c r="D78" s="313"/>
      <c r="E78" s="342"/>
      <c r="F78" s="313"/>
      <c r="G78" s="313"/>
      <c r="H78" s="313"/>
      <c r="I78" s="313"/>
      <c r="J78" s="313"/>
      <c r="K78" s="313"/>
      <c r="L78" s="313"/>
      <c r="M78" s="313"/>
      <c r="N78" s="313"/>
      <c r="O78" s="313"/>
      <c r="P78" s="313"/>
      <c r="Q78" s="313"/>
      <c r="R78" s="314"/>
      <c r="S78" s="313"/>
      <c r="T78" s="313"/>
      <c r="U78" s="313"/>
      <c r="V78" s="313"/>
      <c r="W78" s="313"/>
      <c r="X78" s="313"/>
      <c r="Y78" s="313"/>
      <c r="Z78" s="313"/>
      <c r="AA78" s="313"/>
      <c r="AB78" s="313"/>
      <c r="AC78" s="313"/>
      <c r="AD78" s="313"/>
      <c r="AE78" s="313"/>
      <c r="AF78" s="313"/>
      <c r="AG78" s="313"/>
      <c r="AH78" s="313"/>
      <c r="AI78" s="313"/>
      <c r="AJ78" s="313"/>
      <c r="AK78" s="313"/>
      <c r="AL78" s="313"/>
      <c r="AM78" s="313"/>
      <c r="AN78" s="313"/>
      <c r="AO78" s="313"/>
      <c r="AP78" s="313"/>
      <c r="AQ78" s="313"/>
      <c r="AR78" s="313"/>
      <c r="AS78" s="313"/>
      <c r="AT78" s="313"/>
      <c r="AU78" s="313"/>
      <c r="AV78" s="313"/>
      <c r="AW78" s="313"/>
      <c r="AX78" s="313"/>
      <c r="AY78" s="313"/>
      <c r="AZ78" s="313"/>
      <c r="BA78" s="313"/>
      <c r="BB78" s="313"/>
      <c r="BC78" s="313"/>
      <c r="BD78" s="313"/>
      <c r="BE78" s="313"/>
      <c r="BF78" s="313"/>
      <c r="BG78" s="313"/>
      <c r="BH78" s="313"/>
      <c r="BI78" s="313"/>
      <c r="BJ78" s="313"/>
      <c r="BK78" s="313"/>
      <c r="BL78" s="313"/>
      <c r="BM78" s="313"/>
      <c r="BN78" s="313"/>
      <c r="BO78" s="313"/>
      <c r="BP78" s="313"/>
      <c r="BQ78" s="313"/>
      <c r="BR78" s="313"/>
      <c r="BS78" s="313"/>
      <c r="BT78" s="313"/>
      <c r="BU78" s="313"/>
      <c r="BV78" s="313"/>
      <c r="BW78" s="313"/>
      <c r="BX78" s="313"/>
      <c r="BY78" s="313"/>
      <c r="BZ78" s="313"/>
      <c r="CA78" s="313"/>
      <c r="CB78" s="313"/>
      <c r="CC78" s="313"/>
      <c r="CD78" s="313"/>
      <c r="CE78" s="313"/>
      <c r="CF78" s="313"/>
      <c r="CG78" s="313"/>
      <c r="CH78" s="313"/>
      <c r="CI78" s="313"/>
      <c r="CJ78" s="313"/>
      <c r="CK78" s="313"/>
      <c r="CL78" s="313"/>
      <c r="CM78" s="313"/>
      <c r="CN78" s="313"/>
      <c r="CO78" s="313"/>
      <c r="CP78" s="313"/>
      <c r="CQ78" s="313"/>
      <c r="CR78" s="313"/>
      <c r="CS78" s="313"/>
      <c r="CT78" s="313"/>
      <c r="CU78" s="313"/>
      <c r="CV78" s="313"/>
      <c r="CW78" s="313"/>
      <c r="CX78" s="313"/>
      <c r="CY78" s="313"/>
      <c r="CZ78" s="313"/>
      <c r="DA78" s="313"/>
      <c r="DB78" s="313"/>
      <c r="DC78" s="313"/>
      <c r="DD78" s="313"/>
      <c r="DE78" s="313"/>
      <c r="DF78" s="313"/>
      <c r="DG78" s="313"/>
      <c r="DH78" s="313"/>
      <c r="DI78" s="313"/>
      <c r="DJ78" s="313"/>
      <c r="DK78" s="313"/>
      <c r="DL78" s="313"/>
      <c r="DM78" s="313"/>
      <c r="DN78" s="313"/>
      <c r="DO78" s="313"/>
      <c r="DP78" s="313"/>
      <c r="DQ78" s="313"/>
      <c r="DR78" s="313"/>
      <c r="DS78" s="313"/>
      <c r="DT78" s="313"/>
      <c r="DU78" s="313"/>
      <c r="DV78" s="313"/>
      <c r="DW78" s="313"/>
      <c r="DX78" s="313"/>
      <c r="DY78" s="313"/>
      <c r="DZ78" s="313"/>
      <c r="EA78" s="313"/>
      <c r="EB78" s="313"/>
      <c r="EC78" s="313"/>
      <c r="ED78" s="313"/>
      <c r="EE78" s="313"/>
      <c r="EF78" s="313"/>
      <c r="EG78" s="313"/>
      <c r="EH78" s="313"/>
      <c r="EI78" s="313"/>
      <c r="EJ78" s="313"/>
      <c r="EK78" s="313"/>
      <c r="EL78" s="313"/>
      <c r="EM78" s="313"/>
      <c r="EN78" s="313"/>
      <c r="EO78" s="313"/>
      <c r="EP78" s="313"/>
      <c r="EQ78" s="313"/>
      <c r="ER78" s="313"/>
      <c r="ES78" s="313"/>
      <c r="ET78" s="313"/>
      <c r="EU78" s="313"/>
      <c r="EV78" s="313"/>
      <c r="EW78" s="313"/>
      <c r="EX78" s="313"/>
      <c r="EY78" s="313"/>
      <c r="EZ78" s="313"/>
      <c r="FA78" s="313"/>
      <c r="FB78" s="313"/>
      <c r="FC78" s="313"/>
      <c r="FD78" s="313"/>
      <c r="FE78" s="313"/>
      <c r="FF78" s="313"/>
      <c r="FG78" s="313"/>
      <c r="FH78" s="313"/>
      <c r="FI78" s="313"/>
      <c r="FJ78" s="313"/>
      <c r="FK78" s="313"/>
      <c r="FL78" s="313"/>
      <c r="FM78" s="313"/>
      <c r="FN78" s="313"/>
      <c r="FO78" s="313"/>
      <c r="FP78" s="313"/>
      <c r="FQ78" s="313"/>
      <c r="FR78" s="313"/>
      <c r="FS78" s="313"/>
      <c r="FT78" s="313"/>
      <c r="FU78" s="313"/>
      <c r="FV78" s="313"/>
      <c r="FW78" s="313"/>
      <c r="FX78" s="313"/>
      <c r="FY78" s="313"/>
      <c r="FZ78" s="313"/>
      <c r="GA78" s="313"/>
      <c r="GB78" s="313"/>
      <c r="GC78" s="313"/>
      <c r="GD78" s="313"/>
      <c r="GE78" s="313"/>
      <c r="GF78" s="313"/>
      <c r="GG78" s="313"/>
      <c r="GH78" s="313"/>
      <c r="GI78" s="313"/>
      <c r="GJ78" s="313"/>
      <c r="GK78" s="313"/>
      <c r="GL78" s="313"/>
      <c r="GM78" s="313"/>
      <c r="GN78" s="313"/>
      <c r="GO78" s="313"/>
      <c r="GP78" s="313"/>
      <c r="GQ78" s="313"/>
      <c r="GR78" s="313"/>
      <c r="GS78" s="313"/>
      <c r="GT78" s="313"/>
      <c r="GU78" s="313"/>
      <c r="GV78" s="313"/>
      <c r="GW78" s="313"/>
      <c r="GX78" s="313"/>
      <c r="GY78" s="313"/>
      <c r="GZ78" s="313"/>
      <c r="HA78" s="313"/>
      <c r="HB78" s="313"/>
      <c r="HC78" s="313"/>
      <c r="HD78" s="313"/>
      <c r="HE78" s="313"/>
      <c r="HF78" s="313"/>
      <c r="HG78" s="313"/>
      <c r="HH78" s="313"/>
      <c r="HI78" s="313"/>
      <c r="HJ78" s="313"/>
      <c r="HK78" s="313"/>
      <c r="HL78" s="313"/>
      <c r="HM78" s="313"/>
      <c r="HN78" s="313"/>
      <c r="HO78" s="313"/>
      <c r="HP78" s="313"/>
      <c r="HQ78" s="313"/>
      <c r="HR78" s="313"/>
      <c r="HS78" s="313"/>
      <c r="HT78" s="313"/>
      <c r="HU78" s="313"/>
      <c r="HV78" s="313"/>
      <c r="HW78" s="313"/>
      <c r="HX78" s="313"/>
      <c r="HY78" s="313"/>
      <c r="HZ78" s="313"/>
      <c r="IA78" s="313"/>
      <c r="IB78" s="313"/>
      <c r="IC78" s="313"/>
      <c r="ID78" s="313"/>
      <c r="IE78" s="313"/>
      <c r="IF78" s="313"/>
      <c r="IG78" s="313"/>
      <c r="IH78" s="313"/>
      <c r="II78" s="313"/>
      <c r="IJ78" s="313"/>
      <c r="IK78" s="313"/>
      <c r="IL78" s="313"/>
      <c r="IM78" s="313"/>
      <c r="IN78" s="313"/>
      <c r="IO78" s="313"/>
      <c r="IP78" s="313"/>
      <c r="IQ78" s="313"/>
      <c r="IR78" s="313"/>
      <c r="IS78" s="313"/>
      <c r="IT78" s="313"/>
      <c r="IU78" s="313"/>
    </row>
    <row r="79" spans="1:255">
      <c r="A79" s="313"/>
      <c r="B79" s="313"/>
      <c r="C79" s="313"/>
      <c r="D79" s="313"/>
      <c r="E79" s="342"/>
      <c r="F79" s="313"/>
      <c r="G79" s="313"/>
      <c r="H79" s="313"/>
      <c r="I79" s="313"/>
      <c r="J79" s="313"/>
      <c r="K79" s="313"/>
      <c r="L79" s="313"/>
      <c r="M79" s="313"/>
      <c r="N79" s="313"/>
      <c r="O79" s="313"/>
      <c r="P79" s="313"/>
      <c r="Q79" s="313"/>
      <c r="R79" s="314"/>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3"/>
      <c r="AY79" s="313"/>
      <c r="AZ79" s="313"/>
      <c r="BA79" s="313"/>
      <c r="BB79" s="313"/>
      <c r="BC79" s="313"/>
      <c r="BD79" s="313"/>
      <c r="BE79" s="313"/>
      <c r="BF79" s="313"/>
      <c r="BG79" s="313"/>
      <c r="BH79" s="313"/>
      <c r="BI79" s="313"/>
      <c r="BJ79" s="313"/>
      <c r="BK79" s="313"/>
      <c r="BL79" s="313"/>
      <c r="BM79" s="313"/>
      <c r="BN79" s="313"/>
      <c r="BO79" s="313"/>
      <c r="BP79" s="313"/>
      <c r="BQ79" s="313"/>
      <c r="BR79" s="313"/>
      <c r="BS79" s="313"/>
      <c r="BT79" s="313"/>
      <c r="BU79" s="313"/>
      <c r="BV79" s="313"/>
      <c r="BW79" s="313"/>
      <c r="BX79" s="313"/>
      <c r="BY79" s="313"/>
      <c r="BZ79" s="313"/>
      <c r="CA79" s="313"/>
      <c r="CB79" s="313"/>
      <c r="CC79" s="313"/>
      <c r="CD79" s="313"/>
      <c r="CE79" s="313"/>
      <c r="CF79" s="313"/>
      <c r="CG79" s="313"/>
      <c r="CH79" s="313"/>
      <c r="CI79" s="313"/>
      <c r="CJ79" s="313"/>
      <c r="CK79" s="313"/>
      <c r="CL79" s="313"/>
      <c r="CM79" s="313"/>
      <c r="CN79" s="313"/>
      <c r="CO79" s="313"/>
      <c r="CP79" s="313"/>
      <c r="CQ79" s="313"/>
      <c r="CR79" s="313"/>
      <c r="CS79" s="313"/>
      <c r="CT79" s="313"/>
      <c r="CU79" s="313"/>
      <c r="CV79" s="313"/>
      <c r="CW79" s="313"/>
      <c r="CX79" s="313"/>
      <c r="CY79" s="313"/>
      <c r="CZ79" s="313"/>
      <c r="DA79" s="313"/>
      <c r="DB79" s="313"/>
      <c r="DC79" s="313"/>
      <c r="DD79" s="313"/>
      <c r="DE79" s="313"/>
      <c r="DF79" s="313"/>
      <c r="DG79" s="313"/>
      <c r="DH79" s="313"/>
      <c r="DI79" s="313"/>
      <c r="DJ79" s="313"/>
      <c r="DK79" s="313"/>
      <c r="DL79" s="313"/>
      <c r="DM79" s="313"/>
      <c r="DN79" s="313"/>
      <c r="DO79" s="313"/>
      <c r="DP79" s="313"/>
      <c r="DQ79" s="313"/>
      <c r="DR79" s="313"/>
      <c r="DS79" s="313"/>
      <c r="DT79" s="313"/>
      <c r="DU79" s="313"/>
      <c r="DV79" s="313"/>
      <c r="DW79" s="313"/>
      <c r="DX79" s="313"/>
      <c r="DY79" s="313"/>
      <c r="DZ79" s="313"/>
      <c r="EA79" s="313"/>
      <c r="EB79" s="313"/>
      <c r="EC79" s="313"/>
      <c r="ED79" s="313"/>
      <c r="EE79" s="313"/>
      <c r="EF79" s="313"/>
      <c r="EG79" s="313"/>
      <c r="EH79" s="313"/>
      <c r="EI79" s="313"/>
      <c r="EJ79" s="313"/>
      <c r="EK79" s="313"/>
      <c r="EL79" s="313"/>
      <c r="EM79" s="313"/>
      <c r="EN79" s="313"/>
      <c r="EO79" s="313"/>
      <c r="EP79" s="313"/>
      <c r="EQ79" s="313"/>
      <c r="ER79" s="313"/>
      <c r="ES79" s="313"/>
      <c r="ET79" s="313"/>
      <c r="EU79" s="313"/>
      <c r="EV79" s="313"/>
      <c r="EW79" s="313"/>
      <c r="EX79" s="313"/>
      <c r="EY79" s="313"/>
      <c r="EZ79" s="313"/>
      <c r="FA79" s="313"/>
      <c r="FB79" s="313"/>
      <c r="FC79" s="313"/>
      <c r="FD79" s="313"/>
      <c r="FE79" s="313"/>
      <c r="FF79" s="313"/>
      <c r="FG79" s="313"/>
      <c r="FH79" s="313"/>
      <c r="FI79" s="313"/>
      <c r="FJ79" s="313"/>
      <c r="FK79" s="313"/>
      <c r="FL79" s="313"/>
      <c r="FM79" s="313"/>
      <c r="FN79" s="313"/>
      <c r="FO79" s="313"/>
      <c r="FP79" s="313"/>
      <c r="FQ79" s="313"/>
      <c r="FR79" s="313"/>
      <c r="FS79" s="313"/>
      <c r="FT79" s="313"/>
      <c r="FU79" s="313"/>
      <c r="FV79" s="313"/>
      <c r="FW79" s="313"/>
      <c r="FX79" s="313"/>
      <c r="FY79" s="313"/>
      <c r="FZ79" s="313"/>
      <c r="GA79" s="313"/>
      <c r="GB79" s="313"/>
      <c r="GC79" s="313"/>
      <c r="GD79" s="313"/>
      <c r="GE79" s="313"/>
      <c r="GF79" s="313"/>
      <c r="GG79" s="313"/>
      <c r="GH79" s="313"/>
      <c r="GI79" s="313"/>
      <c r="GJ79" s="313"/>
      <c r="GK79" s="313"/>
      <c r="GL79" s="313"/>
      <c r="GM79" s="313"/>
      <c r="GN79" s="313"/>
      <c r="GO79" s="313"/>
      <c r="GP79" s="313"/>
      <c r="GQ79" s="313"/>
      <c r="GR79" s="313"/>
      <c r="GS79" s="313"/>
      <c r="GT79" s="313"/>
      <c r="GU79" s="313"/>
      <c r="GV79" s="313"/>
      <c r="GW79" s="313"/>
      <c r="GX79" s="313"/>
      <c r="GY79" s="313"/>
      <c r="GZ79" s="313"/>
      <c r="HA79" s="313"/>
      <c r="HB79" s="313"/>
      <c r="HC79" s="313"/>
      <c r="HD79" s="313"/>
      <c r="HE79" s="313"/>
      <c r="HF79" s="313"/>
      <c r="HG79" s="313"/>
      <c r="HH79" s="313"/>
      <c r="HI79" s="313"/>
      <c r="HJ79" s="313"/>
      <c r="HK79" s="313"/>
      <c r="HL79" s="313"/>
      <c r="HM79" s="313"/>
      <c r="HN79" s="313"/>
      <c r="HO79" s="313"/>
      <c r="HP79" s="313"/>
      <c r="HQ79" s="313"/>
      <c r="HR79" s="313"/>
      <c r="HS79" s="313"/>
      <c r="HT79" s="313"/>
      <c r="HU79" s="313"/>
      <c r="HV79" s="313"/>
      <c r="HW79" s="313"/>
      <c r="HX79" s="313"/>
      <c r="HY79" s="313"/>
      <c r="HZ79" s="313"/>
      <c r="IA79" s="313"/>
      <c r="IB79" s="313"/>
      <c r="IC79" s="313"/>
      <c r="ID79" s="313"/>
      <c r="IE79" s="313"/>
      <c r="IF79" s="313"/>
      <c r="IG79" s="313"/>
      <c r="IH79" s="313"/>
      <c r="II79" s="313"/>
      <c r="IJ79" s="313"/>
      <c r="IK79" s="313"/>
      <c r="IL79" s="313"/>
      <c r="IM79" s="313"/>
      <c r="IN79" s="313"/>
      <c r="IO79" s="313"/>
      <c r="IP79" s="313"/>
      <c r="IQ79" s="313"/>
      <c r="IR79" s="313"/>
      <c r="IS79" s="313"/>
      <c r="IT79" s="313"/>
      <c r="IU79" s="313"/>
    </row>
    <row r="80" spans="1:255">
      <c r="A80" s="313"/>
      <c r="B80" s="313"/>
      <c r="C80" s="313"/>
      <c r="D80" s="313"/>
      <c r="E80" s="342"/>
      <c r="F80" s="313"/>
      <c r="G80" s="313"/>
      <c r="H80" s="313"/>
      <c r="I80" s="313"/>
      <c r="J80" s="313"/>
      <c r="K80" s="313"/>
      <c r="L80" s="313"/>
      <c r="M80" s="313"/>
      <c r="N80" s="313"/>
      <c r="O80" s="313"/>
      <c r="P80" s="313"/>
      <c r="Q80" s="313"/>
      <c r="R80" s="314"/>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3"/>
      <c r="AY80" s="313"/>
      <c r="AZ80" s="313"/>
      <c r="BA80" s="313"/>
      <c r="BB80" s="313"/>
      <c r="BC80" s="313"/>
      <c r="BD80" s="313"/>
      <c r="BE80" s="313"/>
      <c r="BF80" s="313"/>
      <c r="BG80" s="313"/>
      <c r="BH80" s="313"/>
      <c r="BI80" s="313"/>
      <c r="BJ80" s="313"/>
      <c r="BK80" s="313"/>
      <c r="BL80" s="313"/>
      <c r="BM80" s="313"/>
      <c r="BN80" s="313"/>
      <c r="BO80" s="313"/>
      <c r="BP80" s="313"/>
      <c r="BQ80" s="313"/>
      <c r="BR80" s="313"/>
      <c r="BS80" s="313"/>
      <c r="BT80" s="313"/>
      <c r="BU80" s="313"/>
      <c r="BV80" s="313"/>
      <c r="BW80" s="313"/>
      <c r="BX80" s="313"/>
      <c r="BY80" s="313"/>
      <c r="BZ80" s="313"/>
      <c r="CA80" s="313"/>
      <c r="CB80" s="313"/>
      <c r="CC80" s="313"/>
      <c r="CD80" s="313"/>
      <c r="CE80" s="313"/>
      <c r="CF80" s="313"/>
      <c r="CG80" s="313"/>
      <c r="CH80" s="313"/>
      <c r="CI80" s="313"/>
      <c r="CJ80" s="313"/>
      <c r="CK80" s="313"/>
      <c r="CL80" s="313"/>
      <c r="CM80" s="313"/>
      <c r="CN80" s="313"/>
      <c r="CO80" s="313"/>
      <c r="CP80" s="313"/>
      <c r="CQ80" s="313"/>
      <c r="CR80" s="313"/>
      <c r="CS80" s="313"/>
      <c r="CT80" s="313"/>
      <c r="CU80" s="313"/>
      <c r="CV80" s="313"/>
      <c r="CW80" s="313"/>
      <c r="CX80" s="313"/>
      <c r="CY80" s="313"/>
      <c r="CZ80" s="313"/>
      <c r="DA80" s="313"/>
      <c r="DB80" s="313"/>
      <c r="DC80" s="313"/>
      <c r="DD80" s="313"/>
      <c r="DE80" s="313"/>
      <c r="DF80" s="313"/>
      <c r="DG80" s="313"/>
      <c r="DH80" s="313"/>
      <c r="DI80" s="313"/>
      <c r="DJ80" s="313"/>
      <c r="DK80" s="313"/>
      <c r="DL80" s="313"/>
      <c r="DM80" s="313"/>
      <c r="DN80" s="313"/>
      <c r="DO80" s="313"/>
      <c r="DP80" s="313"/>
      <c r="DQ80" s="313"/>
      <c r="DR80" s="313"/>
      <c r="DS80" s="313"/>
      <c r="DT80" s="313"/>
      <c r="DU80" s="313"/>
      <c r="DV80" s="313"/>
      <c r="DW80" s="313"/>
      <c r="DX80" s="313"/>
      <c r="DY80" s="313"/>
      <c r="DZ80" s="313"/>
      <c r="EA80" s="313"/>
      <c r="EB80" s="313"/>
      <c r="EC80" s="313"/>
      <c r="ED80" s="313"/>
      <c r="EE80" s="313"/>
      <c r="EF80" s="313"/>
      <c r="EG80" s="313"/>
      <c r="EH80" s="313"/>
      <c r="EI80" s="313"/>
      <c r="EJ80" s="313"/>
      <c r="EK80" s="313"/>
      <c r="EL80" s="313"/>
      <c r="EM80" s="313"/>
      <c r="EN80" s="313"/>
      <c r="EO80" s="313"/>
      <c r="EP80" s="313"/>
      <c r="EQ80" s="313"/>
      <c r="ER80" s="313"/>
      <c r="ES80" s="313"/>
      <c r="ET80" s="313"/>
      <c r="EU80" s="313"/>
      <c r="EV80" s="313"/>
      <c r="EW80" s="313"/>
      <c r="EX80" s="313"/>
      <c r="EY80" s="313"/>
      <c r="EZ80" s="313"/>
      <c r="FA80" s="313"/>
      <c r="FB80" s="313"/>
      <c r="FC80" s="313"/>
      <c r="FD80" s="313"/>
      <c r="FE80" s="313"/>
      <c r="FF80" s="313"/>
      <c r="FG80" s="313"/>
      <c r="FH80" s="313"/>
      <c r="FI80" s="313"/>
      <c r="FJ80" s="313"/>
      <c r="FK80" s="313"/>
      <c r="FL80" s="313"/>
      <c r="FM80" s="313"/>
      <c r="FN80" s="313"/>
      <c r="FO80" s="313"/>
      <c r="FP80" s="313"/>
      <c r="FQ80" s="313"/>
      <c r="FR80" s="313"/>
      <c r="FS80" s="313"/>
      <c r="FT80" s="313"/>
      <c r="FU80" s="313"/>
      <c r="FV80" s="313"/>
      <c r="FW80" s="313"/>
      <c r="FX80" s="313"/>
      <c r="FY80" s="313"/>
      <c r="FZ80" s="313"/>
      <c r="GA80" s="313"/>
      <c r="GB80" s="313"/>
      <c r="GC80" s="313"/>
      <c r="GD80" s="313"/>
      <c r="GE80" s="313"/>
      <c r="GF80" s="313"/>
      <c r="GG80" s="313"/>
      <c r="GH80" s="313"/>
      <c r="GI80" s="313"/>
      <c r="GJ80" s="313"/>
      <c r="GK80" s="313"/>
      <c r="GL80" s="313"/>
      <c r="GM80" s="313"/>
      <c r="GN80" s="313"/>
      <c r="GO80" s="313"/>
      <c r="GP80" s="313"/>
      <c r="GQ80" s="313"/>
      <c r="GR80" s="313"/>
      <c r="GS80" s="313"/>
      <c r="GT80" s="313"/>
      <c r="GU80" s="313"/>
      <c r="GV80" s="313"/>
      <c r="GW80" s="313"/>
      <c r="GX80" s="313"/>
      <c r="GY80" s="313"/>
      <c r="GZ80" s="313"/>
      <c r="HA80" s="313"/>
      <c r="HB80" s="313"/>
      <c r="HC80" s="313"/>
      <c r="HD80" s="313"/>
      <c r="HE80" s="313"/>
      <c r="HF80" s="313"/>
      <c r="HG80" s="313"/>
      <c r="HH80" s="313"/>
      <c r="HI80" s="313"/>
      <c r="HJ80" s="313"/>
      <c r="HK80" s="313"/>
      <c r="HL80" s="313"/>
      <c r="HM80" s="313"/>
      <c r="HN80" s="313"/>
      <c r="HO80" s="313"/>
      <c r="HP80" s="313"/>
      <c r="HQ80" s="313"/>
      <c r="HR80" s="313"/>
      <c r="HS80" s="313"/>
      <c r="HT80" s="313"/>
      <c r="HU80" s="313"/>
      <c r="HV80" s="313"/>
      <c r="HW80" s="313"/>
      <c r="HX80" s="313"/>
      <c r="HY80" s="313"/>
      <c r="HZ80" s="313"/>
      <c r="IA80" s="313"/>
      <c r="IB80" s="313"/>
      <c r="IC80" s="313"/>
      <c r="ID80" s="313"/>
      <c r="IE80" s="313"/>
      <c r="IF80" s="313"/>
      <c r="IG80" s="313"/>
      <c r="IH80" s="313"/>
      <c r="II80" s="313"/>
      <c r="IJ80" s="313"/>
      <c r="IK80" s="313"/>
      <c r="IL80" s="313"/>
      <c r="IM80" s="313"/>
      <c r="IN80" s="313"/>
      <c r="IO80" s="313"/>
      <c r="IP80" s="313"/>
      <c r="IQ80" s="313"/>
      <c r="IR80" s="313"/>
      <c r="IS80" s="313"/>
      <c r="IT80" s="313"/>
      <c r="IU80" s="313"/>
    </row>
    <row r="81" spans="1:255">
      <c r="A81" s="313"/>
      <c r="B81" s="313"/>
      <c r="C81" s="313"/>
      <c r="D81" s="313"/>
      <c r="E81" s="342"/>
      <c r="F81" s="313"/>
      <c r="G81" s="313"/>
      <c r="H81" s="313"/>
      <c r="I81" s="313"/>
      <c r="J81" s="313"/>
      <c r="K81" s="313"/>
      <c r="L81" s="313"/>
      <c r="M81" s="313"/>
      <c r="N81" s="313"/>
      <c r="O81" s="313"/>
      <c r="P81" s="313"/>
      <c r="Q81" s="313"/>
      <c r="R81" s="314"/>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3"/>
      <c r="AY81" s="313"/>
      <c r="AZ81" s="313"/>
      <c r="BA81" s="313"/>
      <c r="BB81" s="313"/>
      <c r="BC81" s="313"/>
      <c r="BD81" s="313"/>
      <c r="BE81" s="313"/>
      <c r="BF81" s="313"/>
      <c r="BG81" s="313"/>
      <c r="BH81" s="313"/>
      <c r="BI81" s="313"/>
      <c r="BJ81" s="313"/>
      <c r="BK81" s="313"/>
      <c r="BL81" s="313"/>
      <c r="BM81" s="313"/>
      <c r="BN81" s="313"/>
      <c r="BO81" s="313"/>
      <c r="BP81" s="313"/>
      <c r="BQ81" s="313"/>
      <c r="BR81" s="313"/>
      <c r="BS81" s="313"/>
      <c r="BT81" s="313"/>
      <c r="BU81" s="313"/>
      <c r="BV81" s="313"/>
      <c r="BW81" s="313"/>
      <c r="BX81" s="313"/>
      <c r="BY81" s="313"/>
      <c r="BZ81" s="313"/>
      <c r="CA81" s="313"/>
      <c r="CB81" s="313"/>
      <c r="CC81" s="313"/>
      <c r="CD81" s="313"/>
      <c r="CE81" s="313"/>
      <c r="CF81" s="313"/>
      <c r="CG81" s="313"/>
      <c r="CH81" s="313"/>
      <c r="CI81" s="313"/>
      <c r="CJ81" s="313"/>
      <c r="CK81" s="313"/>
      <c r="CL81" s="313"/>
      <c r="CM81" s="313"/>
      <c r="CN81" s="313"/>
      <c r="CO81" s="313"/>
      <c r="CP81" s="313"/>
      <c r="CQ81" s="313"/>
      <c r="CR81" s="313"/>
      <c r="CS81" s="313"/>
      <c r="CT81" s="313"/>
      <c r="CU81" s="313"/>
      <c r="CV81" s="313"/>
      <c r="CW81" s="313"/>
      <c r="CX81" s="313"/>
      <c r="CY81" s="313"/>
      <c r="CZ81" s="313"/>
      <c r="DA81" s="313"/>
      <c r="DB81" s="313"/>
      <c r="DC81" s="313"/>
      <c r="DD81" s="313"/>
      <c r="DE81" s="313"/>
      <c r="DF81" s="313"/>
      <c r="DG81" s="313"/>
      <c r="DH81" s="313"/>
      <c r="DI81" s="313"/>
      <c r="DJ81" s="313"/>
      <c r="DK81" s="313"/>
      <c r="DL81" s="313"/>
      <c r="DM81" s="313"/>
      <c r="DN81" s="313"/>
      <c r="DO81" s="313"/>
      <c r="DP81" s="313"/>
      <c r="DQ81" s="313"/>
      <c r="DR81" s="313"/>
      <c r="DS81" s="313"/>
      <c r="DT81" s="313"/>
      <c r="DU81" s="313"/>
      <c r="DV81" s="313"/>
      <c r="DW81" s="313"/>
      <c r="DX81" s="313"/>
      <c r="DY81" s="313"/>
      <c r="DZ81" s="313"/>
      <c r="EA81" s="313"/>
      <c r="EB81" s="313"/>
      <c r="EC81" s="313"/>
      <c r="ED81" s="313"/>
      <c r="EE81" s="313"/>
      <c r="EF81" s="313"/>
      <c r="EG81" s="313"/>
      <c r="EH81" s="313"/>
      <c r="EI81" s="313"/>
      <c r="EJ81" s="313"/>
      <c r="EK81" s="313"/>
      <c r="EL81" s="313"/>
      <c r="EM81" s="313"/>
      <c r="EN81" s="313"/>
      <c r="EO81" s="313"/>
      <c r="EP81" s="313"/>
      <c r="EQ81" s="313"/>
      <c r="ER81" s="313"/>
      <c r="ES81" s="313"/>
      <c r="ET81" s="313"/>
      <c r="EU81" s="313"/>
      <c r="EV81" s="313"/>
      <c r="EW81" s="313"/>
      <c r="EX81" s="313"/>
      <c r="EY81" s="313"/>
      <c r="EZ81" s="313"/>
      <c r="FA81" s="313"/>
      <c r="FB81" s="313"/>
      <c r="FC81" s="313"/>
      <c r="FD81" s="313"/>
      <c r="FE81" s="313"/>
      <c r="FF81" s="313"/>
      <c r="FG81" s="313"/>
      <c r="FH81" s="313"/>
      <c r="FI81" s="313"/>
      <c r="FJ81" s="313"/>
      <c r="FK81" s="313"/>
      <c r="FL81" s="313"/>
      <c r="FM81" s="313"/>
      <c r="FN81" s="313"/>
      <c r="FO81" s="313"/>
      <c r="FP81" s="313"/>
      <c r="FQ81" s="313"/>
      <c r="FR81" s="313"/>
      <c r="FS81" s="313"/>
      <c r="FT81" s="313"/>
      <c r="FU81" s="313"/>
      <c r="FV81" s="313"/>
      <c r="FW81" s="313"/>
      <c r="FX81" s="313"/>
      <c r="FY81" s="313"/>
      <c r="FZ81" s="313"/>
      <c r="GA81" s="313"/>
      <c r="GB81" s="313"/>
      <c r="GC81" s="313"/>
      <c r="GD81" s="313"/>
      <c r="GE81" s="313"/>
      <c r="GF81" s="313"/>
      <c r="GG81" s="313"/>
      <c r="GH81" s="313"/>
      <c r="GI81" s="313"/>
      <c r="GJ81" s="313"/>
      <c r="GK81" s="313"/>
      <c r="GL81" s="313"/>
      <c r="GM81" s="313"/>
      <c r="GN81" s="313"/>
      <c r="GO81" s="313"/>
      <c r="GP81" s="313"/>
      <c r="GQ81" s="313"/>
      <c r="GR81" s="313"/>
      <c r="GS81" s="313"/>
      <c r="GT81" s="313"/>
      <c r="GU81" s="313"/>
      <c r="GV81" s="313"/>
      <c r="GW81" s="313"/>
      <c r="GX81" s="313"/>
      <c r="GY81" s="313"/>
      <c r="GZ81" s="313"/>
      <c r="HA81" s="313"/>
      <c r="HB81" s="313"/>
      <c r="HC81" s="313"/>
      <c r="HD81" s="313"/>
      <c r="HE81" s="313"/>
      <c r="HF81" s="313"/>
      <c r="HG81" s="313"/>
      <c r="HH81" s="313"/>
      <c r="HI81" s="313"/>
      <c r="HJ81" s="313"/>
      <c r="HK81" s="313"/>
      <c r="HL81" s="313"/>
      <c r="HM81" s="313"/>
      <c r="HN81" s="313"/>
      <c r="HO81" s="313"/>
      <c r="HP81" s="313"/>
      <c r="HQ81" s="313"/>
      <c r="HR81" s="313"/>
      <c r="HS81" s="313"/>
      <c r="HT81" s="313"/>
      <c r="HU81" s="313"/>
      <c r="HV81" s="313"/>
      <c r="HW81" s="313"/>
      <c r="HX81" s="313"/>
      <c r="HY81" s="313"/>
      <c r="HZ81" s="313"/>
      <c r="IA81" s="313"/>
      <c r="IB81" s="313"/>
      <c r="IC81" s="313"/>
      <c r="ID81" s="313"/>
      <c r="IE81" s="313"/>
      <c r="IF81" s="313"/>
      <c r="IG81" s="313"/>
      <c r="IH81" s="313"/>
      <c r="II81" s="313"/>
      <c r="IJ81" s="313"/>
      <c r="IK81" s="313"/>
      <c r="IL81" s="313"/>
      <c r="IM81" s="313"/>
      <c r="IN81" s="313"/>
      <c r="IO81" s="313"/>
      <c r="IP81" s="313"/>
      <c r="IQ81" s="313"/>
      <c r="IR81" s="313"/>
      <c r="IS81" s="313"/>
      <c r="IT81" s="313"/>
      <c r="IU81" s="313"/>
    </row>
    <row r="82" spans="1:255">
      <c r="A82" s="313"/>
      <c r="B82" s="313"/>
      <c r="C82" s="313"/>
      <c r="D82" s="313"/>
      <c r="E82" s="342"/>
      <c r="F82" s="313"/>
      <c r="G82" s="313"/>
      <c r="H82" s="313"/>
      <c r="I82" s="313"/>
      <c r="J82" s="313"/>
      <c r="K82" s="313"/>
      <c r="L82" s="313"/>
      <c r="M82" s="313"/>
      <c r="N82" s="313"/>
      <c r="O82" s="313"/>
      <c r="P82" s="313"/>
      <c r="Q82" s="313"/>
      <c r="R82" s="314"/>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3"/>
      <c r="BE82" s="313"/>
      <c r="BF82" s="313"/>
      <c r="BG82" s="313"/>
      <c r="BH82" s="313"/>
      <c r="BI82" s="313"/>
      <c r="BJ82" s="313"/>
      <c r="BK82" s="313"/>
      <c r="BL82" s="313"/>
      <c r="BM82" s="313"/>
      <c r="BN82" s="313"/>
      <c r="BO82" s="313"/>
      <c r="BP82" s="313"/>
      <c r="BQ82" s="313"/>
      <c r="BR82" s="313"/>
      <c r="BS82" s="313"/>
      <c r="BT82" s="313"/>
      <c r="BU82" s="313"/>
      <c r="BV82" s="313"/>
      <c r="BW82" s="313"/>
      <c r="BX82" s="313"/>
      <c r="BY82" s="313"/>
      <c r="BZ82" s="313"/>
      <c r="CA82" s="313"/>
      <c r="CB82" s="313"/>
      <c r="CC82" s="313"/>
      <c r="CD82" s="313"/>
      <c r="CE82" s="313"/>
      <c r="CF82" s="313"/>
      <c r="CG82" s="313"/>
      <c r="CH82" s="313"/>
      <c r="CI82" s="313"/>
      <c r="CJ82" s="313"/>
      <c r="CK82" s="313"/>
      <c r="CL82" s="313"/>
      <c r="CM82" s="313"/>
      <c r="CN82" s="313"/>
      <c r="CO82" s="313"/>
      <c r="CP82" s="313"/>
      <c r="CQ82" s="313"/>
      <c r="CR82" s="313"/>
      <c r="CS82" s="313"/>
      <c r="CT82" s="313"/>
      <c r="CU82" s="313"/>
      <c r="CV82" s="313"/>
      <c r="CW82" s="313"/>
      <c r="CX82" s="313"/>
      <c r="CY82" s="313"/>
      <c r="CZ82" s="313"/>
      <c r="DA82" s="313"/>
      <c r="DB82" s="313"/>
      <c r="DC82" s="313"/>
      <c r="DD82" s="313"/>
      <c r="DE82" s="313"/>
      <c r="DF82" s="313"/>
      <c r="DG82" s="313"/>
      <c r="DH82" s="313"/>
      <c r="DI82" s="313"/>
      <c r="DJ82" s="313"/>
      <c r="DK82" s="313"/>
      <c r="DL82" s="313"/>
      <c r="DM82" s="313"/>
      <c r="DN82" s="313"/>
      <c r="DO82" s="313"/>
      <c r="DP82" s="313"/>
      <c r="DQ82" s="313"/>
      <c r="DR82" s="313"/>
      <c r="DS82" s="313"/>
      <c r="DT82" s="313"/>
      <c r="DU82" s="313"/>
      <c r="DV82" s="313"/>
      <c r="DW82" s="313"/>
      <c r="DX82" s="313"/>
      <c r="DY82" s="313"/>
      <c r="DZ82" s="313"/>
      <c r="EA82" s="313"/>
      <c r="EB82" s="313"/>
      <c r="EC82" s="313"/>
      <c r="ED82" s="313"/>
      <c r="EE82" s="313"/>
      <c r="EF82" s="313"/>
      <c r="EG82" s="313"/>
      <c r="EH82" s="313"/>
      <c r="EI82" s="313"/>
      <c r="EJ82" s="313"/>
      <c r="EK82" s="313"/>
      <c r="EL82" s="313"/>
      <c r="EM82" s="313"/>
      <c r="EN82" s="313"/>
      <c r="EO82" s="313"/>
      <c r="EP82" s="313"/>
      <c r="EQ82" s="313"/>
      <c r="ER82" s="313"/>
      <c r="ES82" s="313"/>
      <c r="ET82" s="313"/>
      <c r="EU82" s="313"/>
      <c r="EV82" s="313"/>
      <c r="EW82" s="313"/>
      <c r="EX82" s="313"/>
      <c r="EY82" s="313"/>
      <c r="EZ82" s="313"/>
      <c r="FA82" s="313"/>
      <c r="FB82" s="313"/>
      <c r="FC82" s="313"/>
      <c r="FD82" s="313"/>
      <c r="FE82" s="313"/>
      <c r="FF82" s="313"/>
      <c r="FG82" s="313"/>
      <c r="FH82" s="313"/>
      <c r="FI82" s="313"/>
      <c r="FJ82" s="313"/>
      <c r="FK82" s="313"/>
      <c r="FL82" s="313"/>
      <c r="FM82" s="313"/>
      <c r="FN82" s="313"/>
      <c r="FO82" s="313"/>
      <c r="FP82" s="313"/>
      <c r="FQ82" s="313"/>
      <c r="FR82" s="313"/>
      <c r="FS82" s="313"/>
      <c r="FT82" s="313"/>
      <c r="FU82" s="313"/>
      <c r="FV82" s="313"/>
      <c r="FW82" s="313"/>
      <c r="FX82" s="313"/>
      <c r="FY82" s="313"/>
      <c r="FZ82" s="313"/>
      <c r="GA82" s="313"/>
      <c r="GB82" s="313"/>
      <c r="GC82" s="313"/>
      <c r="GD82" s="313"/>
      <c r="GE82" s="313"/>
      <c r="GF82" s="313"/>
      <c r="GG82" s="313"/>
      <c r="GH82" s="313"/>
      <c r="GI82" s="313"/>
      <c r="GJ82" s="313"/>
      <c r="GK82" s="313"/>
      <c r="GL82" s="313"/>
      <c r="GM82" s="313"/>
      <c r="GN82" s="313"/>
      <c r="GO82" s="313"/>
      <c r="GP82" s="313"/>
      <c r="GQ82" s="313"/>
      <c r="GR82" s="313"/>
      <c r="GS82" s="313"/>
      <c r="GT82" s="313"/>
      <c r="GU82" s="313"/>
      <c r="GV82" s="313"/>
      <c r="GW82" s="313"/>
      <c r="GX82" s="313"/>
      <c r="GY82" s="313"/>
      <c r="GZ82" s="313"/>
      <c r="HA82" s="313"/>
      <c r="HB82" s="313"/>
      <c r="HC82" s="313"/>
      <c r="HD82" s="313"/>
      <c r="HE82" s="313"/>
      <c r="HF82" s="313"/>
      <c r="HG82" s="313"/>
      <c r="HH82" s="313"/>
      <c r="HI82" s="313"/>
      <c r="HJ82" s="313"/>
      <c r="HK82" s="313"/>
      <c r="HL82" s="313"/>
      <c r="HM82" s="313"/>
      <c r="HN82" s="313"/>
      <c r="HO82" s="313"/>
      <c r="HP82" s="313"/>
      <c r="HQ82" s="313"/>
      <c r="HR82" s="313"/>
      <c r="HS82" s="313"/>
      <c r="HT82" s="313"/>
      <c r="HU82" s="313"/>
      <c r="HV82" s="313"/>
      <c r="HW82" s="313"/>
      <c r="HX82" s="313"/>
      <c r="HY82" s="313"/>
      <c r="HZ82" s="313"/>
      <c r="IA82" s="313"/>
      <c r="IB82" s="313"/>
      <c r="IC82" s="313"/>
      <c r="ID82" s="313"/>
      <c r="IE82" s="313"/>
      <c r="IF82" s="313"/>
      <c r="IG82" s="313"/>
      <c r="IH82" s="313"/>
      <c r="II82" s="313"/>
      <c r="IJ82" s="313"/>
      <c r="IK82" s="313"/>
      <c r="IL82" s="313"/>
      <c r="IM82" s="313"/>
      <c r="IN82" s="313"/>
      <c r="IO82" s="313"/>
      <c r="IP82" s="313"/>
      <c r="IQ82" s="313"/>
      <c r="IR82" s="313"/>
      <c r="IS82" s="313"/>
      <c r="IT82" s="313"/>
      <c r="IU82" s="313"/>
    </row>
    <row r="83" spans="1:255">
      <c r="A83" s="313"/>
      <c r="B83" s="313"/>
      <c r="C83" s="313"/>
      <c r="D83" s="313"/>
      <c r="E83" s="342"/>
      <c r="F83" s="313"/>
      <c r="G83" s="313"/>
      <c r="H83" s="313"/>
      <c r="I83" s="313"/>
      <c r="J83" s="313"/>
      <c r="K83" s="313"/>
      <c r="L83" s="313"/>
      <c r="M83" s="313"/>
      <c r="N83" s="313"/>
      <c r="O83" s="313"/>
      <c r="P83" s="313"/>
      <c r="Q83" s="313"/>
      <c r="R83" s="314"/>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3"/>
      <c r="AZ83" s="313"/>
      <c r="BA83" s="313"/>
      <c r="BB83" s="313"/>
      <c r="BC83" s="313"/>
      <c r="BD83" s="313"/>
      <c r="BE83" s="313"/>
      <c r="BF83" s="313"/>
      <c r="BG83" s="313"/>
      <c r="BH83" s="313"/>
      <c r="BI83" s="313"/>
      <c r="BJ83" s="313"/>
      <c r="BK83" s="313"/>
      <c r="BL83" s="313"/>
      <c r="BM83" s="313"/>
      <c r="BN83" s="313"/>
      <c r="BO83" s="313"/>
      <c r="BP83" s="313"/>
      <c r="BQ83" s="313"/>
      <c r="BR83" s="313"/>
      <c r="BS83" s="313"/>
      <c r="BT83" s="313"/>
      <c r="BU83" s="313"/>
      <c r="BV83" s="313"/>
      <c r="BW83" s="313"/>
      <c r="BX83" s="313"/>
      <c r="BY83" s="313"/>
      <c r="BZ83" s="313"/>
      <c r="CA83" s="313"/>
      <c r="CB83" s="313"/>
      <c r="CC83" s="313"/>
      <c r="CD83" s="313"/>
      <c r="CE83" s="313"/>
      <c r="CF83" s="313"/>
      <c r="CG83" s="313"/>
      <c r="CH83" s="313"/>
      <c r="CI83" s="313"/>
      <c r="CJ83" s="313"/>
      <c r="CK83" s="313"/>
      <c r="CL83" s="313"/>
      <c r="CM83" s="313"/>
      <c r="CN83" s="313"/>
      <c r="CO83" s="313"/>
      <c r="CP83" s="313"/>
      <c r="CQ83" s="313"/>
      <c r="CR83" s="313"/>
      <c r="CS83" s="313"/>
      <c r="CT83" s="313"/>
      <c r="CU83" s="313"/>
      <c r="CV83" s="313"/>
      <c r="CW83" s="313"/>
      <c r="CX83" s="313"/>
      <c r="CY83" s="313"/>
      <c r="CZ83" s="313"/>
      <c r="DA83" s="313"/>
      <c r="DB83" s="313"/>
      <c r="DC83" s="313"/>
      <c r="DD83" s="313"/>
      <c r="DE83" s="313"/>
      <c r="DF83" s="313"/>
      <c r="DG83" s="313"/>
      <c r="DH83" s="313"/>
      <c r="DI83" s="313"/>
      <c r="DJ83" s="313"/>
      <c r="DK83" s="313"/>
      <c r="DL83" s="313"/>
      <c r="DM83" s="313"/>
      <c r="DN83" s="313"/>
      <c r="DO83" s="313"/>
      <c r="DP83" s="313"/>
      <c r="DQ83" s="313"/>
      <c r="DR83" s="313"/>
      <c r="DS83" s="313"/>
      <c r="DT83" s="313"/>
      <c r="DU83" s="313"/>
      <c r="DV83" s="313"/>
      <c r="DW83" s="313"/>
      <c r="DX83" s="313"/>
      <c r="DY83" s="313"/>
      <c r="DZ83" s="313"/>
      <c r="EA83" s="313"/>
      <c r="EB83" s="313"/>
      <c r="EC83" s="313"/>
      <c r="ED83" s="313"/>
      <c r="EE83" s="313"/>
      <c r="EF83" s="313"/>
      <c r="EG83" s="313"/>
      <c r="EH83" s="313"/>
      <c r="EI83" s="313"/>
      <c r="EJ83" s="313"/>
      <c r="EK83" s="313"/>
      <c r="EL83" s="313"/>
      <c r="EM83" s="313"/>
      <c r="EN83" s="313"/>
      <c r="EO83" s="313"/>
      <c r="EP83" s="313"/>
      <c r="EQ83" s="313"/>
      <c r="ER83" s="313"/>
      <c r="ES83" s="313"/>
      <c r="ET83" s="313"/>
      <c r="EU83" s="313"/>
      <c r="EV83" s="313"/>
      <c r="EW83" s="313"/>
      <c r="EX83" s="313"/>
      <c r="EY83" s="313"/>
      <c r="EZ83" s="313"/>
      <c r="FA83" s="313"/>
      <c r="FB83" s="313"/>
      <c r="FC83" s="313"/>
      <c r="FD83" s="313"/>
      <c r="FE83" s="313"/>
      <c r="FF83" s="313"/>
      <c r="FG83" s="313"/>
      <c r="FH83" s="313"/>
      <c r="FI83" s="313"/>
      <c r="FJ83" s="313"/>
      <c r="FK83" s="313"/>
      <c r="FL83" s="313"/>
      <c r="FM83" s="313"/>
      <c r="FN83" s="313"/>
      <c r="FO83" s="313"/>
      <c r="FP83" s="313"/>
      <c r="FQ83" s="313"/>
      <c r="FR83" s="313"/>
      <c r="FS83" s="313"/>
      <c r="FT83" s="313"/>
      <c r="FU83" s="313"/>
      <c r="FV83" s="313"/>
      <c r="FW83" s="313"/>
      <c r="FX83" s="313"/>
      <c r="FY83" s="313"/>
      <c r="FZ83" s="313"/>
      <c r="GA83" s="313"/>
      <c r="GB83" s="313"/>
      <c r="GC83" s="313"/>
      <c r="GD83" s="313"/>
      <c r="GE83" s="313"/>
      <c r="GF83" s="313"/>
      <c r="GG83" s="313"/>
      <c r="GH83" s="313"/>
      <c r="GI83" s="313"/>
      <c r="GJ83" s="313"/>
      <c r="GK83" s="313"/>
      <c r="GL83" s="313"/>
      <c r="GM83" s="313"/>
      <c r="GN83" s="313"/>
      <c r="GO83" s="313"/>
      <c r="GP83" s="313"/>
      <c r="GQ83" s="313"/>
      <c r="GR83" s="313"/>
      <c r="GS83" s="313"/>
      <c r="GT83" s="313"/>
      <c r="GU83" s="313"/>
      <c r="GV83" s="313"/>
      <c r="GW83" s="313"/>
      <c r="GX83" s="313"/>
      <c r="GY83" s="313"/>
      <c r="GZ83" s="313"/>
      <c r="HA83" s="313"/>
      <c r="HB83" s="313"/>
      <c r="HC83" s="313"/>
      <c r="HD83" s="313"/>
      <c r="HE83" s="313"/>
      <c r="HF83" s="313"/>
      <c r="HG83" s="313"/>
      <c r="HH83" s="313"/>
      <c r="HI83" s="313"/>
      <c r="HJ83" s="313"/>
      <c r="HK83" s="313"/>
      <c r="HL83" s="313"/>
      <c r="HM83" s="313"/>
      <c r="HN83" s="313"/>
      <c r="HO83" s="313"/>
      <c r="HP83" s="313"/>
      <c r="HQ83" s="313"/>
      <c r="HR83" s="313"/>
      <c r="HS83" s="313"/>
      <c r="HT83" s="313"/>
      <c r="HU83" s="313"/>
      <c r="HV83" s="313"/>
      <c r="HW83" s="313"/>
      <c r="HX83" s="313"/>
      <c r="HY83" s="313"/>
      <c r="HZ83" s="313"/>
      <c r="IA83" s="313"/>
      <c r="IB83" s="313"/>
      <c r="IC83" s="313"/>
      <c r="ID83" s="313"/>
      <c r="IE83" s="313"/>
      <c r="IF83" s="313"/>
      <c r="IG83" s="313"/>
      <c r="IH83" s="313"/>
      <c r="II83" s="313"/>
      <c r="IJ83" s="313"/>
      <c r="IK83" s="313"/>
      <c r="IL83" s="313"/>
      <c r="IM83" s="313"/>
      <c r="IN83" s="313"/>
      <c r="IO83" s="313"/>
      <c r="IP83" s="313"/>
      <c r="IQ83" s="313"/>
      <c r="IR83" s="313"/>
      <c r="IS83" s="313"/>
      <c r="IT83" s="313"/>
      <c r="IU83" s="313"/>
    </row>
  </sheetData>
  <mergeCells count="7">
    <mergeCell ref="N3:P3"/>
    <mergeCell ref="A4:C4"/>
    <mergeCell ref="B64:L65"/>
    <mergeCell ref="A1:L1"/>
    <mergeCell ref="D3:F3"/>
    <mergeCell ref="G3:I3"/>
    <mergeCell ref="J3: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887C-758F-4029-AB76-959B1A3D2135}">
  <dimension ref="A1:AS126"/>
  <sheetViews>
    <sheetView zoomScale="120" zoomScaleNormal="120" workbookViewId="0">
      <selection activeCell="A2" sqref="A2"/>
    </sheetView>
  </sheetViews>
  <sheetFormatPr defaultRowHeight="12.75"/>
  <cols>
    <col min="1" max="1" width="94" bestFit="1" customWidth="1"/>
    <col min="3" max="3" width="13.42578125" bestFit="1" customWidth="1"/>
    <col min="6" max="6" width="18.42578125" bestFit="1" customWidth="1"/>
    <col min="7" max="7" width="22.85546875" bestFit="1" customWidth="1"/>
    <col min="8" max="8" width="4.42578125" customWidth="1"/>
    <col min="9" max="9" width="64.140625" customWidth="1"/>
    <col min="10" max="10" width="16.42578125" customWidth="1"/>
    <col min="11" max="11" width="14.28515625" bestFit="1" customWidth="1"/>
    <col min="13" max="13" width="16.28515625" customWidth="1"/>
    <col min="14" max="14" width="18.28515625" customWidth="1"/>
    <col min="15" max="15" width="22.85546875" bestFit="1" customWidth="1"/>
    <col min="16" max="16" width="3.5703125" customWidth="1"/>
    <col min="17" max="17" width="64.140625" customWidth="1"/>
    <col min="18" max="18" width="16.42578125" customWidth="1"/>
    <col min="19" max="19" width="14.28515625" bestFit="1" customWidth="1"/>
    <col min="21" max="21" width="16.28515625" customWidth="1"/>
    <col min="22" max="22" width="18.28515625" customWidth="1"/>
    <col min="23" max="23" width="22.85546875" bestFit="1" customWidth="1"/>
    <col min="24" max="24" width="5" customWidth="1"/>
    <col min="25" max="25" width="64.140625" customWidth="1"/>
    <col min="26" max="26" width="16.42578125" customWidth="1"/>
    <col min="27" max="27" width="14.28515625" bestFit="1" customWidth="1"/>
    <col min="29" max="29" width="14" bestFit="1" customWidth="1"/>
    <col min="30" max="30" width="15.5703125" bestFit="1" customWidth="1"/>
    <col min="33" max="33" width="73.140625" bestFit="1" customWidth="1"/>
    <col min="35" max="35" width="13.42578125" bestFit="1" customWidth="1"/>
    <col min="37" max="37" width="14" bestFit="1" customWidth="1"/>
    <col min="38" max="38" width="14.28515625" bestFit="1" customWidth="1"/>
    <col min="40" max="40" width="7.7109375" customWidth="1"/>
    <col min="41" max="41" width="13.42578125" customWidth="1"/>
    <col min="42" max="42" width="14" bestFit="1" customWidth="1"/>
    <col min="43" max="43" width="12.28515625" bestFit="1" customWidth="1"/>
    <col min="44" max="44" width="14.5703125" bestFit="1" customWidth="1"/>
    <col min="281" max="281" width="64.140625" customWidth="1"/>
    <col min="282" max="282" width="16.42578125" customWidth="1"/>
    <col min="283" max="283" width="14.28515625" bestFit="1" customWidth="1"/>
    <col min="285" max="285" width="14" bestFit="1" customWidth="1"/>
    <col min="286" max="286" width="15.5703125" bestFit="1" customWidth="1"/>
    <col min="289" max="289" width="73.140625" bestFit="1" customWidth="1"/>
    <col min="291" max="291" width="13.42578125" bestFit="1" customWidth="1"/>
    <col min="293" max="293" width="14" bestFit="1" customWidth="1"/>
    <col min="294" max="294" width="14.28515625" bestFit="1" customWidth="1"/>
    <col min="296" max="296" width="7.7109375" customWidth="1"/>
    <col min="297" max="297" width="13.42578125" customWidth="1"/>
    <col min="298" max="298" width="14" bestFit="1" customWidth="1"/>
    <col min="299" max="299" width="12.28515625" bestFit="1" customWidth="1"/>
    <col min="300" max="300" width="14.5703125" bestFit="1" customWidth="1"/>
    <col min="537" max="537" width="64.140625" customWidth="1"/>
    <col min="538" max="538" width="16.42578125" customWidth="1"/>
    <col min="539" max="539" width="14.28515625" bestFit="1" customWidth="1"/>
    <col min="541" max="541" width="14" bestFit="1" customWidth="1"/>
    <col min="542" max="542" width="15.5703125" bestFit="1" customWidth="1"/>
    <col min="545" max="545" width="73.140625" bestFit="1" customWidth="1"/>
    <col min="547" max="547" width="13.42578125" bestFit="1" customWidth="1"/>
    <col min="549" max="549" width="14" bestFit="1" customWidth="1"/>
    <col min="550" max="550" width="14.28515625" bestFit="1" customWidth="1"/>
    <col min="552" max="552" width="7.7109375" customWidth="1"/>
    <col min="553" max="553" width="13.42578125" customWidth="1"/>
    <col min="554" max="554" width="14" bestFit="1" customWidth="1"/>
    <col min="555" max="555" width="12.28515625" bestFit="1" customWidth="1"/>
    <col min="556" max="556" width="14.5703125" bestFit="1" customWidth="1"/>
    <col min="793" max="793" width="64.140625" customWidth="1"/>
    <col min="794" max="794" width="16.42578125" customWidth="1"/>
    <col min="795" max="795" width="14.28515625" bestFit="1" customWidth="1"/>
    <col min="797" max="797" width="14" bestFit="1" customWidth="1"/>
    <col min="798" max="798" width="15.5703125" bestFit="1" customWidth="1"/>
    <col min="801" max="801" width="73.140625" bestFit="1" customWidth="1"/>
    <col min="803" max="803" width="13.42578125" bestFit="1" customWidth="1"/>
    <col min="805" max="805" width="14" bestFit="1" customWidth="1"/>
    <col min="806" max="806" width="14.28515625" bestFit="1" customWidth="1"/>
    <col min="808" max="808" width="7.7109375" customWidth="1"/>
    <col min="809" max="809" width="13.42578125" customWidth="1"/>
    <col min="810" max="810" width="14" bestFit="1" customWidth="1"/>
    <col min="811" max="811" width="12.28515625" bestFit="1" customWidth="1"/>
    <col min="812" max="812" width="14.5703125" bestFit="1" customWidth="1"/>
    <col min="1049" max="1049" width="64.140625" customWidth="1"/>
    <col min="1050" max="1050" width="16.42578125" customWidth="1"/>
    <col min="1051" max="1051" width="14.28515625" bestFit="1" customWidth="1"/>
    <col min="1053" max="1053" width="14" bestFit="1" customWidth="1"/>
    <col min="1054" max="1054" width="15.5703125" bestFit="1" customWidth="1"/>
    <col min="1057" max="1057" width="73.140625" bestFit="1" customWidth="1"/>
    <col min="1059" max="1059" width="13.42578125" bestFit="1" customWidth="1"/>
    <col min="1061" max="1061" width="14" bestFit="1" customWidth="1"/>
    <col min="1062" max="1062" width="14.28515625" bestFit="1" customWidth="1"/>
    <col min="1064" max="1064" width="7.7109375" customWidth="1"/>
    <col min="1065" max="1065" width="13.42578125" customWidth="1"/>
    <col min="1066" max="1066" width="14" bestFit="1" customWidth="1"/>
    <col min="1067" max="1067" width="12.28515625" bestFit="1" customWidth="1"/>
    <col min="1068" max="1068" width="14.5703125" bestFit="1" customWidth="1"/>
    <col min="1305" max="1305" width="64.140625" customWidth="1"/>
    <col min="1306" max="1306" width="16.42578125" customWidth="1"/>
    <col min="1307" max="1307" width="14.28515625" bestFit="1" customWidth="1"/>
    <col min="1309" max="1309" width="14" bestFit="1" customWidth="1"/>
    <col min="1310" max="1310" width="15.5703125" bestFit="1" customWidth="1"/>
    <col min="1313" max="1313" width="73.140625" bestFit="1" customWidth="1"/>
    <col min="1315" max="1315" width="13.42578125" bestFit="1" customWidth="1"/>
    <col min="1317" max="1317" width="14" bestFit="1" customWidth="1"/>
    <col min="1318" max="1318" width="14.28515625" bestFit="1" customWidth="1"/>
    <col min="1320" max="1320" width="7.7109375" customWidth="1"/>
    <col min="1321" max="1321" width="13.42578125" customWidth="1"/>
    <col min="1322" max="1322" width="14" bestFit="1" customWidth="1"/>
    <col min="1323" max="1323" width="12.28515625" bestFit="1" customWidth="1"/>
    <col min="1324" max="1324" width="14.5703125" bestFit="1" customWidth="1"/>
    <col min="1561" max="1561" width="64.140625" customWidth="1"/>
    <col min="1562" max="1562" width="16.42578125" customWidth="1"/>
    <col min="1563" max="1563" width="14.28515625" bestFit="1" customWidth="1"/>
    <col min="1565" max="1565" width="14" bestFit="1" customWidth="1"/>
    <col min="1566" max="1566" width="15.5703125" bestFit="1" customWidth="1"/>
    <col min="1569" max="1569" width="73.140625" bestFit="1" customWidth="1"/>
    <col min="1571" max="1571" width="13.42578125" bestFit="1" customWidth="1"/>
    <col min="1573" max="1573" width="14" bestFit="1" customWidth="1"/>
    <col min="1574" max="1574" width="14.28515625" bestFit="1" customWidth="1"/>
    <col min="1576" max="1576" width="7.7109375" customWidth="1"/>
    <col min="1577" max="1577" width="13.42578125" customWidth="1"/>
    <col min="1578" max="1578" width="14" bestFit="1" customWidth="1"/>
    <col min="1579" max="1579" width="12.28515625" bestFit="1" customWidth="1"/>
    <col min="1580" max="1580" width="14.5703125" bestFit="1" customWidth="1"/>
    <col min="1817" max="1817" width="64.140625" customWidth="1"/>
    <col min="1818" max="1818" width="16.42578125" customWidth="1"/>
    <col min="1819" max="1819" width="14.28515625" bestFit="1" customWidth="1"/>
    <col min="1821" max="1821" width="14" bestFit="1" customWidth="1"/>
    <col min="1822" max="1822" width="15.5703125" bestFit="1" customWidth="1"/>
    <col min="1825" max="1825" width="73.140625" bestFit="1" customWidth="1"/>
    <col min="1827" max="1827" width="13.42578125" bestFit="1" customWidth="1"/>
    <col min="1829" max="1829" width="14" bestFit="1" customWidth="1"/>
    <col min="1830" max="1830" width="14.28515625" bestFit="1" customWidth="1"/>
    <col min="1832" max="1832" width="7.7109375" customWidth="1"/>
    <col min="1833" max="1833" width="13.42578125" customWidth="1"/>
    <col min="1834" max="1834" width="14" bestFit="1" customWidth="1"/>
    <col min="1835" max="1835" width="12.28515625" bestFit="1" customWidth="1"/>
    <col min="1836" max="1836" width="14.5703125" bestFit="1" customWidth="1"/>
    <col min="2073" max="2073" width="64.140625" customWidth="1"/>
    <col min="2074" max="2074" width="16.42578125" customWidth="1"/>
    <col min="2075" max="2075" width="14.28515625" bestFit="1" customWidth="1"/>
    <col min="2077" max="2077" width="14" bestFit="1" customWidth="1"/>
    <col min="2078" max="2078" width="15.5703125" bestFit="1" customWidth="1"/>
    <col min="2081" max="2081" width="73.140625" bestFit="1" customWidth="1"/>
    <col min="2083" max="2083" width="13.42578125" bestFit="1" customWidth="1"/>
    <col min="2085" max="2085" width="14" bestFit="1" customWidth="1"/>
    <col min="2086" max="2086" width="14.28515625" bestFit="1" customWidth="1"/>
    <col min="2088" max="2088" width="7.7109375" customWidth="1"/>
    <col min="2089" max="2089" width="13.42578125" customWidth="1"/>
    <col min="2090" max="2090" width="14" bestFit="1" customWidth="1"/>
    <col min="2091" max="2091" width="12.28515625" bestFit="1" customWidth="1"/>
    <col min="2092" max="2092" width="14.5703125" bestFit="1" customWidth="1"/>
    <col min="2329" max="2329" width="64.140625" customWidth="1"/>
    <col min="2330" max="2330" width="16.42578125" customWidth="1"/>
    <col min="2331" max="2331" width="14.28515625" bestFit="1" customWidth="1"/>
    <col min="2333" max="2333" width="14" bestFit="1" customWidth="1"/>
    <col min="2334" max="2334" width="15.5703125" bestFit="1" customWidth="1"/>
    <col min="2337" max="2337" width="73.140625" bestFit="1" customWidth="1"/>
    <col min="2339" max="2339" width="13.42578125" bestFit="1" customWidth="1"/>
    <col min="2341" max="2341" width="14" bestFit="1" customWidth="1"/>
    <col min="2342" max="2342" width="14.28515625" bestFit="1" customWidth="1"/>
    <col min="2344" max="2344" width="7.7109375" customWidth="1"/>
    <col min="2345" max="2345" width="13.42578125" customWidth="1"/>
    <col min="2346" max="2346" width="14" bestFit="1" customWidth="1"/>
    <col min="2347" max="2347" width="12.28515625" bestFit="1" customWidth="1"/>
    <col min="2348" max="2348" width="14.5703125" bestFit="1" customWidth="1"/>
    <col min="2585" max="2585" width="64.140625" customWidth="1"/>
    <col min="2586" max="2586" width="16.42578125" customWidth="1"/>
    <col min="2587" max="2587" width="14.28515625" bestFit="1" customWidth="1"/>
    <col min="2589" max="2589" width="14" bestFit="1" customWidth="1"/>
    <col min="2590" max="2590" width="15.5703125" bestFit="1" customWidth="1"/>
    <col min="2593" max="2593" width="73.140625" bestFit="1" customWidth="1"/>
    <col min="2595" max="2595" width="13.42578125" bestFit="1" customWidth="1"/>
    <col min="2597" max="2597" width="14" bestFit="1" customWidth="1"/>
    <col min="2598" max="2598" width="14.28515625" bestFit="1" customWidth="1"/>
    <col min="2600" max="2600" width="7.7109375" customWidth="1"/>
    <col min="2601" max="2601" width="13.42578125" customWidth="1"/>
    <col min="2602" max="2602" width="14" bestFit="1" customWidth="1"/>
    <col min="2603" max="2603" width="12.28515625" bestFit="1" customWidth="1"/>
    <col min="2604" max="2604" width="14.5703125" bestFit="1" customWidth="1"/>
    <col min="2841" max="2841" width="64.140625" customWidth="1"/>
    <col min="2842" max="2842" width="16.42578125" customWidth="1"/>
    <col min="2843" max="2843" width="14.28515625" bestFit="1" customWidth="1"/>
    <col min="2845" max="2845" width="14" bestFit="1" customWidth="1"/>
    <col min="2846" max="2846" width="15.5703125" bestFit="1" customWidth="1"/>
    <col min="2849" max="2849" width="73.140625" bestFit="1" customWidth="1"/>
    <col min="2851" max="2851" width="13.42578125" bestFit="1" customWidth="1"/>
    <col min="2853" max="2853" width="14" bestFit="1" customWidth="1"/>
    <col min="2854" max="2854" width="14.28515625" bestFit="1" customWidth="1"/>
    <col min="2856" max="2856" width="7.7109375" customWidth="1"/>
    <col min="2857" max="2857" width="13.42578125" customWidth="1"/>
    <col min="2858" max="2858" width="14" bestFit="1" customWidth="1"/>
    <col min="2859" max="2859" width="12.28515625" bestFit="1" customWidth="1"/>
    <col min="2860" max="2860" width="14.5703125" bestFit="1" customWidth="1"/>
    <col min="3097" max="3097" width="64.140625" customWidth="1"/>
    <col min="3098" max="3098" width="16.42578125" customWidth="1"/>
    <col min="3099" max="3099" width="14.28515625" bestFit="1" customWidth="1"/>
    <col min="3101" max="3101" width="14" bestFit="1" customWidth="1"/>
    <col min="3102" max="3102" width="15.5703125" bestFit="1" customWidth="1"/>
    <col min="3105" max="3105" width="73.140625" bestFit="1" customWidth="1"/>
    <col min="3107" max="3107" width="13.42578125" bestFit="1" customWidth="1"/>
    <col min="3109" max="3109" width="14" bestFit="1" customWidth="1"/>
    <col min="3110" max="3110" width="14.28515625" bestFit="1" customWidth="1"/>
    <col min="3112" max="3112" width="7.7109375" customWidth="1"/>
    <col min="3113" max="3113" width="13.42578125" customWidth="1"/>
    <col min="3114" max="3114" width="14" bestFit="1" customWidth="1"/>
    <col min="3115" max="3115" width="12.28515625" bestFit="1" customWidth="1"/>
    <col min="3116" max="3116" width="14.5703125" bestFit="1" customWidth="1"/>
    <col min="3353" max="3353" width="64.140625" customWidth="1"/>
    <col min="3354" max="3354" width="16.42578125" customWidth="1"/>
    <col min="3355" max="3355" width="14.28515625" bestFit="1" customWidth="1"/>
    <col min="3357" max="3357" width="14" bestFit="1" customWidth="1"/>
    <col min="3358" max="3358" width="15.5703125" bestFit="1" customWidth="1"/>
    <col min="3361" max="3361" width="73.140625" bestFit="1" customWidth="1"/>
    <col min="3363" max="3363" width="13.42578125" bestFit="1" customWidth="1"/>
    <col min="3365" max="3365" width="14" bestFit="1" customWidth="1"/>
    <col min="3366" max="3366" width="14.28515625" bestFit="1" customWidth="1"/>
    <col min="3368" max="3368" width="7.7109375" customWidth="1"/>
    <col min="3369" max="3369" width="13.42578125" customWidth="1"/>
    <col min="3370" max="3370" width="14" bestFit="1" customWidth="1"/>
    <col min="3371" max="3371" width="12.28515625" bestFit="1" customWidth="1"/>
    <col min="3372" max="3372" width="14.5703125" bestFit="1" customWidth="1"/>
    <col min="3609" max="3609" width="64.140625" customWidth="1"/>
    <col min="3610" max="3610" width="16.42578125" customWidth="1"/>
    <col min="3611" max="3611" width="14.28515625" bestFit="1" customWidth="1"/>
    <col min="3613" max="3613" width="14" bestFit="1" customWidth="1"/>
    <col min="3614" max="3614" width="15.5703125" bestFit="1" customWidth="1"/>
    <col min="3617" max="3617" width="73.140625" bestFit="1" customWidth="1"/>
    <col min="3619" max="3619" width="13.42578125" bestFit="1" customWidth="1"/>
    <col min="3621" max="3621" width="14" bestFit="1" customWidth="1"/>
    <col min="3622" max="3622" width="14.28515625" bestFit="1" customWidth="1"/>
    <col min="3624" max="3624" width="7.7109375" customWidth="1"/>
    <col min="3625" max="3625" width="13.42578125" customWidth="1"/>
    <col min="3626" max="3626" width="14" bestFit="1" customWidth="1"/>
    <col min="3627" max="3627" width="12.28515625" bestFit="1" customWidth="1"/>
    <col min="3628" max="3628" width="14.5703125" bestFit="1" customWidth="1"/>
    <col min="3865" max="3865" width="64.140625" customWidth="1"/>
    <col min="3866" max="3866" width="16.42578125" customWidth="1"/>
    <col min="3867" max="3867" width="14.28515625" bestFit="1" customWidth="1"/>
    <col min="3869" max="3869" width="14" bestFit="1" customWidth="1"/>
    <col min="3870" max="3870" width="15.5703125" bestFit="1" customWidth="1"/>
    <col min="3873" max="3873" width="73.140625" bestFit="1" customWidth="1"/>
    <col min="3875" max="3875" width="13.42578125" bestFit="1" customWidth="1"/>
    <col min="3877" max="3877" width="14" bestFit="1" customWidth="1"/>
    <col min="3878" max="3878" width="14.28515625" bestFit="1" customWidth="1"/>
    <col min="3880" max="3880" width="7.7109375" customWidth="1"/>
    <col min="3881" max="3881" width="13.42578125" customWidth="1"/>
    <col min="3882" max="3882" width="14" bestFit="1" customWidth="1"/>
    <col min="3883" max="3883" width="12.28515625" bestFit="1" customWidth="1"/>
    <col min="3884" max="3884" width="14.5703125" bestFit="1" customWidth="1"/>
    <col min="4121" max="4121" width="64.140625" customWidth="1"/>
    <col min="4122" max="4122" width="16.42578125" customWidth="1"/>
    <col min="4123" max="4123" width="14.28515625" bestFit="1" customWidth="1"/>
    <col min="4125" max="4125" width="14" bestFit="1" customWidth="1"/>
    <col min="4126" max="4126" width="15.5703125" bestFit="1" customWidth="1"/>
    <col min="4129" max="4129" width="73.140625" bestFit="1" customWidth="1"/>
    <col min="4131" max="4131" width="13.42578125" bestFit="1" customWidth="1"/>
    <col min="4133" max="4133" width="14" bestFit="1" customWidth="1"/>
    <col min="4134" max="4134" width="14.28515625" bestFit="1" customWidth="1"/>
    <col min="4136" max="4136" width="7.7109375" customWidth="1"/>
    <col min="4137" max="4137" width="13.42578125" customWidth="1"/>
    <col min="4138" max="4138" width="14" bestFit="1" customWidth="1"/>
    <col min="4139" max="4139" width="12.28515625" bestFit="1" customWidth="1"/>
    <col min="4140" max="4140" width="14.5703125" bestFit="1" customWidth="1"/>
    <col min="4377" max="4377" width="64.140625" customWidth="1"/>
    <col min="4378" max="4378" width="16.42578125" customWidth="1"/>
    <col min="4379" max="4379" width="14.28515625" bestFit="1" customWidth="1"/>
    <col min="4381" max="4381" width="14" bestFit="1" customWidth="1"/>
    <col min="4382" max="4382" width="15.5703125" bestFit="1" customWidth="1"/>
    <col min="4385" max="4385" width="73.140625" bestFit="1" customWidth="1"/>
    <col min="4387" max="4387" width="13.42578125" bestFit="1" customWidth="1"/>
    <col min="4389" max="4389" width="14" bestFit="1" customWidth="1"/>
    <col min="4390" max="4390" width="14.28515625" bestFit="1" customWidth="1"/>
    <col min="4392" max="4392" width="7.7109375" customWidth="1"/>
    <col min="4393" max="4393" width="13.42578125" customWidth="1"/>
    <col min="4394" max="4394" width="14" bestFit="1" customWidth="1"/>
    <col min="4395" max="4395" width="12.28515625" bestFit="1" customWidth="1"/>
    <col min="4396" max="4396" width="14.5703125" bestFit="1" customWidth="1"/>
    <col min="4633" max="4633" width="64.140625" customWidth="1"/>
    <col min="4634" max="4634" width="16.42578125" customWidth="1"/>
    <col min="4635" max="4635" width="14.28515625" bestFit="1" customWidth="1"/>
    <col min="4637" max="4637" width="14" bestFit="1" customWidth="1"/>
    <col min="4638" max="4638" width="15.5703125" bestFit="1" customWidth="1"/>
    <col min="4641" max="4641" width="73.140625" bestFit="1" customWidth="1"/>
    <col min="4643" max="4643" width="13.42578125" bestFit="1" customWidth="1"/>
    <col min="4645" max="4645" width="14" bestFit="1" customWidth="1"/>
    <col min="4646" max="4646" width="14.28515625" bestFit="1" customWidth="1"/>
    <col min="4648" max="4648" width="7.7109375" customWidth="1"/>
    <col min="4649" max="4649" width="13.42578125" customWidth="1"/>
    <col min="4650" max="4650" width="14" bestFit="1" customWidth="1"/>
    <col min="4651" max="4651" width="12.28515625" bestFit="1" customWidth="1"/>
    <col min="4652" max="4652" width="14.5703125" bestFit="1" customWidth="1"/>
    <col min="4889" max="4889" width="64.140625" customWidth="1"/>
    <col min="4890" max="4890" width="16.42578125" customWidth="1"/>
    <col min="4891" max="4891" width="14.28515625" bestFit="1" customWidth="1"/>
    <col min="4893" max="4893" width="14" bestFit="1" customWidth="1"/>
    <col min="4894" max="4894" width="15.5703125" bestFit="1" customWidth="1"/>
    <col min="4897" max="4897" width="73.140625" bestFit="1" customWidth="1"/>
    <col min="4899" max="4899" width="13.42578125" bestFit="1" customWidth="1"/>
    <col min="4901" max="4901" width="14" bestFit="1" customWidth="1"/>
    <col min="4902" max="4902" width="14.28515625" bestFit="1" customWidth="1"/>
    <col min="4904" max="4904" width="7.7109375" customWidth="1"/>
    <col min="4905" max="4905" width="13.42578125" customWidth="1"/>
    <col min="4906" max="4906" width="14" bestFit="1" customWidth="1"/>
    <col min="4907" max="4907" width="12.28515625" bestFit="1" customWidth="1"/>
    <col min="4908" max="4908" width="14.5703125" bestFit="1" customWidth="1"/>
    <col min="5145" max="5145" width="64.140625" customWidth="1"/>
    <col min="5146" max="5146" width="16.42578125" customWidth="1"/>
    <col min="5147" max="5147" width="14.28515625" bestFit="1" customWidth="1"/>
    <col min="5149" max="5149" width="14" bestFit="1" customWidth="1"/>
    <col min="5150" max="5150" width="15.5703125" bestFit="1" customWidth="1"/>
    <col min="5153" max="5153" width="73.140625" bestFit="1" customWidth="1"/>
    <col min="5155" max="5155" width="13.42578125" bestFit="1" customWidth="1"/>
    <col min="5157" max="5157" width="14" bestFit="1" customWidth="1"/>
    <col min="5158" max="5158" width="14.28515625" bestFit="1" customWidth="1"/>
    <col min="5160" max="5160" width="7.7109375" customWidth="1"/>
    <col min="5161" max="5161" width="13.42578125" customWidth="1"/>
    <col min="5162" max="5162" width="14" bestFit="1" customWidth="1"/>
    <col min="5163" max="5163" width="12.28515625" bestFit="1" customWidth="1"/>
    <col min="5164" max="5164" width="14.5703125" bestFit="1" customWidth="1"/>
    <col min="5401" max="5401" width="64.140625" customWidth="1"/>
    <col min="5402" max="5402" width="16.42578125" customWidth="1"/>
    <col min="5403" max="5403" width="14.28515625" bestFit="1" customWidth="1"/>
    <col min="5405" max="5405" width="14" bestFit="1" customWidth="1"/>
    <col min="5406" max="5406" width="15.5703125" bestFit="1" customWidth="1"/>
    <col min="5409" max="5409" width="73.140625" bestFit="1" customWidth="1"/>
    <col min="5411" max="5411" width="13.42578125" bestFit="1" customWidth="1"/>
    <col min="5413" max="5413" width="14" bestFit="1" customWidth="1"/>
    <col min="5414" max="5414" width="14.28515625" bestFit="1" customWidth="1"/>
    <col min="5416" max="5416" width="7.7109375" customWidth="1"/>
    <col min="5417" max="5417" width="13.42578125" customWidth="1"/>
    <col min="5418" max="5418" width="14" bestFit="1" customWidth="1"/>
    <col min="5419" max="5419" width="12.28515625" bestFit="1" customWidth="1"/>
    <col min="5420" max="5420" width="14.5703125" bestFit="1" customWidth="1"/>
    <col min="5657" max="5657" width="64.140625" customWidth="1"/>
    <col min="5658" max="5658" width="16.42578125" customWidth="1"/>
    <col min="5659" max="5659" width="14.28515625" bestFit="1" customWidth="1"/>
    <col min="5661" max="5661" width="14" bestFit="1" customWidth="1"/>
    <col min="5662" max="5662" width="15.5703125" bestFit="1" customWidth="1"/>
    <col min="5665" max="5665" width="73.140625" bestFit="1" customWidth="1"/>
    <col min="5667" max="5667" width="13.42578125" bestFit="1" customWidth="1"/>
    <col min="5669" max="5669" width="14" bestFit="1" customWidth="1"/>
    <col min="5670" max="5670" width="14.28515625" bestFit="1" customWidth="1"/>
    <col min="5672" max="5672" width="7.7109375" customWidth="1"/>
    <col min="5673" max="5673" width="13.42578125" customWidth="1"/>
    <col min="5674" max="5674" width="14" bestFit="1" customWidth="1"/>
    <col min="5675" max="5675" width="12.28515625" bestFit="1" customWidth="1"/>
    <col min="5676" max="5676" width="14.5703125" bestFit="1" customWidth="1"/>
    <col min="5913" max="5913" width="64.140625" customWidth="1"/>
    <col min="5914" max="5914" width="16.42578125" customWidth="1"/>
    <col min="5915" max="5915" width="14.28515625" bestFit="1" customWidth="1"/>
    <col min="5917" max="5917" width="14" bestFit="1" customWidth="1"/>
    <col min="5918" max="5918" width="15.5703125" bestFit="1" customWidth="1"/>
    <col min="5921" max="5921" width="73.140625" bestFit="1" customWidth="1"/>
    <col min="5923" max="5923" width="13.42578125" bestFit="1" customWidth="1"/>
    <col min="5925" max="5925" width="14" bestFit="1" customWidth="1"/>
    <col min="5926" max="5926" width="14.28515625" bestFit="1" customWidth="1"/>
    <col min="5928" max="5928" width="7.7109375" customWidth="1"/>
    <col min="5929" max="5929" width="13.42578125" customWidth="1"/>
    <col min="5930" max="5930" width="14" bestFit="1" customWidth="1"/>
    <col min="5931" max="5931" width="12.28515625" bestFit="1" customWidth="1"/>
    <col min="5932" max="5932" width="14.5703125" bestFit="1" customWidth="1"/>
    <col min="6169" max="6169" width="64.140625" customWidth="1"/>
    <col min="6170" max="6170" width="16.42578125" customWidth="1"/>
    <col min="6171" max="6171" width="14.28515625" bestFit="1" customWidth="1"/>
    <col min="6173" max="6173" width="14" bestFit="1" customWidth="1"/>
    <col min="6174" max="6174" width="15.5703125" bestFit="1" customWidth="1"/>
    <col min="6177" max="6177" width="73.140625" bestFit="1" customWidth="1"/>
    <col min="6179" max="6179" width="13.42578125" bestFit="1" customWidth="1"/>
    <col min="6181" max="6181" width="14" bestFit="1" customWidth="1"/>
    <col min="6182" max="6182" width="14.28515625" bestFit="1" customWidth="1"/>
    <col min="6184" max="6184" width="7.7109375" customWidth="1"/>
    <col min="6185" max="6185" width="13.42578125" customWidth="1"/>
    <col min="6186" max="6186" width="14" bestFit="1" customWidth="1"/>
    <col min="6187" max="6187" width="12.28515625" bestFit="1" customWidth="1"/>
    <col min="6188" max="6188" width="14.5703125" bestFit="1" customWidth="1"/>
    <col min="6425" max="6425" width="64.140625" customWidth="1"/>
    <col min="6426" max="6426" width="16.42578125" customWidth="1"/>
    <col min="6427" max="6427" width="14.28515625" bestFit="1" customWidth="1"/>
    <col min="6429" max="6429" width="14" bestFit="1" customWidth="1"/>
    <col min="6430" max="6430" width="15.5703125" bestFit="1" customWidth="1"/>
    <col min="6433" max="6433" width="73.140625" bestFit="1" customWidth="1"/>
    <col min="6435" max="6435" width="13.42578125" bestFit="1" customWidth="1"/>
    <col min="6437" max="6437" width="14" bestFit="1" customWidth="1"/>
    <col min="6438" max="6438" width="14.28515625" bestFit="1" customWidth="1"/>
    <col min="6440" max="6440" width="7.7109375" customWidth="1"/>
    <col min="6441" max="6441" width="13.42578125" customWidth="1"/>
    <col min="6442" max="6442" width="14" bestFit="1" customWidth="1"/>
    <col min="6443" max="6443" width="12.28515625" bestFit="1" customWidth="1"/>
    <col min="6444" max="6444" width="14.5703125" bestFit="1" customWidth="1"/>
    <col min="6681" max="6681" width="64.140625" customWidth="1"/>
    <col min="6682" max="6682" width="16.42578125" customWidth="1"/>
    <col min="6683" max="6683" width="14.28515625" bestFit="1" customWidth="1"/>
    <col min="6685" max="6685" width="14" bestFit="1" customWidth="1"/>
    <col min="6686" max="6686" width="15.5703125" bestFit="1" customWidth="1"/>
    <col min="6689" max="6689" width="73.140625" bestFit="1" customWidth="1"/>
    <col min="6691" max="6691" width="13.42578125" bestFit="1" customWidth="1"/>
    <col min="6693" max="6693" width="14" bestFit="1" customWidth="1"/>
    <col min="6694" max="6694" width="14.28515625" bestFit="1" customWidth="1"/>
    <col min="6696" max="6696" width="7.7109375" customWidth="1"/>
    <col min="6697" max="6697" width="13.42578125" customWidth="1"/>
    <col min="6698" max="6698" width="14" bestFit="1" customWidth="1"/>
    <col min="6699" max="6699" width="12.28515625" bestFit="1" customWidth="1"/>
    <col min="6700" max="6700" width="14.5703125" bestFit="1" customWidth="1"/>
    <col min="6937" max="6937" width="64.140625" customWidth="1"/>
    <col min="6938" max="6938" width="16.42578125" customWidth="1"/>
    <col min="6939" max="6939" width="14.28515625" bestFit="1" customWidth="1"/>
    <col min="6941" max="6941" width="14" bestFit="1" customWidth="1"/>
    <col min="6942" max="6942" width="15.5703125" bestFit="1" customWidth="1"/>
    <col min="6945" max="6945" width="73.140625" bestFit="1" customWidth="1"/>
    <col min="6947" max="6947" width="13.42578125" bestFit="1" customWidth="1"/>
    <col min="6949" max="6949" width="14" bestFit="1" customWidth="1"/>
    <col min="6950" max="6950" width="14.28515625" bestFit="1" customWidth="1"/>
    <col min="6952" max="6952" width="7.7109375" customWidth="1"/>
    <col min="6953" max="6953" width="13.42578125" customWidth="1"/>
    <col min="6954" max="6954" width="14" bestFit="1" customWidth="1"/>
    <col min="6955" max="6955" width="12.28515625" bestFit="1" customWidth="1"/>
    <col min="6956" max="6956" width="14.5703125" bestFit="1" customWidth="1"/>
    <col min="7193" max="7193" width="64.140625" customWidth="1"/>
    <col min="7194" max="7194" width="16.42578125" customWidth="1"/>
    <col min="7195" max="7195" width="14.28515625" bestFit="1" customWidth="1"/>
    <col min="7197" max="7197" width="14" bestFit="1" customWidth="1"/>
    <col min="7198" max="7198" width="15.5703125" bestFit="1" customWidth="1"/>
    <col min="7201" max="7201" width="73.140625" bestFit="1" customWidth="1"/>
    <col min="7203" max="7203" width="13.42578125" bestFit="1" customWidth="1"/>
    <col min="7205" max="7205" width="14" bestFit="1" customWidth="1"/>
    <col min="7206" max="7206" width="14.28515625" bestFit="1" customWidth="1"/>
    <col min="7208" max="7208" width="7.7109375" customWidth="1"/>
    <col min="7209" max="7209" width="13.42578125" customWidth="1"/>
    <col min="7210" max="7210" width="14" bestFit="1" customWidth="1"/>
    <col min="7211" max="7211" width="12.28515625" bestFit="1" customWidth="1"/>
    <col min="7212" max="7212" width="14.5703125" bestFit="1" customWidth="1"/>
    <col min="7449" max="7449" width="64.140625" customWidth="1"/>
    <col min="7450" max="7450" width="16.42578125" customWidth="1"/>
    <col min="7451" max="7451" width="14.28515625" bestFit="1" customWidth="1"/>
    <col min="7453" max="7453" width="14" bestFit="1" customWidth="1"/>
    <col min="7454" max="7454" width="15.5703125" bestFit="1" customWidth="1"/>
    <col min="7457" max="7457" width="73.140625" bestFit="1" customWidth="1"/>
    <col min="7459" max="7459" width="13.42578125" bestFit="1" customWidth="1"/>
    <col min="7461" max="7461" width="14" bestFit="1" customWidth="1"/>
    <col min="7462" max="7462" width="14.28515625" bestFit="1" customWidth="1"/>
    <col min="7464" max="7464" width="7.7109375" customWidth="1"/>
    <col min="7465" max="7465" width="13.42578125" customWidth="1"/>
    <col min="7466" max="7466" width="14" bestFit="1" customWidth="1"/>
    <col min="7467" max="7467" width="12.28515625" bestFit="1" customWidth="1"/>
    <col min="7468" max="7468" width="14.5703125" bestFit="1" customWidth="1"/>
    <col min="7705" max="7705" width="64.140625" customWidth="1"/>
    <col min="7706" max="7706" width="16.42578125" customWidth="1"/>
    <col min="7707" max="7707" width="14.28515625" bestFit="1" customWidth="1"/>
    <col min="7709" max="7709" width="14" bestFit="1" customWidth="1"/>
    <col min="7710" max="7710" width="15.5703125" bestFit="1" customWidth="1"/>
    <col min="7713" max="7713" width="73.140625" bestFit="1" customWidth="1"/>
    <col min="7715" max="7715" width="13.42578125" bestFit="1" customWidth="1"/>
    <col min="7717" max="7717" width="14" bestFit="1" customWidth="1"/>
    <col min="7718" max="7718" width="14.28515625" bestFit="1" customWidth="1"/>
    <col min="7720" max="7720" width="7.7109375" customWidth="1"/>
    <col min="7721" max="7721" width="13.42578125" customWidth="1"/>
    <col min="7722" max="7722" width="14" bestFit="1" customWidth="1"/>
    <col min="7723" max="7723" width="12.28515625" bestFit="1" customWidth="1"/>
    <col min="7724" max="7724" width="14.5703125" bestFit="1" customWidth="1"/>
    <col min="7961" max="7961" width="64.140625" customWidth="1"/>
    <col min="7962" max="7962" width="16.42578125" customWidth="1"/>
    <col min="7963" max="7963" width="14.28515625" bestFit="1" customWidth="1"/>
    <col min="7965" max="7965" width="14" bestFit="1" customWidth="1"/>
    <col min="7966" max="7966" width="15.5703125" bestFit="1" customWidth="1"/>
    <col min="7969" max="7969" width="73.140625" bestFit="1" customWidth="1"/>
    <col min="7971" max="7971" width="13.42578125" bestFit="1" customWidth="1"/>
    <col min="7973" max="7973" width="14" bestFit="1" customWidth="1"/>
    <col min="7974" max="7974" width="14.28515625" bestFit="1" customWidth="1"/>
    <col min="7976" max="7976" width="7.7109375" customWidth="1"/>
    <col min="7977" max="7977" width="13.42578125" customWidth="1"/>
    <col min="7978" max="7978" width="14" bestFit="1" customWidth="1"/>
    <col min="7979" max="7979" width="12.28515625" bestFit="1" customWidth="1"/>
    <col min="7980" max="7980" width="14.5703125" bestFit="1" customWidth="1"/>
    <col min="8217" max="8217" width="64.140625" customWidth="1"/>
    <col min="8218" max="8218" width="16.42578125" customWidth="1"/>
    <col min="8219" max="8219" width="14.28515625" bestFit="1" customWidth="1"/>
    <col min="8221" max="8221" width="14" bestFit="1" customWidth="1"/>
    <col min="8222" max="8222" width="15.5703125" bestFit="1" customWidth="1"/>
    <col min="8225" max="8225" width="73.140625" bestFit="1" customWidth="1"/>
    <col min="8227" max="8227" width="13.42578125" bestFit="1" customWidth="1"/>
    <col min="8229" max="8229" width="14" bestFit="1" customWidth="1"/>
    <col min="8230" max="8230" width="14.28515625" bestFit="1" customWidth="1"/>
    <col min="8232" max="8232" width="7.7109375" customWidth="1"/>
    <col min="8233" max="8233" width="13.42578125" customWidth="1"/>
    <col min="8234" max="8234" width="14" bestFit="1" customWidth="1"/>
    <col min="8235" max="8235" width="12.28515625" bestFit="1" customWidth="1"/>
    <col min="8236" max="8236" width="14.5703125" bestFit="1" customWidth="1"/>
    <col min="8473" max="8473" width="64.140625" customWidth="1"/>
    <col min="8474" max="8474" width="16.42578125" customWidth="1"/>
    <col min="8475" max="8475" width="14.28515625" bestFit="1" customWidth="1"/>
    <col min="8477" max="8477" width="14" bestFit="1" customWidth="1"/>
    <col min="8478" max="8478" width="15.5703125" bestFit="1" customWidth="1"/>
    <col min="8481" max="8481" width="73.140625" bestFit="1" customWidth="1"/>
    <col min="8483" max="8483" width="13.42578125" bestFit="1" customWidth="1"/>
    <col min="8485" max="8485" width="14" bestFit="1" customWidth="1"/>
    <col min="8486" max="8486" width="14.28515625" bestFit="1" customWidth="1"/>
    <col min="8488" max="8488" width="7.7109375" customWidth="1"/>
    <col min="8489" max="8489" width="13.42578125" customWidth="1"/>
    <col min="8490" max="8490" width="14" bestFit="1" customWidth="1"/>
    <col min="8491" max="8491" width="12.28515625" bestFit="1" customWidth="1"/>
    <col min="8492" max="8492" width="14.5703125" bestFit="1" customWidth="1"/>
    <col min="8729" max="8729" width="64.140625" customWidth="1"/>
    <col min="8730" max="8730" width="16.42578125" customWidth="1"/>
    <col min="8731" max="8731" width="14.28515625" bestFit="1" customWidth="1"/>
    <col min="8733" max="8733" width="14" bestFit="1" customWidth="1"/>
    <col min="8734" max="8734" width="15.5703125" bestFit="1" customWidth="1"/>
    <col min="8737" max="8737" width="73.140625" bestFit="1" customWidth="1"/>
    <col min="8739" max="8739" width="13.42578125" bestFit="1" customWidth="1"/>
    <col min="8741" max="8741" width="14" bestFit="1" customWidth="1"/>
    <col min="8742" max="8742" width="14.28515625" bestFit="1" customWidth="1"/>
    <col min="8744" max="8744" width="7.7109375" customWidth="1"/>
    <col min="8745" max="8745" width="13.42578125" customWidth="1"/>
    <col min="8746" max="8746" width="14" bestFit="1" customWidth="1"/>
    <col min="8747" max="8747" width="12.28515625" bestFit="1" customWidth="1"/>
    <col min="8748" max="8748" width="14.5703125" bestFit="1" customWidth="1"/>
    <col min="8985" max="8985" width="64.140625" customWidth="1"/>
    <col min="8986" max="8986" width="16.42578125" customWidth="1"/>
    <col min="8987" max="8987" width="14.28515625" bestFit="1" customWidth="1"/>
    <col min="8989" max="8989" width="14" bestFit="1" customWidth="1"/>
    <col min="8990" max="8990" width="15.5703125" bestFit="1" customWidth="1"/>
    <col min="8993" max="8993" width="73.140625" bestFit="1" customWidth="1"/>
    <col min="8995" max="8995" width="13.42578125" bestFit="1" customWidth="1"/>
    <col min="8997" max="8997" width="14" bestFit="1" customWidth="1"/>
    <col min="8998" max="8998" width="14.28515625" bestFit="1" customWidth="1"/>
    <col min="9000" max="9000" width="7.7109375" customWidth="1"/>
    <col min="9001" max="9001" width="13.42578125" customWidth="1"/>
    <col min="9002" max="9002" width="14" bestFit="1" customWidth="1"/>
    <col min="9003" max="9003" width="12.28515625" bestFit="1" customWidth="1"/>
    <col min="9004" max="9004" width="14.5703125" bestFit="1" customWidth="1"/>
    <col min="9241" max="9241" width="64.140625" customWidth="1"/>
    <col min="9242" max="9242" width="16.42578125" customWidth="1"/>
    <col min="9243" max="9243" width="14.28515625" bestFit="1" customWidth="1"/>
    <col min="9245" max="9245" width="14" bestFit="1" customWidth="1"/>
    <col min="9246" max="9246" width="15.5703125" bestFit="1" customWidth="1"/>
    <col min="9249" max="9249" width="73.140625" bestFit="1" customWidth="1"/>
    <col min="9251" max="9251" width="13.42578125" bestFit="1" customWidth="1"/>
    <col min="9253" max="9253" width="14" bestFit="1" customWidth="1"/>
    <col min="9254" max="9254" width="14.28515625" bestFit="1" customWidth="1"/>
    <col min="9256" max="9256" width="7.7109375" customWidth="1"/>
    <col min="9257" max="9257" width="13.42578125" customWidth="1"/>
    <col min="9258" max="9258" width="14" bestFit="1" customWidth="1"/>
    <col min="9259" max="9259" width="12.28515625" bestFit="1" customWidth="1"/>
    <col min="9260" max="9260" width="14.5703125" bestFit="1" customWidth="1"/>
    <col min="9497" max="9497" width="64.140625" customWidth="1"/>
    <col min="9498" max="9498" width="16.42578125" customWidth="1"/>
    <col min="9499" max="9499" width="14.28515625" bestFit="1" customWidth="1"/>
    <col min="9501" max="9501" width="14" bestFit="1" customWidth="1"/>
    <col min="9502" max="9502" width="15.5703125" bestFit="1" customWidth="1"/>
    <col min="9505" max="9505" width="73.140625" bestFit="1" customWidth="1"/>
    <col min="9507" max="9507" width="13.42578125" bestFit="1" customWidth="1"/>
    <col min="9509" max="9509" width="14" bestFit="1" customWidth="1"/>
    <col min="9510" max="9510" width="14.28515625" bestFit="1" customWidth="1"/>
    <col min="9512" max="9512" width="7.7109375" customWidth="1"/>
    <col min="9513" max="9513" width="13.42578125" customWidth="1"/>
    <col min="9514" max="9514" width="14" bestFit="1" customWidth="1"/>
    <col min="9515" max="9515" width="12.28515625" bestFit="1" customWidth="1"/>
    <col min="9516" max="9516" width="14.5703125" bestFit="1" customWidth="1"/>
    <col min="9753" max="9753" width="64.140625" customWidth="1"/>
    <col min="9754" max="9754" width="16.42578125" customWidth="1"/>
    <col min="9755" max="9755" width="14.28515625" bestFit="1" customWidth="1"/>
    <col min="9757" max="9757" width="14" bestFit="1" customWidth="1"/>
    <col min="9758" max="9758" width="15.5703125" bestFit="1" customWidth="1"/>
    <col min="9761" max="9761" width="73.140625" bestFit="1" customWidth="1"/>
    <col min="9763" max="9763" width="13.42578125" bestFit="1" customWidth="1"/>
    <col min="9765" max="9765" width="14" bestFit="1" customWidth="1"/>
    <col min="9766" max="9766" width="14.28515625" bestFit="1" customWidth="1"/>
    <col min="9768" max="9768" width="7.7109375" customWidth="1"/>
    <col min="9769" max="9769" width="13.42578125" customWidth="1"/>
    <col min="9770" max="9770" width="14" bestFit="1" customWidth="1"/>
    <col min="9771" max="9771" width="12.28515625" bestFit="1" customWidth="1"/>
    <col min="9772" max="9772" width="14.5703125" bestFit="1" customWidth="1"/>
    <col min="10009" max="10009" width="64.140625" customWidth="1"/>
    <col min="10010" max="10010" width="16.42578125" customWidth="1"/>
    <col min="10011" max="10011" width="14.28515625" bestFit="1" customWidth="1"/>
    <col min="10013" max="10013" width="14" bestFit="1" customWidth="1"/>
    <col min="10014" max="10014" width="15.5703125" bestFit="1" customWidth="1"/>
    <col min="10017" max="10017" width="73.140625" bestFit="1" customWidth="1"/>
    <col min="10019" max="10019" width="13.42578125" bestFit="1" customWidth="1"/>
    <col min="10021" max="10021" width="14" bestFit="1" customWidth="1"/>
    <col min="10022" max="10022" width="14.28515625" bestFit="1" customWidth="1"/>
    <col min="10024" max="10024" width="7.7109375" customWidth="1"/>
    <col min="10025" max="10025" width="13.42578125" customWidth="1"/>
    <col min="10026" max="10026" width="14" bestFit="1" customWidth="1"/>
    <col min="10027" max="10027" width="12.28515625" bestFit="1" customWidth="1"/>
    <col min="10028" max="10028" width="14.5703125" bestFit="1" customWidth="1"/>
    <col min="10265" max="10265" width="64.140625" customWidth="1"/>
    <col min="10266" max="10266" width="16.42578125" customWidth="1"/>
    <col min="10267" max="10267" width="14.28515625" bestFit="1" customWidth="1"/>
    <col min="10269" max="10269" width="14" bestFit="1" customWidth="1"/>
    <col min="10270" max="10270" width="15.5703125" bestFit="1" customWidth="1"/>
    <col min="10273" max="10273" width="73.140625" bestFit="1" customWidth="1"/>
    <col min="10275" max="10275" width="13.42578125" bestFit="1" customWidth="1"/>
    <col min="10277" max="10277" width="14" bestFit="1" customWidth="1"/>
    <col min="10278" max="10278" width="14.28515625" bestFit="1" customWidth="1"/>
    <col min="10280" max="10280" width="7.7109375" customWidth="1"/>
    <col min="10281" max="10281" width="13.42578125" customWidth="1"/>
    <col min="10282" max="10282" width="14" bestFit="1" customWidth="1"/>
    <col min="10283" max="10283" width="12.28515625" bestFit="1" customWidth="1"/>
    <col min="10284" max="10284" width="14.5703125" bestFit="1" customWidth="1"/>
    <col min="10521" max="10521" width="64.140625" customWidth="1"/>
    <col min="10522" max="10522" width="16.42578125" customWidth="1"/>
    <col min="10523" max="10523" width="14.28515625" bestFit="1" customWidth="1"/>
    <col min="10525" max="10525" width="14" bestFit="1" customWidth="1"/>
    <col min="10526" max="10526" width="15.5703125" bestFit="1" customWidth="1"/>
    <col min="10529" max="10529" width="73.140625" bestFit="1" customWidth="1"/>
    <col min="10531" max="10531" width="13.42578125" bestFit="1" customWidth="1"/>
    <col min="10533" max="10533" width="14" bestFit="1" customWidth="1"/>
    <col min="10534" max="10534" width="14.28515625" bestFit="1" customWidth="1"/>
    <col min="10536" max="10536" width="7.7109375" customWidth="1"/>
    <col min="10537" max="10537" width="13.42578125" customWidth="1"/>
    <col min="10538" max="10538" width="14" bestFit="1" customWidth="1"/>
    <col min="10539" max="10539" width="12.28515625" bestFit="1" customWidth="1"/>
    <col min="10540" max="10540" width="14.5703125" bestFit="1" customWidth="1"/>
    <col min="10777" max="10777" width="64.140625" customWidth="1"/>
    <col min="10778" max="10778" width="16.42578125" customWidth="1"/>
    <col min="10779" max="10779" width="14.28515625" bestFit="1" customWidth="1"/>
    <col min="10781" max="10781" width="14" bestFit="1" customWidth="1"/>
    <col min="10782" max="10782" width="15.5703125" bestFit="1" customWidth="1"/>
    <col min="10785" max="10785" width="73.140625" bestFit="1" customWidth="1"/>
    <col min="10787" max="10787" width="13.42578125" bestFit="1" customWidth="1"/>
    <col min="10789" max="10789" width="14" bestFit="1" customWidth="1"/>
    <col min="10790" max="10790" width="14.28515625" bestFit="1" customWidth="1"/>
    <col min="10792" max="10792" width="7.7109375" customWidth="1"/>
    <col min="10793" max="10793" width="13.42578125" customWidth="1"/>
    <col min="10794" max="10794" width="14" bestFit="1" customWidth="1"/>
    <col min="10795" max="10795" width="12.28515625" bestFit="1" customWidth="1"/>
    <col min="10796" max="10796" width="14.5703125" bestFit="1" customWidth="1"/>
    <col min="11033" max="11033" width="64.140625" customWidth="1"/>
    <col min="11034" max="11034" width="16.42578125" customWidth="1"/>
    <col min="11035" max="11035" width="14.28515625" bestFit="1" customWidth="1"/>
    <col min="11037" max="11037" width="14" bestFit="1" customWidth="1"/>
    <col min="11038" max="11038" width="15.5703125" bestFit="1" customWidth="1"/>
    <col min="11041" max="11041" width="73.140625" bestFit="1" customWidth="1"/>
    <col min="11043" max="11043" width="13.42578125" bestFit="1" customWidth="1"/>
    <col min="11045" max="11045" width="14" bestFit="1" customWidth="1"/>
    <col min="11046" max="11046" width="14.28515625" bestFit="1" customWidth="1"/>
    <col min="11048" max="11048" width="7.7109375" customWidth="1"/>
    <col min="11049" max="11049" width="13.42578125" customWidth="1"/>
    <col min="11050" max="11050" width="14" bestFit="1" customWidth="1"/>
    <col min="11051" max="11051" width="12.28515625" bestFit="1" customWidth="1"/>
    <col min="11052" max="11052" width="14.5703125" bestFit="1" customWidth="1"/>
    <col min="11289" max="11289" width="64.140625" customWidth="1"/>
    <col min="11290" max="11290" width="16.42578125" customWidth="1"/>
    <col min="11291" max="11291" width="14.28515625" bestFit="1" customWidth="1"/>
    <col min="11293" max="11293" width="14" bestFit="1" customWidth="1"/>
    <col min="11294" max="11294" width="15.5703125" bestFit="1" customWidth="1"/>
    <col min="11297" max="11297" width="73.140625" bestFit="1" customWidth="1"/>
    <col min="11299" max="11299" width="13.42578125" bestFit="1" customWidth="1"/>
    <col min="11301" max="11301" width="14" bestFit="1" customWidth="1"/>
    <col min="11302" max="11302" width="14.28515625" bestFit="1" customWidth="1"/>
    <col min="11304" max="11304" width="7.7109375" customWidth="1"/>
    <col min="11305" max="11305" width="13.42578125" customWidth="1"/>
    <col min="11306" max="11306" width="14" bestFit="1" customWidth="1"/>
    <col min="11307" max="11307" width="12.28515625" bestFit="1" customWidth="1"/>
    <col min="11308" max="11308" width="14.5703125" bestFit="1" customWidth="1"/>
    <col min="11545" max="11545" width="64.140625" customWidth="1"/>
    <col min="11546" max="11546" width="16.42578125" customWidth="1"/>
    <col min="11547" max="11547" width="14.28515625" bestFit="1" customWidth="1"/>
    <col min="11549" max="11549" width="14" bestFit="1" customWidth="1"/>
    <col min="11550" max="11550" width="15.5703125" bestFit="1" customWidth="1"/>
    <col min="11553" max="11553" width="73.140625" bestFit="1" customWidth="1"/>
    <col min="11555" max="11555" width="13.42578125" bestFit="1" customWidth="1"/>
    <col min="11557" max="11557" width="14" bestFit="1" customWidth="1"/>
    <col min="11558" max="11558" width="14.28515625" bestFit="1" customWidth="1"/>
    <col min="11560" max="11560" width="7.7109375" customWidth="1"/>
    <col min="11561" max="11561" width="13.42578125" customWidth="1"/>
    <col min="11562" max="11562" width="14" bestFit="1" customWidth="1"/>
    <col min="11563" max="11563" width="12.28515625" bestFit="1" customWidth="1"/>
    <col min="11564" max="11564" width="14.5703125" bestFit="1" customWidth="1"/>
    <col min="11801" max="11801" width="64.140625" customWidth="1"/>
    <col min="11802" max="11802" width="16.42578125" customWidth="1"/>
    <col min="11803" max="11803" width="14.28515625" bestFit="1" customWidth="1"/>
    <col min="11805" max="11805" width="14" bestFit="1" customWidth="1"/>
    <col min="11806" max="11806" width="15.5703125" bestFit="1" customWidth="1"/>
    <col min="11809" max="11809" width="73.140625" bestFit="1" customWidth="1"/>
    <col min="11811" max="11811" width="13.42578125" bestFit="1" customWidth="1"/>
    <col min="11813" max="11813" width="14" bestFit="1" customWidth="1"/>
    <col min="11814" max="11814" width="14.28515625" bestFit="1" customWidth="1"/>
    <col min="11816" max="11816" width="7.7109375" customWidth="1"/>
    <col min="11817" max="11817" width="13.42578125" customWidth="1"/>
    <col min="11818" max="11818" width="14" bestFit="1" customWidth="1"/>
    <col min="11819" max="11819" width="12.28515625" bestFit="1" customWidth="1"/>
    <col min="11820" max="11820" width="14.5703125" bestFit="1" customWidth="1"/>
    <col min="12057" max="12057" width="64.140625" customWidth="1"/>
    <col min="12058" max="12058" width="16.42578125" customWidth="1"/>
    <col min="12059" max="12059" width="14.28515625" bestFit="1" customWidth="1"/>
    <col min="12061" max="12061" width="14" bestFit="1" customWidth="1"/>
    <col min="12062" max="12062" width="15.5703125" bestFit="1" customWidth="1"/>
    <col min="12065" max="12065" width="73.140625" bestFit="1" customWidth="1"/>
    <col min="12067" max="12067" width="13.42578125" bestFit="1" customWidth="1"/>
    <col min="12069" max="12069" width="14" bestFit="1" customWidth="1"/>
    <col min="12070" max="12070" width="14.28515625" bestFit="1" customWidth="1"/>
    <col min="12072" max="12072" width="7.7109375" customWidth="1"/>
    <col min="12073" max="12073" width="13.42578125" customWidth="1"/>
    <col min="12074" max="12074" width="14" bestFit="1" customWidth="1"/>
    <col min="12075" max="12075" width="12.28515625" bestFit="1" customWidth="1"/>
    <col min="12076" max="12076" width="14.5703125" bestFit="1" customWidth="1"/>
    <col min="12313" max="12313" width="64.140625" customWidth="1"/>
    <col min="12314" max="12314" width="16.42578125" customWidth="1"/>
    <col min="12315" max="12315" width="14.28515625" bestFit="1" customWidth="1"/>
    <col min="12317" max="12317" width="14" bestFit="1" customWidth="1"/>
    <col min="12318" max="12318" width="15.5703125" bestFit="1" customWidth="1"/>
    <col min="12321" max="12321" width="73.140625" bestFit="1" customWidth="1"/>
    <col min="12323" max="12323" width="13.42578125" bestFit="1" customWidth="1"/>
    <col min="12325" max="12325" width="14" bestFit="1" customWidth="1"/>
    <col min="12326" max="12326" width="14.28515625" bestFit="1" customWidth="1"/>
    <col min="12328" max="12328" width="7.7109375" customWidth="1"/>
    <col min="12329" max="12329" width="13.42578125" customWidth="1"/>
    <col min="12330" max="12330" width="14" bestFit="1" customWidth="1"/>
    <col min="12331" max="12331" width="12.28515625" bestFit="1" customWidth="1"/>
    <col min="12332" max="12332" width="14.5703125" bestFit="1" customWidth="1"/>
    <col min="12569" max="12569" width="64.140625" customWidth="1"/>
    <col min="12570" max="12570" width="16.42578125" customWidth="1"/>
    <col min="12571" max="12571" width="14.28515625" bestFit="1" customWidth="1"/>
    <col min="12573" max="12573" width="14" bestFit="1" customWidth="1"/>
    <col min="12574" max="12574" width="15.5703125" bestFit="1" customWidth="1"/>
    <col min="12577" max="12577" width="73.140625" bestFit="1" customWidth="1"/>
    <col min="12579" max="12579" width="13.42578125" bestFit="1" customWidth="1"/>
    <col min="12581" max="12581" width="14" bestFit="1" customWidth="1"/>
    <col min="12582" max="12582" width="14.28515625" bestFit="1" customWidth="1"/>
    <col min="12584" max="12584" width="7.7109375" customWidth="1"/>
    <col min="12585" max="12585" width="13.42578125" customWidth="1"/>
    <col min="12586" max="12586" width="14" bestFit="1" customWidth="1"/>
    <col min="12587" max="12587" width="12.28515625" bestFit="1" customWidth="1"/>
    <col min="12588" max="12588" width="14.5703125" bestFit="1" customWidth="1"/>
    <col min="12825" max="12825" width="64.140625" customWidth="1"/>
    <col min="12826" max="12826" width="16.42578125" customWidth="1"/>
    <col min="12827" max="12827" width="14.28515625" bestFit="1" customWidth="1"/>
    <col min="12829" max="12829" width="14" bestFit="1" customWidth="1"/>
    <col min="12830" max="12830" width="15.5703125" bestFit="1" customWidth="1"/>
    <col min="12833" max="12833" width="73.140625" bestFit="1" customWidth="1"/>
    <col min="12835" max="12835" width="13.42578125" bestFit="1" customWidth="1"/>
    <col min="12837" max="12837" width="14" bestFit="1" customWidth="1"/>
    <col min="12838" max="12838" width="14.28515625" bestFit="1" customWidth="1"/>
    <col min="12840" max="12840" width="7.7109375" customWidth="1"/>
    <col min="12841" max="12841" width="13.42578125" customWidth="1"/>
    <col min="12842" max="12842" width="14" bestFit="1" customWidth="1"/>
    <col min="12843" max="12843" width="12.28515625" bestFit="1" customWidth="1"/>
    <col min="12844" max="12844" width="14.5703125" bestFit="1" customWidth="1"/>
    <col min="13081" max="13081" width="64.140625" customWidth="1"/>
    <col min="13082" max="13082" width="16.42578125" customWidth="1"/>
    <col min="13083" max="13083" width="14.28515625" bestFit="1" customWidth="1"/>
    <col min="13085" max="13085" width="14" bestFit="1" customWidth="1"/>
    <col min="13086" max="13086" width="15.5703125" bestFit="1" customWidth="1"/>
    <col min="13089" max="13089" width="73.140625" bestFit="1" customWidth="1"/>
    <col min="13091" max="13091" width="13.42578125" bestFit="1" customWidth="1"/>
    <col min="13093" max="13093" width="14" bestFit="1" customWidth="1"/>
    <col min="13094" max="13094" width="14.28515625" bestFit="1" customWidth="1"/>
    <col min="13096" max="13096" width="7.7109375" customWidth="1"/>
    <col min="13097" max="13097" width="13.42578125" customWidth="1"/>
    <col min="13098" max="13098" width="14" bestFit="1" customWidth="1"/>
    <col min="13099" max="13099" width="12.28515625" bestFit="1" customWidth="1"/>
    <col min="13100" max="13100" width="14.5703125" bestFit="1" customWidth="1"/>
    <col min="13337" max="13337" width="64.140625" customWidth="1"/>
    <col min="13338" max="13338" width="16.42578125" customWidth="1"/>
    <col min="13339" max="13339" width="14.28515625" bestFit="1" customWidth="1"/>
    <col min="13341" max="13341" width="14" bestFit="1" customWidth="1"/>
    <col min="13342" max="13342" width="15.5703125" bestFit="1" customWidth="1"/>
    <col min="13345" max="13345" width="73.140625" bestFit="1" customWidth="1"/>
    <col min="13347" max="13347" width="13.42578125" bestFit="1" customWidth="1"/>
    <col min="13349" max="13349" width="14" bestFit="1" customWidth="1"/>
    <col min="13350" max="13350" width="14.28515625" bestFit="1" customWidth="1"/>
    <col min="13352" max="13352" width="7.7109375" customWidth="1"/>
    <col min="13353" max="13353" width="13.42578125" customWidth="1"/>
    <col min="13354" max="13354" width="14" bestFit="1" customWidth="1"/>
    <col min="13355" max="13355" width="12.28515625" bestFit="1" customWidth="1"/>
    <col min="13356" max="13356" width="14.5703125" bestFit="1" customWidth="1"/>
    <col min="13593" max="13593" width="64.140625" customWidth="1"/>
    <col min="13594" max="13594" width="16.42578125" customWidth="1"/>
    <col min="13595" max="13595" width="14.28515625" bestFit="1" customWidth="1"/>
    <col min="13597" max="13597" width="14" bestFit="1" customWidth="1"/>
    <col min="13598" max="13598" width="15.5703125" bestFit="1" customWidth="1"/>
    <col min="13601" max="13601" width="73.140625" bestFit="1" customWidth="1"/>
    <col min="13603" max="13603" width="13.42578125" bestFit="1" customWidth="1"/>
    <col min="13605" max="13605" width="14" bestFit="1" customWidth="1"/>
    <col min="13606" max="13606" width="14.28515625" bestFit="1" customWidth="1"/>
    <col min="13608" max="13608" width="7.7109375" customWidth="1"/>
    <col min="13609" max="13609" width="13.42578125" customWidth="1"/>
    <col min="13610" max="13610" width="14" bestFit="1" customWidth="1"/>
    <col min="13611" max="13611" width="12.28515625" bestFit="1" customWidth="1"/>
    <col min="13612" max="13612" width="14.5703125" bestFit="1" customWidth="1"/>
    <col min="13849" max="13849" width="64.140625" customWidth="1"/>
    <col min="13850" max="13850" width="16.42578125" customWidth="1"/>
    <col min="13851" max="13851" width="14.28515625" bestFit="1" customWidth="1"/>
    <col min="13853" max="13853" width="14" bestFit="1" customWidth="1"/>
    <col min="13854" max="13854" width="15.5703125" bestFit="1" customWidth="1"/>
    <col min="13857" max="13857" width="73.140625" bestFit="1" customWidth="1"/>
    <col min="13859" max="13859" width="13.42578125" bestFit="1" customWidth="1"/>
    <col min="13861" max="13861" width="14" bestFit="1" customWidth="1"/>
    <col min="13862" max="13862" width="14.28515625" bestFit="1" customWidth="1"/>
    <col min="13864" max="13864" width="7.7109375" customWidth="1"/>
    <col min="13865" max="13865" width="13.42578125" customWidth="1"/>
    <col min="13866" max="13866" width="14" bestFit="1" customWidth="1"/>
    <col min="13867" max="13867" width="12.28515625" bestFit="1" customWidth="1"/>
    <col min="13868" max="13868" width="14.5703125" bestFit="1" customWidth="1"/>
    <col min="14105" max="14105" width="64.140625" customWidth="1"/>
    <col min="14106" max="14106" width="16.42578125" customWidth="1"/>
    <col min="14107" max="14107" width="14.28515625" bestFit="1" customWidth="1"/>
    <col min="14109" max="14109" width="14" bestFit="1" customWidth="1"/>
    <col min="14110" max="14110" width="15.5703125" bestFit="1" customWidth="1"/>
    <col min="14113" max="14113" width="73.140625" bestFit="1" customWidth="1"/>
    <col min="14115" max="14115" width="13.42578125" bestFit="1" customWidth="1"/>
    <col min="14117" max="14117" width="14" bestFit="1" customWidth="1"/>
    <col min="14118" max="14118" width="14.28515625" bestFit="1" customWidth="1"/>
    <col min="14120" max="14120" width="7.7109375" customWidth="1"/>
    <col min="14121" max="14121" width="13.42578125" customWidth="1"/>
    <col min="14122" max="14122" width="14" bestFit="1" customWidth="1"/>
    <col min="14123" max="14123" width="12.28515625" bestFit="1" customWidth="1"/>
    <col min="14124" max="14124" width="14.5703125" bestFit="1" customWidth="1"/>
    <col min="14361" max="14361" width="64.140625" customWidth="1"/>
    <col min="14362" max="14362" width="16.42578125" customWidth="1"/>
    <col min="14363" max="14363" width="14.28515625" bestFit="1" customWidth="1"/>
    <col min="14365" max="14365" width="14" bestFit="1" customWidth="1"/>
    <col min="14366" max="14366" width="15.5703125" bestFit="1" customWidth="1"/>
    <col min="14369" max="14369" width="73.140625" bestFit="1" customWidth="1"/>
    <col min="14371" max="14371" width="13.42578125" bestFit="1" customWidth="1"/>
    <col min="14373" max="14373" width="14" bestFit="1" customWidth="1"/>
    <col min="14374" max="14374" width="14.28515625" bestFit="1" customWidth="1"/>
    <col min="14376" max="14376" width="7.7109375" customWidth="1"/>
    <col min="14377" max="14377" width="13.42578125" customWidth="1"/>
    <col min="14378" max="14378" width="14" bestFit="1" customWidth="1"/>
    <col min="14379" max="14379" width="12.28515625" bestFit="1" customWidth="1"/>
    <col min="14380" max="14380" width="14.5703125" bestFit="1" customWidth="1"/>
    <col min="14617" max="14617" width="64.140625" customWidth="1"/>
    <col min="14618" max="14618" width="16.42578125" customWidth="1"/>
    <col min="14619" max="14619" width="14.28515625" bestFit="1" customWidth="1"/>
    <col min="14621" max="14621" width="14" bestFit="1" customWidth="1"/>
    <col min="14622" max="14622" width="15.5703125" bestFit="1" customWidth="1"/>
    <col min="14625" max="14625" width="73.140625" bestFit="1" customWidth="1"/>
    <col min="14627" max="14627" width="13.42578125" bestFit="1" customWidth="1"/>
    <col min="14629" max="14629" width="14" bestFit="1" customWidth="1"/>
    <col min="14630" max="14630" width="14.28515625" bestFit="1" customWidth="1"/>
    <col min="14632" max="14632" width="7.7109375" customWidth="1"/>
    <col min="14633" max="14633" width="13.42578125" customWidth="1"/>
    <col min="14634" max="14634" width="14" bestFit="1" customWidth="1"/>
    <col min="14635" max="14635" width="12.28515625" bestFit="1" customWidth="1"/>
    <col min="14636" max="14636" width="14.5703125" bestFit="1" customWidth="1"/>
    <col min="14873" max="14873" width="64.140625" customWidth="1"/>
    <col min="14874" max="14874" width="16.42578125" customWidth="1"/>
    <col min="14875" max="14875" width="14.28515625" bestFit="1" customWidth="1"/>
    <col min="14877" max="14877" width="14" bestFit="1" customWidth="1"/>
    <col min="14878" max="14878" width="15.5703125" bestFit="1" customWidth="1"/>
    <col min="14881" max="14881" width="73.140625" bestFit="1" customWidth="1"/>
    <col min="14883" max="14883" width="13.42578125" bestFit="1" customWidth="1"/>
    <col min="14885" max="14885" width="14" bestFit="1" customWidth="1"/>
    <col min="14886" max="14886" width="14.28515625" bestFit="1" customWidth="1"/>
    <col min="14888" max="14888" width="7.7109375" customWidth="1"/>
    <col min="14889" max="14889" width="13.42578125" customWidth="1"/>
    <col min="14890" max="14890" width="14" bestFit="1" customWidth="1"/>
    <col min="14891" max="14891" width="12.28515625" bestFit="1" customWidth="1"/>
    <col min="14892" max="14892" width="14.5703125" bestFit="1" customWidth="1"/>
    <col min="15129" max="15129" width="64.140625" customWidth="1"/>
    <col min="15130" max="15130" width="16.42578125" customWidth="1"/>
    <col min="15131" max="15131" width="14.28515625" bestFit="1" customWidth="1"/>
    <col min="15133" max="15133" width="14" bestFit="1" customWidth="1"/>
    <col min="15134" max="15134" width="15.5703125" bestFit="1" customWidth="1"/>
    <col min="15137" max="15137" width="73.140625" bestFit="1" customWidth="1"/>
    <col min="15139" max="15139" width="13.42578125" bestFit="1" customWidth="1"/>
    <col min="15141" max="15141" width="14" bestFit="1" customWidth="1"/>
    <col min="15142" max="15142" width="14.28515625" bestFit="1" customWidth="1"/>
    <col min="15144" max="15144" width="7.7109375" customWidth="1"/>
    <col min="15145" max="15145" width="13.42578125" customWidth="1"/>
    <col min="15146" max="15146" width="14" bestFit="1" customWidth="1"/>
    <col min="15147" max="15147" width="12.28515625" bestFit="1" customWidth="1"/>
    <col min="15148" max="15148" width="14.5703125" bestFit="1" customWidth="1"/>
    <col min="15385" max="15385" width="64.140625" customWidth="1"/>
    <col min="15386" max="15386" width="16.42578125" customWidth="1"/>
    <col min="15387" max="15387" width="14.28515625" bestFit="1" customWidth="1"/>
    <col min="15389" max="15389" width="14" bestFit="1" customWidth="1"/>
    <col min="15390" max="15390" width="15.5703125" bestFit="1" customWidth="1"/>
    <col min="15393" max="15393" width="73.140625" bestFit="1" customWidth="1"/>
    <col min="15395" max="15395" width="13.42578125" bestFit="1" customWidth="1"/>
    <col min="15397" max="15397" width="14" bestFit="1" customWidth="1"/>
    <col min="15398" max="15398" width="14.28515625" bestFit="1" customWidth="1"/>
    <col min="15400" max="15400" width="7.7109375" customWidth="1"/>
    <col min="15401" max="15401" width="13.42578125" customWidth="1"/>
    <col min="15402" max="15402" width="14" bestFit="1" customWidth="1"/>
    <col min="15403" max="15403" width="12.28515625" bestFit="1" customWidth="1"/>
    <col min="15404" max="15404" width="14.5703125" bestFit="1" customWidth="1"/>
    <col min="15641" max="15641" width="64.140625" customWidth="1"/>
    <col min="15642" max="15642" width="16.42578125" customWidth="1"/>
    <col min="15643" max="15643" width="14.28515625" bestFit="1" customWidth="1"/>
    <col min="15645" max="15645" width="14" bestFit="1" customWidth="1"/>
    <col min="15646" max="15646" width="15.5703125" bestFit="1" customWidth="1"/>
    <col min="15649" max="15649" width="73.140625" bestFit="1" customWidth="1"/>
    <col min="15651" max="15651" width="13.42578125" bestFit="1" customWidth="1"/>
    <col min="15653" max="15653" width="14" bestFit="1" customWidth="1"/>
    <col min="15654" max="15654" width="14.28515625" bestFit="1" customWidth="1"/>
    <col min="15656" max="15656" width="7.7109375" customWidth="1"/>
    <col min="15657" max="15657" width="13.42578125" customWidth="1"/>
    <col min="15658" max="15658" width="14" bestFit="1" customWidth="1"/>
    <col min="15659" max="15659" width="12.28515625" bestFit="1" customWidth="1"/>
    <col min="15660" max="15660" width="14.5703125" bestFit="1" customWidth="1"/>
    <col min="15897" max="15897" width="64.140625" customWidth="1"/>
    <col min="15898" max="15898" width="16.42578125" customWidth="1"/>
    <col min="15899" max="15899" width="14.28515625" bestFit="1" customWidth="1"/>
    <col min="15901" max="15901" width="14" bestFit="1" customWidth="1"/>
    <col min="15902" max="15902" width="15.5703125" bestFit="1" customWidth="1"/>
    <col min="15905" max="15905" width="73.140625" bestFit="1" customWidth="1"/>
    <col min="15907" max="15907" width="13.42578125" bestFit="1" customWidth="1"/>
    <col min="15909" max="15909" width="14" bestFit="1" customWidth="1"/>
    <col min="15910" max="15910" width="14.28515625" bestFit="1" customWidth="1"/>
    <col min="15912" max="15912" width="7.7109375" customWidth="1"/>
    <col min="15913" max="15913" width="13.42578125" customWidth="1"/>
    <col min="15914" max="15914" width="14" bestFit="1" customWidth="1"/>
    <col min="15915" max="15915" width="12.28515625" bestFit="1" customWidth="1"/>
    <col min="15916" max="15916" width="14.5703125" bestFit="1" customWidth="1"/>
    <col min="16153" max="16153" width="64.140625" customWidth="1"/>
    <col min="16154" max="16154" width="16.42578125" customWidth="1"/>
    <col min="16155" max="16155" width="14.28515625" bestFit="1" customWidth="1"/>
    <col min="16157" max="16157" width="14" bestFit="1" customWidth="1"/>
    <col min="16158" max="16158" width="15.5703125" bestFit="1" customWidth="1"/>
    <col min="16161" max="16161" width="73.140625" bestFit="1" customWidth="1"/>
    <col min="16163" max="16163" width="13.42578125" bestFit="1" customWidth="1"/>
    <col min="16165" max="16165" width="14" bestFit="1" customWidth="1"/>
    <col min="16166" max="16166" width="14.28515625" bestFit="1" customWidth="1"/>
    <col min="16168" max="16168" width="7.7109375" customWidth="1"/>
    <col min="16169" max="16169" width="13.42578125" customWidth="1"/>
    <col min="16170" max="16170" width="14" bestFit="1" customWidth="1"/>
    <col min="16171" max="16171" width="12.28515625" bestFit="1" customWidth="1"/>
    <col min="16172" max="16172" width="14.5703125" bestFit="1" customWidth="1"/>
  </cols>
  <sheetData>
    <row r="1" spans="1:45" ht="23.25">
      <c r="A1" s="212" t="s">
        <v>108</v>
      </c>
      <c r="B1" s="213"/>
      <c r="C1" s="214"/>
      <c r="D1" s="214"/>
      <c r="E1" s="214"/>
      <c r="F1" s="214"/>
      <c r="G1" s="215"/>
      <c r="I1" s="212" t="s">
        <v>108</v>
      </c>
      <c r="J1" s="213"/>
      <c r="K1" s="214"/>
      <c r="L1" s="214"/>
      <c r="M1" s="214"/>
      <c r="N1" s="214"/>
      <c r="O1" s="215"/>
      <c r="Q1" s="212" t="s">
        <v>108</v>
      </c>
      <c r="R1" s="213"/>
      <c r="S1" s="214"/>
      <c r="T1" s="214"/>
      <c r="U1" s="214"/>
      <c r="V1" s="214"/>
      <c r="W1" s="215"/>
      <c r="Y1" s="212" t="s">
        <v>108</v>
      </c>
      <c r="Z1" s="213"/>
      <c r="AA1" s="214"/>
      <c r="AB1" s="214"/>
      <c r="AC1" s="214"/>
      <c r="AD1" s="214"/>
      <c r="AE1" s="215"/>
      <c r="AG1" s="212" t="s">
        <v>108</v>
      </c>
      <c r="AH1" s="213"/>
      <c r="AI1" s="214"/>
      <c r="AJ1" s="214"/>
      <c r="AK1" s="214"/>
      <c r="AL1" s="214"/>
      <c r="AM1" s="215"/>
    </row>
    <row r="2" spans="1:45" ht="15.75">
      <c r="A2" s="216" t="s">
        <v>276</v>
      </c>
      <c r="B2" s="345"/>
      <c r="C2" s="346"/>
      <c r="D2" s="346"/>
      <c r="E2" s="347"/>
      <c r="F2" s="347"/>
      <c r="G2" s="220"/>
      <c r="I2" s="216" t="s">
        <v>251</v>
      </c>
      <c r="J2" s="345"/>
      <c r="K2" s="346"/>
      <c r="L2" s="346"/>
      <c r="M2" s="347"/>
      <c r="N2" s="347"/>
      <c r="O2" s="220"/>
      <c r="Q2" s="216" t="s">
        <v>128</v>
      </c>
      <c r="R2" s="217"/>
      <c r="S2" s="218"/>
      <c r="T2" s="218"/>
      <c r="U2" s="219"/>
      <c r="V2" s="219"/>
      <c r="W2" s="220"/>
      <c r="Y2" s="216" t="s">
        <v>128</v>
      </c>
      <c r="Z2" s="345"/>
      <c r="AA2" s="346"/>
      <c r="AB2" s="346"/>
      <c r="AC2" s="347"/>
      <c r="AD2" s="347"/>
      <c r="AE2" s="220"/>
      <c r="AG2" s="216" t="s">
        <v>109</v>
      </c>
      <c r="AH2" s="345"/>
      <c r="AI2" s="346"/>
      <c r="AJ2" s="346"/>
      <c r="AK2" s="347"/>
      <c r="AL2" s="347"/>
      <c r="AM2" s="220"/>
    </row>
    <row r="3" spans="1:45" ht="15.75">
      <c r="A3" s="216"/>
      <c r="B3" s="345"/>
      <c r="C3" s="346"/>
      <c r="D3" s="346"/>
      <c r="E3" s="347"/>
      <c r="F3" s="347"/>
      <c r="G3" s="220"/>
      <c r="I3" s="216"/>
      <c r="J3" s="345"/>
      <c r="K3" s="346"/>
      <c r="L3" s="346"/>
      <c r="M3" s="347"/>
      <c r="N3" s="347"/>
      <c r="O3" s="220"/>
      <c r="Q3" s="216"/>
      <c r="R3" s="217"/>
      <c r="S3" s="218"/>
      <c r="T3" s="218"/>
      <c r="U3" s="219"/>
      <c r="V3" s="219"/>
      <c r="W3" s="220"/>
      <c r="Y3" s="216"/>
      <c r="Z3" s="345"/>
      <c r="AA3" s="346"/>
      <c r="AB3" s="346"/>
      <c r="AC3" s="347"/>
      <c r="AD3" s="347"/>
      <c r="AE3" s="220"/>
      <c r="AG3" s="216" t="s">
        <v>149</v>
      </c>
      <c r="AH3" s="345"/>
      <c r="AI3" s="346"/>
      <c r="AJ3" s="346"/>
      <c r="AK3" s="347"/>
      <c r="AL3" s="347"/>
      <c r="AM3" s="220"/>
    </row>
    <row r="4" spans="1:45" ht="42.75" customHeight="1">
      <c r="A4" s="463"/>
      <c r="B4" s="464"/>
      <c r="C4" s="464"/>
      <c r="D4" s="346"/>
      <c r="E4" s="347"/>
      <c r="F4" s="347"/>
      <c r="G4" s="220"/>
      <c r="I4" s="463"/>
      <c r="J4" s="464"/>
      <c r="K4" s="464"/>
      <c r="L4" s="346"/>
      <c r="M4" s="347"/>
      <c r="N4" s="347"/>
      <c r="O4" s="220"/>
      <c r="Q4" s="465"/>
      <c r="R4" s="466"/>
      <c r="S4" s="466"/>
      <c r="T4" s="218"/>
      <c r="U4" s="219"/>
      <c r="V4" s="219"/>
      <c r="W4" s="220"/>
      <c r="Y4" s="467" t="s">
        <v>147</v>
      </c>
      <c r="Z4" s="468"/>
      <c r="AA4" s="469"/>
      <c r="AB4" s="346"/>
      <c r="AC4" s="347"/>
      <c r="AD4" s="347"/>
      <c r="AE4" s="220"/>
      <c r="AG4" s="216"/>
      <c r="AH4" s="345"/>
      <c r="AI4" s="346"/>
      <c r="AJ4" s="346"/>
      <c r="AK4" s="347"/>
      <c r="AL4" s="347"/>
      <c r="AM4" s="220"/>
    </row>
    <row r="5" spans="1:45" ht="15.75">
      <c r="A5" s="407"/>
      <c r="B5" s="346"/>
      <c r="C5" s="346"/>
      <c r="D5" s="346"/>
      <c r="E5" s="347"/>
      <c r="F5" s="347"/>
      <c r="G5" s="220"/>
      <c r="I5" s="348"/>
      <c r="J5" s="346"/>
      <c r="K5" s="346"/>
      <c r="L5" s="346"/>
      <c r="M5" s="347"/>
      <c r="N5" s="347"/>
      <c r="O5" s="220"/>
      <c r="Q5" s="349"/>
      <c r="R5" s="218"/>
      <c r="S5" s="218"/>
      <c r="T5" s="218"/>
      <c r="U5" s="219"/>
      <c r="V5" s="219"/>
      <c r="W5" s="220"/>
      <c r="Y5" s="349"/>
      <c r="Z5" s="346"/>
      <c r="AA5" s="346"/>
      <c r="AB5" s="346"/>
      <c r="AC5" s="347"/>
      <c r="AD5" s="347"/>
      <c r="AE5" s="220"/>
      <c r="AG5" s="216"/>
      <c r="AH5" s="345"/>
      <c r="AI5" s="346"/>
      <c r="AJ5" s="346"/>
      <c r="AK5" s="347"/>
      <c r="AL5" s="347"/>
      <c r="AM5" s="220"/>
    </row>
    <row r="6" spans="1:45" ht="15">
      <c r="A6" s="444" t="s">
        <v>19</v>
      </c>
      <c r="B6" s="462"/>
      <c r="C6" s="462"/>
      <c r="D6" s="462"/>
      <c r="E6" s="462"/>
      <c r="F6" s="462"/>
      <c r="G6" s="446"/>
      <c r="I6" s="444" t="s">
        <v>19</v>
      </c>
      <c r="J6" s="462"/>
      <c r="K6" s="462"/>
      <c r="L6" s="462"/>
      <c r="M6" s="462"/>
      <c r="N6" s="462"/>
      <c r="O6" s="446"/>
      <c r="Q6" s="444" t="s">
        <v>19</v>
      </c>
      <c r="R6" s="445"/>
      <c r="S6" s="445"/>
      <c r="T6" s="445"/>
      <c r="U6" s="445"/>
      <c r="V6" s="445"/>
      <c r="W6" s="446"/>
      <c r="Y6" s="444" t="s">
        <v>19</v>
      </c>
      <c r="Z6" s="462"/>
      <c r="AA6" s="462"/>
      <c r="AB6" s="462"/>
      <c r="AC6" s="462"/>
      <c r="AD6" s="462"/>
      <c r="AE6" s="446"/>
      <c r="AG6" s="444" t="s">
        <v>19</v>
      </c>
      <c r="AH6" s="462"/>
      <c r="AI6" s="462"/>
      <c r="AJ6" s="462"/>
      <c r="AK6" s="462"/>
      <c r="AL6" s="462"/>
      <c r="AM6" s="446"/>
    </row>
    <row r="7" spans="1:45" ht="15">
      <c r="A7" s="223"/>
      <c r="B7" s="347"/>
      <c r="C7" s="347"/>
      <c r="D7" s="347"/>
      <c r="E7" s="347"/>
      <c r="F7" s="347"/>
      <c r="G7" s="220"/>
      <c r="I7" s="223"/>
      <c r="J7" s="347"/>
      <c r="K7" s="347"/>
      <c r="L7" s="347"/>
      <c r="M7" s="347"/>
      <c r="N7" s="347"/>
      <c r="O7" s="220"/>
      <c r="Q7" s="223"/>
      <c r="R7" s="219"/>
      <c r="S7" s="219"/>
      <c r="T7" s="219"/>
      <c r="U7" s="219"/>
      <c r="V7" s="219"/>
      <c r="W7" s="220"/>
      <c r="Y7" s="223"/>
      <c r="Z7" s="347"/>
      <c r="AA7" s="347"/>
      <c r="AB7" s="347"/>
      <c r="AC7" s="347"/>
      <c r="AD7" s="347"/>
      <c r="AE7" s="220"/>
      <c r="AG7" s="223"/>
      <c r="AH7" s="347"/>
      <c r="AI7" s="347"/>
      <c r="AJ7" s="347"/>
      <c r="AK7" s="347"/>
      <c r="AL7" s="347"/>
      <c r="AM7" s="220"/>
    </row>
    <row r="8" spans="1:45" ht="15.75">
      <c r="A8" s="223"/>
      <c r="B8" s="347"/>
      <c r="C8" s="350"/>
      <c r="D8" s="350"/>
      <c r="E8" s="350" t="s">
        <v>110</v>
      </c>
      <c r="F8" s="350" t="s">
        <v>71</v>
      </c>
      <c r="G8" s="220"/>
      <c r="I8" s="223"/>
      <c r="J8" s="347"/>
      <c r="K8" s="350"/>
      <c r="L8" s="350"/>
      <c r="M8" s="350" t="s">
        <v>110</v>
      </c>
      <c r="N8" s="350" t="s">
        <v>71</v>
      </c>
      <c r="O8" s="220"/>
      <c r="Q8" s="223"/>
      <c r="R8" s="219"/>
      <c r="S8" s="224"/>
      <c r="T8" s="224"/>
      <c r="U8" s="224" t="s">
        <v>110</v>
      </c>
      <c r="V8" s="224" t="s">
        <v>71</v>
      </c>
      <c r="W8" s="220"/>
      <c r="Y8" s="223"/>
      <c r="Z8" s="347"/>
      <c r="AA8" s="350"/>
      <c r="AB8" s="350"/>
      <c r="AC8" s="350" t="s">
        <v>110</v>
      </c>
      <c r="AD8" s="350" t="s">
        <v>71</v>
      </c>
      <c r="AE8" s="220"/>
      <c r="AG8" s="223"/>
      <c r="AH8" s="347"/>
      <c r="AI8" s="350"/>
      <c r="AJ8" s="350"/>
      <c r="AK8" s="350" t="s">
        <v>110</v>
      </c>
      <c r="AL8" s="350" t="s">
        <v>71</v>
      </c>
      <c r="AM8" s="220"/>
    </row>
    <row r="9" spans="1:45" ht="15.75">
      <c r="A9" s="223"/>
      <c r="B9" s="347"/>
      <c r="C9" s="351" t="s">
        <v>87</v>
      </c>
      <c r="D9" s="351"/>
      <c r="E9" s="351" t="s">
        <v>234</v>
      </c>
      <c r="F9" s="351" t="s">
        <v>235</v>
      </c>
      <c r="G9" s="220"/>
      <c r="I9" s="223"/>
      <c r="J9" s="347"/>
      <c r="K9" s="351" t="s">
        <v>87</v>
      </c>
      <c r="L9" s="351"/>
      <c r="M9" s="351" t="s">
        <v>234</v>
      </c>
      <c r="N9" s="351" t="s">
        <v>235</v>
      </c>
      <c r="O9" s="220"/>
      <c r="Q9" s="223"/>
      <c r="R9" s="219"/>
      <c r="S9" s="225" t="s">
        <v>87</v>
      </c>
      <c r="T9" s="225"/>
      <c r="U9" s="225" t="s">
        <v>234</v>
      </c>
      <c r="V9" s="225" t="s">
        <v>235</v>
      </c>
      <c r="W9" s="220"/>
      <c r="Y9" s="223"/>
      <c r="Z9" s="347"/>
      <c r="AA9" s="351" t="s">
        <v>87</v>
      </c>
      <c r="AB9" s="351"/>
      <c r="AC9" s="351" t="s">
        <v>111</v>
      </c>
      <c r="AD9" s="351" t="s">
        <v>112</v>
      </c>
      <c r="AE9" s="220"/>
      <c r="AG9" s="223"/>
      <c r="AH9" s="347"/>
      <c r="AI9" s="351" t="s">
        <v>87</v>
      </c>
      <c r="AJ9" s="351"/>
      <c r="AK9" s="351" t="s">
        <v>111</v>
      </c>
      <c r="AL9" s="351" t="s">
        <v>112</v>
      </c>
      <c r="AM9" s="220"/>
    </row>
    <row r="10" spans="1:45" ht="15.75">
      <c r="A10" s="226" t="s">
        <v>277</v>
      </c>
      <c r="B10" s="345"/>
      <c r="C10" s="352"/>
      <c r="D10" s="352"/>
      <c r="E10" s="352"/>
      <c r="F10" s="352"/>
      <c r="G10" s="220"/>
      <c r="I10" s="226" t="s">
        <v>244</v>
      </c>
      <c r="J10" s="345"/>
      <c r="K10" s="352"/>
      <c r="L10" s="352"/>
      <c r="M10" s="352"/>
      <c r="N10" s="352"/>
      <c r="O10" s="220"/>
      <c r="Q10" s="226" t="s">
        <v>236</v>
      </c>
      <c r="R10" s="217"/>
      <c r="S10" s="227"/>
      <c r="T10" s="227"/>
      <c r="U10" s="227"/>
      <c r="V10" s="227"/>
      <c r="W10" s="220"/>
      <c r="Y10" s="226" t="s">
        <v>127</v>
      </c>
      <c r="Z10" s="345"/>
      <c r="AA10" s="352"/>
      <c r="AB10" s="352"/>
      <c r="AC10" s="352"/>
      <c r="AD10" s="352"/>
      <c r="AE10" s="220"/>
      <c r="AG10" s="226" t="s">
        <v>113</v>
      </c>
      <c r="AH10" s="345"/>
      <c r="AI10" s="352"/>
      <c r="AJ10" s="352"/>
      <c r="AK10" s="352"/>
      <c r="AL10" s="352"/>
      <c r="AM10" s="220"/>
    </row>
    <row r="11" spans="1:45" ht="15.75">
      <c r="A11" s="223" t="s">
        <v>114</v>
      </c>
      <c r="B11" s="347"/>
      <c r="C11" s="353">
        <f>SUM('Customer Counts - Enspire'!G6:H8)</f>
        <v>290784</v>
      </c>
      <c r="D11" s="353"/>
      <c r="E11" s="354">
        <f>+M12</f>
        <v>0.23</v>
      </c>
      <c r="F11" s="355">
        <f>C11*E11</f>
        <v>66880.320000000007</v>
      </c>
      <c r="G11" s="220"/>
      <c r="I11" s="223" t="s">
        <v>114</v>
      </c>
      <c r="J11" s="347"/>
      <c r="K11" s="353">
        <v>314616</v>
      </c>
      <c r="L11" s="353"/>
      <c r="M11" s="354">
        <f>+U12</f>
        <v>0.44</v>
      </c>
      <c r="N11" s="355">
        <f>K11*M11</f>
        <v>138431.04000000001</v>
      </c>
      <c r="O11" s="220"/>
      <c r="Q11" s="223" t="s">
        <v>114</v>
      </c>
      <c r="R11" s="219"/>
      <c r="S11" s="228">
        <v>305514</v>
      </c>
      <c r="T11" s="228"/>
      <c r="U11" s="229">
        <f>+AC12</f>
        <v>0.73</v>
      </c>
      <c r="V11" s="230">
        <f>S11*U11</f>
        <v>223025.22</v>
      </c>
      <c r="W11" s="220"/>
      <c r="Y11" s="223" t="s">
        <v>114</v>
      </c>
      <c r="Z11" s="347"/>
      <c r="AA11" s="353">
        <v>299451</v>
      </c>
      <c r="AB11" s="353"/>
      <c r="AC11" s="229">
        <f>+AK12</f>
        <v>2.4500000000000002</v>
      </c>
      <c r="AD11" s="230">
        <f>AA11*AC11</f>
        <v>733654.95000000007</v>
      </c>
      <c r="AE11" s="220"/>
      <c r="AG11" s="223" t="s">
        <v>114</v>
      </c>
      <c r="AH11" s="347"/>
      <c r="AI11" s="353">
        <v>291373</v>
      </c>
      <c r="AJ11" s="353"/>
      <c r="AK11" s="354">
        <v>1.79</v>
      </c>
      <c r="AL11" s="355">
        <f>AI11*AK11</f>
        <v>521557.67</v>
      </c>
      <c r="AM11" s="220"/>
      <c r="AP11" s="249"/>
      <c r="AQ11" s="210"/>
      <c r="AR11" s="260"/>
    </row>
    <row r="12" spans="1:45" ht="17.25">
      <c r="A12" s="231" t="s">
        <v>115</v>
      </c>
      <c r="B12" s="283"/>
      <c r="C12" s="356">
        <f>SUM('Customer Counts - Enspire'!G9:H17)</f>
        <v>836699</v>
      </c>
      <c r="D12" s="356"/>
      <c r="E12" s="354">
        <f>+O33</f>
        <v>1.46</v>
      </c>
      <c r="F12" s="357">
        <f>C12*E12</f>
        <v>1221580.54</v>
      </c>
      <c r="G12" s="220"/>
      <c r="I12" s="231" t="s">
        <v>115</v>
      </c>
      <c r="J12" s="283"/>
      <c r="K12" s="356">
        <v>909275</v>
      </c>
      <c r="L12" s="356"/>
      <c r="M12" s="354">
        <f>+W33</f>
        <v>0.23</v>
      </c>
      <c r="N12" s="357">
        <f>K12*M12</f>
        <v>209133.25</v>
      </c>
      <c r="O12" s="220"/>
      <c r="Q12" s="231" t="s">
        <v>115</v>
      </c>
      <c r="R12" s="232"/>
      <c r="S12" s="233">
        <v>931767</v>
      </c>
      <c r="T12" s="233"/>
      <c r="U12" s="229">
        <f>+AE33</f>
        <v>0.44</v>
      </c>
      <c r="V12" s="234">
        <f>S12*U12</f>
        <v>409977.48</v>
      </c>
      <c r="W12" s="220"/>
      <c r="Y12" s="231" t="s">
        <v>115</v>
      </c>
      <c r="Z12" s="283"/>
      <c r="AA12" s="356">
        <v>706622</v>
      </c>
      <c r="AB12" s="356"/>
      <c r="AC12" s="229">
        <f>+AM31</f>
        <v>0.73</v>
      </c>
      <c r="AD12" s="234">
        <f>AA12*AC12</f>
        <v>515834.06</v>
      </c>
      <c r="AE12" s="220"/>
      <c r="AG12" s="231" t="s">
        <v>115</v>
      </c>
      <c r="AH12" s="283"/>
      <c r="AI12" s="356">
        <v>885244</v>
      </c>
      <c r="AJ12" s="356"/>
      <c r="AK12" s="354">
        <v>2.4500000000000002</v>
      </c>
      <c r="AL12" s="357">
        <f>AI12*AK12</f>
        <v>2168847.8000000003</v>
      </c>
      <c r="AM12" s="220"/>
    </row>
    <row r="13" spans="1:45" ht="17.25">
      <c r="A13" s="223" t="s">
        <v>71</v>
      </c>
      <c r="B13" s="347"/>
      <c r="C13" s="353">
        <f>SUM(C11:C12)</f>
        <v>1127483</v>
      </c>
      <c r="D13" s="356"/>
      <c r="E13" s="347"/>
      <c r="F13" s="355">
        <f>SUM(F11:F12)</f>
        <v>1288460.8600000001</v>
      </c>
      <c r="G13" s="220" t="s">
        <v>237</v>
      </c>
      <c r="I13" s="223" t="s">
        <v>71</v>
      </c>
      <c r="J13" s="347"/>
      <c r="K13" s="353">
        <f>SUM(K11:K12)</f>
        <v>1223891</v>
      </c>
      <c r="L13" s="356"/>
      <c r="M13" s="347"/>
      <c r="N13" s="355">
        <f>SUM(N11:N12)</f>
        <v>347564.29000000004</v>
      </c>
      <c r="O13" s="220" t="s">
        <v>237</v>
      </c>
      <c r="Q13" s="223" t="s">
        <v>71</v>
      </c>
      <c r="R13" s="219"/>
      <c r="S13" s="228">
        <f>SUM(S11:S12)</f>
        <v>1237281</v>
      </c>
      <c r="T13" s="233"/>
      <c r="U13" s="219"/>
      <c r="V13" s="230">
        <f>SUM(V11:V12)</f>
        <v>633002.69999999995</v>
      </c>
      <c r="W13" s="220" t="s">
        <v>237</v>
      </c>
      <c r="Y13" s="223" t="s">
        <v>71</v>
      </c>
      <c r="Z13" s="347"/>
      <c r="AA13" s="353">
        <f>SUM(AA11:AA12)</f>
        <v>1006073</v>
      </c>
      <c r="AB13" s="356"/>
      <c r="AC13" s="347"/>
      <c r="AD13" s="230">
        <f>SUM(AD11:AD12)</f>
        <v>1249489.01</v>
      </c>
      <c r="AE13" s="220"/>
      <c r="AG13" s="223" t="s">
        <v>71</v>
      </c>
      <c r="AH13" s="347"/>
      <c r="AI13" s="353">
        <f>SUM(AI11:AI12)</f>
        <v>1176617</v>
      </c>
      <c r="AJ13" s="356"/>
      <c r="AK13" s="347"/>
      <c r="AL13" s="355">
        <f>SUM(AL11:AL12)</f>
        <v>2690405.47</v>
      </c>
      <c r="AM13" s="220"/>
      <c r="AR13" s="262"/>
    </row>
    <row r="14" spans="1:45" ht="15">
      <c r="A14" s="223"/>
      <c r="B14" s="347"/>
      <c r="C14" s="347"/>
      <c r="D14" s="347"/>
      <c r="E14" s="347"/>
      <c r="F14" s="347"/>
      <c r="G14" s="220"/>
      <c r="I14" s="223"/>
      <c r="J14" s="347"/>
      <c r="K14" s="347"/>
      <c r="L14" s="347"/>
      <c r="M14" s="347"/>
      <c r="N14" s="347"/>
      <c r="O14" s="220"/>
      <c r="Q14" s="223"/>
      <c r="R14" s="219"/>
      <c r="S14" s="219"/>
      <c r="T14" s="219"/>
      <c r="U14" s="219"/>
      <c r="V14" s="219"/>
      <c r="W14" s="220"/>
      <c r="Y14" s="223"/>
      <c r="Z14" s="347"/>
      <c r="AA14" s="347"/>
      <c r="AB14" s="347"/>
      <c r="AC14" s="347"/>
      <c r="AD14" s="347"/>
      <c r="AE14" s="220"/>
      <c r="AG14" s="223"/>
      <c r="AH14" s="347"/>
      <c r="AI14" s="347"/>
      <c r="AJ14" s="347"/>
      <c r="AK14" s="347"/>
      <c r="AL14" s="347"/>
      <c r="AM14" s="220"/>
      <c r="AR14" s="261"/>
      <c r="AS14" s="286"/>
    </row>
    <row r="15" spans="1:45" ht="15.75">
      <c r="A15" s="216"/>
      <c r="B15" s="347"/>
      <c r="C15" s="347"/>
      <c r="D15" s="347"/>
      <c r="E15" s="347"/>
      <c r="F15" s="358"/>
      <c r="G15" s="220"/>
      <c r="I15" s="216"/>
      <c r="J15" s="347"/>
      <c r="K15" s="347"/>
      <c r="L15" s="347"/>
      <c r="M15" s="347"/>
      <c r="N15" s="358"/>
      <c r="O15" s="220"/>
      <c r="Q15" s="216"/>
      <c r="R15" s="219"/>
      <c r="S15" s="219"/>
      <c r="T15" s="219"/>
      <c r="U15" s="219"/>
      <c r="V15" s="258"/>
      <c r="W15" s="220"/>
      <c r="Y15" s="216"/>
      <c r="Z15" s="347"/>
      <c r="AA15" s="347"/>
      <c r="AB15" s="347"/>
      <c r="AC15" s="347"/>
      <c r="AD15" s="258"/>
      <c r="AE15" s="220"/>
      <c r="AG15" s="223"/>
      <c r="AH15" s="347"/>
      <c r="AI15" s="347"/>
      <c r="AJ15" s="347"/>
      <c r="AK15" s="347"/>
      <c r="AL15" s="347"/>
      <c r="AM15" s="220"/>
      <c r="AR15" s="261"/>
      <c r="AS15" s="286"/>
    </row>
    <row r="16" spans="1:45" ht="15.75">
      <c r="A16" s="216" t="s">
        <v>279</v>
      </c>
      <c r="B16" s="347"/>
      <c r="C16" s="347"/>
      <c r="D16" s="347"/>
      <c r="E16" s="347"/>
      <c r="F16" s="355">
        <f>SUM('2021-2022 Recy. Tons &amp; Revenue'!O74:O85)</f>
        <v>1591890.1202750448</v>
      </c>
      <c r="G16" s="220"/>
      <c r="I16" s="216" t="s">
        <v>245</v>
      </c>
      <c r="J16" s="347"/>
      <c r="K16" s="347"/>
      <c r="L16" s="347"/>
      <c r="M16" s="347"/>
      <c r="N16" s="355">
        <v>1789368.6842237888</v>
      </c>
      <c r="O16" s="220"/>
      <c r="Q16" s="216" t="s">
        <v>238</v>
      </c>
      <c r="R16" s="219"/>
      <c r="S16" s="219"/>
      <c r="T16" s="219"/>
      <c r="U16" s="219"/>
      <c r="V16" s="230">
        <v>281606.83174170979</v>
      </c>
      <c r="W16" s="220"/>
      <c r="Y16" s="216" t="s">
        <v>129</v>
      </c>
      <c r="Z16" s="347"/>
      <c r="AA16" s="347"/>
      <c r="AB16" s="347"/>
      <c r="AC16" s="347"/>
      <c r="AD16" s="230">
        <v>528491.43671045091</v>
      </c>
      <c r="AE16" s="220"/>
      <c r="AG16" s="223"/>
      <c r="AH16" s="347"/>
      <c r="AI16" s="347"/>
      <c r="AJ16" s="347"/>
      <c r="AK16" s="347"/>
      <c r="AL16" s="347"/>
      <c r="AM16" s="220"/>
      <c r="AR16" s="261"/>
      <c r="AS16" s="286"/>
    </row>
    <row r="17" spans="1:45" ht="15.75">
      <c r="A17" s="216" t="s">
        <v>150</v>
      </c>
      <c r="B17" s="347"/>
      <c r="C17" s="347"/>
      <c r="D17" s="347"/>
      <c r="E17" s="347"/>
      <c r="F17" s="278">
        <f>-F16*50%</f>
        <v>-795945.06013752241</v>
      </c>
      <c r="G17" s="220"/>
      <c r="I17" s="216" t="s">
        <v>150</v>
      </c>
      <c r="J17" s="347"/>
      <c r="K17" s="347"/>
      <c r="L17" s="347"/>
      <c r="M17" s="347"/>
      <c r="N17" s="278">
        <f>-N16*50%</f>
        <v>-894684.3421118944</v>
      </c>
      <c r="O17" s="220"/>
      <c r="Q17" s="216" t="s">
        <v>150</v>
      </c>
      <c r="R17" s="219"/>
      <c r="S17" s="219"/>
      <c r="T17" s="219"/>
      <c r="U17" s="219"/>
      <c r="V17" s="278">
        <f>-V16*50%</f>
        <v>-140803.41587085489</v>
      </c>
      <c r="W17" s="220"/>
      <c r="Y17" s="216" t="s">
        <v>150</v>
      </c>
      <c r="Z17" s="347"/>
      <c r="AA17" s="347"/>
      <c r="AB17" s="347"/>
      <c r="AC17" s="347"/>
      <c r="AD17" s="278">
        <f>-AD16*50%</f>
        <v>-264245.71835522546</v>
      </c>
      <c r="AE17" s="220"/>
      <c r="AG17" s="216"/>
      <c r="AH17" s="347"/>
      <c r="AI17" s="347"/>
      <c r="AJ17" s="347"/>
      <c r="AK17" s="347"/>
      <c r="AL17" s="355"/>
      <c r="AM17" s="220"/>
    </row>
    <row r="18" spans="1:45" ht="15.75">
      <c r="A18" s="282" t="s">
        <v>153</v>
      </c>
      <c r="B18" s="347"/>
      <c r="C18" s="347"/>
      <c r="D18" s="347"/>
      <c r="E18" s="347"/>
      <c r="F18" s="359">
        <f>SUM(F16:F17)</f>
        <v>795945.06013752241</v>
      </c>
      <c r="G18" s="220" t="s">
        <v>239</v>
      </c>
      <c r="I18" s="282" t="s">
        <v>153</v>
      </c>
      <c r="J18" s="347"/>
      <c r="K18" s="347"/>
      <c r="L18" s="347"/>
      <c r="M18" s="347"/>
      <c r="N18" s="359">
        <f>SUM(N16:N17)</f>
        <v>894684.3421118944</v>
      </c>
      <c r="O18" s="220" t="s">
        <v>239</v>
      </c>
      <c r="Q18" s="282" t="s">
        <v>153</v>
      </c>
      <c r="R18" s="219"/>
      <c r="S18" s="219"/>
      <c r="T18" s="219"/>
      <c r="U18" s="219"/>
      <c r="V18" s="257">
        <f>SUM(V16:V17)</f>
        <v>140803.41587085489</v>
      </c>
      <c r="W18" s="220" t="s">
        <v>239</v>
      </c>
      <c r="Y18" s="282" t="s">
        <v>153</v>
      </c>
      <c r="Z18" s="347"/>
      <c r="AA18" s="347"/>
      <c r="AB18" s="347"/>
      <c r="AC18" s="347"/>
      <c r="AD18" s="359">
        <f>SUM(AD16:AD17)</f>
        <v>264245.71835522546</v>
      </c>
      <c r="AE18" s="220"/>
      <c r="AG18" s="223"/>
      <c r="AH18" s="347"/>
      <c r="AI18" s="347"/>
      <c r="AJ18" s="347"/>
      <c r="AK18" s="347"/>
      <c r="AL18" s="347"/>
      <c r="AM18" s="220"/>
      <c r="AR18" s="261"/>
      <c r="AS18" s="286"/>
    </row>
    <row r="19" spans="1:45" ht="17.25">
      <c r="A19" s="283"/>
      <c r="B19" s="283"/>
      <c r="C19" s="283"/>
      <c r="D19" s="283"/>
      <c r="E19" s="283"/>
      <c r="F19" s="283"/>
      <c r="G19" s="220"/>
      <c r="I19" s="283"/>
      <c r="J19" s="283"/>
      <c r="K19" s="283"/>
      <c r="L19" s="283"/>
      <c r="M19" s="283"/>
      <c r="N19" s="283"/>
      <c r="O19" s="220"/>
      <c r="Q19" s="231"/>
      <c r="R19" s="232"/>
      <c r="S19" s="232"/>
      <c r="T19" s="232"/>
      <c r="U19" s="232"/>
      <c r="V19" s="232"/>
      <c r="W19" s="220"/>
      <c r="Y19" s="231"/>
      <c r="Z19" s="283"/>
      <c r="AA19" s="283"/>
      <c r="AB19" s="283"/>
      <c r="AC19" s="283"/>
      <c r="AD19" s="283"/>
      <c r="AE19" s="220"/>
      <c r="AG19" s="223"/>
      <c r="AH19" s="347"/>
      <c r="AI19" s="347"/>
      <c r="AJ19" s="347"/>
      <c r="AK19" s="347"/>
      <c r="AL19" s="347"/>
      <c r="AM19" s="220"/>
      <c r="AR19" s="263"/>
      <c r="AS19" s="286"/>
    </row>
    <row r="20" spans="1:45" ht="15.75">
      <c r="A20" s="223"/>
      <c r="B20" s="347"/>
      <c r="C20" s="347"/>
      <c r="D20" s="347"/>
      <c r="E20" s="347"/>
      <c r="F20" s="358"/>
      <c r="G20" s="220"/>
      <c r="I20" s="223"/>
      <c r="J20" s="347"/>
      <c r="K20" s="347"/>
      <c r="L20" s="347"/>
      <c r="M20" s="347"/>
      <c r="N20" s="358"/>
      <c r="O20" s="220"/>
      <c r="Q20" s="223"/>
      <c r="R20" s="219"/>
      <c r="S20" s="219"/>
      <c r="T20" s="219"/>
      <c r="U20" s="219"/>
      <c r="V20" s="258"/>
      <c r="W20" s="387"/>
      <c r="Y20" s="223" t="s">
        <v>117</v>
      </c>
      <c r="Z20" s="347"/>
      <c r="AA20" s="347"/>
      <c r="AB20" s="347"/>
      <c r="AC20" s="347"/>
      <c r="AD20" s="258">
        <f>AD18-AD13</f>
        <v>-985243.29164477461</v>
      </c>
      <c r="AE20" s="220"/>
      <c r="AG20" s="216" t="s">
        <v>116</v>
      </c>
      <c r="AH20" s="347"/>
      <c r="AI20" s="347"/>
      <c r="AJ20" s="347"/>
      <c r="AK20" s="347"/>
      <c r="AL20" s="355">
        <v>1226082</v>
      </c>
      <c r="AM20" s="220"/>
      <c r="AO20" s="260"/>
      <c r="AR20" s="261"/>
    </row>
    <row r="21" spans="1:45" ht="17.25">
      <c r="A21" s="216"/>
      <c r="B21" s="347"/>
      <c r="C21" s="360"/>
      <c r="D21" s="347"/>
      <c r="E21" s="361"/>
      <c r="F21" s="362"/>
      <c r="G21" s="220"/>
      <c r="I21" s="216"/>
      <c r="J21" s="347"/>
      <c r="K21" s="360"/>
      <c r="L21" s="347"/>
      <c r="M21" s="361"/>
      <c r="N21" s="362"/>
      <c r="O21" s="220"/>
      <c r="Q21" s="216"/>
      <c r="R21" s="219"/>
      <c r="S21" s="255"/>
      <c r="T21" s="219"/>
      <c r="U21" s="256"/>
      <c r="V21" s="236"/>
      <c r="W21" s="220"/>
      <c r="Y21" s="216" t="s">
        <v>151</v>
      </c>
      <c r="Z21" s="347"/>
      <c r="AA21" s="255">
        <f>SUM('[1]Customer Counts'!G21:H22)</f>
        <v>199583</v>
      </c>
      <c r="AB21" s="347"/>
      <c r="AC21" s="361">
        <f>AM38</f>
        <v>-0.90024999999999988</v>
      </c>
      <c r="AD21" s="236">
        <f>AC21*AA21</f>
        <v>-179674.59574999998</v>
      </c>
      <c r="AE21" s="220"/>
      <c r="AG21" s="216"/>
      <c r="AH21" s="347"/>
      <c r="AI21" s="347"/>
      <c r="AJ21" s="347"/>
      <c r="AK21" s="347"/>
      <c r="AL21" s="355"/>
      <c r="AM21" s="220"/>
    </row>
    <row r="22" spans="1:45" ht="15">
      <c r="A22" s="283" t="s">
        <v>154</v>
      </c>
      <c r="B22" s="283"/>
      <c r="C22" s="283"/>
      <c r="D22" s="283"/>
      <c r="E22" s="283"/>
      <c r="F22" s="353">
        <f>F18-F13</f>
        <v>-492515.7998624777</v>
      </c>
      <c r="G22" s="220" t="s">
        <v>240</v>
      </c>
      <c r="I22" s="283" t="s">
        <v>154</v>
      </c>
      <c r="J22" s="283"/>
      <c r="K22" s="283"/>
      <c r="L22" s="283"/>
      <c r="M22" s="283"/>
      <c r="N22" s="353">
        <f>N18-N13</f>
        <v>547120.05211189436</v>
      </c>
      <c r="O22" s="220" t="s">
        <v>249</v>
      </c>
      <c r="Q22" s="231" t="s">
        <v>154</v>
      </c>
      <c r="R22" s="232"/>
      <c r="S22" s="232"/>
      <c r="T22" s="232"/>
      <c r="U22" s="232"/>
      <c r="V22" s="388">
        <f>V18-V13</f>
        <v>-492199.28412914509</v>
      </c>
      <c r="W22" s="220" t="s">
        <v>240</v>
      </c>
      <c r="Y22" s="231" t="s">
        <v>154</v>
      </c>
      <c r="Z22" s="283"/>
      <c r="AA22" s="283"/>
      <c r="AB22" s="283"/>
      <c r="AC22" s="283"/>
      <c r="AD22" s="279">
        <f>SUM(AD20:AD21)</f>
        <v>-1164917.8873947747</v>
      </c>
      <c r="AE22" s="220"/>
      <c r="AG22" s="223" t="s">
        <v>117</v>
      </c>
      <c r="AH22" s="347"/>
      <c r="AI22" s="347"/>
      <c r="AJ22" s="347"/>
      <c r="AK22" s="347"/>
      <c r="AL22" s="353">
        <f>AL20-AL13</f>
        <v>-1464323.4700000002</v>
      </c>
      <c r="AM22" s="220"/>
      <c r="AR22" s="261"/>
      <c r="AS22" s="286"/>
    </row>
    <row r="23" spans="1:45" ht="17.25">
      <c r="A23" s="283"/>
      <c r="B23" s="283"/>
      <c r="C23" s="283"/>
      <c r="D23" s="283"/>
      <c r="E23" s="283"/>
      <c r="F23" s="283"/>
      <c r="G23" s="220"/>
      <c r="I23" s="283"/>
      <c r="J23" s="283"/>
      <c r="K23" s="283"/>
      <c r="L23" s="283"/>
      <c r="M23" s="283"/>
      <c r="N23" s="283"/>
      <c r="O23" s="220"/>
      <c r="Q23" s="231"/>
      <c r="R23" s="232"/>
      <c r="S23" s="232"/>
      <c r="T23" s="232"/>
      <c r="U23" s="232"/>
      <c r="V23" s="232"/>
      <c r="W23" s="220"/>
      <c r="Y23" s="231"/>
      <c r="Z23" s="283"/>
      <c r="AA23" s="283"/>
      <c r="AB23" s="283"/>
      <c r="AC23" s="283"/>
      <c r="AD23" s="283"/>
      <c r="AE23" s="220"/>
      <c r="AG23" s="223"/>
      <c r="AH23" s="347"/>
      <c r="AI23" s="363"/>
      <c r="AJ23" s="347"/>
      <c r="AK23" s="347"/>
      <c r="AL23" s="362"/>
      <c r="AM23" s="220"/>
    </row>
    <row r="24" spans="1:45" ht="17.25">
      <c r="A24" s="223" t="s">
        <v>118</v>
      </c>
      <c r="B24" s="347"/>
      <c r="C24" s="347"/>
      <c r="D24" s="347"/>
      <c r="E24" s="347"/>
      <c r="F24" s="353">
        <f>+C13</f>
        <v>1127483</v>
      </c>
      <c r="G24" s="220"/>
      <c r="I24" s="223" t="s">
        <v>118</v>
      </c>
      <c r="J24" s="347"/>
      <c r="K24" s="347"/>
      <c r="L24" s="347"/>
      <c r="M24" s="347"/>
      <c r="N24" s="353">
        <f>+K13</f>
        <v>1223891</v>
      </c>
      <c r="O24" s="220"/>
      <c r="Q24" s="223" t="s">
        <v>118</v>
      </c>
      <c r="R24" s="219"/>
      <c r="S24" s="219"/>
      <c r="T24" s="219"/>
      <c r="U24" s="219"/>
      <c r="V24" s="228">
        <f>+S13</f>
        <v>1237281</v>
      </c>
      <c r="W24" s="220"/>
      <c r="Y24" s="223" t="s">
        <v>118</v>
      </c>
      <c r="Z24" s="347"/>
      <c r="AA24" s="347"/>
      <c r="AB24" s="347"/>
      <c r="AC24" s="347"/>
      <c r="AD24" s="353">
        <f>SUM('[1]Customer Counts'!G18:H29)</f>
        <v>1205656</v>
      </c>
      <c r="AE24" s="220"/>
      <c r="AG24" s="223" t="s">
        <v>118</v>
      </c>
      <c r="AH24" s="347"/>
      <c r="AI24" s="347"/>
      <c r="AJ24" s="347"/>
      <c r="AK24" s="347"/>
      <c r="AL24" s="353">
        <f>+AI13</f>
        <v>1176617</v>
      </c>
      <c r="AM24" s="220"/>
      <c r="AR24" s="262"/>
    </row>
    <row r="25" spans="1:45" ht="15">
      <c r="A25" s="223"/>
      <c r="B25" s="347"/>
      <c r="C25" s="347"/>
      <c r="D25" s="347"/>
      <c r="E25" s="347"/>
      <c r="F25" s="347"/>
      <c r="G25" s="220"/>
      <c r="I25" s="223"/>
      <c r="J25" s="347"/>
      <c r="K25" s="347"/>
      <c r="L25" s="347"/>
      <c r="M25" s="347"/>
      <c r="N25" s="347"/>
      <c r="O25" s="220"/>
      <c r="Q25" s="223"/>
      <c r="R25" s="219"/>
      <c r="S25" s="219"/>
      <c r="T25" s="219"/>
      <c r="U25" s="219"/>
      <c r="V25" s="219"/>
      <c r="W25" s="220"/>
      <c r="Y25" s="223"/>
      <c r="Z25" s="347"/>
      <c r="AA25" s="347"/>
      <c r="AB25" s="347"/>
      <c r="AC25" s="347"/>
      <c r="AD25" s="347"/>
      <c r="AE25" s="220"/>
      <c r="AG25" s="223"/>
      <c r="AH25" s="347"/>
      <c r="AI25" s="347"/>
      <c r="AJ25" s="347"/>
      <c r="AK25" s="347"/>
      <c r="AL25" s="347"/>
      <c r="AM25" s="220"/>
    </row>
    <row r="26" spans="1:45" ht="15">
      <c r="A26" s="223" t="s">
        <v>119</v>
      </c>
      <c r="B26" s="347"/>
      <c r="C26" s="347"/>
      <c r="D26" s="347"/>
      <c r="E26" s="347"/>
      <c r="F26" s="364"/>
      <c r="G26" s="238">
        <f>F22/F24</f>
        <v>-0.43682769484105544</v>
      </c>
      <c r="I26" s="223" t="s">
        <v>119</v>
      </c>
      <c r="J26" s="347"/>
      <c r="K26" s="347"/>
      <c r="L26" s="347"/>
      <c r="M26" s="347"/>
      <c r="N26" s="364"/>
      <c r="O26" s="238">
        <f>N22/N24</f>
        <v>0.44703331596677676</v>
      </c>
      <c r="Q26" s="223" t="s">
        <v>119</v>
      </c>
      <c r="R26" s="219"/>
      <c r="S26" s="219"/>
      <c r="T26" s="219"/>
      <c r="U26" s="219"/>
      <c r="V26" s="237"/>
      <c r="W26" s="238">
        <f>V22/V24</f>
        <v>-0.39780719507463952</v>
      </c>
      <c r="Y26" s="223" t="s">
        <v>119</v>
      </c>
      <c r="Z26" s="347"/>
      <c r="AA26" s="347"/>
      <c r="AB26" s="347"/>
      <c r="AC26" s="347"/>
      <c r="AD26" s="237"/>
      <c r="AE26" s="238">
        <f>AD22/AD24</f>
        <v>-0.96621083243875094</v>
      </c>
      <c r="AG26" s="223" t="s">
        <v>119</v>
      </c>
      <c r="AH26" s="347"/>
      <c r="AI26" s="347"/>
      <c r="AJ26" s="347"/>
      <c r="AK26" s="347"/>
      <c r="AL26" s="364"/>
      <c r="AM26" s="238">
        <f>ROUND(AL22/AL24,2)</f>
        <v>-1.24</v>
      </c>
    </row>
    <row r="27" spans="1:45" ht="15">
      <c r="A27" s="223"/>
      <c r="B27" s="347"/>
      <c r="C27" s="347"/>
      <c r="D27" s="347"/>
      <c r="E27" s="347"/>
      <c r="F27" s="347"/>
      <c r="G27" s="238"/>
      <c r="I27" s="223"/>
      <c r="J27" s="347"/>
      <c r="K27" s="347"/>
      <c r="L27" s="347"/>
      <c r="M27" s="347"/>
      <c r="N27" s="347"/>
      <c r="O27" s="238"/>
      <c r="Q27" s="223"/>
      <c r="R27" s="219"/>
      <c r="S27" s="219"/>
      <c r="T27" s="219"/>
      <c r="U27" s="219"/>
      <c r="V27" s="219"/>
      <c r="W27" s="238"/>
      <c r="Y27" s="223"/>
      <c r="Z27" s="347"/>
      <c r="AA27" s="347"/>
      <c r="AB27" s="347"/>
      <c r="AC27" s="347"/>
      <c r="AD27" s="347"/>
      <c r="AE27" s="238"/>
      <c r="AG27" s="223"/>
      <c r="AH27" s="347"/>
      <c r="AI27" s="347"/>
      <c r="AJ27" s="347"/>
      <c r="AK27" s="347"/>
      <c r="AL27" s="347"/>
      <c r="AM27" s="238"/>
    </row>
    <row r="28" spans="1:45" ht="15">
      <c r="A28" s="223"/>
      <c r="B28" s="347"/>
      <c r="C28" s="347"/>
      <c r="D28" s="347"/>
      <c r="E28" s="347"/>
      <c r="F28" s="347"/>
      <c r="G28" s="238"/>
      <c r="I28" s="223"/>
      <c r="J28" s="347"/>
      <c r="K28" s="347"/>
      <c r="L28" s="347"/>
      <c r="M28" s="347"/>
      <c r="N28" s="347"/>
      <c r="O28" s="238"/>
      <c r="Q28" s="223"/>
      <c r="R28" s="219"/>
      <c r="S28" s="219"/>
      <c r="T28" s="219"/>
      <c r="U28" s="219"/>
      <c r="V28" s="219"/>
      <c r="W28" s="238"/>
      <c r="Y28" s="223"/>
      <c r="Z28" s="347"/>
      <c r="AA28" s="347"/>
      <c r="AB28" s="347"/>
      <c r="AC28" s="347"/>
      <c r="AD28" s="347"/>
      <c r="AE28" s="238"/>
      <c r="AG28" s="223"/>
      <c r="AH28" s="347"/>
      <c r="AI28" s="347"/>
      <c r="AJ28" s="347"/>
      <c r="AK28" s="347"/>
      <c r="AL28" s="347"/>
      <c r="AM28" s="238"/>
    </row>
    <row r="29" spans="1:45" ht="15.75">
      <c r="A29" s="239" t="s">
        <v>278</v>
      </c>
      <c r="B29" s="345"/>
      <c r="C29" s="347"/>
      <c r="D29" s="347"/>
      <c r="E29" s="347"/>
      <c r="F29" s="365">
        <f>F16</f>
        <v>1591890.1202750448</v>
      </c>
      <c r="G29" s="238"/>
      <c r="I29" s="239" t="s">
        <v>246</v>
      </c>
      <c r="J29" s="345"/>
      <c r="K29" s="347"/>
      <c r="L29" s="347"/>
      <c r="M29" s="347"/>
      <c r="N29" s="365">
        <f>N16</f>
        <v>1789368.6842237888</v>
      </c>
      <c r="O29" s="238"/>
      <c r="Q29" s="239" t="s">
        <v>241</v>
      </c>
      <c r="R29" s="217"/>
      <c r="S29" s="219"/>
      <c r="T29" s="219"/>
      <c r="U29" s="219"/>
      <c r="V29" s="240">
        <f>V16</f>
        <v>281606.83174170979</v>
      </c>
      <c r="W29" s="238"/>
      <c r="Y29" s="239" t="s">
        <v>130</v>
      </c>
      <c r="Z29" s="345"/>
      <c r="AA29" s="347"/>
      <c r="AB29" s="347"/>
      <c r="AC29" s="347"/>
      <c r="AD29" s="240">
        <f>AD16</f>
        <v>528491.43671045091</v>
      </c>
      <c r="AE29" s="238"/>
      <c r="AG29" s="239" t="s">
        <v>120</v>
      </c>
      <c r="AH29" s="345"/>
      <c r="AI29" s="347"/>
      <c r="AJ29" s="347"/>
      <c r="AK29" s="347"/>
      <c r="AL29" s="365">
        <f>431654*2</f>
        <v>863308</v>
      </c>
      <c r="AM29" s="238"/>
    </row>
    <row r="30" spans="1:45" ht="17.25">
      <c r="A30" s="216" t="s">
        <v>150</v>
      </c>
      <c r="B30" s="283"/>
      <c r="C30" s="283"/>
      <c r="D30" s="283"/>
      <c r="E30" s="283"/>
      <c r="F30" s="281">
        <f>F29*50%</f>
        <v>795945.06013752241</v>
      </c>
      <c r="G30" s="238"/>
      <c r="I30" s="216" t="s">
        <v>150</v>
      </c>
      <c r="J30" s="283"/>
      <c r="K30" s="283"/>
      <c r="L30" s="283"/>
      <c r="M30" s="283"/>
      <c r="N30" s="281">
        <f>N29*50%</f>
        <v>894684.3421118944</v>
      </c>
      <c r="O30" s="238"/>
      <c r="Q30" s="216" t="s">
        <v>150</v>
      </c>
      <c r="R30" s="232"/>
      <c r="S30" s="232"/>
      <c r="T30" s="232"/>
      <c r="U30" s="232"/>
      <c r="V30" s="281">
        <f>V29*50%</f>
        <v>140803.41587085489</v>
      </c>
      <c r="W30" s="238"/>
      <c r="Y30" s="216" t="s">
        <v>150</v>
      </c>
      <c r="Z30" s="283"/>
      <c r="AA30" s="283"/>
      <c r="AB30" s="283"/>
      <c r="AC30" s="283"/>
      <c r="AD30" s="281">
        <f>AD29*50%</f>
        <v>264245.71835522546</v>
      </c>
      <c r="AE30" s="238"/>
      <c r="AG30" s="223" t="s">
        <v>118</v>
      </c>
      <c r="AH30" s="347"/>
      <c r="AI30" s="347"/>
      <c r="AJ30" s="347"/>
      <c r="AK30" s="347"/>
      <c r="AL30" s="366">
        <f>+AI13</f>
        <v>1176617</v>
      </c>
      <c r="AM30" s="238"/>
    </row>
    <row r="31" spans="1:45" ht="17.25">
      <c r="A31" s="283" t="s">
        <v>152</v>
      </c>
      <c r="B31" s="283"/>
      <c r="C31" s="283"/>
      <c r="D31" s="283"/>
      <c r="E31" s="283"/>
      <c r="F31" s="279">
        <f>F29-F30</f>
        <v>795945.06013752241</v>
      </c>
      <c r="G31" s="238"/>
      <c r="I31" s="283" t="s">
        <v>152</v>
      </c>
      <c r="J31" s="283"/>
      <c r="K31" s="283"/>
      <c r="L31" s="283"/>
      <c r="M31" s="283"/>
      <c r="N31" s="279">
        <f>N29-N30</f>
        <v>894684.3421118944</v>
      </c>
      <c r="O31" s="238"/>
      <c r="Q31" s="231" t="s">
        <v>152</v>
      </c>
      <c r="R31" s="232"/>
      <c r="S31" s="232"/>
      <c r="T31" s="232"/>
      <c r="U31" s="232"/>
      <c r="V31" s="389">
        <f>V29-V30</f>
        <v>140803.41587085489</v>
      </c>
      <c r="W31" s="238"/>
      <c r="Y31" s="231" t="s">
        <v>152</v>
      </c>
      <c r="Z31" s="283"/>
      <c r="AA31" s="283"/>
      <c r="AB31" s="283"/>
      <c r="AC31" s="283"/>
      <c r="AD31" s="279">
        <f>AD29-AD30</f>
        <v>264245.71835522546</v>
      </c>
      <c r="AE31" s="238"/>
      <c r="AG31" s="223" t="s">
        <v>121</v>
      </c>
      <c r="AH31" s="347"/>
      <c r="AI31" s="347"/>
      <c r="AJ31" s="347"/>
      <c r="AK31" s="347"/>
      <c r="AL31" s="347"/>
      <c r="AM31" s="367">
        <f>ROUND(+AL29/AL30,2)</f>
        <v>0.73</v>
      </c>
    </row>
    <row r="32" spans="1:45" ht="17.25">
      <c r="A32" s="223" t="s">
        <v>118</v>
      </c>
      <c r="B32" s="347"/>
      <c r="C32" s="347"/>
      <c r="D32" s="347"/>
      <c r="E32" s="347"/>
      <c r="F32" s="366">
        <f>F24</f>
        <v>1127483</v>
      </c>
      <c r="G32" s="238"/>
      <c r="I32" s="223" t="s">
        <v>118</v>
      </c>
      <c r="J32" s="347"/>
      <c r="K32" s="347"/>
      <c r="L32" s="347"/>
      <c r="M32" s="347"/>
      <c r="N32" s="366">
        <f>N24</f>
        <v>1223891</v>
      </c>
      <c r="O32" s="238"/>
      <c r="Q32" s="223" t="s">
        <v>118</v>
      </c>
      <c r="R32" s="219"/>
      <c r="S32" s="219"/>
      <c r="T32" s="219"/>
      <c r="U32" s="219"/>
      <c r="V32" s="241">
        <f>V24</f>
        <v>1237281</v>
      </c>
      <c r="W32" s="238"/>
      <c r="Y32" s="223" t="s">
        <v>118</v>
      </c>
      <c r="Z32" s="347"/>
      <c r="AA32" s="347"/>
      <c r="AB32" s="347"/>
      <c r="AC32" s="347"/>
      <c r="AD32" s="366">
        <f>AD24</f>
        <v>1205656</v>
      </c>
      <c r="AE32" s="238"/>
      <c r="AG32" s="216" t="s">
        <v>122</v>
      </c>
      <c r="AH32" s="345"/>
      <c r="AI32" s="347"/>
      <c r="AJ32" s="347"/>
      <c r="AK32" s="347"/>
      <c r="AL32" s="347"/>
      <c r="AM32" s="246">
        <f>SUM(AM26:AM31)</f>
        <v>-0.51</v>
      </c>
      <c r="AN32" s="244"/>
    </row>
    <row r="33" spans="1:40" ht="17.25">
      <c r="A33" s="223" t="s">
        <v>121</v>
      </c>
      <c r="B33" s="347"/>
      <c r="C33" s="347"/>
      <c r="D33" s="347"/>
      <c r="E33" s="347"/>
      <c r="F33" s="347"/>
      <c r="G33" s="367">
        <f>ROUND(+F29/F32,2)</f>
        <v>1.41</v>
      </c>
      <c r="I33" s="223" t="s">
        <v>121</v>
      </c>
      <c r="J33" s="347"/>
      <c r="K33" s="347"/>
      <c r="L33" s="347"/>
      <c r="M33" s="347"/>
      <c r="N33" s="347"/>
      <c r="O33" s="367">
        <f>ROUND(+N29/N32,2)</f>
        <v>1.46</v>
      </c>
      <c r="Q33" s="223" t="s">
        <v>121</v>
      </c>
      <c r="R33" s="219"/>
      <c r="S33" s="219"/>
      <c r="T33" s="219"/>
      <c r="U33" s="219"/>
      <c r="V33" s="219"/>
      <c r="W33" s="367">
        <f>ROUND(+V29/V32,2)</f>
        <v>0.23</v>
      </c>
      <c r="Y33" s="223" t="s">
        <v>121</v>
      </c>
      <c r="Z33" s="347"/>
      <c r="AA33" s="347"/>
      <c r="AB33" s="347"/>
      <c r="AC33" s="347"/>
      <c r="AD33" s="347"/>
      <c r="AE33" s="367">
        <f>ROUND(+AD29/AD32,2)</f>
        <v>0.44</v>
      </c>
      <c r="AG33" s="216"/>
      <c r="AH33" s="345"/>
      <c r="AI33" s="347"/>
      <c r="AJ33" s="347"/>
      <c r="AK33" s="347"/>
      <c r="AL33" s="347"/>
      <c r="AM33" s="246"/>
      <c r="AN33" s="244"/>
    </row>
    <row r="34" spans="1:40" ht="18">
      <c r="A34" s="216" t="s">
        <v>242</v>
      </c>
      <c r="B34" s="345"/>
      <c r="C34" s="347"/>
      <c r="D34" s="347"/>
      <c r="E34" s="347"/>
      <c r="F34" s="347"/>
      <c r="G34" s="368">
        <f>SUM(G26:G33)</f>
        <v>0.97317230515894448</v>
      </c>
      <c r="I34" s="216" t="s">
        <v>242</v>
      </c>
      <c r="J34" s="345"/>
      <c r="K34" s="347"/>
      <c r="L34" s="347"/>
      <c r="M34" s="347"/>
      <c r="N34" s="347"/>
      <c r="O34" s="368">
        <f>SUM(O26:O33)</f>
        <v>1.9070333159667767</v>
      </c>
      <c r="Q34" s="216" t="s">
        <v>242</v>
      </c>
      <c r="R34" s="217"/>
      <c r="S34" s="219"/>
      <c r="T34" s="219"/>
      <c r="U34" s="219"/>
      <c r="V34" s="219"/>
      <c r="W34" s="368">
        <f>SUM(W26:W33)</f>
        <v>-0.16780719507463951</v>
      </c>
      <c r="Y34" s="216" t="s">
        <v>122</v>
      </c>
      <c r="Z34" s="345"/>
      <c r="AA34" s="347"/>
      <c r="AB34" s="347"/>
      <c r="AC34" s="347"/>
      <c r="AD34" s="347"/>
      <c r="AE34" s="246">
        <f>SUM(AE26:AE33)</f>
        <v>-0.52621083243875089</v>
      </c>
      <c r="AG34" s="231" t="s">
        <v>123</v>
      </c>
      <c r="AH34" s="345"/>
      <c r="AI34" s="347"/>
      <c r="AJ34" s="347"/>
      <c r="AK34" s="369">
        <f>+AI13/12*0.5</f>
        <v>49025.708333333336</v>
      </c>
      <c r="AL34" s="347"/>
      <c r="AM34" s="246">
        <f>ROUND(-AK34/AI13*2,2)</f>
        <v>-0.08</v>
      </c>
    </row>
    <row r="35" spans="1:40" ht="15.75">
      <c r="A35" s="231"/>
      <c r="B35" s="345"/>
      <c r="C35" s="347"/>
      <c r="D35" s="347"/>
      <c r="E35" s="347"/>
      <c r="F35" s="347"/>
      <c r="G35" s="246"/>
      <c r="I35" s="231"/>
      <c r="J35" s="345"/>
      <c r="K35" s="347"/>
      <c r="L35" s="347"/>
      <c r="M35" s="347"/>
      <c r="N35" s="347"/>
      <c r="O35" s="246"/>
      <c r="Q35" s="231"/>
      <c r="R35" s="217"/>
      <c r="S35" s="219"/>
      <c r="T35" s="219"/>
      <c r="U35" s="219"/>
      <c r="V35" s="219"/>
      <c r="W35" s="246"/>
      <c r="Y35" s="231"/>
      <c r="Z35" s="345"/>
      <c r="AA35" s="347"/>
      <c r="AB35" s="347"/>
      <c r="AC35" s="347"/>
      <c r="AD35" s="347"/>
      <c r="AE35" s="246"/>
      <c r="AG35" s="231"/>
      <c r="AH35" s="345"/>
      <c r="AI35" s="347"/>
      <c r="AJ35" s="347"/>
      <c r="AK35" s="347"/>
      <c r="AL35" s="347"/>
      <c r="AM35" s="246"/>
    </row>
    <row r="36" spans="1:40" ht="20.25">
      <c r="A36" s="231"/>
      <c r="B36" s="347"/>
      <c r="C36" s="347"/>
      <c r="D36" s="347"/>
      <c r="E36" s="370"/>
      <c r="F36" s="347"/>
      <c r="G36" s="371"/>
      <c r="I36" s="231"/>
      <c r="J36" s="347"/>
      <c r="K36" s="347"/>
      <c r="L36" s="347"/>
      <c r="M36" s="370"/>
      <c r="N36" s="347"/>
      <c r="O36" s="371"/>
      <c r="Q36" s="231"/>
      <c r="R36" s="219"/>
      <c r="S36" s="219"/>
      <c r="T36" s="219"/>
      <c r="U36" s="247"/>
      <c r="V36" s="219"/>
      <c r="W36" s="371"/>
      <c r="Y36" s="231"/>
      <c r="Z36" s="347"/>
      <c r="AA36" s="347"/>
      <c r="AB36" s="347"/>
      <c r="AC36" s="247"/>
      <c r="AD36" s="347"/>
      <c r="AE36" s="371"/>
      <c r="AG36" s="231" t="s">
        <v>124</v>
      </c>
      <c r="AH36" s="347"/>
      <c r="AI36" s="347"/>
      <c r="AJ36" s="347"/>
      <c r="AK36" s="370">
        <v>0.42499999999999999</v>
      </c>
      <c r="AL36" s="347"/>
      <c r="AM36" s="371">
        <f>-AK36*AM31</f>
        <v>-0.31024999999999997</v>
      </c>
      <c r="AN36" s="249"/>
    </row>
    <row r="37" spans="1:40" ht="20.25">
      <c r="A37" s="216" t="s">
        <v>248</v>
      </c>
      <c r="B37" s="347"/>
      <c r="C37" s="347"/>
      <c r="D37" s="347"/>
      <c r="E37" s="370">
        <v>0.5</v>
      </c>
      <c r="F37" s="347"/>
      <c r="G37" s="368">
        <f>ROUND(+G33*E37,2)</f>
        <v>0.71</v>
      </c>
      <c r="I37" s="216" t="s">
        <v>248</v>
      </c>
      <c r="J37" s="347"/>
      <c r="K37" s="347"/>
      <c r="L37" s="347"/>
      <c r="M37" s="370">
        <v>0.5</v>
      </c>
      <c r="N37" s="347"/>
      <c r="O37" s="368">
        <f>ROUND(+O33*M37,2)</f>
        <v>0.73</v>
      </c>
      <c r="Q37" s="216" t="s">
        <v>145</v>
      </c>
      <c r="R37" s="219"/>
      <c r="S37" s="219"/>
      <c r="T37" s="247">
        <v>0.5</v>
      </c>
      <c r="U37" s="250"/>
      <c r="V37" s="219"/>
      <c r="W37" s="368">
        <f>+W33*T37</f>
        <v>0.115</v>
      </c>
      <c r="Y37" s="216" t="s">
        <v>145</v>
      </c>
      <c r="Z37" s="347"/>
      <c r="AA37" s="347"/>
      <c r="AB37" s="247">
        <v>0.5</v>
      </c>
      <c r="AC37" s="250"/>
      <c r="AD37" s="347"/>
      <c r="AE37" s="368">
        <f>+AE33*AB37</f>
        <v>0.22</v>
      </c>
      <c r="AG37" s="231"/>
      <c r="AH37" s="347"/>
      <c r="AI37" s="347"/>
      <c r="AJ37" s="347"/>
      <c r="AK37" s="372"/>
      <c r="AL37" s="347"/>
      <c r="AM37" s="371"/>
      <c r="AN37" s="249"/>
    </row>
    <row r="38" spans="1:40" ht="18">
      <c r="A38" s="216"/>
      <c r="B38" s="347"/>
      <c r="C38" s="347"/>
      <c r="D38" s="347"/>
      <c r="E38" s="372"/>
      <c r="F38" s="347"/>
      <c r="G38" s="368"/>
      <c r="I38" s="216"/>
      <c r="J38" s="347"/>
      <c r="K38" s="347"/>
      <c r="L38" s="347"/>
      <c r="M38" s="372"/>
      <c r="N38" s="347"/>
      <c r="O38" s="368"/>
      <c r="Q38" s="216"/>
      <c r="R38" s="219"/>
      <c r="S38" s="219"/>
      <c r="T38" s="219"/>
      <c r="U38" s="250"/>
      <c r="V38" s="219"/>
      <c r="W38" s="368"/>
      <c r="Y38" s="216"/>
      <c r="Z38" s="347"/>
      <c r="AA38" s="347"/>
      <c r="AB38" s="347"/>
      <c r="AC38" s="250"/>
      <c r="AD38" s="347"/>
      <c r="AE38" s="368"/>
      <c r="AG38" s="216" t="s">
        <v>144</v>
      </c>
      <c r="AH38" s="347"/>
      <c r="AI38" s="347"/>
      <c r="AJ38" s="347"/>
      <c r="AK38" s="372"/>
      <c r="AL38" s="347"/>
      <c r="AM38" s="368">
        <f>+AM32+AM36+AM34</f>
        <v>-0.90024999999999988</v>
      </c>
      <c r="AN38" s="244"/>
    </row>
    <row r="39" spans="1:40" ht="18">
      <c r="A39" s="216" t="s">
        <v>145</v>
      </c>
      <c r="B39" s="347"/>
      <c r="C39" s="347"/>
      <c r="D39" s="347"/>
      <c r="E39" s="372"/>
      <c r="F39" s="347"/>
      <c r="G39" s="368">
        <f>+G34+G37</f>
        <v>1.6831723051589444</v>
      </c>
      <c r="I39" s="216" t="s">
        <v>145</v>
      </c>
      <c r="J39" s="347"/>
      <c r="K39" s="347"/>
      <c r="L39" s="347"/>
      <c r="M39" s="372"/>
      <c r="N39" s="347"/>
      <c r="O39" s="368">
        <f>+O34+O37</f>
        <v>2.6370333159667769</v>
      </c>
      <c r="Q39" s="216" t="s">
        <v>145</v>
      </c>
      <c r="R39" s="219"/>
      <c r="S39" s="219"/>
      <c r="T39" s="219"/>
      <c r="U39" s="250"/>
      <c r="V39" s="219"/>
      <c r="W39" s="368">
        <f>+W34+W37</f>
        <v>-5.2807195074639504E-2</v>
      </c>
      <c r="Y39" s="216" t="s">
        <v>145</v>
      </c>
      <c r="Z39" s="347"/>
      <c r="AA39" s="347"/>
      <c r="AB39" s="347"/>
      <c r="AC39" s="250"/>
      <c r="AD39" s="347"/>
      <c r="AE39" s="368">
        <f>+AE34+AE37</f>
        <v>-0.30621083243875091</v>
      </c>
      <c r="AG39" s="216"/>
      <c r="AH39" s="347"/>
      <c r="AI39" s="347"/>
      <c r="AJ39" s="347"/>
      <c r="AK39" s="372"/>
      <c r="AL39" s="347"/>
      <c r="AM39" s="368"/>
      <c r="AN39" s="244"/>
    </row>
    <row r="40" spans="1:40" ht="18">
      <c r="A40" s="216"/>
      <c r="B40" s="347"/>
      <c r="C40" s="347"/>
      <c r="D40" s="347"/>
      <c r="E40" s="372"/>
      <c r="F40" s="347"/>
      <c r="G40" s="368"/>
      <c r="I40" s="216"/>
      <c r="J40" s="347"/>
      <c r="K40" s="347"/>
      <c r="L40" s="347"/>
      <c r="M40" s="372"/>
      <c r="N40" s="347"/>
      <c r="O40" s="368"/>
      <c r="Q40" s="216"/>
      <c r="R40" s="219"/>
      <c r="S40" s="219"/>
      <c r="T40" s="219"/>
      <c r="U40" s="250"/>
      <c r="V40" s="219"/>
      <c r="W40" s="368"/>
      <c r="Y40" s="216"/>
      <c r="Z40" s="347"/>
      <c r="AA40" s="347"/>
      <c r="AB40" s="347"/>
      <c r="AC40" s="250"/>
      <c r="AD40" s="347"/>
      <c r="AE40" s="368"/>
      <c r="AG40" s="216" t="s">
        <v>145</v>
      </c>
      <c r="AH40" s="347"/>
      <c r="AI40" s="347"/>
      <c r="AJ40" s="347"/>
      <c r="AK40" s="372"/>
      <c r="AL40" s="347"/>
      <c r="AM40" s="368">
        <f>+AM32+AM34</f>
        <v>-0.59</v>
      </c>
      <c r="AN40" s="244"/>
    </row>
    <row r="41" spans="1:40" ht="13.5" thickBot="1">
      <c r="A41" s="252"/>
      <c r="B41" s="253"/>
      <c r="C41" s="253"/>
      <c r="D41" s="253"/>
      <c r="E41" s="253"/>
      <c r="F41" s="253"/>
      <c r="G41" s="254"/>
      <c r="I41" s="252"/>
      <c r="J41" s="253"/>
      <c r="K41" s="253"/>
      <c r="L41" s="253"/>
      <c r="M41" s="253"/>
      <c r="N41" s="253"/>
      <c r="O41" s="254"/>
      <c r="Q41" s="252"/>
      <c r="R41" s="253"/>
      <c r="S41" s="253"/>
      <c r="T41" s="253"/>
      <c r="U41" s="253"/>
      <c r="V41" s="253"/>
      <c r="W41" s="254"/>
      <c r="Y41" s="252"/>
      <c r="Z41" s="253"/>
      <c r="AA41" s="253"/>
      <c r="AB41" s="253"/>
      <c r="AC41" s="253"/>
      <c r="AD41" s="253"/>
      <c r="AE41" s="254"/>
      <c r="AG41" s="252"/>
      <c r="AH41" s="253"/>
      <c r="AI41" s="253"/>
      <c r="AJ41" s="253"/>
      <c r="AK41" s="253"/>
      <c r="AL41" s="253"/>
      <c r="AM41" s="254"/>
    </row>
    <row r="42" spans="1:40">
      <c r="Y42" s="373"/>
      <c r="AE42" s="374"/>
    </row>
    <row r="43" spans="1:40">
      <c r="Y43" s="373"/>
      <c r="AE43" s="374"/>
    </row>
    <row r="44" spans="1:40" ht="13.5" thickBot="1">
      <c r="Y44" s="373"/>
      <c r="AE44" s="374"/>
    </row>
    <row r="45" spans="1:40" ht="23.25">
      <c r="A45" s="212" t="s">
        <v>125</v>
      </c>
      <c r="B45" s="213"/>
      <c r="C45" s="214"/>
      <c r="D45" s="214"/>
      <c r="E45" s="214"/>
      <c r="F45" s="214"/>
      <c r="G45" s="215"/>
      <c r="I45" s="212" t="s">
        <v>125</v>
      </c>
      <c r="J45" s="213"/>
      <c r="K45" s="214"/>
      <c r="L45" s="214"/>
      <c r="M45" s="214"/>
      <c r="N45" s="214"/>
      <c r="O45" s="215"/>
      <c r="Q45" s="212" t="s">
        <v>125</v>
      </c>
      <c r="R45" s="213"/>
      <c r="S45" s="214"/>
      <c r="T45" s="214"/>
      <c r="U45" s="214"/>
      <c r="V45" s="214"/>
      <c r="W45" s="215"/>
      <c r="Y45" s="212" t="s">
        <v>125</v>
      </c>
      <c r="Z45" s="213"/>
      <c r="AA45" s="214"/>
      <c r="AB45" s="214"/>
      <c r="AC45" s="214"/>
      <c r="AD45" s="214"/>
      <c r="AE45" s="215"/>
      <c r="AG45" s="212" t="s">
        <v>125</v>
      </c>
      <c r="AH45" s="213"/>
      <c r="AI45" s="214"/>
      <c r="AJ45" s="214"/>
      <c r="AK45" s="214"/>
      <c r="AL45" s="214"/>
      <c r="AM45" s="215"/>
    </row>
    <row r="46" spans="1:40" ht="15.75">
      <c r="A46" s="216" t="str">
        <f>+A2</f>
        <v>2021 - 2022 Rebate Calculation - Deferred Accounting Methodology</v>
      </c>
      <c r="B46" s="345"/>
      <c r="C46" s="346"/>
      <c r="D46" s="346"/>
      <c r="E46" s="347"/>
      <c r="F46" s="347"/>
      <c r="G46" s="220"/>
      <c r="I46" s="216" t="s">
        <v>243</v>
      </c>
      <c r="J46" s="345"/>
      <c r="K46" s="346"/>
      <c r="L46" s="346"/>
      <c r="M46" s="347"/>
      <c r="N46" s="347"/>
      <c r="O46" s="220"/>
      <c r="Q46" s="216" t="s">
        <v>128</v>
      </c>
      <c r="R46" s="217"/>
      <c r="S46" s="218"/>
      <c r="T46" s="218"/>
      <c r="U46" s="219"/>
      <c r="V46" s="219"/>
      <c r="W46" s="220"/>
      <c r="Y46" s="216" t="s">
        <v>128</v>
      </c>
      <c r="Z46" s="345"/>
      <c r="AA46" s="346"/>
      <c r="AB46" s="346"/>
      <c r="AC46" s="347"/>
      <c r="AD46" s="347"/>
      <c r="AE46" s="220"/>
      <c r="AG46" s="216" t="s">
        <v>109</v>
      </c>
      <c r="AH46" s="345"/>
      <c r="AI46" s="346"/>
      <c r="AJ46" s="346"/>
      <c r="AK46" s="347"/>
      <c r="AL46" s="347"/>
      <c r="AM46" s="220"/>
    </row>
    <row r="47" spans="1:40" ht="15.75">
      <c r="A47" s="221"/>
      <c r="B47" s="375"/>
      <c r="C47" s="347"/>
      <c r="D47" s="347"/>
      <c r="E47" s="347"/>
      <c r="F47" s="347"/>
      <c r="G47" s="220"/>
      <c r="I47" s="221"/>
      <c r="J47" s="375"/>
      <c r="K47" s="347"/>
      <c r="L47" s="347"/>
      <c r="M47" s="347"/>
      <c r="N47" s="347"/>
      <c r="O47" s="220"/>
      <c r="Q47" s="221"/>
      <c r="R47" s="222"/>
      <c r="S47" s="219"/>
      <c r="T47" s="219"/>
      <c r="U47" s="219"/>
      <c r="V47" s="219"/>
      <c r="W47" s="220"/>
      <c r="Y47" s="221"/>
      <c r="Z47" s="375"/>
      <c r="AA47" s="347"/>
      <c r="AB47" s="347"/>
      <c r="AC47" s="347"/>
      <c r="AD47" s="347"/>
      <c r="AE47" s="220"/>
      <c r="AG47" s="221"/>
      <c r="AH47" s="375"/>
      <c r="AI47" s="347"/>
      <c r="AJ47" s="347"/>
      <c r="AK47" s="347"/>
      <c r="AL47" s="347"/>
      <c r="AM47" s="220"/>
    </row>
    <row r="48" spans="1:40" ht="15">
      <c r="A48" s="444" t="s">
        <v>19</v>
      </c>
      <c r="B48" s="462"/>
      <c r="C48" s="462"/>
      <c r="D48" s="462"/>
      <c r="E48" s="462"/>
      <c r="F48" s="462"/>
      <c r="G48" s="446"/>
      <c r="I48" s="444" t="s">
        <v>19</v>
      </c>
      <c r="J48" s="462"/>
      <c r="K48" s="462"/>
      <c r="L48" s="462"/>
      <c r="M48" s="462"/>
      <c r="N48" s="462"/>
      <c r="O48" s="446"/>
      <c r="Q48" s="444" t="s">
        <v>19</v>
      </c>
      <c r="R48" s="445"/>
      <c r="S48" s="445"/>
      <c r="T48" s="445"/>
      <c r="U48" s="445"/>
      <c r="V48" s="445"/>
      <c r="W48" s="446"/>
      <c r="Y48" s="444" t="s">
        <v>19</v>
      </c>
      <c r="Z48" s="462"/>
      <c r="AA48" s="462"/>
      <c r="AB48" s="462"/>
      <c r="AC48" s="462"/>
      <c r="AD48" s="462"/>
      <c r="AE48" s="446"/>
      <c r="AG48" s="444" t="s">
        <v>19</v>
      </c>
      <c r="AH48" s="462"/>
      <c r="AI48" s="462"/>
      <c r="AJ48" s="462"/>
      <c r="AK48" s="462"/>
      <c r="AL48" s="462"/>
      <c r="AM48" s="446"/>
    </row>
    <row r="49" spans="1:41" ht="15">
      <c r="A49" s="223"/>
      <c r="B49" s="347"/>
      <c r="C49" s="347"/>
      <c r="D49" s="347"/>
      <c r="E49" s="347"/>
      <c r="F49" s="347"/>
      <c r="G49" s="220"/>
      <c r="I49" s="223"/>
      <c r="J49" s="347"/>
      <c r="K49" s="347"/>
      <c r="L49" s="347"/>
      <c r="M49" s="347"/>
      <c r="N49" s="347"/>
      <c r="O49" s="220"/>
      <c r="Q49" s="223"/>
      <c r="R49" s="219"/>
      <c r="S49" s="219"/>
      <c r="T49" s="219"/>
      <c r="U49" s="219"/>
      <c r="V49" s="219"/>
      <c r="W49" s="220"/>
      <c r="Y49" s="223"/>
      <c r="Z49" s="347"/>
      <c r="AA49" s="347"/>
      <c r="AB49" s="347"/>
      <c r="AC49" s="347"/>
      <c r="AD49" s="347"/>
      <c r="AE49" s="220"/>
      <c r="AG49" s="223"/>
      <c r="AH49" s="347"/>
      <c r="AI49" s="347"/>
      <c r="AJ49" s="347"/>
      <c r="AK49" s="347"/>
      <c r="AL49" s="347"/>
      <c r="AM49" s="220"/>
    </row>
    <row r="50" spans="1:41" ht="15.75">
      <c r="A50" s="223"/>
      <c r="B50" s="347"/>
      <c r="C50" s="350"/>
      <c r="D50" s="350"/>
      <c r="E50" s="350" t="s">
        <v>110</v>
      </c>
      <c r="F50" s="350" t="s">
        <v>71</v>
      </c>
      <c r="G50" s="220"/>
      <c r="I50" s="223"/>
      <c r="J50" s="347"/>
      <c r="K50" s="350"/>
      <c r="L50" s="350"/>
      <c r="M50" s="350" t="s">
        <v>110</v>
      </c>
      <c r="N50" s="350" t="s">
        <v>71</v>
      </c>
      <c r="O50" s="220"/>
      <c r="Q50" s="223"/>
      <c r="R50" s="219"/>
      <c r="S50" s="224"/>
      <c r="T50" s="224"/>
      <c r="U50" s="224" t="s">
        <v>110</v>
      </c>
      <c r="V50" s="224" t="s">
        <v>71</v>
      </c>
      <c r="W50" s="220"/>
      <c r="Y50" s="223"/>
      <c r="Z50" s="347"/>
      <c r="AA50" s="350"/>
      <c r="AB50" s="350"/>
      <c r="AC50" s="350" t="s">
        <v>110</v>
      </c>
      <c r="AD50" s="350" t="s">
        <v>71</v>
      </c>
      <c r="AE50" s="220"/>
      <c r="AG50" s="223"/>
      <c r="AH50" s="347"/>
      <c r="AI50" s="350"/>
      <c r="AJ50" s="350"/>
      <c r="AK50" s="350" t="s">
        <v>110</v>
      </c>
      <c r="AL50" s="350" t="s">
        <v>71</v>
      </c>
      <c r="AM50" s="220"/>
    </row>
    <row r="51" spans="1:41" ht="15.75">
      <c r="A51" s="223"/>
      <c r="B51" s="347"/>
      <c r="C51" s="351" t="s">
        <v>87</v>
      </c>
      <c r="D51" s="351"/>
      <c r="E51" s="351" t="s">
        <v>111</v>
      </c>
      <c r="F51" s="351" t="s">
        <v>112</v>
      </c>
      <c r="G51" s="220"/>
      <c r="I51" s="223"/>
      <c r="J51" s="347"/>
      <c r="K51" s="351" t="s">
        <v>87</v>
      </c>
      <c r="L51" s="351"/>
      <c r="M51" s="351" t="s">
        <v>111</v>
      </c>
      <c r="N51" s="351" t="s">
        <v>112</v>
      </c>
      <c r="O51" s="220"/>
      <c r="Q51" s="223"/>
      <c r="R51" s="219"/>
      <c r="S51" s="225" t="s">
        <v>87</v>
      </c>
      <c r="T51" s="225"/>
      <c r="U51" s="225" t="s">
        <v>111</v>
      </c>
      <c r="V51" s="225" t="s">
        <v>112</v>
      </c>
      <c r="W51" s="220"/>
      <c r="Y51" s="223"/>
      <c r="Z51" s="347"/>
      <c r="AA51" s="351" t="s">
        <v>87</v>
      </c>
      <c r="AB51" s="351"/>
      <c r="AC51" s="351" t="s">
        <v>111</v>
      </c>
      <c r="AD51" s="351" t="s">
        <v>112</v>
      </c>
      <c r="AE51" s="220"/>
      <c r="AG51" s="223"/>
      <c r="AH51" s="347"/>
      <c r="AI51" s="351" t="s">
        <v>87</v>
      </c>
      <c r="AJ51" s="351"/>
      <c r="AK51" s="351" t="s">
        <v>111</v>
      </c>
      <c r="AL51" s="351" t="s">
        <v>112</v>
      </c>
      <c r="AM51" s="220"/>
    </row>
    <row r="52" spans="1:41" ht="15.75">
      <c r="A52" s="226" t="str">
        <f>+A10</f>
        <v>Projected Revenue Oct. 2021 - Sep. 2022</v>
      </c>
      <c r="B52" s="345"/>
      <c r="C52" s="352"/>
      <c r="D52" s="352"/>
      <c r="E52" s="352"/>
      <c r="F52" s="352"/>
      <c r="G52" s="220"/>
      <c r="I52" s="226" t="s">
        <v>244</v>
      </c>
      <c r="J52" s="345"/>
      <c r="K52" s="352"/>
      <c r="L52" s="352"/>
      <c r="M52" s="352"/>
      <c r="N52" s="352"/>
      <c r="O52" s="220"/>
      <c r="Q52" s="226" t="s">
        <v>236</v>
      </c>
      <c r="R52" s="217"/>
      <c r="S52" s="227"/>
      <c r="T52" s="227"/>
      <c r="U52" s="227"/>
      <c r="V52" s="227"/>
      <c r="W52" s="220"/>
      <c r="Y52" s="226" t="s">
        <v>127</v>
      </c>
      <c r="Z52" s="345"/>
      <c r="AA52" s="352"/>
      <c r="AB52" s="352"/>
      <c r="AC52" s="352"/>
      <c r="AD52" s="352"/>
      <c r="AE52" s="220"/>
      <c r="AG52" s="226" t="s">
        <v>113</v>
      </c>
      <c r="AH52" s="345"/>
      <c r="AI52" s="352"/>
      <c r="AJ52" s="352"/>
      <c r="AK52" s="352"/>
      <c r="AL52" s="352"/>
      <c r="AM52" s="220"/>
    </row>
    <row r="53" spans="1:41" ht="15.75">
      <c r="A53" s="223" t="s">
        <v>114</v>
      </c>
      <c r="B53" s="347"/>
      <c r="C53" s="353">
        <f>SUM('Customer Counts - Enspire'!F6:F8)</f>
        <v>64645</v>
      </c>
      <c r="D53" s="353"/>
      <c r="E53" s="354">
        <f>+M54</f>
        <v>0.26</v>
      </c>
      <c r="F53" s="355">
        <f>C53*E53</f>
        <v>16807.7</v>
      </c>
      <c r="G53" s="220"/>
      <c r="I53" s="223" t="s">
        <v>114</v>
      </c>
      <c r="J53" s="347"/>
      <c r="K53" s="353">
        <v>64357</v>
      </c>
      <c r="L53" s="353"/>
      <c r="M53" s="354">
        <f>+U54</f>
        <v>0.61</v>
      </c>
      <c r="N53" s="355">
        <f>K53*M53</f>
        <v>39257.769999999997</v>
      </c>
      <c r="O53" s="220"/>
      <c r="Q53" s="223" t="s">
        <v>114</v>
      </c>
      <c r="R53" s="219"/>
      <c r="S53" s="228">
        <v>63872</v>
      </c>
      <c r="T53" s="228"/>
      <c r="U53" s="229">
        <f>+AC54</f>
        <v>0.72</v>
      </c>
      <c r="V53" s="230">
        <f>S53*U53</f>
        <v>45987.839999999997</v>
      </c>
      <c r="W53" s="220"/>
      <c r="Y53" s="223" t="s">
        <v>114</v>
      </c>
      <c r="Z53" s="347"/>
      <c r="AA53" s="353">
        <v>63231</v>
      </c>
      <c r="AB53" s="353"/>
      <c r="AC53" s="229">
        <f>+AK54</f>
        <v>2.7</v>
      </c>
      <c r="AD53" s="230">
        <f>AA53*AC53</f>
        <v>170723.7</v>
      </c>
      <c r="AE53" s="220"/>
      <c r="AG53" s="223" t="s">
        <v>114</v>
      </c>
      <c r="AH53" s="347"/>
      <c r="AI53" s="353">
        <v>62533</v>
      </c>
      <c r="AJ53" s="353"/>
      <c r="AK53" s="354">
        <v>1.94</v>
      </c>
      <c r="AL53" s="355">
        <f>AI53*AK53</f>
        <v>121314.01999999999</v>
      </c>
      <c r="AM53" s="220"/>
    </row>
    <row r="54" spans="1:41" ht="17.25">
      <c r="A54" s="231" t="s">
        <v>115</v>
      </c>
      <c r="B54" s="283"/>
      <c r="C54" s="356">
        <f>SUM('Customer Counts - Enspire'!F9:F17)</f>
        <v>194351</v>
      </c>
      <c r="D54" s="356"/>
      <c r="E54" s="354">
        <f>+O75</f>
        <v>1.44</v>
      </c>
      <c r="F54" s="357">
        <f>C54*E54</f>
        <v>279865.44</v>
      </c>
      <c r="G54" s="220"/>
      <c r="I54" s="231" t="s">
        <v>115</v>
      </c>
      <c r="J54" s="283"/>
      <c r="K54" s="356">
        <v>193756</v>
      </c>
      <c r="L54" s="356"/>
      <c r="M54" s="354">
        <f>+W75</f>
        <v>0.26</v>
      </c>
      <c r="N54" s="357">
        <f>K54*M54</f>
        <v>50376.560000000005</v>
      </c>
      <c r="O54" s="220"/>
      <c r="Q54" s="231" t="s">
        <v>115</v>
      </c>
      <c r="R54" s="232"/>
      <c r="S54" s="233">
        <v>192670</v>
      </c>
      <c r="T54" s="233"/>
      <c r="U54" s="229">
        <f>+AE75</f>
        <v>0.61</v>
      </c>
      <c r="V54" s="234">
        <f>S54*U54</f>
        <v>117528.7</v>
      </c>
      <c r="W54" s="220"/>
      <c r="Y54" s="231" t="s">
        <v>115</v>
      </c>
      <c r="Z54" s="283"/>
      <c r="AA54" s="356">
        <v>148568</v>
      </c>
      <c r="AB54" s="356"/>
      <c r="AC54" s="229">
        <f>+AM73</f>
        <v>0.72</v>
      </c>
      <c r="AD54" s="234">
        <f>AA54*AC54</f>
        <v>106968.95999999999</v>
      </c>
      <c r="AE54" s="220"/>
      <c r="AG54" s="231" t="s">
        <v>115</v>
      </c>
      <c r="AH54" s="283"/>
      <c r="AI54" s="356">
        <v>188839</v>
      </c>
      <c r="AJ54" s="356"/>
      <c r="AK54" s="354">
        <v>2.7</v>
      </c>
      <c r="AL54" s="357">
        <f>AI54*AK54</f>
        <v>509865.30000000005</v>
      </c>
      <c r="AM54" s="220"/>
    </row>
    <row r="55" spans="1:41" ht="17.25">
      <c r="A55" s="223" t="s">
        <v>71</v>
      </c>
      <c r="B55" s="347"/>
      <c r="C55" s="353">
        <f>SUM(C53:C54)</f>
        <v>258996</v>
      </c>
      <c r="D55" s="356"/>
      <c r="E55" s="347"/>
      <c r="F55" s="355">
        <f>SUM(F53:F54)</f>
        <v>296673.14</v>
      </c>
      <c r="G55" s="220"/>
      <c r="I55" s="223" t="s">
        <v>71</v>
      </c>
      <c r="J55" s="347"/>
      <c r="K55" s="353">
        <f>SUM(K53:K54)</f>
        <v>258113</v>
      </c>
      <c r="L55" s="356"/>
      <c r="M55" s="347"/>
      <c r="N55" s="355">
        <f>SUM(N53:N54)</f>
        <v>89634.33</v>
      </c>
      <c r="O55" s="220"/>
      <c r="Q55" s="223" t="s">
        <v>71</v>
      </c>
      <c r="R55" s="219"/>
      <c r="S55" s="228">
        <f>SUM(S53:S54)</f>
        <v>256542</v>
      </c>
      <c r="T55" s="233"/>
      <c r="U55" s="219"/>
      <c r="V55" s="230">
        <f>SUM(V53:V54)</f>
        <v>163516.53999999998</v>
      </c>
      <c r="W55" s="220"/>
      <c r="Y55" s="223" t="s">
        <v>71</v>
      </c>
      <c r="Z55" s="347"/>
      <c r="AA55" s="353">
        <f>SUM(AA53:AA54)</f>
        <v>211799</v>
      </c>
      <c r="AB55" s="356"/>
      <c r="AC55" s="347"/>
      <c r="AD55" s="230">
        <f>SUM(AD53:AD54)</f>
        <v>277692.66000000003</v>
      </c>
      <c r="AE55" s="220"/>
      <c r="AG55" s="223" t="s">
        <v>71</v>
      </c>
      <c r="AH55" s="347"/>
      <c r="AI55" s="353">
        <f>SUM(AI53:AI54)</f>
        <v>251372</v>
      </c>
      <c r="AJ55" s="356"/>
      <c r="AK55" s="347"/>
      <c r="AL55" s="355">
        <f>SUM(AL53:AL54)</f>
        <v>631179.32000000007</v>
      </c>
      <c r="AM55" s="220"/>
    </row>
    <row r="56" spans="1:41" ht="15">
      <c r="A56" s="223"/>
      <c r="B56" s="347"/>
      <c r="C56" s="347"/>
      <c r="D56" s="347"/>
      <c r="E56" s="347"/>
      <c r="F56" s="347"/>
      <c r="G56" s="220"/>
      <c r="I56" s="223"/>
      <c r="J56" s="347"/>
      <c r="K56" s="347"/>
      <c r="L56" s="347"/>
      <c r="M56" s="347"/>
      <c r="N56" s="347"/>
      <c r="O56" s="220"/>
      <c r="Q56" s="223"/>
      <c r="R56" s="219"/>
      <c r="S56" s="219"/>
      <c r="T56" s="219"/>
      <c r="U56" s="219"/>
      <c r="V56" s="219"/>
      <c r="W56" s="220"/>
      <c r="Y56" s="223"/>
      <c r="Z56" s="347"/>
      <c r="AA56" s="347"/>
      <c r="AB56" s="347"/>
      <c r="AC56" s="347"/>
      <c r="AD56" s="347"/>
      <c r="AE56" s="220"/>
      <c r="AG56" s="223"/>
      <c r="AH56" s="347"/>
      <c r="AI56" s="347"/>
      <c r="AJ56" s="347"/>
      <c r="AK56" s="347"/>
      <c r="AL56" s="347"/>
      <c r="AM56" s="220"/>
    </row>
    <row r="57" spans="1:41" ht="15.75">
      <c r="A57" s="216" t="str">
        <f>+A16</f>
        <v xml:space="preserve">Actual Commodity Revenue (Oct. 2021 - Sept. 2022) </v>
      </c>
      <c r="B57" s="347"/>
      <c r="C57" s="347"/>
      <c r="D57" s="347"/>
      <c r="E57" s="347"/>
      <c r="F57" s="355">
        <f>SUM('2021-2022 Recy. Tons &amp; Revenue'!J74:J85)</f>
        <v>347914.3986302797</v>
      </c>
      <c r="G57" s="220"/>
      <c r="I57" s="216" t="str">
        <f>+I16</f>
        <v xml:space="preserve">Actual Commodity Revenue (Oct. 2020 - Sept. 2021) </v>
      </c>
      <c r="J57" s="347"/>
      <c r="K57" s="347"/>
      <c r="L57" s="347"/>
      <c r="M57" s="347"/>
      <c r="N57" s="355">
        <v>372608.53427144117</v>
      </c>
      <c r="O57" s="220"/>
      <c r="Q57" s="216" t="str">
        <f>+Q16</f>
        <v xml:space="preserve">Actual Commodity Revenue (Oct. 2019 - Sept. 2020) </v>
      </c>
      <c r="R57" s="219"/>
      <c r="S57" s="219"/>
      <c r="T57" s="219"/>
      <c r="U57" s="219"/>
      <c r="V57" s="230">
        <v>66311.043460356566</v>
      </c>
      <c r="W57" s="220"/>
      <c r="Y57" s="216" t="s">
        <v>129</v>
      </c>
      <c r="Z57" s="347"/>
      <c r="AA57" s="347"/>
      <c r="AB57" s="347"/>
      <c r="AC57" s="347"/>
      <c r="AD57" s="230">
        <v>153774.15208976623</v>
      </c>
      <c r="AE57" s="220"/>
      <c r="AG57" s="223"/>
      <c r="AH57" s="347"/>
      <c r="AI57" s="347"/>
      <c r="AJ57" s="347"/>
      <c r="AK57" s="347"/>
      <c r="AL57" s="347"/>
      <c r="AM57" s="220"/>
    </row>
    <row r="58" spans="1:41" ht="15.75">
      <c r="A58" s="216" t="str">
        <f t="shared" ref="A58:A59" si="0">+A17</f>
        <v>Less: 50% retained by company</v>
      </c>
      <c r="B58" s="347"/>
      <c r="C58" s="347"/>
      <c r="D58" s="347"/>
      <c r="E58" s="347"/>
      <c r="F58" s="278">
        <f>-F57*50%</f>
        <v>-173957.19931513985</v>
      </c>
      <c r="G58" s="220"/>
      <c r="I58" s="216" t="str">
        <f t="shared" ref="I58:I59" si="1">+I17</f>
        <v>Less: 50% retained by company</v>
      </c>
      <c r="J58" s="347"/>
      <c r="K58" s="347"/>
      <c r="L58" s="347"/>
      <c r="M58" s="347"/>
      <c r="N58" s="278">
        <f>-N57*50%</f>
        <v>-186304.26713572058</v>
      </c>
      <c r="O58" s="220"/>
      <c r="Q58" s="216" t="str">
        <f t="shared" ref="Q58:Q59" si="2">+Q17</f>
        <v>Less: 50% retained by company</v>
      </c>
      <c r="R58" s="219"/>
      <c r="S58" s="219"/>
      <c r="T58" s="219"/>
      <c r="U58" s="219"/>
      <c r="V58" s="278">
        <f>-V57*50%</f>
        <v>-33155.521730178283</v>
      </c>
      <c r="W58" s="220"/>
      <c r="Y58" s="216" t="s">
        <v>150</v>
      </c>
      <c r="Z58" s="347"/>
      <c r="AA58" s="347"/>
      <c r="AB58" s="347"/>
      <c r="AC58" s="347"/>
      <c r="AD58" s="278">
        <f>-AD57*50%</f>
        <v>-76887.076044883113</v>
      </c>
      <c r="AE58" s="220"/>
      <c r="AG58" s="223"/>
      <c r="AH58" s="347"/>
      <c r="AI58" s="347"/>
      <c r="AJ58" s="347"/>
      <c r="AK58" s="347"/>
      <c r="AL58" s="347"/>
      <c r="AM58" s="220"/>
    </row>
    <row r="59" spans="1:41" ht="15.75">
      <c r="A59" s="216" t="str">
        <f t="shared" si="0"/>
        <v>Net Commodity Revenue</v>
      </c>
      <c r="B59" s="283"/>
      <c r="C59" s="283"/>
      <c r="D59" s="283"/>
      <c r="E59" s="283"/>
      <c r="F59" s="279">
        <f>SUM(F57:F58)</f>
        <v>173957.19931513985</v>
      </c>
      <c r="G59" s="220"/>
      <c r="I59" s="216" t="str">
        <f t="shared" si="1"/>
        <v>Net Commodity Revenue</v>
      </c>
      <c r="J59" s="283"/>
      <c r="K59" s="283"/>
      <c r="L59" s="283"/>
      <c r="M59" s="283"/>
      <c r="N59" s="279">
        <f>SUM(N57:N58)</f>
        <v>186304.26713572058</v>
      </c>
      <c r="O59" s="220"/>
      <c r="Q59" s="216" t="str">
        <f t="shared" si="2"/>
        <v>Net Commodity Revenue</v>
      </c>
      <c r="R59" s="232"/>
      <c r="S59" s="232"/>
      <c r="T59" s="232"/>
      <c r="U59" s="232"/>
      <c r="V59" s="389">
        <f>SUM(V57:V58)</f>
        <v>33155.521730178283</v>
      </c>
      <c r="W59" s="220"/>
      <c r="Y59" s="282" t="s">
        <v>153</v>
      </c>
      <c r="Z59" s="283"/>
      <c r="AA59" s="283"/>
      <c r="AB59" s="283"/>
      <c r="AC59" s="283"/>
      <c r="AD59" s="279">
        <f>SUM(AD57:AD58)</f>
        <v>76887.076044883113</v>
      </c>
      <c r="AE59" s="220"/>
      <c r="AG59" s="223"/>
      <c r="AH59" s="347"/>
      <c r="AI59" s="347"/>
      <c r="AJ59" s="347"/>
      <c r="AK59" s="347"/>
      <c r="AL59" s="347"/>
      <c r="AM59" s="220"/>
    </row>
    <row r="60" spans="1:41" ht="15">
      <c r="A60" s="283"/>
      <c r="B60" s="283"/>
      <c r="C60" s="283"/>
      <c r="D60" s="283"/>
      <c r="E60" s="283"/>
      <c r="F60" s="283"/>
      <c r="G60" s="220"/>
      <c r="I60" s="283"/>
      <c r="J60" s="283"/>
      <c r="K60" s="283"/>
      <c r="L60" s="283"/>
      <c r="M60" s="283"/>
      <c r="N60" s="283"/>
      <c r="O60" s="220"/>
      <c r="Q60" s="231"/>
      <c r="R60" s="232"/>
      <c r="S60" s="232"/>
      <c r="T60" s="232"/>
      <c r="U60" s="232"/>
      <c r="V60" s="232"/>
      <c r="W60" s="220"/>
      <c r="Y60" s="231"/>
      <c r="Z60" s="283"/>
      <c r="AA60" s="283"/>
      <c r="AB60" s="283"/>
      <c r="AC60" s="283"/>
      <c r="AD60" s="283"/>
      <c r="AE60" s="220"/>
      <c r="AG60" s="223"/>
      <c r="AH60" s="347"/>
      <c r="AI60" s="347"/>
      <c r="AJ60" s="347"/>
      <c r="AK60" s="347"/>
      <c r="AL60" s="347"/>
      <c r="AM60" s="220"/>
    </row>
    <row r="61" spans="1:41" ht="15">
      <c r="A61" s="223"/>
      <c r="B61" s="347"/>
      <c r="C61" s="347"/>
      <c r="D61" s="347"/>
      <c r="E61" s="347"/>
      <c r="F61" s="358"/>
      <c r="G61" s="220"/>
      <c r="I61" s="223"/>
      <c r="J61" s="347"/>
      <c r="K61" s="347"/>
      <c r="L61" s="347"/>
      <c r="M61" s="347"/>
      <c r="N61" s="358"/>
      <c r="O61" s="220"/>
      <c r="Q61" s="223"/>
      <c r="R61" s="219"/>
      <c r="S61" s="219"/>
      <c r="T61" s="219"/>
      <c r="U61" s="219"/>
      <c r="V61" s="258"/>
      <c r="W61" s="220"/>
      <c r="Y61" s="223" t="s">
        <v>117</v>
      </c>
      <c r="Z61" s="347"/>
      <c r="AA61" s="347"/>
      <c r="AB61" s="347"/>
      <c r="AC61" s="347"/>
      <c r="AD61" s="258">
        <f>AD59-AD55</f>
        <v>-200805.58395511692</v>
      </c>
      <c r="AE61" s="220"/>
      <c r="AG61" s="223"/>
      <c r="AH61" s="347"/>
      <c r="AI61" s="347"/>
      <c r="AJ61" s="347"/>
      <c r="AK61" s="347"/>
      <c r="AL61" s="347"/>
      <c r="AM61" s="220"/>
    </row>
    <row r="62" spans="1:41" ht="15.75">
      <c r="A62" s="216"/>
      <c r="B62" s="347"/>
      <c r="C62" s="360"/>
      <c r="D62" s="347"/>
      <c r="E62" s="361"/>
      <c r="F62" s="355"/>
      <c r="G62" s="220"/>
      <c r="I62" s="216"/>
      <c r="J62" s="347"/>
      <c r="K62" s="360"/>
      <c r="L62" s="347"/>
      <c r="M62" s="361"/>
      <c r="N62" s="355"/>
      <c r="O62" s="220"/>
      <c r="Q62" s="216"/>
      <c r="R62" s="219"/>
      <c r="S62" s="255"/>
      <c r="T62" s="219"/>
      <c r="U62" s="256"/>
      <c r="V62" s="230"/>
      <c r="W62" s="220"/>
      <c r="Y62" s="216" t="s">
        <v>151</v>
      </c>
      <c r="Z62" s="347"/>
      <c r="AA62" s="255">
        <v>42056</v>
      </c>
      <c r="AB62" s="347"/>
      <c r="AC62" s="361">
        <f>AM80</f>
        <v>-1.1600000000000001</v>
      </c>
      <c r="AD62" s="230">
        <f>AC62*AA62</f>
        <v>-48784.960000000006</v>
      </c>
      <c r="AE62" s="220"/>
      <c r="AG62" s="216" t="s">
        <v>116</v>
      </c>
      <c r="AH62" s="347"/>
      <c r="AI62" s="347"/>
      <c r="AJ62" s="347"/>
      <c r="AK62" s="347"/>
      <c r="AL62" s="355">
        <v>269162</v>
      </c>
      <c r="AM62" s="220"/>
      <c r="AO62" s="260"/>
    </row>
    <row r="63" spans="1:41" ht="15.75">
      <c r="A63" s="216"/>
      <c r="B63" s="283"/>
      <c r="C63" s="283"/>
      <c r="D63" s="283"/>
      <c r="E63" s="283"/>
      <c r="F63" s="258"/>
      <c r="G63" s="220"/>
      <c r="I63" s="216"/>
      <c r="J63" s="283"/>
      <c r="K63" s="283"/>
      <c r="L63" s="283"/>
      <c r="M63" s="283"/>
      <c r="N63" s="258"/>
      <c r="O63" s="220"/>
      <c r="Q63" s="216"/>
      <c r="R63" s="232"/>
      <c r="S63" s="232"/>
      <c r="T63" s="232"/>
      <c r="U63" s="232"/>
      <c r="V63" s="258"/>
      <c r="W63" s="220"/>
      <c r="Y63" s="216" t="s">
        <v>148</v>
      </c>
      <c r="Z63" s="283"/>
      <c r="AA63" s="283"/>
      <c r="AB63" s="283"/>
      <c r="AC63" s="283"/>
      <c r="AD63" s="280">
        <v>4957.7399619857606</v>
      </c>
      <c r="AE63" s="220"/>
      <c r="AG63" s="223"/>
      <c r="AH63" s="347"/>
      <c r="AI63" s="347"/>
      <c r="AJ63" s="347"/>
      <c r="AK63" s="347"/>
      <c r="AL63" s="355"/>
      <c r="AM63" s="220"/>
    </row>
    <row r="64" spans="1:41" ht="15">
      <c r="A64" s="283" t="s">
        <v>154</v>
      </c>
      <c r="B64" s="283"/>
      <c r="C64" s="283"/>
      <c r="D64" s="283"/>
      <c r="E64" s="283"/>
      <c r="F64" s="279">
        <f>+F59-F55</f>
        <v>-122715.94068486016</v>
      </c>
      <c r="G64" s="220" t="s">
        <v>240</v>
      </c>
      <c r="I64" s="283" t="s">
        <v>154</v>
      </c>
      <c r="J64" s="283"/>
      <c r="K64" s="283"/>
      <c r="L64" s="283"/>
      <c r="M64" s="283"/>
      <c r="N64" s="279">
        <f>+N59-N55</f>
        <v>96669.937135720582</v>
      </c>
      <c r="O64" s="220"/>
      <c r="Q64" s="231" t="s">
        <v>154</v>
      </c>
      <c r="R64" s="232"/>
      <c r="S64" s="232"/>
      <c r="T64" s="232"/>
      <c r="U64" s="232"/>
      <c r="V64" s="389">
        <f>+V59-V55</f>
        <v>-130361.0182698217</v>
      </c>
      <c r="W64" s="220"/>
      <c r="Y64" s="231" t="s">
        <v>154</v>
      </c>
      <c r="Z64" s="283"/>
      <c r="AA64" s="283"/>
      <c r="AB64" s="283"/>
      <c r="AC64" s="283"/>
      <c r="AD64" s="279">
        <f>SUM(AD61:AD63)</f>
        <v>-244632.80399313118</v>
      </c>
      <c r="AE64" s="220"/>
      <c r="AG64" s="223" t="s">
        <v>117</v>
      </c>
      <c r="AH64" s="347"/>
      <c r="AI64" s="347"/>
      <c r="AJ64" s="347"/>
      <c r="AK64" s="347"/>
      <c r="AL64" s="353">
        <f>AL62-AL55</f>
        <v>-362017.32000000007</v>
      </c>
      <c r="AM64" s="220"/>
    </row>
    <row r="65" spans="1:39" ht="17.25">
      <c r="A65" s="283"/>
      <c r="B65" s="283"/>
      <c r="C65" s="283"/>
      <c r="D65" s="283"/>
      <c r="E65" s="283"/>
      <c r="F65" s="283"/>
      <c r="G65" s="220"/>
      <c r="I65" s="283"/>
      <c r="J65" s="283"/>
      <c r="K65" s="283"/>
      <c r="L65" s="283"/>
      <c r="M65" s="283"/>
      <c r="N65" s="283"/>
      <c r="O65" s="220"/>
      <c r="Q65" s="231"/>
      <c r="R65" s="232"/>
      <c r="S65" s="232"/>
      <c r="T65" s="232"/>
      <c r="U65" s="232"/>
      <c r="V65" s="232"/>
      <c r="W65" s="220"/>
      <c r="Y65" s="231"/>
      <c r="Z65" s="283"/>
      <c r="AA65" s="283"/>
      <c r="AB65" s="283"/>
      <c r="AC65" s="283"/>
      <c r="AD65" s="283"/>
      <c r="AE65" s="220"/>
      <c r="AG65" s="223"/>
      <c r="AH65" s="347"/>
      <c r="AI65" s="363"/>
      <c r="AJ65" s="347"/>
      <c r="AK65" s="347"/>
      <c r="AL65" s="362"/>
      <c r="AM65" s="220"/>
    </row>
    <row r="66" spans="1:39" ht="15">
      <c r="A66" s="223" t="s">
        <v>118</v>
      </c>
      <c r="B66" s="347"/>
      <c r="C66" s="347"/>
      <c r="D66" s="347"/>
      <c r="E66" s="347"/>
      <c r="F66" s="353">
        <f>+C55</f>
        <v>258996</v>
      </c>
      <c r="G66" s="220"/>
      <c r="I66" s="223" t="s">
        <v>118</v>
      </c>
      <c r="J66" s="347"/>
      <c r="K66" s="347"/>
      <c r="L66" s="347"/>
      <c r="M66" s="347"/>
      <c r="N66" s="353">
        <f>+K55</f>
        <v>258113</v>
      </c>
      <c r="O66" s="220"/>
      <c r="Q66" s="223" t="s">
        <v>118</v>
      </c>
      <c r="R66" s="219"/>
      <c r="S66" s="219"/>
      <c r="T66" s="219"/>
      <c r="U66" s="219"/>
      <c r="V66" s="228">
        <f>+S55</f>
        <v>256542</v>
      </c>
      <c r="W66" s="220"/>
      <c r="Y66" s="223" t="s">
        <v>118</v>
      </c>
      <c r="Z66" s="347"/>
      <c r="AA66" s="347"/>
      <c r="AB66" s="347"/>
      <c r="AC66" s="347"/>
      <c r="AD66" s="353">
        <v>253855</v>
      </c>
      <c r="AE66" s="220"/>
      <c r="AG66" s="223" t="s">
        <v>118</v>
      </c>
      <c r="AH66" s="347"/>
      <c r="AI66" s="347"/>
      <c r="AJ66" s="347"/>
      <c r="AK66" s="347"/>
      <c r="AL66" s="353">
        <f>+AI55</f>
        <v>251372</v>
      </c>
      <c r="AM66" s="220"/>
    </row>
    <row r="67" spans="1:39" ht="15">
      <c r="A67" s="223"/>
      <c r="B67" s="347"/>
      <c r="C67" s="347"/>
      <c r="D67" s="347"/>
      <c r="E67" s="347"/>
      <c r="F67" s="347"/>
      <c r="G67" s="220"/>
      <c r="I67" s="223"/>
      <c r="J67" s="347"/>
      <c r="K67" s="347"/>
      <c r="L67" s="347"/>
      <c r="M67" s="347"/>
      <c r="N67" s="347"/>
      <c r="O67" s="220"/>
      <c r="Q67" s="223"/>
      <c r="R67" s="219"/>
      <c r="S67" s="219"/>
      <c r="T67" s="219"/>
      <c r="U67" s="219"/>
      <c r="V67" s="219"/>
      <c r="W67" s="220"/>
      <c r="Y67" s="223"/>
      <c r="Z67" s="347"/>
      <c r="AA67" s="347"/>
      <c r="AB67" s="347"/>
      <c r="AC67" s="347"/>
      <c r="AD67" s="347"/>
      <c r="AE67" s="220"/>
      <c r="AG67" s="223"/>
      <c r="AH67" s="347"/>
      <c r="AI67" s="347"/>
      <c r="AJ67" s="347"/>
      <c r="AK67" s="347"/>
      <c r="AL67" s="347"/>
      <c r="AM67" s="220"/>
    </row>
    <row r="68" spans="1:39" ht="15">
      <c r="A68" s="223" t="s">
        <v>119</v>
      </c>
      <c r="B68" s="347"/>
      <c r="C68" s="347"/>
      <c r="D68" s="347"/>
      <c r="E68" s="347"/>
      <c r="F68" s="364"/>
      <c r="G68" s="238">
        <f>F64/F66</f>
        <v>-0.47381403838229225</v>
      </c>
      <c r="I68" s="223" t="s">
        <v>119</v>
      </c>
      <c r="J68" s="347"/>
      <c r="K68" s="347"/>
      <c r="L68" s="347"/>
      <c r="M68" s="347"/>
      <c r="N68" s="364"/>
      <c r="O68" s="238">
        <f>N64/N66</f>
        <v>0.37452564239585212</v>
      </c>
      <c r="Q68" s="223" t="s">
        <v>119</v>
      </c>
      <c r="R68" s="219"/>
      <c r="S68" s="219"/>
      <c r="T68" s="219"/>
      <c r="U68" s="219"/>
      <c r="V68" s="237"/>
      <c r="W68" s="238">
        <f>V64/V66</f>
        <v>-0.508146885382595</v>
      </c>
      <c r="Y68" s="223" t="s">
        <v>119</v>
      </c>
      <c r="Z68" s="347"/>
      <c r="AA68" s="347"/>
      <c r="AB68" s="347"/>
      <c r="AC68" s="347"/>
      <c r="AD68" s="237"/>
      <c r="AE68" s="238">
        <f>AD64/AD66</f>
        <v>-0.96367140293920217</v>
      </c>
      <c r="AG68" s="223" t="s">
        <v>119</v>
      </c>
      <c r="AH68" s="347"/>
      <c r="AI68" s="347"/>
      <c r="AJ68" s="347"/>
      <c r="AK68" s="347"/>
      <c r="AL68" s="364"/>
      <c r="AM68" s="238">
        <f>ROUND(AL64/AL66,2)</f>
        <v>-1.44</v>
      </c>
    </row>
    <row r="69" spans="1:39" ht="15">
      <c r="A69" s="223"/>
      <c r="B69" s="347"/>
      <c r="C69" s="347"/>
      <c r="D69" s="347"/>
      <c r="E69" s="347"/>
      <c r="F69" s="347"/>
      <c r="G69" s="238"/>
      <c r="I69" s="223"/>
      <c r="J69" s="347"/>
      <c r="K69" s="347"/>
      <c r="L69" s="347"/>
      <c r="M69" s="347"/>
      <c r="N69" s="347"/>
      <c r="O69" s="238"/>
      <c r="Q69" s="223"/>
      <c r="R69" s="219"/>
      <c r="S69" s="219"/>
      <c r="T69" s="219"/>
      <c r="U69" s="219"/>
      <c r="V69" s="219"/>
      <c r="W69" s="238"/>
      <c r="Y69" s="223"/>
      <c r="Z69" s="347"/>
      <c r="AA69" s="347"/>
      <c r="AB69" s="347"/>
      <c r="AC69" s="347"/>
      <c r="AD69" s="347"/>
      <c r="AE69" s="238"/>
      <c r="AG69" s="223"/>
      <c r="AH69" s="347"/>
      <c r="AI69" s="347"/>
      <c r="AJ69" s="347"/>
      <c r="AK69" s="347"/>
      <c r="AL69" s="347"/>
      <c r="AM69" s="238"/>
    </row>
    <row r="70" spans="1:39" ht="15">
      <c r="A70" s="223"/>
      <c r="B70" s="347"/>
      <c r="C70" s="347"/>
      <c r="D70" s="347"/>
      <c r="E70" s="347"/>
      <c r="F70" s="347"/>
      <c r="G70" s="238"/>
      <c r="I70" s="223"/>
      <c r="J70" s="347"/>
      <c r="K70" s="347"/>
      <c r="L70" s="347"/>
      <c r="M70" s="347"/>
      <c r="N70" s="347"/>
      <c r="O70" s="238"/>
      <c r="Q70" s="223"/>
      <c r="R70" s="219"/>
      <c r="S70" s="219"/>
      <c r="T70" s="219"/>
      <c r="U70" s="219"/>
      <c r="V70" s="219"/>
      <c r="W70" s="238"/>
      <c r="Y70" s="223"/>
      <c r="Z70" s="347"/>
      <c r="AA70" s="347"/>
      <c r="AB70" s="347"/>
      <c r="AC70" s="347"/>
      <c r="AD70" s="347"/>
      <c r="AE70" s="238"/>
      <c r="AG70" s="223"/>
      <c r="AH70" s="347"/>
      <c r="AI70" s="347"/>
      <c r="AJ70" s="347"/>
      <c r="AK70" s="347"/>
      <c r="AL70" s="347"/>
      <c r="AM70" s="238"/>
    </row>
    <row r="71" spans="1:39" ht="15.75">
      <c r="A71" s="239" t="str">
        <f>+A29</f>
        <v>Projected Revenue Oct. 2022 - Sep. 2023 (based on most recent 12 months)</v>
      </c>
      <c r="B71" s="345"/>
      <c r="C71" s="347"/>
      <c r="D71" s="347"/>
      <c r="E71" s="347"/>
      <c r="F71" s="365">
        <f>F57</f>
        <v>347914.3986302797</v>
      </c>
      <c r="G71" s="238"/>
      <c r="I71" s="239" t="str">
        <f>+I29</f>
        <v>Projected Revenue Oct. 2021 - Sep. 2022 (based on most recent 12 months)</v>
      </c>
      <c r="J71" s="345"/>
      <c r="K71" s="347"/>
      <c r="L71" s="347"/>
      <c r="M71" s="347"/>
      <c r="N71" s="365">
        <f>N57</f>
        <v>372608.53427144117</v>
      </c>
      <c r="O71" s="238"/>
      <c r="Q71" s="239" t="str">
        <f>+Q29</f>
        <v>Projected Revenue Oct. 2020 - Sep. 2021 (based on most recent 12 months)</v>
      </c>
      <c r="R71" s="217"/>
      <c r="S71" s="219"/>
      <c r="T71" s="219"/>
      <c r="U71" s="219"/>
      <c r="V71" s="240">
        <f>V57</f>
        <v>66311.043460356566</v>
      </c>
      <c r="W71" s="238"/>
      <c r="Y71" s="239" t="s">
        <v>130</v>
      </c>
      <c r="Z71" s="345"/>
      <c r="AA71" s="347"/>
      <c r="AB71" s="347"/>
      <c r="AC71" s="347"/>
      <c r="AD71" s="240">
        <f>AD57</f>
        <v>153774.15208976623</v>
      </c>
      <c r="AE71" s="238"/>
      <c r="AG71" s="239" t="s">
        <v>120</v>
      </c>
      <c r="AH71" s="345"/>
      <c r="AI71" s="347"/>
      <c r="AJ71" s="347"/>
      <c r="AK71" s="347"/>
      <c r="AL71" s="365">
        <v>91522</v>
      </c>
      <c r="AM71" s="238"/>
    </row>
    <row r="72" spans="1:39" ht="17.25">
      <c r="A72" s="216" t="s">
        <v>150</v>
      </c>
      <c r="B72" s="283"/>
      <c r="C72" s="283"/>
      <c r="D72" s="283"/>
      <c r="E72" s="283"/>
      <c r="F72" s="281">
        <f>F71*50%</f>
        <v>173957.19931513985</v>
      </c>
      <c r="G72" s="238"/>
      <c r="I72" s="216" t="s">
        <v>150</v>
      </c>
      <c r="J72" s="283"/>
      <c r="K72" s="283"/>
      <c r="L72" s="283"/>
      <c r="M72" s="283"/>
      <c r="N72" s="281">
        <f>N71*50%</f>
        <v>186304.26713572058</v>
      </c>
      <c r="O72" s="238"/>
      <c r="Q72" s="216" t="s">
        <v>150</v>
      </c>
      <c r="R72" s="232"/>
      <c r="S72" s="232"/>
      <c r="T72" s="232"/>
      <c r="U72" s="232"/>
      <c r="V72" s="281">
        <f>V71*50%</f>
        <v>33155.521730178283</v>
      </c>
      <c r="W72" s="238"/>
      <c r="Y72" s="216" t="s">
        <v>150</v>
      </c>
      <c r="Z72" s="283"/>
      <c r="AA72" s="283"/>
      <c r="AB72" s="283"/>
      <c r="AC72" s="283"/>
      <c r="AD72" s="281">
        <f>AD71*50%</f>
        <v>76887.076044883113</v>
      </c>
      <c r="AE72" s="238"/>
      <c r="AG72" s="223" t="s">
        <v>118</v>
      </c>
      <c r="AH72" s="347"/>
      <c r="AI72" s="347"/>
      <c r="AJ72" s="347"/>
      <c r="AK72" s="347"/>
      <c r="AL72" s="366">
        <v>126406</v>
      </c>
      <c r="AM72" s="238"/>
    </row>
    <row r="73" spans="1:39" ht="17.25">
      <c r="A73" s="283" t="s">
        <v>152</v>
      </c>
      <c r="B73" s="283"/>
      <c r="C73" s="283"/>
      <c r="D73" s="283"/>
      <c r="E73" s="283"/>
      <c r="F73" s="279">
        <f>F71-F72</f>
        <v>173957.19931513985</v>
      </c>
      <c r="G73" s="238"/>
      <c r="I73" s="283" t="s">
        <v>152</v>
      </c>
      <c r="J73" s="283"/>
      <c r="K73" s="283"/>
      <c r="L73" s="283"/>
      <c r="M73" s="283"/>
      <c r="N73" s="279">
        <f>N71-N72</f>
        <v>186304.26713572058</v>
      </c>
      <c r="O73" s="238"/>
      <c r="Q73" s="231" t="s">
        <v>152</v>
      </c>
      <c r="R73" s="232"/>
      <c r="S73" s="232"/>
      <c r="T73" s="232"/>
      <c r="U73" s="232"/>
      <c r="V73" s="389">
        <f>V71-V72</f>
        <v>33155.521730178283</v>
      </c>
      <c r="W73" s="238"/>
      <c r="Y73" s="231" t="s">
        <v>152</v>
      </c>
      <c r="Z73" s="283"/>
      <c r="AA73" s="283"/>
      <c r="AB73" s="283"/>
      <c r="AC73" s="283"/>
      <c r="AD73" s="279">
        <f>AD71-AD72</f>
        <v>76887.076044883113</v>
      </c>
      <c r="AE73" s="238"/>
      <c r="AG73" s="223" t="s">
        <v>121</v>
      </c>
      <c r="AH73" s="347"/>
      <c r="AI73" s="347"/>
      <c r="AJ73" s="347"/>
      <c r="AK73" s="347"/>
      <c r="AL73" s="347"/>
      <c r="AM73" s="367">
        <f>ROUND(+AL71/AL72,2)</f>
        <v>0.72</v>
      </c>
    </row>
    <row r="74" spans="1:39" ht="17.25">
      <c r="A74" s="223" t="s">
        <v>118</v>
      </c>
      <c r="B74" s="347"/>
      <c r="C74" s="347"/>
      <c r="D74" s="347"/>
      <c r="E74" s="347"/>
      <c r="F74" s="366">
        <f>+F66</f>
        <v>258996</v>
      </c>
      <c r="G74" s="238"/>
      <c r="I74" s="223" t="s">
        <v>118</v>
      </c>
      <c r="J74" s="347"/>
      <c r="K74" s="347"/>
      <c r="L74" s="347"/>
      <c r="M74" s="347"/>
      <c r="N74" s="366">
        <f>+N66</f>
        <v>258113</v>
      </c>
      <c r="O74" s="238"/>
      <c r="Q74" s="223" t="s">
        <v>118</v>
      </c>
      <c r="R74" s="219"/>
      <c r="S74" s="219"/>
      <c r="T74" s="219"/>
      <c r="U74" s="219"/>
      <c r="V74" s="241">
        <f>+V66</f>
        <v>256542</v>
      </c>
      <c r="W74" s="238"/>
      <c r="Y74" s="223" t="s">
        <v>118</v>
      </c>
      <c r="Z74" s="347"/>
      <c r="AA74" s="347"/>
      <c r="AB74" s="347"/>
      <c r="AC74" s="347"/>
      <c r="AD74" s="366">
        <f>+AD66</f>
        <v>253855</v>
      </c>
      <c r="AE74" s="238"/>
      <c r="AG74" s="216" t="s">
        <v>122</v>
      </c>
      <c r="AH74" s="345"/>
      <c r="AI74" s="347"/>
      <c r="AJ74" s="347"/>
      <c r="AK74" s="347"/>
      <c r="AL74" s="347"/>
      <c r="AM74" s="246">
        <f>SUM(AM68:AM73)</f>
        <v>-0.72</v>
      </c>
    </row>
    <row r="75" spans="1:39" ht="17.25">
      <c r="A75" s="223" t="s">
        <v>121</v>
      </c>
      <c r="B75" s="347"/>
      <c r="C75" s="347"/>
      <c r="D75" s="347"/>
      <c r="E75" s="347"/>
      <c r="F75" s="347"/>
      <c r="G75" s="367">
        <f>ROUND(+F71/F74,2)</f>
        <v>1.34</v>
      </c>
      <c r="I75" s="223" t="s">
        <v>121</v>
      </c>
      <c r="J75" s="347"/>
      <c r="K75" s="347"/>
      <c r="L75" s="347"/>
      <c r="M75" s="347"/>
      <c r="N75" s="347"/>
      <c r="O75" s="367">
        <f>ROUND(+N71/N74,2)</f>
        <v>1.44</v>
      </c>
      <c r="Q75" s="223" t="s">
        <v>121</v>
      </c>
      <c r="R75" s="219"/>
      <c r="S75" s="219"/>
      <c r="T75" s="219"/>
      <c r="U75" s="219"/>
      <c r="V75" s="219"/>
      <c r="W75" s="367">
        <f>ROUND(+V71/V74,2)</f>
        <v>0.26</v>
      </c>
      <c r="Y75" s="223" t="s">
        <v>121</v>
      </c>
      <c r="Z75" s="347"/>
      <c r="AA75" s="347"/>
      <c r="AB75" s="347"/>
      <c r="AC75" s="347"/>
      <c r="AD75" s="347"/>
      <c r="AE75" s="367">
        <f>ROUND(+AD71/AD74,2)</f>
        <v>0.61</v>
      </c>
      <c r="AG75" s="216"/>
      <c r="AH75" s="345"/>
      <c r="AI75" s="347"/>
      <c r="AJ75" s="347"/>
      <c r="AK75" s="347"/>
      <c r="AL75" s="347"/>
      <c r="AM75" s="246"/>
    </row>
    <row r="76" spans="1:39" ht="18">
      <c r="A76" s="216" t="s">
        <v>242</v>
      </c>
      <c r="B76" s="345"/>
      <c r="C76" s="347"/>
      <c r="D76" s="347"/>
      <c r="E76" s="347"/>
      <c r="F76" s="347"/>
      <c r="G76" s="368">
        <f>SUM(G68:G75)</f>
        <v>0.86618596161770789</v>
      </c>
      <c r="I76" s="216" t="s">
        <v>242</v>
      </c>
      <c r="J76" s="345"/>
      <c r="K76" s="347"/>
      <c r="L76" s="347"/>
      <c r="M76" s="347"/>
      <c r="N76" s="347"/>
      <c r="O76" s="368">
        <f>SUM(O68:O75)</f>
        <v>1.814525642395852</v>
      </c>
      <c r="Q76" s="216" t="s">
        <v>242</v>
      </c>
      <c r="R76" s="217"/>
      <c r="S76" s="219"/>
      <c r="T76" s="219"/>
      <c r="U76" s="219"/>
      <c r="V76" s="219"/>
      <c r="W76" s="368">
        <f>SUM(W68:W75)</f>
        <v>-0.24814688538259499</v>
      </c>
      <c r="Y76" s="216" t="s">
        <v>122</v>
      </c>
      <c r="Z76" s="345"/>
      <c r="AA76" s="347"/>
      <c r="AB76" s="347"/>
      <c r="AC76" s="347"/>
      <c r="AD76" s="347"/>
      <c r="AE76" s="246">
        <f>SUM(AE68:AE75)</f>
        <v>-0.35367140293920218</v>
      </c>
      <c r="AG76" s="231" t="s">
        <v>123</v>
      </c>
      <c r="AH76" s="345"/>
      <c r="AI76" s="347"/>
      <c r="AJ76" s="347"/>
      <c r="AK76" s="369">
        <f>+AI55/12*0.5</f>
        <v>10473.833333333334</v>
      </c>
      <c r="AL76" s="347"/>
      <c r="AM76" s="246">
        <f>ROUND(-AK76/AI55*2,2)</f>
        <v>-0.08</v>
      </c>
    </row>
    <row r="77" spans="1:39" ht="15.75">
      <c r="A77" s="216"/>
      <c r="B77" s="345"/>
      <c r="C77" s="347"/>
      <c r="D77" s="347"/>
      <c r="E77" s="347"/>
      <c r="F77" s="347"/>
      <c r="G77" s="246"/>
      <c r="I77" s="216"/>
      <c r="J77" s="345"/>
      <c r="K77" s="347"/>
      <c r="L77" s="347"/>
      <c r="M77" s="347"/>
      <c r="N77" s="347"/>
      <c r="O77" s="246"/>
      <c r="Q77" s="216"/>
      <c r="R77" s="217"/>
      <c r="S77" s="219"/>
      <c r="T77" s="219"/>
      <c r="U77" s="219"/>
      <c r="V77" s="219"/>
      <c r="W77" s="246"/>
      <c r="Y77" s="216"/>
      <c r="Z77" s="345"/>
      <c r="AA77" s="347"/>
      <c r="AB77" s="347"/>
      <c r="AC77" s="347"/>
      <c r="AD77" s="347"/>
      <c r="AE77" s="246"/>
      <c r="AG77" s="216"/>
      <c r="AH77" s="345"/>
      <c r="AI77" s="347"/>
      <c r="AJ77" s="347"/>
      <c r="AK77" s="347"/>
      <c r="AL77" s="347"/>
      <c r="AM77" s="246"/>
    </row>
    <row r="78" spans="1:39" ht="20.25">
      <c r="A78" s="231"/>
      <c r="B78" s="347"/>
      <c r="C78" s="347"/>
      <c r="D78" s="347"/>
      <c r="E78" s="370"/>
      <c r="F78" s="347"/>
      <c r="G78" s="371"/>
      <c r="I78" s="231"/>
      <c r="J78" s="347"/>
      <c r="K78" s="347"/>
      <c r="L78" s="347"/>
      <c r="M78" s="370"/>
      <c r="N78" s="347"/>
      <c r="O78" s="371"/>
      <c r="Q78" s="231"/>
      <c r="R78" s="219"/>
      <c r="S78" s="219"/>
      <c r="T78" s="219"/>
      <c r="U78" s="247"/>
      <c r="V78" s="219"/>
      <c r="W78" s="371"/>
      <c r="Y78" s="231"/>
      <c r="Z78" s="347"/>
      <c r="AA78" s="347"/>
      <c r="AB78" s="347"/>
      <c r="AC78" s="247"/>
      <c r="AD78" s="347"/>
      <c r="AE78" s="371"/>
      <c r="AG78" s="231" t="s">
        <v>124</v>
      </c>
      <c r="AH78" s="347"/>
      <c r="AI78" s="347"/>
      <c r="AJ78" s="347"/>
      <c r="AK78" s="370">
        <v>0.5</v>
      </c>
      <c r="AL78" s="347"/>
      <c r="AM78" s="371">
        <f>-AK78*AM73</f>
        <v>-0.36</v>
      </c>
    </row>
    <row r="79" spans="1:39" ht="20.25">
      <c r="A79" s="231"/>
      <c r="B79" s="347"/>
      <c r="C79" s="347"/>
      <c r="D79" s="347"/>
      <c r="E79" s="372"/>
      <c r="F79" s="347"/>
      <c r="G79" s="371"/>
      <c r="I79" s="231"/>
      <c r="J79" s="347"/>
      <c r="K79" s="347"/>
      <c r="L79" s="347"/>
      <c r="M79" s="372"/>
      <c r="N79" s="347"/>
      <c r="O79" s="371"/>
      <c r="Q79" s="231"/>
      <c r="R79" s="219"/>
      <c r="S79" s="219"/>
      <c r="T79" s="219"/>
      <c r="U79" s="250"/>
      <c r="V79" s="219"/>
      <c r="W79" s="371"/>
      <c r="Y79" s="231"/>
      <c r="Z79" s="347"/>
      <c r="AA79" s="347"/>
      <c r="AB79" s="347"/>
      <c r="AC79" s="250"/>
      <c r="AD79" s="347"/>
      <c r="AE79" s="371"/>
      <c r="AG79" s="231"/>
      <c r="AH79" s="347"/>
      <c r="AI79" s="347"/>
      <c r="AJ79" s="347"/>
      <c r="AK79" s="372"/>
      <c r="AL79" s="347"/>
      <c r="AM79" s="371"/>
    </row>
    <row r="80" spans="1:39" ht="18">
      <c r="A80" s="216"/>
      <c r="B80" s="347"/>
      <c r="C80" s="347"/>
      <c r="D80" s="347"/>
      <c r="E80" s="372"/>
      <c r="F80" s="347"/>
      <c r="G80" s="368"/>
      <c r="I80" s="216"/>
      <c r="J80" s="347"/>
      <c r="K80" s="347"/>
      <c r="L80" s="347"/>
      <c r="M80" s="372"/>
      <c r="N80" s="347"/>
      <c r="O80" s="368"/>
      <c r="Q80" s="216"/>
      <c r="R80" s="219"/>
      <c r="S80" s="219"/>
      <c r="T80" s="219"/>
      <c r="U80" s="250"/>
      <c r="V80" s="219"/>
      <c r="W80" s="368"/>
      <c r="Y80" s="216"/>
      <c r="Z80" s="347"/>
      <c r="AA80" s="347"/>
      <c r="AB80" s="347"/>
      <c r="AC80" s="250"/>
      <c r="AD80" s="347"/>
      <c r="AE80" s="368"/>
      <c r="AG80" s="216" t="s">
        <v>146</v>
      </c>
      <c r="AH80" s="347"/>
      <c r="AI80" s="347"/>
      <c r="AJ80" s="347"/>
      <c r="AK80" s="372"/>
      <c r="AL80" s="347"/>
      <c r="AM80" s="368">
        <f>+AM74+AM78+AM76</f>
        <v>-1.1600000000000001</v>
      </c>
    </row>
    <row r="81" spans="1:39" ht="13.5" thickBot="1">
      <c r="A81" s="252"/>
      <c r="B81" s="253"/>
      <c r="C81" s="253"/>
      <c r="D81" s="253"/>
      <c r="E81" s="253"/>
      <c r="F81" s="253"/>
      <c r="G81" s="254"/>
      <c r="I81" s="252"/>
      <c r="J81" s="253"/>
      <c r="K81" s="253"/>
      <c r="L81" s="253"/>
      <c r="M81" s="253"/>
      <c r="N81" s="253"/>
      <c r="O81" s="254"/>
      <c r="Q81" s="252"/>
      <c r="R81" s="253"/>
      <c r="S81" s="253"/>
      <c r="T81" s="253"/>
      <c r="U81" s="253"/>
      <c r="V81" s="253"/>
      <c r="W81" s="254"/>
      <c r="Y81" s="252"/>
      <c r="Z81" s="253"/>
      <c r="AA81" s="253"/>
      <c r="AB81" s="253"/>
      <c r="AC81" s="253"/>
      <c r="AD81" s="253"/>
      <c r="AE81" s="254"/>
      <c r="AG81" s="252"/>
      <c r="AH81" s="253"/>
      <c r="AI81" s="253"/>
      <c r="AJ81" s="253"/>
      <c r="AK81" s="253"/>
      <c r="AL81" s="253"/>
      <c r="AM81" s="254"/>
    </row>
    <row r="83" spans="1:39" ht="13.5" thickBot="1"/>
    <row r="84" spans="1:39" ht="23.25">
      <c r="A84" s="212" t="s">
        <v>126</v>
      </c>
      <c r="B84" s="213"/>
      <c r="C84" s="214"/>
      <c r="D84" s="214"/>
      <c r="E84" s="214"/>
      <c r="F84" s="214"/>
      <c r="G84" s="215"/>
      <c r="I84" s="212" t="s">
        <v>126</v>
      </c>
      <c r="J84" s="213"/>
      <c r="K84" s="214"/>
      <c r="L84" s="214"/>
      <c r="M84" s="214"/>
      <c r="N84" s="214"/>
      <c r="O84" s="215"/>
      <c r="Q84" s="212" t="s">
        <v>126</v>
      </c>
      <c r="R84" s="213"/>
      <c r="S84" s="214"/>
      <c r="T84" s="214"/>
      <c r="U84" s="214"/>
      <c r="V84" s="214"/>
      <c r="W84" s="215"/>
      <c r="Y84" s="212" t="s">
        <v>126</v>
      </c>
      <c r="Z84" s="213"/>
      <c r="AA84" s="214"/>
      <c r="AB84" s="214"/>
      <c r="AC84" s="214"/>
      <c r="AD84" s="214"/>
      <c r="AE84" s="215"/>
      <c r="AG84" s="212" t="s">
        <v>126</v>
      </c>
      <c r="AH84" s="213"/>
      <c r="AI84" s="214"/>
      <c r="AJ84" s="214"/>
      <c r="AK84" s="214"/>
      <c r="AL84" s="214"/>
      <c r="AM84" s="215"/>
    </row>
    <row r="85" spans="1:39" ht="15.75">
      <c r="A85" s="216" t="str">
        <f>+A2</f>
        <v>2021 - 2022 Rebate Calculation - Deferred Accounting Methodology</v>
      </c>
      <c r="B85" s="345"/>
      <c r="C85" s="346"/>
      <c r="D85" s="346"/>
      <c r="E85" s="347"/>
      <c r="F85" s="347"/>
      <c r="G85" s="220"/>
      <c r="I85" s="216" t="s">
        <v>243</v>
      </c>
      <c r="J85" s="345"/>
      <c r="K85" s="346"/>
      <c r="L85" s="346"/>
      <c r="M85" s="347"/>
      <c r="N85" s="347"/>
      <c r="O85" s="220"/>
      <c r="Q85" s="216" t="s">
        <v>109</v>
      </c>
      <c r="R85" s="217"/>
      <c r="S85" s="218"/>
      <c r="T85" s="218"/>
      <c r="U85" s="219"/>
      <c r="V85" s="219"/>
      <c r="W85" s="220"/>
      <c r="Y85" s="216" t="s">
        <v>109</v>
      </c>
      <c r="Z85" s="345"/>
      <c r="AA85" s="346"/>
      <c r="AB85" s="346"/>
      <c r="AC85" s="347"/>
      <c r="AD85" s="347"/>
      <c r="AE85" s="220"/>
      <c r="AG85" s="216" t="s">
        <v>109</v>
      </c>
      <c r="AH85" s="345"/>
      <c r="AI85" s="346"/>
      <c r="AJ85" s="346"/>
      <c r="AK85" s="347"/>
      <c r="AL85" s="347"/>
      <c r="AM85" s="220"/>
    </row>
    <row r="86" spans="1:39" ht="15.75">
      <c r="A86" s="221"/>
      <c r="B86" s="375"/>
      <c r="C86" s="347"/>
      <c r="D86" s="347"/>
      <c r="E86" s="347"/>
      <c r="F86" s="347"/>
      <c r="G86" s="220"/>
      <c r="I86" s="221"/>
      <c r="J86" s="375"/>
      <c r="K86" s="347"/>
      <c r="L86" s="347"/>
      <c r="M86" s="347"/>
      <c r="N86" s="347"/>
      <c r="O86" s="220"/>
      <c r="Q86" s="221"/>
      <c r="R86" s="222"/>
      <c r="S86" s="219"/>
      <c r="T86" s="219"/>
      <c r="U86" s="219"/>
      <c r="V86" s="219"/>
      <c r="W86" s="220"/>
      <c r="Y86" s="221"/>
      <c r="Z86" s="375"/>
      <c r="AA86" s="347"/>
      <c r="AB86" s="347"/>
      <c r="AC86" s="347"/>
      <c r="AD86" s="347"/>
      <c r="AE86" s="220"/>
      <c r="AG86" s="221"/>
      <c r="AH86" s="375"/>
      <c r="AI86" s="347"/>
      <c r="AJ86" s="347"/>
      <c r="AK86" s="347"/>
      <c r="AL86" s="347"/>
      <c r="AM86" s="220"/>
    </row>
    <row r="87" spans="1:39" ht="15">
      <c r="A87" s="444" t="s">
        <v>19</v>
      </c>
      <c r="B87" s="462"/>
      <c r="C87" s="462"/>
      <c r="D87" s="462"/>
      <c r="E87" s="462"/>
      <c r="F87" s="462"/>
      <c r="G87" s="446"/>
      <c r="I87" s="444" t="s">
        <v>19</v>
      </c>
      <c r="J87" s="462"/>
      <c r="K87" s="462"/>
      <c r="L87" s="462"/>
      <c r="M87" s="462"/>
      <c r="N87" s="462"/>
      <c r="O87" s="446"/>
      <c r="Q87" s="444" t="s">
        <v>19</v>
      </c>
      <c r="R87" s="445"/>
      <c r="S87" s="445"/>
      <c r="T87" s="445"/>
      <c r="U87" s="445"/>
      <c r="V87" s="445"/>
      <c r="W87" s="446"/>
      <c r="Y87" s="444" t="s">
        <v>19</v>
      </c>
      <c r="Z87" s="462"/>
      <c r="AA87" s="462"/>
      <c r="AB87" s="462"/>
      <c r="AC87" s="462"/>
      <c r="AD87" s="462"/>
      <c r="AE87" s="446"/>
      <c r="AG87" s="444" t="s">
        <v>19</v>
      </c>
      <c r="AH87" s="462"/>
      <c r="AI87" s="462"/>
      <c r="AJ87" s="462"/>
      <c r="AK87" s="462"/>
      <c r="AL87" s="462"/>
      <c r="AM87" s="446"/>
    </row>
    <row r="88" spans="1:39" ht="15">
      <c r="A88" s="223"/>
      <c r="B88" s="347"/>
      <c r="C88" s="347"/>
      <c r="D88" s="347"/>
      <c r="E88" s="347"/>
      <c r="F88" s="347"/>
      <c r="G88" s="220"/>
      <c r="I88" s="223"/>
      <c r="J88" s="347"/>
      <c r="K88" s="347"/>
      <c r="L88" s="347"/>
      <c r="M88" s="347"/>
      <c r="N88" s="347"/>
      <c r="O88" s="220"/>
      <c r="Q88" s="223"/>
      <c r="R88" s="219"/>
      <c r="S88" s="219"/>
      <c r="T88" s="219"/>
      <c r="U88" s="219"/>
      <c r="V88" s="219"/>
      <c r="W88" s="220"/>
      <c r="Y88" s="223"/>
      <c r="Z88" s="347"/>
      <c r="AA88" s="347"/>
      <c r="AB88" s="347"/>
      <c r="AC88" s="347"/>
      <c r="AD88" s="347"/>
      <c r="AE88" s="220"/>
      <c r="AG88" s="223"/>
      <c r="AH88" s="347"/>
      <c r="AI88" s="347"/>
      <c r="AJ88" s="347"/>
      <c r="AK88" s="347"/>
      <c r="AL88" s="347"/>
      <c r="AM88" s="220"/>
    </row>
    <row r="89" spans="1:39" ht="15.75">
      <c r="A89" s="223"/>
      <c r="B89" s="347"/>
      <c r="C89" s="350"/>
      <c r="D89" s="350"/>
      <c r="E89" s="350" t="s">
        <v>110</v>
      </c>
      <c r="F89" s="350" t="s">
        <v>71</v>
      </c>
      <c r="G89" s="220"/>
      <c r="I89" s="223"/>
      <c r="J89" s="347"/>
      <c r="K89" s="350"/>
      <c r="L89" s="350"/>
      <c r="M89" s="350" t="s">
        <v>110</v>
      </c>
      <c r="N89" s="350" t="s">
        <v>71</v>
      </c>
      <c r="O89" s="220"/>
      <c r="Q89" s="223"/>
      <c r="R89" s="219"/>
      <c r="S89" s="224"/>
      <c r="T89" s="224"/>
      <c r="U89" s="224" t="s">
        <v>110</v>
      </c>
      <c r="V89" s="224" t="s">
        <v>71</v>
      </c>
      <c r="W89" s="220"/>
      <c r="Y89" s="223"/>
      <c r="Z89" s="347"/>
      <c r="AA89" s="350"/>
      <c r="AB89" s="350"/>
      <c r="AC89" s="350" t="s">
        <v>110</v>
      </c>
      <c r="AD89" s="350" t="s">
        <v>71</v>
      </c>
      <c r="AE89" s="220"/>
      <c r="AG89" s="223"/>
      <c r="AH89" s="347"/>
      <c r="AI89" s="350"/>
      <c r="AJ89" s="350"/>
      <c r="AK89" s="350" t="s">
        <v>110</v>
      </c>
      <c r="AL89" s="350" t="s">
        <v>71</v>
      </c>
      <c r="AM89" s="220"/>
    </row>
    <row r="90" spans="1:39" ht="15.75">
      <c r="A90" s="223"/>
      <c r="B90" s="347"/>
      <c r="C90" s="351" t="s">
        <v>87</v>
      </c>
      <c r="D90" s="351"/>
      <c r="E90" s="351" t="s">
        <v>111</v>
      </c>
      <c r="F90" s="351" t="s">
        <v>112</v>
      </c>
      <c r="G90" s="220"/>
      <c r="I90" s="223"/>
      <c r="J90" s="347"/>
      <c r="K90" s="351" t="s">
        <v>87</v>
      </c>
      <c r="L90" s="351"/>
      <c r="M90" s="351" t="s">
        <v>111</v>
      </c>
      <c r="N90" s="351" t="s">
        <v>112</v>
      </c>
      <c r="O90" s="220"/>
      <c r="Q90" s="223"/>
      <c r="R90" s="219"/>
      <c r="S90" s="225" t="s">
        <v>87</v>
      </c>
      <c r="T90" s="225"/>
      <c r="U90" s="225" t="s">
        <v>111</v>
      </c>
      <c r="V90" s="225" t="s">
        <v>112</v>
      </c>
      <c r="W90" s="220"/>
      <c r="Y90" s="223"/>
      <c r="Z90" s="347"/>
      <c r="AA90" s="351" t="s">
        <v>87</v>
      </c>
      <c r="AB90" s="351"/>
      <c r="AC90" s="351" t="s">
        <v>111</v>
      </c>
      <c r="AD90" s="351" t="s">
        <v>112</v>
      </c>
      <c r="AE90" s="220"/>
      <c r="AG90" s="223"/>
      <c r="AH90" s="347"/>
      <c r="AI90" s="351" t="s">
        <v>87</v>
      </c>
      <c r="AJ90" s="351"/>
      <c r="AK90" s="351" t="s">
        <v>111</v>
      </c>
      <c r="AL90" s="351" t="s">
        <v>112</v>
      </c>
      <c r="AM90" s="220"/>
    </row>
    <row r="91" spans="1:39" ht="15.75">
      <c r="A91" s="226" t="str">
        <f>+A10</f>
        <v>Projected Revenue Oct. 2021 - Sep. 2022</v>
      </c>
      <c r="B91" s="345"/>
      <c r="C91" s="352"/>
      <c r="D91" s="352"/>
      <c r="E91" s="352"/>
      <c r="F91" s="352"/>
      <c r="G91" s="220"/>
      <c r="I91" s="226" t="str">
        <f>+I10</f>
        <v>Projected Revenue Oct. 2020 - Sep. 2021</v>
      </c>
      <c r="J91" s="345"/>
      <c r="K91" s="352"/>
      <c r="L91" s="352"/>
      <c r="M91" s="352"/>
      <c r="N91" s="352"/>
      <c r="O91" s="220"/>
      <c r="Q91" s="226" t="str">
        <f>+Q10</f>
        <v>Projected Revenue Oct. 2019 - Sep. 2020</v>
      </c>
      <c r="R91" s="217"/>
      <c r="S91" s="227"/>
      <c r="T91" s="227"/>
      <c r="U91" s="227"/>
      <c r="V91" s="227"/>
      <c r="W91" s="220"/>
      <c r="Y91" s="226" t="s">
        <v>127</v>
      </c>
      <c r="Z91" s="345"/>
      <c r="AA91" s="352"/>
      <c r="AB91" s="352"/>
      <c r="AC91" s="352"/>
      <c r="AD91" s="352"/>
      <c r="AE91" s="220"/>
      <c r="AG91" s="226" t="s">
        <v>113</v>
      </c>
      <c r="AH91" s="345"/>
      <c r="AI91" s="352"/>
      <c r="AJ91" s="352"/>
      <c r="AK91" s="352"/>
      <c r="AL91" s="352"/>
      <c r="AM91" s="220"/>
    </row>
    <row r="92" spans="1:39" ht="15.75">
      <c r="A92" s="223" t="s">
        <v>114</v>
      </c>
      <c r="B92" s="347"/>
      <c r="C92" s="353">
        <f>SUM('Customer Counts - Enspire'!D6:D8)</f>
        <v>55785</v>
      </c>
      <c r="D92" s="353"/>
      <c r="E92" s="354">
        <f>+M93</f>
        <v>0.3</v>
      </c>
      <c r="F92" s="355">
        <f>C92*E92</f>
        <v>16735.5</v>
      </c>
      <c r="G92" s="220"/>
      <c r="I92" s="223" t="s">
        <v>114</v>
      </c>
      <c r="J92" s="347"/>
      <c r="K92" s="353">
        <v>55107</v>
      </c>
      <c r="L92" s="353"/>
      <c r="M92" s="354">
        <f>+U93</f>
        <v>0.69</v>
      </c>
      <c r="N92" s="355">
        <f>K92*M92</f>
        <v>38023.829999999994</v>
      </c>
      <c r="O92" s="220"/>
      <c r="Q92" s="223" t="s">
        <v>114</v>
      </c>
      <c r="R92" s="219"/>
      <c r="S92" s="228">
        <v>53609</v>
      </c>
      <c r="T92" s="228"/>
      <c r="U92" s="229">
        <f>+AC93</f>
        <v>0.81</v>
      </c>
      <c r="V92" s="230">
        <f>S92*U92</f>
        <v>43423.29</v>
      </c>
      <c r="W92" s="220"/>
      <c r="Y92" s="223" t="s">
        <v>114</v>
      </c>
      <c r="Z92" s="347"/>
      <c r="AA92" s="353">
        <v>52930</v>
      </c>
      <c r="AB92" s="353"/>
      <c r="AC92" s="229">
        <f>+AK93</f>
        <v>2.33</v>
      </c>
      <c r="AD92" s="230">
        <f>AA92*AC92</f>
        <v>123326.90000000001</v>
      </c>
      <c r="AE92" s="220"/>
      <c r="AG92" s="223" t="s">
        <v>114</v>
      </c>
      <c r="AH92" s="347"/>
      <c r="AI92" s="353">
        <v>51847</v>
      </c>
      <c r="AJ92" s="353"/>
      <c r="AK92" s="354">
        <v>1.67</v>
      </c>
      <c r="AL92" s="355">
        <f>AI92*AK92</f>
        <v>86584.489999999991</v>
      </c>
      <c r="AM92" s="220"/>
    </row>
    <row r="93" spans="1:39" ht="17.25">
      <c r="A93" s="231" t="s">
        <v>115</v>
      </c>
      <c r="B93" s="283"/>
      <c r="C93" s="356">
        <f>SUM('Customer Counts - Enspire'!D9:D17)</f>
        <v>168234</v>
      </c>
      <c r="D93" s="356"/>
      <c r="E93" s="354">
        <f>+O114</f>
        <v>1.7</v>
      </c>
      <c r="F93" s="357">
        <f>C93*E93</f>
        <v>285997.8</v>
      </c>
      <c r="G93" s="220"/>
      <c r="I93" s="231" t="s">
        <v>115</v>
      </c>
      <c r="J93" s="283"/>
      <c r="K93" s="356">
        <v>166768</v>
      </c>
      <c r="L93" s="356"/>
      <c r="M93" s="354">
        <f>+W114</f>
        <v>0.3</v>
      </c>
      <c r="N93" s="357">
        <f>K93*M93</f>
        <v>50030.400000000001</v>
      </c>
      <c r="O93" s="220"/>
      <c r="Q93" s="231" t="s">
        <v>115</v>
      </c>
      <c r="R93" s="232"/>
      <c r="S93" s="233">
        <v>163351</v>
      </c>
      <c r="T93" s="233"/>
      <c r="U93" s="229">
        <f>+AE114</f>
        <v>0.69</v>
      </c>
      <c r="V93" s="234">
        <f>S93*U93</f>
        <v>112712.18999999999</v>
      </c>
      <c r="W93" s="220"/>
      <c r="Y93" s="231" t="s">
        <v>115</v>
      </c>
      <c r="Z93" s="283"/>
      <c r="AA93" s="356">
        <v>124468</v>
      </c>
      <c r="AB93" s="356"/>
      <c r="AC93" s="229">
        <f>+AM112</f>
        <v>0.81</v>
      </c>
      <c r="AD93" s="234">
        <f>AA93*AC93</f>
        <v>100819.08</v>
      </c>
      <c r="AE93" s="220"/>
      <c r="AG93" s="231" t="s">
        <v>115</v>
      </c>
      <c r="AH93" s="283"/>
      <c r="AI93" s="356">
        <v>157300</v>
      </c>
      <c r="AJ93" s="356"/>
      <c r="AK93" s="354">
        <v>2.33</v>
      </c>
      <c r="AL93" s="357">
        <f>AI93*AK93</f>
        <v>366509</v>
      </c>
      <c r="AM93" s="220"/>
    </row>
    <row r="94" spans="1:39" ht="17.25">
      <c r="A94" s="223" t="s">
        <v>71</v>
      </c>
      <c r="B94" s="347"/>
      <c r="C94" s="353">
        <f>SUM(C92:C93)</f>
        <v>224019</v>
      </c>
      <c r="D94" s="356"/>
      <c r="E94" s="347"/>
      <c r="F94" s="355">
        <f>SUM(F92:F93)</f>
        <v>302733.3</v>
      </c>
      <c r="G94" s="220"/>
      <c r="I94" s="223" t="s">
        <v>71</v>
      </c>
      <c r="J94" s="347"/>
      <c r="K94" s="353">
        <f>SUM(K92:K93)</f>
        <v>221875</v>
      </c>
      <c r="L94" s="356"/>
      <c r="M94" s="347"/>
      <c r="N94" s="355">
        <f>SUM(N92:N93)</f>
        <v>88054.23</v>
      </c>
      <c r="O94" s="220"/>
      <c r="Q94" s="223" t="s">
        <v>71</v>
      </c>
      <c r="R94" s="219"/>
      <c r="S94" s="228">
        <f>SUM(S92:S93)</f>
        <v>216960</v>
      </c>
      <c r="T94" s="233"/>
      <c r="U94" s="219"/>
      <c r="V94" s="230">
        <f>SUM(V92:V93)</f>
        <v>156135.47999999998</v>
      </c>
      <c r="W94" s="220"/>
      <c r="Y94" s="223" t="s">
        <v>71</v>
      </c>
      <c r="Z94" s="347"/>
      <c r="AA94" s="353">
        <f>SUM(AA92:AA93)</f>
        <v>177398</v>
      </c>
      <c r="AB94" s="356"/>
      <c r="AC94" s="347"/>
      <c r="AD94" s="230">
        <f>SUM(AD92:AD93)</f>
        <v>224145.98</v>
      </c>
      <c r="AE94" s="220"/>
      <c r="AG94" s="223" t="s">
        <v>71</v>
      </c>
      <c r="AH94" s="347"/>
      <c r="AI94" s="353">
        <f>SUM(AI92:AI93)</f>
        <v>209147</v>
      </c>
      <c r="AJ94" s="356"/>
      <c r="AK94" s="347"/>
      <c r="AL94" s="355">
        <f>SUM(AL92:AL93)</f>
        <v>453093.49</v>
      </c>
      <c r="AM94" s="220"/>
    </row>
    <row r="95" spans="1:39" ht="15">
      <c r="A95" s="223"/>
      <c r="B95" s="347"/>
      <c r="C95" s="347"/>
      <c r="D95" s="347"/>
      <c r="E95" s="347"/>
      <c r="F95" s="347"/>
      <c r="G95" s="220"/>
      <c r="I95" s="223"/>
      <c r="J95" s="347"/>
      <c r="K95" s="347"/>
      <c r="L95" s="347"/>
      <c r="M95" s="347"/>
      <c r="N95" s="347"/>
      <c r="O95" s="220"/>
      <c r="Q95" s="223"/>
      <c r="R95" s="219"/>
      <c r="S95" s="219"/>
      <c r="T95" s="219"/>
      <c r="U95" s="219"/>
      <c r="V95" s="219"/>
      <c r="W95" s="220"/>
      <c r="Y95" s="223"/>
      <c r="Z95" s="347"/>
      <c r="AA95" s="347"/>
      <c r="AB95" s="347"/>
      <c r="AC95" s="347"/>
      <c r="AD95" s="347"/>
      <c r="AE95" s="220"/>
      <c r="AG95" s="223"/>
      <c r="AH95" s="347"/>
      <c r="AI95" s="347"/>
      <c r="AJ95" s="347"/>
      <c r="AK95" s="347"/>
      <c r="AL95" s="347"/>
      <c r="AM95" s="220"/>
    </row>
    <row r="96" spans="1:39" ht="15.75">
      <c r="A96" s="216" t="str">
        <f>+A16</f>
        <v xml:space="preserve">Actual Commodity Revenue (Oct. 2021 - Sept. 2022) </v>
      </c>
      <c r="B96" s="347"/>
      <c r="C96" s="347"/>
      <c r="D96" s="347"/>
      <c r="E96" s="347"/>
      <c r="F96" s="355">
        <f>SUM('2021-2022 Recy. Tons &amp; Revenue'!L74:L85)</f>
        <v>354184.25419649383</v>
      </c>
      <c r="G96" s="220"/>
      <c r="I96" s="216" t="str">
        <f>+I16</f>
        <v xml:space="preserve">Actual Commodity Revenue (Oct. 2020 - Sept. 2021) </v>
      </c>
      <c r="J96" s="347"/>
      <c r="K96" s="347"/>
      <c r="L96" s="347"/>
      <c r="M96" s="347"/>
      <c r="N96" s="355">
        <v>377956.43417141476</v>
      </c>
      <c r="O96" s="220"/>
      <c r="Q96" s="216" t="str">
        <f>+Q16</f>
        <v xml:space="preserve">Actual Commodity Revenue (Oct. 2019 - Sept. 2020) </v>
      </c>
      <c r="R96" s="219"/>
      <c r="S96" s="219"/>
      <c r="T96" s="219"/>
      <c r="U96" s="219"/>
      <c r="V96" s="230">
        <v>65025.746670985172</v>
      </c>
      <c r="W96" s="220"/>
      <c r="Y96" s="216" t="s">
        <v>129</v>
      </c>
      <c r="Z96" s="347"/>
      <c r="AA96" s="347"/>
      <c r="AB96" s="347"/>
      <c r="AC96" s="347"/>
      <c r="AD96" s="230">
        <v>145945.7483506508</v>
      </c>
      <c r="AE96" s="220"/>
      <c r="AG96" s="223"/>
      <c r="AH96" s="347"/>
      <c r="AI96" s="347"/>
      <c r="AJ96" s="347"/>
      <c r="AK96" s="347"/>
      <c r="AL96" s="347"/>
      <c r="AM96" s="220"/>
    </row>
    <row r="97" spans="1:41" ht="15.75">
      <c r="A97" s="216" t="str">
        <f t="shared" ref="A97:A98" si="3">+A17</f>
        <v>Less: 50% retained by company</v>
      </c>
      <c r="B97" s="347"/>
      <c r="C97" s="347"/>
      <c r="D97" s="347"/>
      <c r="E97" s="347"/>
      <c r="F97" s="278">
        <f>-F96*50%</f>
        <v>-177092.12709824691</v>
      </c>
      <c r="G97" s="220"/>
      <c r="I97" s="216" t="str">
        <f t="shared" ref="I97:I98" si="4">+I17</f>
        <v>Less: 50% retained by company</v>
      </c>
      <c r="J97" s="347"/>
      <c r="K97" s="347"/>
      <c r="L97" s="347"/>
      <c r="M97" s="347"/>
      <c r="N97" s="278">
        <f>-N96*50%</f>
        <v>-188978.21708570738</v>
      </c>
      <c r="O97" s="220"/>
      <c r="Q97" s="216" t="str">
        <f t="shared" ref="Q97:Q98" si="5">+Q17</f>
        <v>Less: 50% retained by company</v>
      </c>
      <c r="R97" s="219"/>
      <c r="S97" s="219"/>
      <c r="T97" s="219"/>
      <c r="U97" s="219"/>
      <c r="V97" s="278">
        <f>-V96*50%</f>
        <v>-32512.873335492586</v>
      </c>
      <c r="W97" s="220"/>
      <c r="Y97" s="216" t="s">
        <v>150</v>
      </c>
      <c r="Z97" s="347"/>
      <c r="AA97" s="347"/>
      <c r="AB97" s="347"/>
      <c r="AC97" s="347"/>
      <c r="AD97" s="278">
        <f>-AD96*50%</f>
        <v>-72972.8741753254</v>
      </c>
      <c r="AE97" s="220"/>
      <c r="AG97" s="223"/>
      <c r="AH97" s="347"/>
      <c r="AI97" s="347"/>
      <c r="AJ97" s="347"/>
      <c r="AK97" s="347"/>
      <c r="AL97" s="347"/>
      <c r="AM97" s="220"/>
    </row>
    <row r="98" spans="1:41" ht="15.75">
      <c r="A98" s="216" t="str">
        <f t="shared" si="3"/>
        <v>Net Commodity Revenue</v>
      </c>
      <c r="B98" s="283"/>
      <c r="C98" s="283"/>
      <c r="D98" s="283"/>
      <c r="E98" s="283"/>
      <c r="F98" s="279">
        <f>SUM(F96:F97)</f>
        <v>177092.12709824691</v>
      </c>
      <c r="G98" s="220"/>
      <c r="I98" s="216" t="str">
        <f t="shared" si="4"/>
        <v>Net Commodity Revenue</v>
      </c>
      <c r="J98" s="283"/>
      <c r="K98" s="283"/>
      <c r="L98" s="283"/>
      <c r="M98" s="283"/>
      <c r="N98" s="279">
        <f>SUM(N96:N97)</f>
        <v>188978.21708570738</v>
      </c>
      <c r="O98" s="220"/>
      <c r="Q98" s="216" t="str">
        <f t="shared" si="5"/>
        <v>Net Commodity Revenue</v>
      </c>
      <c r="R98" s="232"/>
      <c r="S98" s="232"/>
      <c r="T98" s="232"/>
      <c r="U98" s="232"/>
      <c r="V98" s="389">
        <f>SUM(V96:V97)</f>
        <v>32512.873335492586</v>
      </c>
      <c r="W98" s="220"/>
      <c r="Y98" s="282" t="s">
        <v>153</v>
      </c>
      <c r="Z98" s="283"/>
      <c r="AA98" s="283"/>
      <c r="AB98" s="283"/>
      <c r="AC98" s="283"/>
      <c r="AD98" s="279">
        <f>SUM(AD96:AD97)</f>
        <v>72972.8741753254</v>
      </c>
      <c r="AE98" s="220"/>
      <c r="AG98" s="223"/>
      <c r="AH98" s="347"/>
      <c r="AI98" s="347"/>
      <c r="AJ98" s="347"/>
      <c r="AK98" s="347"/>
      <c r="AL98" s="347"/>
      <c r="AM98" s="220"/>
    </row>
    <row r="99" spans="1:41" ht="15">
      <c r="A99" s="283"/>
      <c r="B99" s="283"/>
      <c r="C99" s="283"/>
      <c r="D99" s="283"/>
      <c r="E99" s="283"/>
      <c r="F99" s="283"/>
      <c r="G99" s="220"/>
      <c r="I99" s="283"/>
      <c r="J99" s="283"/>
      <c r="K99" s="283"/>
      <c r="L99" s="283"/>
      <c r="M99" s="283"/>
      <c r="N99" s="283"/>
      <c r="O99" s="220"/>
      <c r="Q99" s="231"/>
      <c r="R99" s="232"/>
      <c r="S99" s="232"/>
      <c r="T99" s="232"/>
      <c r="U99" s="232"/>
      <c r="V99" s="232"/>
      <c r="W99" s="220"/>
      <c r="Y99" s="231"/>
      <c r="Z99" s="283"/>
      <c r="AA99" s="283"/>
      <c r="AB99" s="283"/>
      <c r="AC99" s="283"/>
      <c r="AD99" s="283"/>
      <c r="AE99" s="220"/>
      <c r="AG99" s="223"/>
      <c r="AH99" s="347"/>
      <c r="AI99" s="347"/>
      <c r="AJ99" s="347"/>
      <c r="AK99" s="347"/>
      <c r="AL99" s="347"/>
      <c r="AM99" s="220"/>
    </row>
    <row r="100" spans="1:41" ht="15">
      <c r="A100" s="223"/>
      <c r="B100" s="347"/>
      <c r="C100" s="347"/>
      <c r="D100" s="347"/>
      <c r="E100" s="347"/>
      <c r="F100" s="358"/>
      <c r="G100" s="220"/>
      <c r="I100" s="223"/>
      <c r="J100" s="347"/>
      <c r="K100" s="347"/>
      <c r="L100" s="347"/>
      <c r="M100" s="347"/>
      <c r="N100" s="358"/>
      <c r="O100" s="220"/>
      <c r="Q100" s="223"/>
      <c r="R100" s="219"/>
      <c r="S100" s="219"/>
      <c r="T100" s="219"/>
      <c r="U100" s="219"/>
      <c r="V100" s="258"/>
      <c r="W100" s="220"/>
      <c r="Y100" s="223" t="s">
        <v>117</v>
      </c>
      <c r="Z100" s="347"/>
      <c r="AA100" s="347"/>
      <c r="AB100" s="347"/>
      <c r="AC100" s="347"/>
      <c r="AD100" s="258">
        <f>AD98-AD94</f>
        <v>-151173.1058246746</v>
      </c>
      <c r="AE100" s="220"/>
      <c r="AG100" s="223"/>
      <c r="AH100" s="347"/>
      <c r="AI100" s="347"/>
      <c r="AJ100" s="347"/>
      <c r="AK100" s="347"/>
      <c r="AL100" s="347"/>
      <c r="AM100" s="220"/>
    </row>
    <row r="101" spans="1:41" ht="15.75">
      <c r="A101" s="216"/>
      <c r="B101" s="347"/>
      <c r="C101" s="360"/>
      <c r="D101" s="347"/>
      <c r="E101" s="361"/>
      <c r="F101" s="355"/>
      <c r="G101" s="220"/>
      <c r="I101" s="216"/>
      <c r="J101" s="347"/>
      <c r="K101" s="360"/>
      <c r="L101" s="347"/>
      <c r="M101" s="361"/>
      <c r="N101" s="355"/>
      <c r="O101" s="220"/>
      <c r="Q101" s="216"/>
      <c r="R101" s="219"/>
      <c r="S101" s="255"/>
      <c r="T101" s="219"/>
      <c r="U101" s="256"/>
      <c r="V101" s="230"/>
      <c r="W101" s="220"/>
      <c r="Y101" s="216" t="s">
        <v>151</v>
      </c>
      <c r="Z101" s="347"/>
      <c r="AA101" s="255">
        <v>35317</v>
      </c>
      <c r="AB101" s="347"/>
      <c r="AC101" s="361">
        <f>AM119</f>
        <v>-0.77500000000000002</v>
      </c>
      <c r="AD101" s="230">
        <f>AC101*AA101</f>
        <v>-27370.674999999999</v>
      </c>
      <c r="AE101" s="220"/>
      <c r="AG101" s="216" t="s">
        <v>116</v>
      </c>
      <c r="AH101" s="347"/>
      <c r="AI101" s="347"/>
      <c r="AJ101" s="347"/>
      <c r="AK101" s="347"/>
      <c r="AL101" s="355">
        <v>223798</v>
      </c>
      <c r="AM101" s="220"/>
      <c r="AO101" s="259"/>
    </row>
    <row r="102" spans="1:41" ht="15.75">
      <c r="A102" s="216"/>
      <c r="B102" s="347"/>
      <c r="C102" s="347"/>
      <c r="D102" s="347"/>
      <c r="E102" s="347"/>
      <c r="F102" s="258"/>
      <c r="G102" s="220"/>
      <c r="I102" s="216"/>
      <c r="J102" s="347"/>
      <c r="K102" s="347"/>
      <c r="L102" s="347"/>
      <c r="M102" s="347"/>
      <c r="N102" s="258"/>
      <c r="O102" s="220"/>
      <c r="Q102" s="216"/>
      <c r="R102" s="219"/>
      <c r="S102" s="219"/>
      <c r="T102" s="219"/>
      <c r="U102" s="219"/>
      <c r="V102" s="258"/>
      <c r="W102" s="220"/>
      <c r="Y102" s="216" t="s">
        <v>148</v>
      </c>
      <c r="Z102" s="347"/>
      <c r="AA102" s="347"/>
      <c r="AB102" s="347"/>
      <c r="AC102" s="347"/>
      <c r="AD102" s="280">
        <v>4826.2600380142394</v>
      </c>
      <c r="AE102" s="220"/>
      <c r="AG102" s="223"/>
      <c r="AH102" s="347"/>
      <c r="AI102" s="347"/>
      <c r="AJ102" s="347"/>
      <c r="AK102" s="347"/>
      <c r="AL102" s="355"/>
      <c r="AM102" s="220"/>
    </row>
    <row r="103" spans="1:41" ht="15">
      <c r="A103" s="283" t="s">
        <v>154</v>
      </c>
      <c r="B103" s="283"/>
      <c r="C103" s="283"/>
      <c r="D103" s="283"/>
      <c r="E103" s="283"/>
      <c r="F103" s="279">
        <f>+F98-F94</f>
        <v>-125641.17290175307</v>
      </c>
      <c r="G103" s="220" t="s">
        <v>240</v>
      </c>
      <c r="I103" s="283" t="s">
        <v>154</v>
      </c>
      <c r="J103" s="283"/>
      <c r="K103" s="283"/>
      <c r="L103" s="283"/>
      <c r="M103" s="283"/>
      <c r="N103" s="279">
        <f>+N98-N94</f>
        <v>100923.98708570738</v>
      </c>
      <c r="O103" s="220"/>
      <c r="Q103" s="231" t="s">
        <v>154</v>
      </c>
      <c r="R103" s="232"/>
      <c r="S103" s="232"/>
      <c r="T103" s="232"/>
      <c r="U103" s="232"/>
      <c r="V103" s="389">
        <f>+V98-V94</f>
        <v>-123622.60666450739</v>
      </c>
      <c r="W103" s="220"/>
      <c r="Y103" s="231" t="s">
        <v>154</v>
      </c>
      <c r="Z103" s="283"/>
      <c r="AA103" s="283"/>
      <c r="AB103" s="283"/>
      <c r="AC103" s="283"/>
      <c r="AD103" s="279">
        <f>SUM(AD100:AD102)</f>
        <v>-173717.52078666035</v>
      </c>
      <c r="AE103" s="220"/>
      <c r="AG103" s="223" t="s">
        <v>117</v>
      </c>
      <c r="AH103" s="347"/>
      <c r="AI103" s="347"/>
      <c r="AJ103" s="347"/>
      <c r="AK103" s="347"/>
      <c r="AL103" s="353">
        <f>AL101-AL94</f>
        <v>-229295.49</v>
      </c>
      <c r="AM103" s="220"/>
    </row>
    <row r="104" spans="1:41" ht="17.25">
      <c r="A104" s="283"/>
      <c r="B104" s="283"/>
      <c r="C104" s="283"/>
      <c r="D104" s="283"/>
      <c r="E104" s="283"/>
      <c r="F104" s="283"/>
      <c r="G104" s="220"/>
      <c r="I104" s="283"/>
      <c r="J104" s="283"/>
      <c r="K104" s="283"/>
      <c r="L104" s="283"/>
      <c r="M104" s="283"/>
      <c r="N104" s="283"/>
      <c r="O104" s="220"/>
      <c r="Q104" s="231"/>
      <c r="R104" s="232"/>
      <c r="S104" s="232"/>
      <c r="T104" s="232"/>
      <c r="U104" s="232"/>
      <c r="V104" s="232"/>
      <c r="W104" s="220"/>
      <c r="Y104" s="231"/>
      <c r="Z104" s="283"/>
      <c r="AA104" s="283"/>
      <c r="AB104" s="283"/>
      <c r="AC104" s="283"/>
      <c r="AD104" s="283"/>
      <c r="AE104" s="220"/>
      <c r="AG104" s="223"/>
      <c r="AH104" s="347"/>
      <c r="AI104" s="363"/>
      <c r="AJ104" s="347"/>
      <c r="AK104" s="347"/>
      <c r="AL104" s="362"/>
      <c r="AM104" s="220"/>
    </row>
    <row r="105" spans="1:41" ht="15">
      <c r="A105" s="223" t="s">
        <v>118</v>
      </c>
      <c r="B105" s="347"/>
      <c r="C105" s="347"/>
      <c r="D105" s="347"/>
      <c r="E105" s="347"/>
      <c r="F105" s="353">
        <f>+C94</f>
        <v>224019</v>
      </c>
      <c r="G105" s="220"/>
      <c r="I105" s="223" t="s">
        <v>118</v>
      </c>
      <c r="J105" s="347"/>
      <c r="K105" s="347"/>
      <c r="L105" s="347"/>
      <c r="M105" s="347"/>
      <c r="N105" s="353">
        <f>+K94</f>
        <v>221875</v>
      </c>
      <c r="O105" s="220"/>
      <c r="Q105" s="223" t="s">
        <v>118</v>
      </c>
      <c r="R105" s="219"/>
      <c r="S105" s="219"/>
      <c r="T105" s="219"/>
      <c r="U105" s="219"/>
      <c r="V105" s="228">
        <f>+S94</f>
        <v>216960</v>
      </c>
      <c r="W105" s="220"/>
      <c r="Y105" s="223" t="s">
        <v>118</v>
      </c>
      <c r="Z105" s="347"/>
      <c r="AA105" s="347"/>
      <c r="AB105" s="347"/>
      <c r="AC105" s="347"/>
      <c r="AD105" s="353">
        <v>212715</v>
      </c>
      <c r="AE105" s="220"/>
      <c r="AG105" s="223" t="s">
        <v>118</v>
      </c>
      <c r="AH105" s="347"/>
      <c r="AI105" s="347"/>
      <c r="AJ105" s="347"/>
      <c r="AK105" s="347"/>
      <c r="AL105" s="353">
        <f>+AI94</f>
        <v>209147</v>
      </c>
      <c r="AM105" s="220"/>
    </row>
    <row r="106" spans="1:41" ht="15">
      <c r="A106" s="223"/>
      <c r="B106" s="347"/>
      <c r="C106" s="347"/>
      <c r="D106" s="347"/>
      <c r="E106" s="347"/>
      <c r="F106" s="347"/>
      <c r="G106" s="220"/>
      <c r="I106" s="223"/>
      <c r="J106" s="347"/>
      <c r="K106" s="347"/>
      <c r="L106" s="347"/>
      <c r="M106" s="347"/>
      <c r="N106" s="347"/>
      <c r="O106" s="220"/>
      <c r="Q106" s="223"/>
      <c r="R106" s="219"/>
      <c r="S106" s="219"/>
      <c r="T106" s="219"/>
      <c r="U106" s="219"/>
      <c r="V106" s="219"/>
      <c r="W106" s="220"/>
      <c r="Y106" s="223"/>
      <c r="Z106" s="347"/>
      <c r="AA106" s="347"/>
      <c r="AB106" s="347"/>
      <c r="AC106" s="347"/>
      <c r="AD106" s="347"/>
      <c r="AE106" s="220"/>
      <c r="AG106" s="223"/>
      <c r="AH106" s="347"/>
      <c r="AI106" s="347"/>
      <c r="AJ106" s="347"/>
      <c r="AK106" s="347"/>
      <c r="AL106" s="347"/>
      <c r="AM106" s="220"/>
    </row>
    <row r="107" spans="1:41" ht="15">
      <c r="A107" s="223" t="s">
        <v>119</v>
      </c>
      <c r="B107" s="347"/>
      <c r="C107" s="347"/>
      <c r="D107" s="347"/>
      <c r="E107" s="347"/>
      <c r="F107" s="364"/>
      <c r="G107" s="238">
        <f>F103/F105</f>
        <v>-0.56085052116897705</v>
      </c>
      <c r="I107" s="223" t="s">
        <v>119</v>
      </c>
      <c r="J107" s="347"/>
      <c r="K107" s="347"/>
      <c r="L107" s="347"/>
      <c r="M107" s="347"/>
      <c r="N107" s="364"/>
      <c r="O107" s="238">
        <f>N103/N105</f>
        <v>0.45486867418910371</v>
      </c>
      <c r="Q107" s="223" t="s">
        <v>119</v>
      </c>
      <c r="R107" s="219"/>
      <c r="S107" s="219"/>
      <c r="T107" s="219"/>
      <c r="U107" s="219"/>
      <c r="V107" s="237"/>
      <c r="W107" s="238">
        <f>V103/V105</f>
        <v>-0.56979446287107016</v>
      </c>
      <c r="Y107" s="223" t="s">
        <v>119</v>
      </c>
      <c r="Z107" s="347"/>
      <c r="AA107" s="347"/>
      <c r="AB107" s="347"/>
      <c r="AC107" s="347"/>
      <c r="AD107" s="237"/>
      <c r="AE107" s="238">
        <f>AD103/AD105</f>
        <v>-0.81666793966885431</v>
      </c>
      <c r="AG107" s="223" t="s">
        <v>119</v>
      </c>
      <c r="AH107" s="347"/>
      <c r="AI107" s="347"/>
      <c r="AJ107" s="347"/>
      <c r="AK107" s="347"/>
      <c r="AL107" s="364"/>
      <c r="AM107" s="238">
        <f>ROUND(AL103/AL105,2)</f>
        <v>-1.1000000000000001</v>
      </c>
    </row>
    <row r="108" spans="1:41" ht="15">
      <c r="A108" s="223"/>
      <c r="B108" s="347"/>
      <c r="C108" s="347"/>
      <c r="D108" s="347"/>
      <c r="E108" s="347"/>
      <c r="F108" s="347"/>
      <c r="G108" s="238"/>
      <c r="I108" s="223"/>
      <c r="J108" s="347"/>
      <c r="K108" s="347"/>
      <c r="L108" s="347"/>
      <c r="M108" s="347"/>
      <c r="N108" s="347"/>
      <c r="O108" s="238"/>
      <c r="Q108" s="223"/>
      <c r="R108" s="219"/>
      <c r="S108" s="219"/>
      <c r="T108" s="219"/>
      <c r="U108" s="219"/>
      <c r="V108" s="219"/>
      <c r="W108" s="238"/>
      <c r="Y108" s="223"/>
      <c r="Z108" s="347"/>
      <c r="AA108" s="347"/>
      <c r="AB108" s="347"/>
      <c r="AC108" s="347"/>
      <c r="AD108" s="347"/>
      <c r="AE108" s="238"/>
      <c r="AG108" s="223"/>
      <c r="AH108" s="347"/>
      <c r="AI108" s="347"/>
      <c r="AJ108" s="347"/>
      <c r="AK108" s="347"/>
      <c r="AL108" s="347"/>
      <c r="AM108" s="238"/>
    </row>
    <row r="109" spans="1:41" ht="15">
      <c r="A109" s="223"/>
      <c r="B109" s="347"/>
      <c r="C109" s="347"/>
      <c r="D109" s="347"/>
      <c r="E109" s="347"/>
      <c r="F109" s="347"/>
      <c r="G109" s="238"/>
      <c r="I109" s="223"/>
      <c r="J109" s="347"/>
      <c r="K109" s="347"/>
      <c r="L109" s="347"/>
      <c r="M109" s="347"/>
      <c r="N109" s="347"/>
      <c r="O109" s="238"/>
      <c r="Q109" s="223"/>
      <c r="R109" s="219"/>
      <c r="S109" s="219"/>
      <c r="T109" s="219"/>
      <c r="U109" s="219"/>
      <c r="V109" s="219"/>
      <c r="W109" s="238"/>
      <c r="Y109" s="223"/>
      <c r="Z109" s="347"/>
      <c r="AA109" s="347"/>
      <c r="AB109" s="347"/>
      <c r="AC109" s="347"/>
      <c r="AD109" s="347"/>
      <c r="AE109" s="238"/>
      <c r="AG109" s="223"/>
      <c r="AH109" s="347"/>
      <c r="AI109" s="347"/>
      <c r="AJ109" s="347"/>
      <c r="AK109" s="347"/>
      <c r="AL109" s="347"/>
      <c r="AM109" s="238"/>
    </row>
    <row r="110" spans="1:41" ht="15.75">
      <c r="A110" s="239" t="str">
        <f>+A71</f>
        <v>Projected Revenue Oct. 2022 - Sep. 2023 (based on most recent 12 months)</v>
      </c>
      <c r="B110" s="345"/>
      <c r="C110" s="347"/>
      <c r="D110" s="347"/>
      <c r="E110" s="347"/>
      <c r="F110" s="365">
        <f>F96</f>
        <v>354184.25419649383</v>
      </c>
      <c r="G110" s="238"/>
      <c r="I110" s="239" t="str">
        <f>+I71</f>
        <v>Projected Revenue Oct. 2021 - Sep. 2022 (based on most recent 12 months)</v>
      </c>
      <c r="J110" s="345"/>
      <c r="K110" s="347"/>
      <c r="L110" s="347"/>
      <c r="M110" s="347"/>
      <c r="N110" s="365">
        <f>N96</f>
        <v>377956.43417141476</v>
      </c>
      <c r="O110" s="238"/>
      <c r="Q110" s="239" t="str">
        <f>+Q71</f>
        <v>Projected Revenue Oct. 2020 - Sep. 2021 (based on most recent 12 months)</v>
      </c>
      <c r="R110" s="217"/>
      <c r="S110" s="219"/>
      <c r="T110" s="219"/>
      <c r="U110" s="219"/>
      <c r="V110" s="240">
        <f>V96</f>
        <v>65025.746670985172</v>
      </c>
      <c r="W110" s="238"/>
      <c r="Y110" s="239" t="s">
        <v>130</v>
      </c>
      <c r="Z110" s="345"/>
      <c r="AA110" s="347"/>
      <c r="AB110" s="347"/>
      <c r="AC110" s="347"/>
      <c r="AD110" s="240">
        <f>AD96</f>
        <v>145945.7483506508</v>
      </c>
      <c r="AE110" s="238"/>
      <c r="AG110" s="239" t="s">
        <v>120</v>
      </c>
      <c r="AH110" s="345"/>
      <c r="AI110" s="347"/>
      <c r="AJ110" s="347"/>
      <c r="AK110" s="347"/>
      <c r="AL110" s="365">
        <v>85285</v>
      </c>
      <c r="AM110" s="238"/>
    </row>
    <row r="111" spans="1:41" ht="17.25">
      <c r="A111" s="216" t="s">
        <v>150</v>
      </c>
      <c r="B111" s="283"/>
      <c r="C111" s="283"/>
      <c r="D111" s="283"/>
      <c r="E111" s="283"/>
      <c r="F111" s="281">
        <f>F110*50%</f>
        <v>177092.12709824691</v>
      </c>
      <c r="G111" s="238"/>
      <c r="I111" s="216" t="s">
        <v>150</v>
      </c>
      <c r="J111" s="283"/>
      <c r="K111" s="283"/>
      <c r="L111" s="283"/>
      <c r="M111" s="283"/>
      <c r="N111" s="281">
        <f>N110*50%</f>
        <v>188978.21708570738</v>
      </c>
      <c r="O111" s="238"/>
      <c r="Q111" s="216" t="s">
        <v>150</v>
      </c>
      <c r="R111" s="232"/>
      <c r="S111" s="232"/>
      <c r="T111" s="232"/>
      <c r="U111" s="232"/>
      <c r="V111" s="281">
        <f>V110*50%</f>
        <v>32512.873335492586</v>
      </c>
      <c r="W111" s="238"/>
      <c r="Y111" s="216" t="s">
        <v>150</v>
      </c>
      <c r="Z111" s="283"/>
      <c r="AA111" s="283"/>
      <c r="AB111" s="283"/>
      <c r="AC111" s="283"/>
      <c r="AD111" s="281">
        <f>AD110*50%</f>
        <v>72972.8741753254</v>
      </c>
      <c r="AE111" s="238"/>
      <c r="AG111" s="223" t="s">
        <v>118</v>
      </c>
      <c r="AH111" s="347"/>
      <c r="AI111" s="347"/>
      <c r="AJ111" s="347"/>
      <c r="AK111" s="347"/>
      <c r="AL111" s="366">
        <v>105335</v>
      </c>
      <c r="AM111" s="238"/>
    </row>
    <row r="112" spans="1:41" ht="17.25">
      <c r="A112" s="283" t="s">
        <v>152</v>
      </c>
      <c r="B112" s="283"/>
      <c r="C112" s="283"/>
      <c r="D112" s="283"/>
      <c r="E112" s="283"/>
      <c r="F112" s="279">
        <f>F110-F111</f>
        <v>177092.12709824691</v>
      </c>
      <c r="G112" s="238"/>
      <c r="I112" s="283" t="s">
        <v>152</v>
      </c>
      <c r="J112" s="283"/>
      <c r="K112" s="283"/>
      <c r="L112" s="283"/>
      <c r="M112" s="283"/>
      <c r="N112" s="279">
        <f>N110-N111</f>
        <v>188978.21708570738</v>
      </c>
      <c r="O112" s="238"/>
      <c r="Q112" s="231" t="s">
        <v>152</v>
      </c>
      <c r="R112" s="232"/>
      <c r="S112" s="232"/>
      <c r="T112" s="232"/>
      <c r="U112" s="232"/>
      <c r="V112" s="389">
        <f>V110-V111</f>
        <v>32512.873335492586</v>
      </c>
      <c r="W112" s="238"/>
      <c r="Y112" s="231" t="s">
        <v>152</v>
      </c>
      <c r="Z112" s="283"/>
      <c r="AA112" s="283"/>
      <c r="AB112" s="283"/>
      <c r="AC112" s="283"/>
      <c r="AD112" s="279">
        <f>AD110-AD111</f>
        <v>72972.8741753254</v>
      </c>
      <c r="AE112" s="238"/>
      <c r="AG112" s="223" t="s">
        <v>121</v>
      </c>
      <c r="AH112" s="347"/>
      <c r="AI112" s="347"/>
      <c r="AJ112" s="347"/>
      <c r="AK112" s="347"/>
      <c r="AL112" s="347"/>
      <c r="AM112" s="367">
        <f>ROUND(+AL110/AL111,2)</f>
        <v>0.81</v>
      </c>
    </row>
    <row r="113" spans="1:39" ht="17.25">
      <c r="A113" s="223" t="s">
        <v>118</v>
      </c>
      <c r="B113" s="347"/>
      <c r="C113" s="347"/>
      <c r="D113" s="347"/>
      <c r="E113" s="347"/>
      <c r="F113" s="366">
        <f>+F105</f>
        <v>224019</v>
      </c>
      <c r="G113" s="238"/>
      <c r="I113" s="223" t="s">
        <v>118</v>
      </c>
      <c r="J113" s="347"/>
      <c r="K113" s="347"/>
      <c r="L113" s="347"/>
      <c r="M113" s="347"/>
      <c r="N113" s="366">
        <f>+N105</f>
        <v>221875</v>
      </c>
      <c r="O113" s="238"/>
      <c r="Q113" s="223" t="s">
        <v>118</v>
      </c>
      <c r="R113" s="219"/>
      <c r="S113" s="219"/>
      <c r="T113" s="219"/>
      <c r="U113" s="219"/>
      <c r="V113" s="241">
        <f>+V105</f>
        <v>216960</v>
      </c>
      <c r="W113" s="238"/>
      <c r="Y113" s="223" t="s">
        <v>118</v>
      </c>
      <c r="Z113" s="347"/>
      <c r="AA113" s="347"/>
      <c r="AB113" s="347"/>
      <c r="AC113" s="347"/>
      <c r="AD113" s="366">
        <f>+AD105</f>
        <v>212715</v>
      </c>
      <c r="AE113" s="238"/>
      <c r="AG113" s="216" t="s">
        <v>122</v>
      </c>
      <c r="AH113" s="345"/>
      <c r="AI113" s="347"/>
      <c r="AJ113" s="347"/>
      <c r="AK113" s="347"/>
      <c r="AL113" s="347"/>
      <c r="AM113" s="246">
        <f>SUM(AM107:AM112)</f>
        <v>-0.29000000000000004</v>
      </c>
    </row>
    <row r="114" spans="1:39" ht="17.25">
      <c r="A114" s="223" t="s">
        <v>121</v>
      </c>
      <c r="B114" s="347"/>
      <c r="C114" s="347"/>
      <c r="D114" s="347"/>
      <c r="E114" s="347"/>
      <c r="F114" s="347"/>
      <c r="G114" s="367">
        <f>ROUND(+F110/F113,2)</f>
        <v>1.58</v>
      </c>
      <c r="I114" s="223" t="s">
        <v>121</v>
      </c>
      <c r="J114" s="347"/>
      <c r="K114" s="347"/>
      <c r="L114" s="347"/>
      <c r="M114" s="347"/>
      <c r="N114" s="347"/>
      <c r="O114" s="367">
        <f>ROUND(+N110/N113,2)</f>
        <v>1.7</v>
      </c>
      <c r="Q114" s="223" t="s">
        <v>121</v>
      </c>
      <c r="R114" s="219"/>
      <c r="S114" s="219"/>
      <c r="T114" s="219"/>
      <c r="U114" s="219"/>
      <c r="V114" s="219"/>
      <c r="W114" s="367">
        <f>ROUND(+V110/V113,2)</f>
        <v>0.3</v>
      </c>
      <c r="Y114" s="223" t="s">
        <v>121</v>
      </c>
      <c r="Z114" s="347"/>
      <c r="AA114" s="347"/>
      <c r="AB114" s="347"/>
      <c r="AC114" s="347"/>
      <c r="AD114" s="347"/>
      <c r="AE114" s="367">
        <f>ROUND(+AD110/AD113,2)</f>
        <v>0.69</v>
      </c>
      <c r="AG114" s="216"/>
      <c r="AH114" s="345"/>
      <c r="AI114" s="347"/>
      <c r="AJ114" s="347"/>
      <c r="AK114" s="347"/>
      <c r="AL114" s="347"/>
      <c r="AM114" s="246"/>
    </row>
    <row r="115" spans="1:39" ht="18">
      <c r="A115" s="216" t="str">
        <f>+A76</f>
        <v>Residential Commodity Rebate (charge)</v>
      </c>
      <c r="B115" s="345"/>
      <c r="C115" s="347"/>
      <c r="D115" s="347"/>
      <c r="E115" s="347"/>
      <c r="F115" s="347"/>
      <c r="G115" s="368">
        <f>SUM(G107:G114)</f>
        <v>1.0191494788310229</v>
      </c>
      <c r="I115" s="216" t="str">
        <f>+I76</f>
        <v>Residential Commodity Rebate (charge)</v>
      </c>
      <c r="J115" s="345"/>
      <c r="K115" s="347"/>
      <c r="L115" s="347"/>
      <c r="M115" s="347"/>
      <c r="N115" s="347"/>
      <c r="O115" s="368">
        <f>SUM(O107:O114)</f>
        <v>2.1548686741891037</v>
      </c>
      <c r="Q115" s="216" t="str">
        <f>+Q76</f>
        <v>Residential Commodity Rebate (charge)</v>
      </c>
      <c r="R115" s="217"/>
      <c r="S115" s="219"/>
      <c r="T115" s="219"/>
      <c r="U115" s="219"/>
      <c r="V115" s="219"/>
      <c r="W115" s="368">
        <f>SUM(W107:W114)</f>
        <v>-0.26979446287107017</v>
      </c>
      <c r="Y115" s="216" t="s">
        <v>122</v>
      </c>
      <c r="Z115" s="345"/>
      <c r="AA115" s="347"/>
      <c r="AB115" s="347"/>
      <c r="AC115" s="347"/>
      <c r="AD115" s="347"/>
      <c r="AE115" s="368">
        <f>SUM(AE107:AE114)</f>
        <v>-0.12666793966885437</v>
      </c>
      <c r="AG115" s="231" t="s">
        <v>123</v>
      </c>
      <c r="AH115" s="345"/>
      <c r="AI115" s="347"/>
      <c r="AJ115" s="347"/>
      <c r="AK115" s="369">
        <f>+AI94/12*0.5</f>
        <v>8714.4583333333339</v>
      </c>
      <c r="AL115" s="347"/>
      <c r="AM115" s="246">
        <f>ROUND(-AK115/AI94*2,2)</f>
        <v>-0.08</v>
      </c>
    </row>
    <row r="116" spans="1:39" ht="15.75">
      <c r="A116" s="216"/>
      <c r="B116" s="345"/>
      <c r="C116" s="347"/>
      <c r="D116" s="347"/>
      <c r="E116" s="347"/>
      <c r="F116" s="347"/>
      <c r="G116" s="246"/>
      <c r="I116" s="216"/>
      <c r="J116" s="345"/>
      <c r="K116" s="347"/>
      <c r="L116" s="347"/>
      <c r="M116" s="347"/>
      <c r="N116" s="347"/>
      <c r="O116" s="246"/>
      <c r="Q116" s="216"/>
      <c r="R116" s="217"/>
      <c r="S116" s="219"/>
      <c r="T116" s="219"/>
      <c r="U116" s="219"/>
      <c r="V116" s="219"/>
      <c r="W116" s="246"/>
      <c r="Y116" s="216"/>
      <c r="Z116" s="345"/>
      <c r="AA116" s="347"/>
      <c r="AB116" s="347"/>
      <c r="AC116" s="347"/>
      <c r="AD116" s="347"/>
      <c r="AE116" s="246"/>
      <c r="AG116" s="216"/>
      <c r="AH116" s="345"/>
      <c r="AI116" s="347"/>
      <c r="AJ116" s="347"/>
      <c r="AK116" s="347"/>
      <c r="AL116" s="347"/>
      <c r="AM116" s="246"/>
    </row>
    <row r="117" spans="1:39" ht="20.25">
      <c r="A117" s="231"/>
      <c r="B117" s="347"/>
      <c r="C117" s="347"/>
      <c r="D117" s="347"/>
      <c r="E117" s="370"/>
      <c r="F117" s="347"/>
      <c r="G117" s="371"/>
      <c r="I117" s="231"/>
      <c r="J117" s="347"/>
      <c r="K117" s="347"/>
      <c r="L117" s="347"/>
      <c r="M117" s="370"/>
      <c r="N117" s="347"/>
      <c r="O117" s="371"/>
      <c r="Q117" s="231"/>
      <c r="R117" s="219"/>
      <c r="S117" s="219"/>
      <c r="T117" s="219"/>
      <c r="U117" s="247"/>
      <c r="V117" s="219"/>
      <c r="W117" s="371"/>
      <c r="Y117" s="231"/>
      <c r="Z117" s="347"/>
      <c r="AA117" s="347"/>
      <c r="AB117" s="347"/>
      <c r="AC117" s="247"/>
      <c r="AD117" s="347"/>
      <c r="AE117" s="371"/>
      <c r="AG117" s="231" t="s">
        <v>124</v>
      </c>
      <c r="AH117" s="347"/>
      <c r="AI117" s="347"/>
      <c r="AJ117" s="347"/>
      <c r="AK117" s="370">
        <v>0.5</v>
      </c>
      <c r="AL117" s="347"/>
      <c r="AM117" s="371">
        <f>-AK117*AM112</f>
        <v>-0.40500000000000003</v>
      </c>
    </row>
    <row r="118" spans="1:39" ht="20.25">
      <c r="A118" s="231"/>
      <c r="B118" s="347"/>
      <c r="C118" s="347"/>
      <c r="D118" s="347"/>
      <c r="E118" s="372"/>
      <c r="F118" s="347"/>
      <c r="G118" s="371"/>
      <c r="I118" s="231"/>
      <c r="J118" s="347"/>
      <c r="K118" s="347"/>
      <c r="L118" s="347"/>
      <c r="M118" s="372"/>
      <c r="N118" s="347"/>
      <c r="O118" s="371"/>
      <c r="Q118" s="231"/>
      <c r="R118" s="219"/>
      <c r="S118" s="219"/>
      <c r="T118" s="219"/>
      <c r="U118" s="250"/>
      <c r="V118" s="219"/>
      <c r="W118" s="371"/>
      <c r="Y118" s="231"/>
      <c r="Z118" s="347"/>
      <c r="AA118" s="347"/>
      <c r="AB118" s="347"/>
      <c r="AC118" s="250"/>
      <c r="AD118" s="347"/>
      <c r="AE118" s="371"/>
      <c r="AG118" s="231"/>
      <c r="AH118" s="347"/>
      <c r="AI118" s="347"/>
      <c r="AJ118" s="347"/>
      <c r="AK118" s="372"/>
      <c r="AL118" s="347"/>
      <c r="AM118" s="371"/>
    </row>
    <row r="119" spans="1:39" ht="18">
      <c r="A119" s="216"/>
      <c r="B119" s="347"/>
      <c r="C119" s="347"/>
      <c r="D119" s="347"/>
      <c r="E119" s="372"/>
      <c r="F119" s="347"/>
      <c r="G119" s="368"/>
      <c r="I119" s="216"/>
      <c r="J119" s="347"/>
      <c r="K119" s="347"/>
      <c r="L119" s="347"/>
      <c r="M119" s="372"/>
      <c r="N119" s="347"/>
      <c r="O119" s="368"/>
      <c r="Q119" s="216"/>
      <c r="R119" s="219"/>
      <c r="S119" s="219"/>
      <c r="T119" s="219"/>
      <c r="U119" s="250"/>
      <c r="V119" s="219"/>
      <c r="W119" s="368"/>
      <c r="Y119" s="216"/>
      <c r="Z119" s="347"/>
      <c r="AA119" s="347"/>
      <c r="AB119" s="347"/>
      <c r="AC119" s="250"/>
      <c r="AD119" s="347"/>
      <c r="AE119" s="368"/>
      <c r="AG119" s="216" t="s">
        <v>146</v>
      </c>
      <c r="AH119" s="347"/>
      <c r="AI119" s="347"/>
      <c r="AJ119" s="347"/>
      <c r="AK119" s="372"/>
      <c r="AL119" s="347"/>
      <c r="AM119" s="368">
        <f>+AM113+AM117+AM115</f>
        <v>-0.77500000000000002</v>
      </c>
    </row>
    <row r="120" spans="1:39" ht="13.5" thickBot="1">
      <c r="A120" s="252"/>
      <c r="B120" s="253"/>
      <c r="C120" s="253"/>
      <c r="D120" s="253"/>
      <c r="E120" s="253"/>
      <c r="F120" s="253"/>
      <c r="G120" s="254"/>
      <c r="I120" s="252"/>
      <c r="J120" s="253"/>
      <c r="K120" s="253"/>
      <c r="L120" s="253"/>
      <c r="M120" s="253"/>
      <c r="N120" s="253"/>
      <c r="O120" s="254"/>
      <c r="Q120" s="252"/>
      <c r="R120" s="253"/>
      <c r="S120" s="253"/>
      <c r="T120" s="253"/>
      <c r="U120" s="253"/>
      <c r="V120" s="253"/>
      <c r="W120" s="254"/>
      <c r="Y120" s="252"/>
      <c r="Z120" s="253"/>
      <c r="AA120" s="253"/>
      <c r="AB120" s="253"/>
      <c r="AC120" s="253"/>
      <c r="AD120" s="253"/>
      <c r="AE120" s="254"/>
      <c r="AG120" s="252"/>
      <c r="AH120" s="253"/>
      <c r="AI120" s="253"/>
      <c r="AJ120" s="253"/>
      <c r="AK120" s="253"/>
      <c r="AL120" s="253"/>
      <c r="AM120" s="254"/>
    </row>
    <row r="126" spans="1:39" ht="81" customHeight="1">
      <c r="A126" s="460" t="s">
        <v>250</v>
      </c>
      <c r="B126" s="461"/>
      <c r="C126" s="461"/>
      <c r="D126" s="461"/>
      <c r="E126" s="461"/>
      <c r="F126" s="461"/>
      <c r="G126" s="461"/>
      <c r="I126" s="460" t="s">
        <v>250</v>
      </c>
      <c r="J126" s="461"/>
      <c r="K126" s="461"/>
      <c r="L126" s="461"/>
      <c r="M126" s="461"/>
      <c r="N126" s="461"/>
      <c r="O126" s="461"/>
    </row>
  </sheetData>
  <mergeCells count="21">
    <mergeCell ref="A4:C4"/>
    <mergeCell ref="A6:G6"/>
    <mergeCell ref="A48:G48"/>
    <mergeCell ref="A87:G87"/>
    <mergeCell ref="A126:G126"/>
    <mergeCell ref="I126:O126"/>
    <mergeCell ref="Q87:W87"/>
    <mergeCell ref="Y87:AE87"/>
    <mergeCell ref="AG87:AM87"/>
    <mergeCell ref="I4:K4"/>
    <mergeCell ref="I6:O6"/>
    <mergeCell ref="I48:O48"/>
    <mergeCell ref="I87:O87"/>
    <mergeCell ref="Q4:S4"/>
    <mergeCell ref="Y4:AA4"/>
    <mergeCell ref="Q6:W6"/>
    <mergeCell ref="Y6:AE6"/>
    <mergeCell ref="AG6:AM6"/>
    <mergeCell ref="Q48:W48"/>
    <mergeCell ref="Y48:AE48"/>
    <mergeCell ref="AG48:AM48"/>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A165"/>
  <sheetViews>
    <sheetView workbookViewId="0">
      <pane xSplit="2" ySplit="6" topLeftCell="C7" activePane="bottomRight" state="frozen"/>
      <selection pane="topRight" activeCell="C1" sqref="C1"/>
      <selection pane="bottomLeft" activeCell="A7" sqref="A7"/>
      <selection pane="bottomRight" activeCell="D7" sqref="D7"/>
    </sheetView>
  </sheetViews>
  <sheetFormatPr defaultRowHeight="12.75"/>
  <cols>
    <col min="2" max="2" width="21.85546875" customWidth="1"/>
    <col min="3" max="3" width="14" bestFit="1" customWidth="1"/>
    <col min="4" max="4" width="12.28515625" bestFit="1" customWidth="1"/>
    <col min="5" max="5" width="13.28515625" customWidth="1"/>
    <col min="6" max="6" width="5.28515625" customWidth="1"/>
    <col min="7" max="7" width="12.85546875" bestFit="1" customWidth="1"/>
    <col min="8" max="8" width="11.85546875" bestFit="1" customWidth="1"/>
    <col min="9" max="9" width="3.7109375" customWidth="1"/>
    <col min="10" max="10" width="12.85546875" bestFit="1" customWidth="1"/>
    <col min="11" max="11" width="3.7109375" customWidth="1"/>
    <col min="12" max="12" width="12.7109375" bestFit="1" customWidth="1"/>
    <col min="13" max="13" width="2.5703125" customWidth="1"/>
    <col min="14" max="14" width="10.42578125" bestFit="1" customWidth="1"/>
    <col min="15" max="15" width="11.140625" bestFit="1" customWidth="1"/>
    <col min="16" max="16" width="10.42578125" bestFit="1" customWidth="1"/>
    <col min="17" max="17" width="2.5703125" customWidth="1"/>
    <col min="18" max="20" width="12.85546875" bestFit="1" customWidth="1"/>
    <col min="21" max="21" width="3" customWidth="1"/>
    <col min="22" max="22" width="8.85546875" bestFit="1" customWidth="1"/>
    <col min="23" max="23" width="2.7109375" customWidth="1"/>
    <col min="24" max="24" width="8.85546875" bestFit="1" customWidth="1"/>
    <col min="25" max="25" width="12.5703125" customWidth="1"/>
    <col min="26" max="26" width="11.42578125" customWidth="1"/>
    <col min="27" max="27" width="12.28515625" customWidth="1"/>
  </cols>
  <sheetData>
    <row r="1" spans="1:24" ht="20.25">
      <c r="A1" s="67" t="s">
        <v>80</v>
      </c>
      <c r="B1" s="55"/>
      <c r="C1" s="55"/>
      <c r="D1" s="55"/>
      <c r="E1" s="55"/>
      <c r="F1" s="55"/>
      <c r="G1" s="55"/>
      <c r="H1" s="55"/>
      <c r="I1" s="55"/>
      <c r="J1" s="55"/>
    </row>
    <row r="2" spans="1:24" ht="15.75">
      <c r="A2" s="68"/>
      <c r="B2" s="55"/>
      <c r="C2" s="55"/>
      <c r="D2" s="55"/>
      <c r="E2" s="55"/>
      <c r="F2" s="55"/>
      <c r="G2" s="55"/>
      <c r="H2" s="55"/>
      <c r="I2" s="55"/>
      <c r="J2" s="55"/>
    </row>
    <row r="3" spans="1:24" ht="15">
      <c r="A3" s="56" t="s">
        <v>81</v>
      </c>
      <c r="B3" s="55"/>
      <c r="C3" s="55"/>
      <c r="D3" s="55"/>
      <c r="E3" s="55"/>
      <c r="F3" s="55"/>
      <c r="G3" s="55"/>
      <c r="H3" s="55"/>
      <c r="I3" s="55"/>
      <c r="J3" s="55"/>
      <c r="R3" s="13" t="s">
        <v>82</v>
      </c>
      <c r="S3" s="13" t="s">
        <v>31</v>
      </c>
      <c r="V3" s="99" t="s">
        <v>195</v>
      </c>
      <c r="X3" s="99" t="s">
        <v>196</v>
      </c>
    </row>
    <row r="4" spans="1:24" ht="15">
      <c r="A4" s="55"/>
      <c r="B4" s="55"/>
      <c r="C4" s="470" t="s">
        <v>83</v>
      </c>
      <c r="D4" s="470"/>
      <c r="E4" s="470"/>
      <c r="F4" s="55"/>
      <c r="G4" s="470" t="s">
        <v>84</v>
      </c>
      <c r="H4" s="470"/>
      <c r="I4" s="470"/>
      <c r="J4" s="470"/>
      <c r="L4" s="13" t="s">
        <v>43</v>
      </c>
      <c r="N4" s="13" t="s">
        <v>82</v>
      </c>
      <c r="O4" s="13" t="s">
        <v>31</v>
      </c>
      <c r="R4" s="13" t="s">
        <v>15</v>
      </c>
      <c r="S4" s="13" t="s">
        <v>15</v>
      </c>
      <c r="V4" s="13" t="s">
        <v>43</v>
      </c>
      <c r="X4" s="13" t="s">
        <v>43</v>
      </c>
    </row>
    <row r="5" spans="1:24" ht="15">
      <c r="A5" s="55"/>
      <c r="B5" s="55"/>
      <c r="C5" s="13" t="s">
        <v>82</v>
      </c>
      <c r="D5" s="13" t="s">
        <v>31</v>
      </c>
      <c r="E5" s="55"/>
      <c r="F5" s="55"/>
      <c r="G5" s="13" t="s">
        <v>82</v>
      </c>
      <c r="H5" s="13" t="s">
        <v>31</v>
      </c>
      <c r="I5" s="13"/>
      <c r="J5" s="55"/>
      <c r="L5" s="13" t="s">
        <v>85</v>
      </c>
      <c r="N5" s="13" t="s">
        <v>15</v>
      </c>
      <c r="O5" s="13" t="s">
        <v>15</v>
      </c>
      <c r="P5" s="13" t="s">
        <v>71</v>
      </c>
      <c r="R5" s="13" t="s">
        <v>43</v>
      </c>
      <c r="S5" s="13" t="s">
        <v>43</v>
      </c>
      <c r="T5" s="13" t="s">
        <v>43</v>
      </c>
      <c r="V5" s="13" t="s">
        <v>85</v>
      </c>
      <c r="X5" s="13" t="s">
        <v>85</v>
      </c>
    </row>
    <row r="6" spans="1:24" ht="15">
      <c r="A6" s="56"/>
      <c r="B6" s="56"/>
      <c r="C6" s="14" t="s">
        <v>15</v>
      </c>
      <c r="D6" s="14" t="s">
        <v>15</v>
      </c>
      <c r="E6" s="14" t="s">
        <v>71</v>
      </c>
      <c r="F6" s="56"/>
      <c r="G6" s="14" t="s">
        <v>15</v>
      </c>
      <c r="H6" s="14" t="s">
        <v>15</v>
      </c>
      <c r="I6" s="14"/>
      <c r="J6" s="14" t="s">
        <v>71</v>
      </c>
      <c r="L6" s="14" t="s">
        <v>86</v>
      </c>
      <c r="M6" s="14"/>
      <c r="N6" s="14" t="s">
        <v>87</v>
      </c>
      <c r="O6" s="14" t="s">
        <v>87</v>
      </c>
      <c r="P6" s="14" t="s">
        <v>87</v>
      </c>
      <c r="R6" s="56" t="s">
        <v>88</v>
      </c>
      <c r="S6" s="56" t="s">
        <v>88</v>
      </c>
      <c r="T6" s="56" t="s">
        <v>88</v>
      </c>
      <c r="V6" s="14" t="s">
        <v>86</v>
      </c>
      <c r="X6" s="14" t="s">
        <v>86</v>
      </c>
    </row>
    <row r="7" spans="1:24">
      <c r="A7" s="286" t="s">
        <v>267</v>
      </c>
      <c r="C7" s="88">
        <f>+'KC Tonnage - Enspire'!T3+'KC Tonnage - Enspire'!T4</f>
        <v>3679.1899999999996</v>
      </c>
      <c r="D7" s="88">
        <f>+'SC Tonnage - Enspire'!R3+'SC Tonnage - Enspire'!R4</f>
        <v>3424.65</v>
      </c>
      <c r="E7" s="88">
        <f t="shared" ref="E7:E30" si="0">+D7+C7</f>
        <v>7103.84</v>
      </c>
      <c r="F7" s="11"/>
      <c r="G7" s="138">
        <f>+'Prices - Recy. Acct. Analysis'!M75</f>
        <v>367199.96638699848</v>
      </c>
      <c r="H7" s="138">
        <f>+'Prices - Recy. Acct. Analysis'!M172</f>
        <v>339143.71357886272</v>
      </c>
      <c r="I7" s="138"/>
      <c r="J7" s="138">
        <f>+H7+G7</f>
        <v>706343.67996586114</v>
      </c>
      <c r="K7" s="11"/>
      <c r="L7" s="139">
        <f t="shared" ref="L7:L30" si="1">+J7/E7</f>
        <v>99.431248446736006</v>
      </c>
      <c r="M7" s="11"/>
      <c r="N7" s="57">
        <f>+'Customer Counts - Enspire'!D6+'Customer Counts - Enspire'!F6+'Customer Counts - Enspire'!O6+'Customer Counts - Enspire'!Q6</f>
        <v>131208</v>
      </c>
      <c r="O7" s="132">
        <f>+'Customer Counts - Enspire'!G6+'Customer Counts - Enspire'!H6+'Customer Counts - Enspire'!R6+'Customer Counts - Enspire'!S6</f>
        <v>144507</v>
      </c>
      <c r="P7" s="57">
        <f>+O7+N7</f>
        <v>275715</v>
      </c>
      <c r="Q7" s="11"/>
      <c r="R7" s="88">
        <f t="shared" ref="R7:R12" si="2">+C7*2000/N7</f>
        <v>56.081793793061394</v>
      </c>
      <c r="S7" s="88">
        <f t="shared" ref="S7:T9" si="3">+D7*2000/O7</f>
        <v>47.397703917457285</v>
      </c>
      <c r="T7" s="88">
        <f t="shared" si="3"/>
        <v>51.530312097637051</v>
      </c>
      <c r="V7" s="210">
        <f>+G7/C7</f>
        <v>99.804567414838189</v>
      </c>
      <c r="W7" s="210"/>
      <c r="X7" s="210">
        <f>+H7/D7</f>
        <v>99.030182231428824</v>
      </c>
    </row>
    <row r="8" spans="1:24">
      <c r="A8" t="s">
        <v>47</v>
      </c>
      <c r="C8" s="88">
        <f>+'KC Tonnage - Enspire'!T7+'KC Tonnage - Enspire'!T8</f>
        <v>4357.8600000000006</v>
      </c>
      <c r="D8" s="88">
        <f>+'SC Tonnage - Enspire'!R7+'SC Tonnage - Enspire'!R8</f>
        <v>3983.2599999999998</v>
      </c>
      <c r="E8" s="88">
        <f t="shared" si="0"/>
        <v>8341.1200000000008</v>
      </c>
      <c r="F8" s="11"/>
      <c r="G8" s="138">
        <f>+'Prices - Recy. Acct. Analysis'!M79</f>
        <v>398295.05675159994</v>
      </c>
      <c r="H8" s="138">
        <f>+'Prices - Recy. Acct. Analysis'!M176</f>
        <v>361568.36953007238</v>
      </c>
      <c r="I8" s="138"/>
      <c r="J8" s="138">
        <f t="shared" ref="J8:J30" si="4">+H8+G8</f>
        <v>759863.42628167232</v>
      </c>
      <c r="K8" s="11"/>
      <c r="L8" s="139">
        <f t="shared" si="1"/>
        <v>91.098488725935155</v>
      </c>
      <c r="M8" s="11"/>
      <c r="N8" s="57">
        <f>+'Customer Counts - Enspire'!D7+'Customer Counts - Enspire'!F7+'Customer Counts - Enspire'!O7+'Customer Counts - Enspire'!Q7</f>
        <v>131362</v>
      </c>
      <c r="O8" s="132">
        <f>+'Customer Counts - Enspire'!G7+'Customer Counts - Enspire'!H7+'Customer Counts - Enspire'!R7+'Customer Counts - Enspire'!S7</f>
        <v>144535</v>
      </c>
      <c r="P8" s="57">
        <f t="shared" ref="P8:P29" si="5">+O8+N8</f>
        <v>275897</v>
      </c>
      <c r="Q8" s="11"/>
      <c r="R8" s="88">
        <f t="shared" si="2"/>
        <v>66.348868013580812</v>
      </c>
      <c r="S8" s="88">
        <f t="shared" si="3"/>
        <v>55.118275850140101</v>
      </c>
      <c r="T8" s="88">
        <f t="shared" si="3"/>
        <v>60.465463560676639</v>
      </c>
      <c r="V8" s="210">
        <f t="shared" ref="V8:V13" si="6">+G8/C8</f>
        <v>91.396937201195058</v>
      </c>
      <c r="W8" s="210"/>
      <c r="X8" s="210">
        <f t="shared" ref="X8:X13" si="7">+H8/D8</f>
        <v>90.771973089899333</v>
      </c>
    </row>
    <row r="9" spans="1:24">
      <c r="A9" t="s">
        <v>64</v>
      </c>
      <c r="C9" s="88">
        <f>+'KC Tonnage - Enspire'!T11+'KC Tonnage - Enspire'!T12</f>
        <v>3593.9500000000007</v>
      </c>
      <c r="D9" s="88">
        <f>+'SC Tonnage - Enspire'!R11+'SC Tonnage - Enspire'!R12</f>
        <v>3118.39</v>
      </c>
      <c r="E9" s="88">
        <f t="shared" si="0"/>
        <v>6712.34</v>
      </c>
      <c r="F9" s="11"/>
      <c r="G9" s="138">
        <f>+'Prices - Recy. Acct. Analysis'!M83</f>
        <v>243865.28270026992</v>
      </c>
      <c r="H9" s="138">
        <f>+'Prices - Recy. Acct. Analysis'!M180</f>
        <v>209054.27105152787</v>
      </c>
      <c r="I9" s="138"/>
      <c r="J9" s="138">
        <f t="shared" si="4"/>
        <v>452919.55375179776</v>
      </c>
      <c r="K9" s="11"/>
      <c r="L9" s="139">
        <f t="shared" si="1"/>
        <v>67.475657334371888</v>
      </c>
      <c r="M9" s="11"/>
      <c r="N9" s="57">
        <f>+'Customer Counts - Enspire'!D8+'Customer Counts - Enspire'!F8+'Customer Counts - Enspire'!O8+'Customer Counts - Enspire'!Q8</f>
        <v>131390</v>
      </c>
      <c r="O9" s="132">
        <f>+'Customer Counts - Enspire'!G8+'Customer Counts - Enspire'!H8+'Customer Counts - Enspire'!R8+'Customer Counts - Enspire'!S8</f>
        <v>145526</v>
      </c>
      <c r="P9" s="57">
        <f t="shared" si="5"/>
        <v>276916</v>
      </c>
      <c r="Q9" s="11"/>
      <c r="R9" s="88">
        <f t="shared" si="2"/>
        <v>54.706598675698316</v>
      </c>
      <c r="S9" s="88">
        <f t="shared" si="3"/>
        <v>42.85680909253329</v>
      </c>
      <c r="T9" s="88">
        <f t="shared" si="3"/>
        <v>48.479250025278425</v>
      </c>
      <c r="V9" s="210">
        <f t="shared" si="6"/>
        <v>67.854389376666305</v>
      </c>
      <c r="W9" s="210"/>
      <c r="X9" s="210">
        <f t="shared" si="7"/>
        <v>67.039167984609975</v>
      </c>
    </row>
    <row r="10" spans="1:24">
      <c r="A10" s="286" t="s">
        <v>268</v>
      </c>
      <c r="C10" s="88">
        <f>+'KC Tonnage - Enspire'!T15+'KC Tonnage - Enspire'!T16</f>
        <v>4765.7800000000007</v>
      </c>
      <c r="D10" s="88">
        <f>+'SC Tonnage - Enspire'!R15+'SC Tonnage - Enspire'!R16</f>
        <v>4357.5899999999992</v>
      </c>
      <c r="E10" s="88">
        <f t="shared" si="0"/>
        <v>9123.369999999999</v>
      </c>
      <c r="F10" s="11"/>
      <c r="G10" s="138">
        <f>+'Prices - Recy. Acct. Analysis'!M87</f>
        <v>300559.76985814673</v>
      </c>
      <c r="H10" s="138">
        <f>+'Prices - Recy. Acct. Analysis'!M184</f>
        <v>272499.84468454233</v>
      </c>
      <c r="I10" s="138"/>
      <c r="J10" s="138">
        <f t="shared" si="4"/>
        <v>573059.61454268906</v>
      </c>
      <c r="K10" s="11"/>
      <c r="L10" s="139">
        <f t="shared" si="1"/>
        <v>62.81227381358962</v>
      </c>
      <c r="M10" s="11"/>
      <c r="N10" s="57">
        <f>+'Customer Counts - Enspire'!D9+'Customer Counts - Enspire'!F9+'Customer Counts - Enspire'!O9+'Customer Counts - Enspire'!Q9</f>
        <v>131357</v>
      </c>
      <c r="O10" s="132">
        <f>+'Customer Counts - Enspire'!G9+'Customer Counts - Enspire'!H9+'Customer Counts - Enspire'!R9+'Customer Counts - Enspire'!S9</f>
        <v>145530</v>
      </c>
      <c r="P10" s="57">
        <f t="shared" si="5"/>
        <v>276887</v>
      </c>
      <c r="Q10" s="11"/>
      <c r="R10" s="88">
        <f t="shared" si="2"/>
        <v>72.562254010064194</v>
      </c>
      <c r="S10" s="88">
        <f t="shared" ref="S10:T12" si="8">+D10*2000/O10</f>
        <v>59.88579674293959</v>
      </c>
      <c r="T10" s="88">
        <f t="shared" si="8"/>
        <v>65.899590807802454</v>
      </c>
      <c r="V10" s="210">
        <f t="shared" si="6"/>
        <v>63.066228373560399</v>
      </c>
      <c r="W10" s="210"/>
      <c r="X10" s="210">
        <f t="shared" si="7"/>
        <v>62.534530482340557</v>
      </c>
    </row>
    <row r="11" spans="1:24">
      <c r="A11" t="s">
        <v>75</v>
      </c>
      <c r="C11" s="88">
        <f>+'KC Tonnage - Enspire'!T19+'KC Tonnage - Enspire'!T20</f>
        <v>3559.0000000000005</v>
      </c>
      <c r="D11" s="88">
        <f>+'SC Tonnage - Enspire'!R19+'SC Tonnage - Enspire'!R20</f>
        <v>3279.61</v>
      </c>
      <c r="E11" s="88">
        <f t="shared" si="0"/>
        <v>6838.6100000000006</v>
      </c>
      <c r="F11" s="11"/>
      <c r="G11" s="138">
        <f>+'Prices - Recy. Acct. Analysis'!M91</f>
        <v>240783.32873379879</v>
      </c>
      <c r="H11" s="138">
        <f>+'Prices - Recy. Acct. Analysis'!M188</f>
        <v>220487.38852293033</v>
      </c>
      <c r="I11" s="138"/>
      <c r="J11" s="138">
        <f t="shared" si="4"/>
        <v>461270.71725672914</v>
      </c>
      <c r="K11" s="11"/>
      <c r="L11" s="139">
        <f t="shared" si="1"/>
        <v>67.450946501807991</v>
      </c>
      <c r="M11" s="11"/>
      <c r="N11" s="57">
        <f>+'Customer Counts - Enspire'!D10+'Customer Counts - Enspire'!F10+'Customer Counts - Enspire'!O10+'Customer Counts - Enspire'!Q10</f>
        <v>131562</v>
      </c>
      <c r="O11" s="132">
        <f>+'Customer Counts - Enspire'!G10+'Customer Counts - Enspire'!H10+'Customer Counts - Enspire'!R10+'Customer Counts - Enspire'!S10</f>
        <v>145902</v>
      </c>
      <c r="P11" s="57">
        <f t="shared" si="5"/>
        <v>277464</v>
      </c>
      <c r="Q11" s="11"/>
      <c r="R11" s="88">
        <f t="shared" si="2"/>
        <v>54.103768565391228</v>
      </c>
      <c r="S11" s="88">
        <f t="shared" si="8"/>
        <v>44.95634055736042</v>
      </c>
      <c r="T11" s="88">
        <f t="shared" si="8"/>
        <v>49.293674134302115</v>
      </c>
      <c r="V11" s="210">
        <f t="shared" si="6"/>
        <v>67.654770647316312</v>
      </c>
      <c r="W11" s="210"/>
      <c r="X11" s="210">
        <f t="shared" si="7"/>
        <v>67.229758575846006</v>
      </c>
    </row>
    <row r="12" spans="1:24">
      <c r="A12" t="s">
        <v>76</v>
      </c>
      <c r="C12" s="88">
        <f>+'KC Tonnage - Enspire'!T23+'KC Tonnage - Enspire'!T24</f>
        <v>4145.63</v>
      </c>
      <c r="D12" s="88">
        <f>+'SC Tonnage - Enspire'!R23+'SC Tonnage - Enspire'!R24</f>
        <v>3771.49</v>
      </c>
      <c r="E12" s="88">
        <f t="shared" si="0"/>
        <v>7917.12</v>
      </c>
      <c r="F12" s="11"/>
      <c r="G12" s="138">
        <f>+'Prices - Recy. Acct. Analysis'!M95</f>
        <v>270199.52297013241</v>
      </c>
      <c r="H12" s="138">
        <f>+'Prices - Recy. Acct. Analysis'!M192</f>
        <v>242747.24912715692</v>
      </c>
      <c r="I12" s="138"/>
      <c r="J12" s="138">
        <f t="shared" si="4"/>
        <v>512946.77209728933</v>
      </c>
      <c r="K12" s="11"/>
      <c r="L12" s="139">
        <f t="shared" si="1"/>
        <v>64.789566420275222</v>
      </c>
      <c r="M12" s="11"/>
      <c r="N12" s="57">
        <f>+'Customer Counts - Enspire'!D11+'Customer Counts - Enspire'!F11+'Customer Counts - Enspire'!O11+'Customer Counts - Enspire'!Q11</f>
        <v>131529</v>
      </c>
      <c r="O12" s="132">
        <f>+'Customer Counts - Enspire'!G11+'Customer Counts - Enspire'!H11+'Customer Counts - Enspire'!R11+'Customer Counts - Enspire'!S11</f>
        <v>146118</v>
      </c>
      <c r="P12" s="57">
        <f t="shared" si="5"/>
        <v>277647</v>
      </c>
      <c r="Q12" s="11"/>
      <c r="R12" s="88">
        <f t="shared" si="2"/>
        <v>63.037505036912009</v>
      </c>
      <c r="S12" s="88">
        <f t="shared" si="8"/>
        <v>51.622524261213542</v>
      </c>
      <c r="T12" s="88">
        <f t="shared" si="8"/>
        <v>57.030113777566477</v>
      </c>
      <c r="V12" s="210">
        <f t="shared" si="6"/>
        <v>65.176950902548569</v>
      </c>
      <c r="W12" s="210"/>
      <c r="X12" s="210">
        <f t="shared" si="7"/>
        <v>64.363752555928016</v>
      </c>
    </row>
    <row r="13" spans="1:24">
      <c r="A13" t="s">
        <v>77</v>
      </c>
      <c r="C13" s="88">
        <f>+'KC Tonnage - Enspire'!T27+'KC Tonnage - Enspire'!T28</f>
        <v>3508.0399999999995</v>
      </c>
      <c r="D13" s="88">
        <f>+'SC Tonnage - Enspire'!R27+'SC Tonnage - Enspire'!R28</f>
        <v>3372.05</v>
      </c>
      <c r="E13" s="88">
        <f t="shared" si="0"/>
        <v>6880.09</v>
      </c>
      <c r="F13" s="11"/>
      <c r="G13" s="138">
        <f>+'Prices - Recy. Acct. Analysis'!M99</f>
        <v>230273.90570382591</v>
      </c>
      <c r="H13" s="138">
        <f>+'Prices - Recy. Acct. Analysis'!M196</f>
        <v>217926.31881480868</v>
      </c>
      <c r="I13" s="138"/>
      <c r="J13" s="138">
        <f t="shared" si="4"/>
        <v>448200.22451863461</v>
      </c>
      <c r="K13" s="11"/>
      <c r="L13" s="139">
        <f t="shared" si="1"/>
        <v>65.144529289389325</v>
      </c>
      <c r="M13" s="11"/>
      <c r="N13" s="57">
        <f>+'Customer Counts - Enspire'!D12+'Customer Counts - Enspire'!F12+'Customer Counts - Enspire'!O12+'Customer Counts - Enspire'!Q12</f>
        <v>131473</v>
      </c>
      <c r="O13" s="132">
        <f>+'Customer Counts - Enspire'!G12+'Customer Counts - Enspire'!H12+'Customer Counts - Enspire'!R12+'Customer Counts - Enspire'!S12</f>
        <v>146152</v>
      </c>
      <c r="P13" s="57">
        <f t="shared" si="5"/>
        <v>277625</v>
      </c>
      <c r="Q13" s="11"/>
      <c r="R13" s="88">
        <f t="shared" ref="R13:T14" si="9">+C13*2000/N13</f>
        <v>53.365177641036553</v>
      </c>
      <c r="S13" s="88">
        <f t="shared" si="9"/>
        <v>46.144424982210303</v>
      </c>
      <c r="T13" s="88">
        <f t="shared" si="9"/>
        <v>49.563908149482216</v>
      </c>
      <c r="V13" s="210">
        <f t="shared" si="6"/>
        <v>65.641755995891131</v>
      </c>
      <c r="W13" s="210"/>
      <c r="X13" s="210">
        <f t="shared" si="7"/>
        <v>64.627250134134627</v>
      </c>
    </row>
    <row r="14" spans="1:24">
      <c r="A14" t="s">
        <v>52</v>
      </c>
      <c r="C14" s="88">
        <f>+'KC Tonnage - Enspire'!T31+'KC Tonnage - Enspire'!T32</f>
        <v>3914.1799999999994</v>
      </c>
      <c r="D14" s="88">
        <f>+'SC Tonnage - Enspire'!R31+'SC Tonnage - Enspire'!R32</f>
        <v>3797.1000000000004</v>
      </c>
      <c r="E14" s="88">
        <f t="shared" si="0"/>
        <v>7711.28</v>
      </c>
      <c r="F14" s="11"/>
      <c r="G14" s="138">
        <f>+'Prices - Recy. Acct. Analysis'!M103</f>
        <v>232195.25789647843</v>
      </c>
      <c r="H14" s="138">
        <f>+'Prices - Recy. Acct. Analysis'!M200</f>
        <v>217340.78577686026</v>
      </c>
      <c r="I14" s="138"/>
      <c r="J14" s="138">
        <f t="shared" si="4"/>
        <v>449536.04367333872</v>
      </c>
      <c r="K14" s="11"/>
      <c r="L14" s="139">
        <f t="shared" si="1"/>
        <v>58.29590465828484</v>
      </c>
      <c r="M14" s="11"/>
      <c r="N14" s="57">
        <f>+'Customer Counts - Enspire'!D13+'Customer Counts - Enspire'!F13+'Customer Counts - Enspire'!O13+'Customer Counts - Enspire'!Q13</f>
        <v>131687</v>
      </c>
      <c r="O14" s="132">
        <f>+'Customer Counts - Enspire'!G13+'Customer Counts - Enspire'!H13+'Customer Counts - Enspire'!R13+'Customer Counts - Enspire'!S13</f>
        <v>146429</v>
      </c>
      <c r="P14" s="57">
        <f t="shared" si="5"/>
        <v>278116</v>
      </c>
      <c r="Q14" s="11"/>
      <c r="R14" s="88">
        <f t="shared" si="9"/>
        <v>59.446718354886961</v>
      </c>
      <c r="S14" s="88">
        <f t="shared" si="9"/>
        <v>51.862677475090322</v>
      </c>
      <c r="T14" s="88">
        <f t="shared" si="9"/>
        <v>55.453695580261474</v>
      </c>
      <c r="V14" s="210">
        <f>+G14/C14</f>
        <v>59.321558511994461</v>
      </c>
      <c r="W14" s="210"/>
      <c r="X14" s="210">
        <f>+H14/D14</f>
        <v>57.238625734602785</v>
      </c>
    </row>
    <row r="15" spans="1:24">
      <c r="A15" t="s">
        <v>59</v>
      </c>
      <c r="C15" s="88">
        <f>+'KC Tonnage - Enspire'!T35+'KC Tonnage - Enspire'!T36</f>
        <v>4014.58</v>
      </c>
      <c r="D15" s="88">
        <f>+'SC Tonnage - Enspire'!R35+'SC Tonnage - Enspire'!R36</f>
        <v>3921.97</v>
      </c>
      <c r="E15" s="88">
        <f t="shared" si="0"/>
        <v>7936.5499999999993</v>
      </c>
      <c r="F15" s="11"/>
      <c r="G15" s="138">
        <f>+'Prices - Recy. Acct. Analysis'!M107</f>
        <v>259619.15326022985</v>
      </c>
      <c r="H15" s="138">
        <f>+'Prices - Recy. Acct. Analysis'!M204</f>
        <v>249679.17945299865</v>
      </c>
      <c r="I15" s="138"/>
      <c r="J15" s="138">
        <f t="shared" si="4"/>
        <v>509298.33271322853</v>
      </c>
      <c r="K15" s="11"/>
      <c r="L15" s="139">
        <f t="shared" si="1"/>
        <v>64.171249814242785</v>
      </c>
      <c r="M15" s="11"/>
      <c r="N15" s="57">
        <f>+'Customer Counts - Enspire'!D14+'Customer Counts - Enspire'!F14+'Customer Counts - Enspire'!O14+'Customer Counts - Enspire'!Q14</f>
        <v>131724</v>
      </c>
      <c r="O15" s="132">
        <f>+'Customer Counts - Enspire'!G14+'Customer Counts - Enspire'!H14+'Customer Counts - Enspire'!R14+'Customer Counts - Enspire'!S14</f>
        <v>146449</v>
      </c>
      <c r="P15" s="57">
        <f t="shared" si="5"/>
        <v>278173</v>
      </c>
      <c r="Q15" s="11"/>
      <c r="R15" s="88">
        <f t="shared" ref="R15" si="10">+C15*2000/N15</f>
        <v>60.954419847560047</v>
      </c>
      <c r="S15" s="88">
        <f t="shared" ref="S15" si="11">+D15*2000/O15</f>
        <v>53.560898333208151</v>
      </c>
      <c r="T15" s="88">
        <f t="shared" ref="T15" si="12">+E15*2000/P15</f>
        <v>57.061972225916961</v>
      </c>
      <c r="V15" s="210">
        <f>+G15/C15</f>
        <v>64.669069556523937</v>
      </c>
      <c r="W15" s="210"/>
      <c r="X15" s="210">
        <f>+H15/D15</f>
        <v>63.661674988079632</v>
      </c>
    </row>
    <row r="16" spans="1:24">
      <c r="A16" t="s">
        <v>60</v>
      </c>
      <c r="C16" s="88">
        <f>+'KC Tonnage - Enspire'!T39+'KC Tonnage - Enspire'!T40</f>
        <v>3559.24</v>
      </c>
      <c r="D16" s="88">
        <f>+'SC Tonnage - Enspire'!R39+'SC Tonnage - Enspire'!R40</f>
        <v>3324.6200000000003</v>
      </c>
      <c r="E16" s="88">
        <f t="shared" si="0"/>
        <v>6883.8600000000006</v>
      </c>
      <c r="F16" s="11"/>
      <c r="G16" s="138">
        <f>+'Prices - Recy. Acct. Analysis'!M111</f>
        <v>292069.47952030424</v>
      </c>
      <c r="H16" s="138">
        <f>+'Prices - Recy. Acct. Analysis'!M208</f>
        <v>271178.1668995035</v>
      </c>
      <c r="I16" s="138"/>
      <c r="J16" s="138">
        <f t="shared" si="4"/>
        <v>563247.6464198078</v>
      </c>
      <c r="K16" s="11"/>
      <c r="L16" s="139">
        <f t="shared" si="1"/>
        <v>81.821484809366808</v>
      </c>
      <c r="M16" s="11"/>
      <c r="N16" s="57">
        <f>+'Customer Counts - Enspire'!D15+'Customer Counts - Enspire'!F15+'Customer Counts - Enspire'!O15+'Customer Counts - Enspire'!Q15</f>
        <v>131830</v>
      </c>
      <c r="O16" s="132">
        <f>+'Customer Counts - Enspire'!G15+'Customer Counts - Enspire'!H15+'Customer Counts - Enspire'!R15+'Customer Counts - Enspire'!S15</f>
        <v>146612</v>
      </c>
      <c r="P16" s="57">
        <f t="shared" si="5"/>
        <v>278442</v>
      </c>
      <c r="Q16" s="11"/>
      <c r="R16" s="88">
        <f t="shared" ref="R16" si="13">+C16*2000/N16</f>
        <v>53.997420920882952</v>
      </c>
      <c r="S16" s="88">
        <f t="shared" ref="S16" si="14">+D16*2000/O16</f>
        <v>45.352631435353182</v>
      </c>
      <c r="T16" s="88">
        <f t="shared" ref="T16" si="15">+E16*2000/P16</f>
        <v>49.445557782231134</v>
      </c>
      <c r="V16" s="210">
        <f>+G16/C16</f>
        <v>82.059506951007592</v>
      </c>
      <c r="X16" s="210">
        <f>+H16/D16</f>
        <v>81.56666533303158</v>
      </c>
    </row>
    <row r="17" spans="1:27">
      <c r="A17" t="s">
        <v>61</v>
      </c>
      <c r="C17" s="88">
        <f>+'KC Tonnage - Enspire'!T43+'KC Tonnage - Enspire'!T44</f>
        <v>3875.5200000000004</v>
      </c>
      <c r="D17" s="88">
        <f>+'SC Tonnage - Enspire'!R43+'SC Tonnage - Enspire'!R44</f>
        <v>3616.05</v>
      </c>
      <c r="E17" s="88">
        <f t="shared" si="0"/>
        <v>7491.5700000000006</v>
      </c>
      <c r="F17" s="11"/>
      <c r="G17" s="138">
        <f>+'Prices - Recy. Acct. Analysis'!M115</f>
        <v>230088.56889168097</v>
      </c>
      <c r="H17" s="138">
        <f>+'Prices - Recy. Acct. Analysis'!M212</f>
        <v>209423.88138148407</v>
      </c>
      <c r="I17" s="138"/>
      <c r="J17" s="138">
        <f t="shared" si="4"/>
        <v>439512.45027316501</v>
      </c>
      <c r="K17" s="11"/>
      <c r="L17" s="139">
        <f t="shared" si="1"/>
        <v>58.667602421543812</v>
      </c>
      <c r="M17" s="11"/>
      <c r="N17" s="57">
        <f>+'Customer Counts - Enspire'!D16+'Customer Counts - Enspire'!F16+'Customer Counts - Enspire'!O16+'Customer Counts - Enspire'!Q16</f>
        <v>131993</v>
      </c>
      <c r="O17" s="132">
        <f>+'Customer Counts - Enspire'!G16+'Customer Counts - Enspire'!H16+'Customer Counts - Enspire'!R16+'Customer Counts - Enspire'!S16</f>
        <v>147043</v>
      </c>
      <c r="P17" s="57">
        <f t="shared" si="5"/>
        <v>279036</v>
      </c>
      <c r="Q17" s="11"/>
      <c r="R17" s="88">
        <f t="shared" ref="R17" si="16">+C17*2000/N17</f>
        <v>58.723114104535853</v>
      </c>
      <c r="S17" s="88">
        <f t="shared" ref="S17" si="17">+D17*2000/O17</f>
        <v>49.183572152363595</v>
      </c>
      <c r="T17" s="88">
        <f t="shared" ref="T17" si="18">+E17*2000/P17</f>
        <v>53.696082225949347</v>
      </c>
      <c r="V17" s="210">
        <f>+G17/C17</f>
        <v>59.36972816336413</v>
      </c>
      <c r="X17" s="210">
        <f>+H17/D17</f>
        <v>57.915095582606455</v>
      </c>
    </row>
    <row r="18" spans="1:27" s="22" customFormat="1">
      <c r="A18" s="22" t="s">
        <v>62</v>
      </c>
      <c r="C18" s="133">
        <f>+'KC Tonnage - Enspire'!T47+'KC Tonnage - Enspire'!T48</f>
        <v>3681.75</v>
      </c>
      <c r="D18" s="133">
        <f>+'SC Tonnage - Enspire'!R47+'SC Tonnage - Enspire'!R48</f>
        <v>3379.0099999999998</v>
      </c>
      <c r="E18" s="133">
        <f t="shared" si="0"/>
        <v>7060.76</v>
      </c>
      <c r="F18" s="134"/>
      <c r="G18" s="149">
        <f>+'Prices - Recy. Acct. Analysis'!M119</f>
        <v>109489.18215784134</v>
      </c>
      <c r="H18" s="149">
        <f>+'Prices - Recy. Acct. Analysis'!M216</f>
        <v>97635.986721051348</v>
      </c>
      <c r="I18" s="149"/>
      <c r="J18" s="149">
        <f t="shared" si="4"/>
        <v>207125.16887889267</v>
      </c>
      <c r="K18" s="134"/>
      <c r="L18" s="441">
        <f t="shared" si="1"/>
        <v>29.334684775986247</v>
      </c>
      <c r="M18" s="134"/>
      <c r="N18" s="442">
        <f>+'Customer Counts - Enspire'!D17+'Customer Counts - Enspire'!F17+'Customer Counts - Enspire'!O17+'Customer Counts - Enspire'!Q17</f>
        <v>132045</v>
      </c>
      <c r="O18" s="137">
        <f>+'Customer Counts - Enspire'!G17+'Customer Counts - Enspire'!H17+'Customer Counts - Enspire'!R17+'Customer Counts - Enspire'!S17</f>
        <v>146873</v>
      </c>
      <c r="P18" s="442">
        <f t="shared" si="5"/>
        <v>278918</v>
      </c>
      <c r="Q18" s="134"/>
      <c r="R18" s="133">
        <f t="shared" ref="R18" si="19">+C18*2000/N18</f>
        <v>55.765080086334201</v>
      </c>
      <c r="S18" s="133">
        <f t="shared" ref="S18" si="20">+D18*2000/O18</f>
        <v>46.01267761943992</v>
      </c>
      <c r="T18" s="133">
        <f t="shared" ref="T18" si="21">+E18*2000/P18</f>
        <v>50.629647423257012</v>
      </c>
      <c r="V18" s="443">
        <f>+G18/C18</f>
        <v>29.738353271634775</v>
      </c>
      <c r="X18" s="443">
        <f>+H18/D18</f>
        <v>28.894849888296086</v>
      </c>
    </row>
    <row r="19" spans="1:27" ht="15">
      <c r="A19" t="s">
        <v>46</v>
      </c>
      <c r="C19" s="88">
        <f>+'KC Tonnage - Enspire'!T51+'KC Tonnage - Enspire'!T52</f>
        <v>0</v>
      </c>
      <c r="D19" s="88">
        <f>+'SC Tonnage - Enspire'!R51+'SC Tonnage - Enspire'!R52</f>
        <v>0</v>
      </c>
      <c r="E19" s="88">
        <f t="shared" si="0"/>
        <v>0</v>
      </c>
      <c r="F19" s="140"/>
      <c r="G19" s="138"/>
      <c r="H19" s="138"/>
      <c r="I19" s="141"/>
      <c r="J19" s="138">
        <f t="shared" si="4"/>
        <v>0</v>
      </c>
      <c r="K19" s="11"/>
      <c r="L19" s="139" t="e">
        <f t="shared" si="1"/>
        <v>#DIV/0!</v>
      </c>
      <c r="M19" s="11"/>
      <c r="N19" s="57">
        <f>+'Customer Counts - Enspire'!D18+'Customer Counts - Enspire'!F18+'Customer Counts - Enspire'!O18+'Customer Counts - Enspire'!Q18</f>
        <v>0</v>
      </c>
      <c r="O19" s="132">
        <f>+'Customer Counts - Enspire'!G18+'Customer Counts - Enspire'!H18+'Customer Counts - Enspire'!R18+'Customer Counts - Enspire'!S18</f>
        <v>0</v>
      </c>
      <c r="P19" s="57">
        <f t="shared" si="5"/>
        <v>0</v>
      </c>
      <c r="Q19" s="11"/>
      <c r="R19" s="88" t="e">
        <f t="shared" ref="R19:R21" si="22">+C19*2000/N19</f>
        <v>#DIV/0!</v>
      </c>
      <c r="S19" s="88" t="e">
        <f t="shared" ref="S19:S21" si="23">+D19*2000/O19</f>
        <v>#DIV/0!</v>
      </c>
      <c r="T19" s="88" t="e">
        <f t="shared" ref="T19:T21" si="24">+E19*2000/P19</f>
        <v>#DIV/0!</v>
      </c>
      <c r="V19" s="210" t="e">
        <f t="shared" ref="V19:V21" si="25">+G19/C19</f>
        <v>#DIV/0!</v>
      </c>
      <c r="X19" s="210" t="e">
        <f t="shared" ref="X19:X21" si="26">+H19/D19</f>
        <v>#DIV/0!</v>
      </c>
    </row>
    <row r="20" spans="1:27" ht="15">
      <c r="A20" t="s">
        <v>47</v>
      </c>
      <c r="C20" s="88">
        <f>+'KC Tonnage - Enspire'!T55+'KC Tonnage - Enspire'!T56</f>
        <v>0</v>
      </c>
      <c r="D20" s="88">
        <f>+'SC Tonnage - Enspire'!R55+'SC Tonnage - Enspire'!R56</f>
        <v>0</v>
      </c>
      <c r="E20" s="88">
        <f t="shared" si="0"/>
        <v>0</v>
      </c>
      <c r="F20" s="140"/>
      <c r="G20" s="138"/>
      <c r="H20" s="138"/>
      <c r="I20" s="141"/>
      <c r="J20" s="138">
        <f t="shared" si="4"/>
        <v>0</v>
      </c>
      <c r="K20" s="11"/>
      <c r="L20" s="139" t="e">
        <f t="shared" si="1"/>
        <v>#DIV/0!</v>
      </c>
      <c r="M20" s="11"/>
      <c r="N20" s="57">
        <f>+'Customer Counts - Enspire'!D19+'Customer Counts - Enspire'!F19+'Customer Counts - Enspire'!O19+'Customer Counts - Enspire'!Q19</f>
        <v>0</v>
      </c>
      <c r="O20" s="132">
        <f>+'Customer Counts - Enspire'!G19+'Customer Counts - Enspire'!H19+'Customer Counts - Enspire'!R19+'Customer Counts - Enspire'!S19</f>
        <v>0</v>
      </c>
      <c r="P20" s="57">
        <f t="shared" si="5"/>
        <v>0</v>
      </c>
      <c r="Q20" s="11"/>
      <c r="R20" s="88" t="e">
        <f t="shared" si="22"/>
        <v>#DIV/0!</v>
      </c>
      <c r="S20" s="88" t="e">
        <f t="shared" si="23"/>
        <v>#DIV/0!</v>
      </c>
      <c r="T20" s="88" t="e">
        <f t="shared" si="24"/>
        <v>#DIV/0!</v>
      </c>
      <c r="V20" s="210" t="e">
        <f t="shared" si="25"/>
        <v>#DIV/0!</v>
      </c>
      <c r="X20" s="210" t="e">
        <f t="shared" si="26"/>
        <v>#DIV/0!</v>
      </c>
    </row>
    <row r="21" spans="1:27">
      <c r="A21" t="s">
        <v>64</v>
      </c>
      <c r="C21" s="88">
        <f>+'KC Tonnage - Enspire'!T59+'KC Tonnage - Enspire'!T60</f>
        <v>0</v>
      </c>
      <c r="D21" s="88">
        <f>+'SC Tonnage - Enspire'!R59+'SC Tonnage - Enspire'!R60</f>
        <v>0</v>
      </c>
      <c r="E21" s="88">
        <f t="shared" si="0"/>
        <v>0</v>
      </c>
      <c r="F21" s="11"/>
      <c r="G21" s="138"/>
      <c r="H21" s="138"/>
      <c r="I21" s="138"/>
      <c r="J21" s="138">
        <f t="shared" si="4"/>
        <v>0</v>
      </c>
      <c r="K21" s="11"/>
      <c r="L21" s="139" t="e">
        <f t="shared" si="1"/>
        <v>#DIV/0!</v>
      </c>
      <c r="M21" s="11"/>
      <c r="N21" s="57">
        <f>+'Customer Counts - Enspire'!D20+'Customer Counts - Enspire'!F20+'Customer Counts - Enspire'!O20+'Customer Counts - Enspire'!Q20</f>
        <v>0</v>
      </c>
      <c r="O21" s="132">
        <f>+'Customer Counts - Enspire'!G20+'Customer Counts - Enspire'!H20+'Customer Counts - Enspire'!R20+'Customer Counts - Enspire'!S20</f>
        <v>0</v>
      </c>
      <c r="P21" s="57">
        <f t="shared" si="5"/>
        <v>0</v>
      </c>
      <c r="Q21" s="11"/>
      <c r="R21" s="88" t="e">
        <f t="shared" si="22"/>
        <v>#DIV/0!</v>
      </c>
      <c r="S21" s="88" t="e">
        <f t="shared" si="23"/>
        <v>#DIV/0!</v>
      </c>
      <c r="T21" s="88" t="e">
        <f t="shared" si="24"/>
        <v>#DIV/0!</v>
      </c>
      <c r="V21" s="210" t="e">
        <f t="shared" si="25"/>
        <v>#DIV/0!</v>
      </c>
      <c r="X21" s="210" t="e">
        <f t="shared" si="26"/>
        <v>#DIV/0!</v>
      </c>
    </row>
    <row r="22" spans="1:27" ht="15">
      <c r="A22" s="286" t="s">
        <v>269</v>
      </c>
      <c r="C22" s="88">
        <f>+'KC Tonnage - Enspire'!T63+'KC Tonnage - Enspire'!T64</f>
        <v>0</v>
      </c>
      <c r="D22" s="88">
        <f>+'SC Tonnage - Enspire'!R63+'SC Tonnage - Enspire'!R64</f>
        <v>0</v>
      </c>
      <c r="E22" s="88">
        <f t="shared" si="0"/>
        <v>0</v>
      </c>
      <c r="F22" s="140"/>
      <c r="G22" s="138"/>
      <c r="H22" s="138"/>
      <c r="I22" s="141"/>
      <c r="J22" s="138">
        <f t="shared" si="4"/>
        <v>0</v>
      </c>
      <c r="K22" s="11"/>
      <c r="L22" s="139" t="e">
        <f t="shared" si="1"/>
        <v>#DIV/0!</v>
      </c>
      <c r="M22" s="11"/>
      <c r="N22" s="57">
        <f>+'Customer Counts - Enspire'!D21+'Customer Counts - Enspire'!F21+'Customer Counts - Enspire'!O21+'Customer Counts - Enspire'!Q21</f>
        <v>0</v>
      </c>
      <c r="O22" s="132">
        <f>+'Customer Counts - Enspire'!G21+'Customer Counts - Enspire'!H21+'Customer Counts - Enspire'!R21+'Customer Counts - Enspire'!S21</f>
        <v>0</v>
      </c>
      <c r="P22" s="57">
        <f t="shared" si="5"/>
        <v>0</v>
      </c>
      <c r="Q22" s="11"/>
      <c r="R22" s="88" t="e">
        <f t="shared" ref="R22" si="27">+C22*2000/N22</f>
        <v>#DIV/0!</v>
      </c>
      <c r="S22" s="88" t="e">
        <f t="shared" ref="S22" si="28">+D22*2000/O22</f>
        <v>#DIV/0!</v>
      </c>
      <c r="T22" s="88" t="e">
        <f t="shared" ref="T22" si="29">+E22*2000/P22</f>
        <v>#DIV/0!</v>
      </c>
      <c r="V22" s="210" t="e">
        <f t="shared" ref="V22" si="30">+G22/C22</f>
        <v>#DIV/0!</v>
      </c>
      <c r="X22" s="210" t="e">
        <f t="shared" ref="X22" si="31">+H22/D22</f>
        <v>#DIV/0!</v>
      </c>
    </row>
    <row r="23" spans="1:27" ht="15">
      <c r="A23" t="s">
        <v>75</v>
      </c>
      <c r="C23" s="88">
        <f>+'KC Tonnage - Enspire'!T67+'KC Tonnage - Enspire'!T68</f>
        <v>0</v>
      </c>
      <c r="D23" s="88">
        <f>+'SC Tonnage - Enspire'!R67+'SC Tonnage - Enspire'!R68</f>
        <v>0</v>
      </c>
      <c r="E23" s="88">
        <f t="shared" si="0"/>
        <v>0</v>
      </c>
      <c r="F23" s="140"/>
      <c r="G23" s="138"/>
      <c r="H23" s="138"/>
      <c r="I23" s="141"/>
      <c r="J23" s="138">
        <f t="shared" si="4"/>
        <v>0</v>
      </c>
      <c r="K23" s="11"/>
      <c r="L23" s="139" t="e">
        <f t="shared" si="1"/>
        <v>#DIV/0!</v>
      </c>
      <c r="M23" s="11"/>
      <c r="N23" s="57">
        <f>+'Customer Counts - Enspire'!D22+'Customer Counts - Enspire'!F22+'Customer Counts - Enspire'!O22+'Customer Counts - Enspire'!Q22</f>
        <v>0</v>
      </c>
      <c r="O23" s="132">
        <f>+'Customer Counts - Enspire'!G22+'Customer Counts - Enspire'!H22+'Customer Counts - Enspire'!R22+'Customer Counts - Enspire'!S22</f>
        <v>0</v>
      </c>
      <c r="P23" s="57">
        <f t="shared" si="5"/>
        <v>0</v>
      </c>
      <c r="Q23" s="11"/>
      <c r="R23" s="88" t="e">
        <f t="shared" ref="R23" si="32">+C23*2000/N23</f>
        <v>#DIV/0!</v>
      </c>
      <c r="S23" s="88" t="e">
        <f t="shared" ref="S23" si="33">+D23*2000/O23</f>
        <v>#DIV/0!</v>
      </c>
      <c r="T23" s="88" t="e">
        <f t="shared" ref="T23" si="34">+E23*2000/P23</f>
        <v>#DIV/0!</v>
      </c>
      <c r="V23" s="210" t="e">
        <f t="shared" ref="V23" si="35">+G23/C23</f>
        <v>#DIV/0!</v>
      </c>
      <c r="X23" s="210" t="e">
        <f t="shared" ref="X23" si="36">+H23/D23</f>
        <v>#DIV/0!</v>
      </c>
    </row>
    <row r="24" spans="1:27">
      <c r="A24" t="s">
        <v>76</v>
      </c>
      <c r="C24" s="88">
        <f>+'KC Tonnage - Enspire'!T71+'KC Tonnage - Enspire'!T72</f>
        <v>0</v>
      </c>
      <c r="D24" s="88">
        <f>+'SC Tonnage - Enspire'!R71+'SC Tonnage - Enspire'!R72</f>
        <v>0</v>
      </c>
      <c r="E24" s="88">
        <f t="shared" si="0"/>
        <v>0</v>
      </c>
      <c r="F24" s="11"/>
      <c r="G24" s="138"/>
      <c r="H24" s="138"/>
      <c r="I24" s="138"/>
      <c r="J24" s="138">
        <f t="shared" si="4"/>
        <v>0</v>
      </c>
      <c r="K24" s="11"/>
      <c r="L24" s="139" t="e">
        <f t="shared" si="1"/>
        <v>#DIV/0!</v>
      </c>
      <c r="M24" s="11"/>
      <c r="N24" s="57">
        <f>+'Customer Counts - Enspire'!D23+'Customer Counts - Enspire'!F23+'Customer Counts - Enspire'!O23+'Customer Counts - Enspire'!Q23</f>
        <v>0</v>
      </c>
      <c r="O24" s="132">
        <f>+'Customer Counts - Enspire'!G23+'Customer Counts - Enspire'!H23+'Customer Counts - Enspire'!R23+'Customer Counts - Enspire'!S23</f>
        <v>0</v>
      </c>
      <c r="P24" s="57">
        <f t="shared" si="5"/>
        <v>0</v>
      </c>
      <c r="Q24" s="11"/>
      <c r="R24" s="88" t="e">
        <f t="shared" ref="R24" si="37">+C24*2000/N24</f>
        <v>#DIV/0!</v>
      </c>
      <c r="S24" s="88" t="e">
        <f t="shared" ref="S24" si="38">+D24*2000/O24</f>
        <v>#DIV/0!</v>
      </c>
      <c r="T24" s="88" t="e">
        <f t="shared" ref="T24" si="39">+E24*2000/P24</f>
        <v>#DIV/0!</v>
      </c>
      <c r="V24" s="210" t="e">
        <f t="shared" ref="V24" si="40">+G24/C24</f>
        <v>#DIV/0!</v>
      </c>
      <c r="X24" s="210" t="e">
        <f t="shared" ref="X24" si="41">+H24/D24</f>
        <v>#DIV/0!</v>
      </c>
    </row>
    <row r="25" spans="1:27">
      <c r="A25" t="s">
        <v>77</v>
      </c>
      <c r="C25" s="88">
        <f>+'KC Tonnage - Enspire'!T75+'KC Tonnage - Enspire'!T76</f>
        <v>0</v>
      </c>
      <c r="D25" s="88">
        <f>+'SC Tonnage - Enspire'!R75+'SC Tonnage - Enspire'!R76</f>
        <v>0</v>
      </c>
      <c r="E25" s="88">
        <f t="shared" si="0"/>
        <v>0</v>
      </c>
      <c r="F25" s="11"/>
      <c r="G25" s="138"/>
      <c r="H25" s="138"/>
      <c r="I25" s="138"/>
      <c r="J25" s="138">
        <f t="shared" si="4"/>
        <v>0</v>
      </c>
      <c r="K25" s="11"/>
      <c r="L25" s="139" t="e">
        <f t="shared" si="1"/>
        <v>#DIV/0!</v>
      </c>
      <c r="M25" s="11"/>
      <c r="N25" s="57">
        <f>+'Customer Counts - Enspire'!D24+'Customer Counts - Enspire'!F24+'Customer Counts - Enspire'!O24+'Customer Counts - Enspire'!Q24</f>
        <v>0</v>
      </c>
      <c r="O25" s="132">
        <f>+'Customer Counts - Enspire'!G24+'Customer Counts - Enspire'!H24+'Customer Counts - Enspire'!R24+'Customer Counts - Enspire'!S24</f>
        <v>0</v>
      </c>
      <c r="P25" s="57">
        <f t="shared" si="5"/>
        <v>0</v>
      </c>
      <c r="Q25" s="11"/>
      <c r="R25" s="88" t="e">
        <f t="shared" ref="R25" si="42">+C25*2000/N25</f>
        <v>#DIV/0!</v>
      </c>
      <c r="S25" s="88" t="e">
        <f t="shared" ref="S25" si="43">+D25*2000/O25</f>
        <v>#DIV/0!</v>
      </c>
      <c r="T25" s="88" t="e">
        <f t="shared" ref="T25" si="44">+E25*2000/P25</f>
        <v>#DIV/0!</v>
      </c>
      <c r="V25" s="210" t="e">
        <f t="shared" ref="V25" si="45">+G25/C25</f>
        <v>#DIV/0!</v>
      </c>
      <c r="X25" s="210" t="e">
        <f t="shared" ref="X25" si="46">+H25/D25</f>
        <v>#DIV/0!</v>
      </c>
    </row>
    <row r="26" spans="1:27">
      <c r="A26" t="s">
        <v>52</v>
      </c>
      <c r="C26" s="88">
        <f>+'KC Tonnage - Enspire'!T79+'KC Tonnage - Enspire'!T80</f>
        <v>0</v>
      </c>
      <c r="D26" s="88">
        <f>+'SC Tonnage - Enspire'!R79+'SC Tonnage - Enspire'!R80</f>
        <v>0</v>
      </c>
      <c r="E26" s="88">
        <f t="shared" si="0"/>
        <v>0</v>
      </c>
      <c r="F26" s="11"/>
      <c r="G26" s="138"/>
      <c r="H26" s="138"/>
      <c r="I26" s="138"/>
      <c r="J26" s="138">
        <f t="shared" si="4"/>
        <v>0</v>
      </c>
      <c r="K26" s="11"/>
      <c r="L26" s="139" t="e">
        <f t="shared" si="1"/>
        <v>#DIV/0!</v>
      </c>
      <c r="M26" s="11"/>
      <c r="N26" s="57">
        <f>+'Customer Counts - Enspire'!D25+'Customer Counts - Enspire'!F25+'Customer Counts - Enspire'!O25+'Customer Counts - Enspire'!Q25</f>
        <v>0</v>
      </c>
      <c r="O26" s="132">
        <f>+'Customer Counts - Enspire'!G25+'Customer Counts - Enspire'!H25+'Customer Counts - Enspire'!R25+'Customer Counts - Enspire'!S25</f>
        <v>0</v>
      </c>
      <c r="P26" s="57">
        <f t="shared" si="5"/>
        <v>0</v>
      </c>
      <c r="Q26" s="11"/>
      <c r="R26" s="88" t="e">
        <f t="shared" ref="R26" si="47">+C26*2000/N26</f>
        <v>#DIV/0!</v>
      </c>
      <c r="S26" s="88" t="e">
        <f t="shared" ref="S26" si="48">+D26*2000/O26</f>
        <v>#DIV/0!</v>
      </c>
      <c r="T26" s="88" t="e">
        <f t="shared" ref="T26" si="49">+E26*2000/P26</f>
        <v>#DIV/0!</v>
      </c>
      <c r="V26" s="210" t="e">
        <f t="shared" ref="V26" si="50">+G26/C26</f>
        <v>#DIV/0!</v>
      </c>
      <c r="X26" s="210" t="e">
        <f t="shared" ref="X26" si="51">+H26/D26</f>
        <v>#DIV/0!</v>
      </c>
    </row>
    <row r="27" spans="1:27">
      <c r="A27" t="s">
        <v>59</v>
      </c>
      <c r="C27" s="88">
        <f>+'KC Tonnage - Enspire'!T83+'KC Tonnage - Enspire'!T84</f>
        <v>0</v>
      </c>
      <c r="D27" s="88">
        <f>+'SC Tonnage - Enspire'!R83+'SC Tonnage - Enspire'!R84</f>
        <v>0</v>
      </c>
      <c r="E27" s="88">
        <f t="shared" si="0"/>
        <v>0</v>
      </c>
      <c r="F27" s="11"/>
      <c r="G27" s="138"/>
      <c r="H27" s="138"/>
      <c r="I27" s="138"/>
      <c r="J27" s="138">
        <f t="shared" si="4"/>
        <v>0</v>
      </c>
      <c r="K27" s="11"/>
      <c r="L27" s="139" t="e">
        <f t="shared" si="1"/>
        <v>#DIV/0!</v>
      </c>
      <c r="M27" s="11"/>
      <c r="N27" s="57">
        <f>+'Customer Counts - Enspire'!D26+'Customer Counts - Enspire'!F26+'Customer Counts - Enspire'!O26+'Customer Counts - Enspire'!Q26</f>
        <v>0</v>
      </c>
      <c r="O27" s="132">
        <f>+'Customer Counts - Enspire'!G26+'Customer Counts - Enspire'!H26+'Customer Counts - Enspire'!R26+'Customer Counts - Enspire'!S26</f>
        <v>0</v>
      </c>
      <c r="P27" s="57">
        <f t="shared" si="5"/>
        <v>0</v>
      </c>
      <c r="Q27" s="11"/>
      <c r="R27" s="88" t="e">
        <f t="shared" ref="R27" si="52">+C27*2000/N27</f>
        <v>#DIV/0!</v>
      </c>
      <c r="S27" s="88" t="e">
        <f t="shared" ref="S27" si="53">+D27*2000/O27</f>
        <v>#DIV/0!</v>
      </c>
      <c r="T27" s="88" t="e">
        <f t="shared" ref="T27" si="54">+E27*2000/P27</f>
        <v>#DIV/0!</v>
      </c>
      <c r="V27" s="210" t="e">
        <f t="shared" ref="V27" si="55">+G27/C27</f>
        <v>#DIV/0!</v>
      </c>
      <c r="X27" s="210" t="e">
        <f t="shared" ref="X27" si="56">+H27/D27</f>
        <v>#DIV/0!</v>
      </c>
    </row>
    <row r="28" spans="1:27">
      <c r="A28" t="s">
        <v>60</v>
      </c>
      <c r="C28" s="88">
        <f>+'KC Tonnage - Enspire'!T87+'KC Tonnage - Enspire'!T88</f>
        <v>0</v>
      </c>
      <c r="D28" s="88">
        <f>+'SC Tonnage - Enspire'!R87+'SC Tonnage - Enspire'!R88</f>
        <v>0</v>
      </c>
      <c r="E28" s="88">
        <f t="shared" si="0"/>
        <v>0</v>
      </c>
      <c r="F28" s="11"/>
      <c r="G28" s="138"/>
      <c r="H28" s="138"/>
      <c r="I28" s="138"/>
      <c r="J28" s="138">
        <f t="shared" si="4"/>
        <v>0</v>
      </c>
      <c r="K28" s="11"/>
      <c r="L28" s="139" t="e">
        <f t="shared" si="1"/>
        <v>#DIV/0!</v>
      </c>
      <c r="M28" s="11"/>
      <c r="N28" s="57">
        <f>+'Customer Counts - Enspire'!D27+'Customer Counts - Enspire'!F27+'Customer Counts - Enspire'!O27+'Customer Counts - Enspire'!Q27</f>
        <v>0</v>
      </c>
      <c r="O28" s="132">
        <f>+'Customer Counts - Enspire'!G27+'Customer Counts - Enspire'!H27+'Customer Counts - Enspire'!R27+'Customer Counts - Enspire'!S27</f>
        <v>0</v>
      </c>
      <c r="P28" s="57">
        <f t="shared" si="5"/>
        <v>0</v>
      </c>
      <c r="Q28" s="11"/>
      <c r="R28" s="88" t="e">
        <f t="shared" ref="R28" si="57">+C28*2000/N28</f>
        <v>#DIV/0!</v>
      </c>
      <c r="S28" s="88" t="e">
        <f t="shared" ref="S28" si="58">+D28*2000/O28</f>
        <v>#DIV/0!</v>
      </c>
      <c r="T28" s="88" t="e">
        <f t="shared" ref="T28" si="59">+E28*2000/P28</f>
        <v>#DIV/0!</v>
      </c>
      <c r="V28" s="210" t="e">
        <f t="shared" ref="V28" si="60">+G28/C28</f>
        <v>#DIV/0!</v>
      </c>
      <c r="X28" s="210" t="e">
        <f t="shared" ref="X28" si="61">+H28/D28</f>
        <v>#DIV/0!</v>
      </c>
    </row>
    <row r="29" spans="1:27">
      <c r="A29" t="s">
        <v>61</v>
      </c>
      <c r="C29" s="88">
        <f>+'KC Tonnage - Enspire'!T91+'KC Tonnage - Enspire'!T92</f>
        <v>0</v>
      </c>
      <c r="D29" s="88">
        <f>+'SC Tonnage - Enspire'!R91+'SC Tonnage - Enspire'!R92</f>
        <v>0</v>
      </c>
      <c r="E29" s="381">
        <f t="shared" si="0"/>
        <v>0</v>
      </c>
      <c r="F29" s="90"/>
      <c r="G29" s="390"/>
      <c r="H29" s="390"/>
      <c r="I29" s="384"/>
      <c r="J29" s="390">
        <f t="shared" si="4"/>
        <v>0</v>
      </c>
      <c r="K29" s="90"/>
      <c r="L29" s="391" t="e">
        <f t="shared" si="1"/>
        <v>#DIV/0!</v>
      </c>
      <c r="M29" s="90"/>
      <c r="N29" s="383">
        <f>+'Customer Counts - Enspire'!D28+'Customer Counts - Enspire'!F28+'Customer Counts - Enspire'!O28+'Customer Counts - Enspire'!Q28</f>
        <v>0</v>
      </c>
      <c r="O29" s="380">
        <f>+'Customer Counts - Enspire'!G28+'Customer Counts - Enspire'!H28+'Customer Counts - Enspire'!R28+'Customer Counts - Enspire'!S28</f>
        <v>0</v>
      </c>
      <c r="P29" s="383">
        <f t="shared" si="5"/>
        <v>0</v>
      </c>
      <c r="Q29" s="90"/>
      <c r="R29" s="381" t="e">
        <f t="shared" ref="R29:R30" si="62">+C29*2000/N29</f>
        <v>#DIV/0!</v>
      </c>
      <c r="S29" s="381" t="e">
        <f t="shared" ref="S29:S30" si="63">+D29*2000/O29</f>
        <v>#DIV/0!</v>
      </c>
      <c r="T29" s="381" t="e">
        <f t="shared" ref="T29:T30" si="64">+E29*2000/P29</f>
        <v>#DIV/0!</v>
      </c>
      <c r="U29" s="286"/>
      <c r="V29" s="391" t="e">
        <f t="shared" ref="V29:V31" si="65">+G29/C29</f>
        <v>#DIV/0!</v>
      </c>
      <c r="W29" s="286"/>
      <c r="X29" s="391" t="e">
        <f t="shared" ref="X29:X31" si="66">+H29/D29</f>
        <v>#DIV/0!</v>
      </c>
    </row>
    <row r="30" spans="1:27" s="54" customFormat="1" ht="16.5">
      <c r="A30" s="76" t="s">
        <v>62</v>
      </c>
      <c r="C30" s="74">
        <f>+'KC Tonnage - Enspire'!T95+'KC Tonnage - Enspire'!T96</f>
        <v>0</v>
      </c>
      <c r="D30" s="74">
        <f>+'SC Tonnage - Enspire'!R95+'SC Tonnage - Enspire'!R96</f>
        <v>0</v>
      </c>
      <c r="E30" s="74">
        <f t="shared" si="0"/>
        <v>0</v>
      </c>
      <c r="F30" s="143"/>
      <c r="G30" s="263"/>
      <c r="H30" s="263"/>
      <c r="I30" s="143"/>
      <c r="J30" s="263">
        <f t="shared" si="4"/>
        <v>0</v>
      </c>
      <c r="K30" s="143"/>
      <c r="L30" s="397" t="e">
        <f t="shared" si="1"/>
        <v>#DIV/0!</v>
      </c>
      <c r="M30" s="173"/>
      <c r="N30" s="398">
        <f>+'Customer Counts - Enspire'!D29+'Customer Counts - Enspire'!F29+'Customer Counts - Enspire'!O29+'Customer Counts - Enspire'!Q29</f>
        <v>0</v>
      </c>
      <c r="O30" s="102">
        <f>+'Customer Counts - Enspire'!G29+'Customer Counts - Enspire'!H29+'Customer Counts - Enspire'!R29+'Customer Counts - Enspire'!S29</f>
        <v>0</v>
      </c>
      <c r="P30" s="398">
        <f>+O30+N30</f>
        <v>0</v>
      </c>
      <c r="Q30" s="173"/>
      <c r="R30" s="74" t="e">
        <f t="shared" si="62"/>
        <v>#DIV/0!</v>
      </c>
      <c r="S30" s="74" t="e">
        <f t="shared" si="63"/>
        <v>#DIV/0!</v>
      </c>
      <c r="T30" s="74" t="e">
        <f t="shared" si="64"/>
        <v>#DIV/0!</v>
      </c>
      <c r="U30" s="286"/>
      <c r="V30" s="397" t="e">
        <f t="shared" si="65"/>
        <v>#DIV/0!</v>
      </c>
      <c r="W30" s="189"/>
      <c r="X30" s="397" t="e">
        <f t="shared" si="66"/>
        <v>#DIV/0!</v>
      </c>
      <c r="Y30"/>
      <c r="Z30"/>
      <c r="AA30"/>
    </row>
    <row r="31" spans="1:27" ht="15">
      <c r="C31" s="145">
        <f>SUM(C7:C30)</f>
        <v>46654.720000000001</v>
      </c>
      <c r="D31" s="145">
        <f>SUM(D7:D30)</f>
        <v>43345.790000000008</v>
      </c>
      <c r="E31" s="145">
        <f>SUM(E7:E30)</f>
        <v>90000.510000000009</v>
      </c>
      <c r="F31" s="145"/>
      <c r="G31" s="146">
        <f>SUM(G7:G30)</f>
        <v>3174638.4748313064</v>
      </c>
      <c r="H31" s="146">
        <f>SUM(H7:H30)</f>
        <v>2908685.1555417995</v>
      </c>
      <c r="I31" s="146"/>
      <c r="J31" s="146">
        <f>SUM(J7:J30)</f>
        <v>6083323.6303731054</v>
      </c>
      <c r="K31" s="11"/>
      <c r="L31" s="147">
        <f>+J31/E31</f>
        <v>67.592101760013406</v>
      </c>
      <c r="M31" s="11"/>
      <c r="N31" s="148">
        <f>SUM(N7:N30)</f>
        <v>1579160</v>
      </c>
      <c r="O31" s="148">
        <f>SUM(O7:O30)</f>
        <v>1751676</v>
      </c>
      <c r="P31" s="148">
        <f>SUM(P7:P30)</f>
        <v>3330836</v>
      </c>
      <c r="Q31" s="11"/>
      <c r="R31" s="145">
        <f>+C31*2000/N31</f>
        <v>59.088021479774056</v>
      </c>
      <c r="S31" s="145">
        <f>+D31*2000/O31</f>
        <v>49.490647813865131</v>
      </c>
      <c r="T31" s="145">
        <f>+E31*2000/P31</f>
        <v>54.040793362387106</v>
      </c>
      <c r="V31" s="291">
        <f t="shared" si="65"/>
        <v>68.045386936869548</v>
      </c>
      <c r="W31" s="292"/>
      <c r="X31" s="291">
        <f t="shared" si="66"/>
        <v>67.104213708916106</v>
      </c>
    </row>
    <row r="32" spans="1:27">
      <c r="C32" s="270">
        <f>+C31/E31</f>
        <v>0.51838284027501613</v>
      </c>
      <c r="D32" s="270">
        <f>+D31/E31</f>
        <v>0.48161715972498381</v>
      </c>
      <c r="E32" s="11"/>
      <c r="F32" s="11"/>
      <c r="G32" s="270">
        <f>+G31/J31</f>
        <v>0.52185921179350403</v>
      </c>
      <c r="H32" s="270">
        <f>+H31/J31</f>
        <v>0.47814078820649603</v>
      </c>
      <c r="I32" s="11"/>
      <c r="J32" s="11"/>
      <c r="K32" s="11"/>
      <c r="L32" s="11"/>
      <c r="M32" s="11"/>
      <c r="N32" s="11"/>
      <c r="O32" s="11"/>
      <c r="P32" s="11"/>
      <c r="Q32" s="11"/>
      <c r="R32" s="11"/>
      <c r="S32" s="11"/>
      <c r="T32" s="11"/>
    </row>
    <row r="33" spans="1:27">
      <c r="C33" s="11"/>
      <c r="D33" s="11"/>
      <c r="E33" s="11"/>
      <c r="F33" s="11"/>
      <c r="G33" s="11"/>
      <c r="H33" s="11"/>
      <c r="I33" s="11"/>
      <c r="J33" s="11"/>
      <c r="K33" s="11"/>
      <c r="L33" s="11"/>
      <c r="M33" s="11"/>
      <c r="N33" s="11"/>
      <c r="O33" s="11"/>
      <c r="P33" s="11"/>
      <c r="Q33" s="11"/>
      <c r="R33" s="11"/>
      <c r="S33" s="11"/>
      <c r="T33" s="11"/>
    </row>
    <row r="34" spans="1:27" ht="15">
      <c r="A34" s="56" t="s">
        <v>89</v>
      </c>
      <c r="C34" s="11"/>
      <c r="D34" s="11"/>
      <c r="E34" s="11"/>
      <c r="F34" s="11"/>
      <c r="G34" s="11"/>
      <c r="H34" s="11"/>
      <c r="I34" s="11"/>
      <c r="J34" s="11"/>
      <c r="K34" s="11"/>
      <c r="L34" s="11"/>
      <c r="M34" s="11"/>
      <c r="N34" s="11"/>
      <c r="O34" s="11"/>
      <c r="P34" s="11"/>
      <c r="Q34" s="11"/>
      <c r="R34" s="11"/>
      <c r="S34" s="11"/>
      <c r="T34" s="11"/>
    </row>
    <row r="35" spans="1:27">
      <c r="A35" t="str">
        <f>+A7</f>
        <v>Oct., 2021</v>
      </c>
      <c r="C35" s="88">
        <f>+'KC Tonnage - Enspire'!V3+'KC Tonnage - Enspire'!V4</f>
        <v>878.17000000000007</v>
      </c>
      <c r="D35" s="88">
        <f>+'SC Tonnage - Enspire'!T3+'SC Tonnage - Enspire'!T4</f>
        <v>2294.2300000000005</v>
      </c>
      <c r="E35" s="88">
        <f t="shared" ref="E35:E58" si="67">+D35+C35</f>
        <v>3172.4000000000005</v>
      </c>
      <c r="F35" s="11"/>
      <c r="G35" s="138">
        <f t="shared" ref="G35:H45" si="68">+C35/C7*G7</f>
        <v>87645.376966688462</v>
      </c>
      <c r="H35" s="138">
        <f t="shared" si="68"/>
        <v>227198.01498081099</v>
      </c>
      <c r="I35" s="138"/>
      <c r="J35" s="138">
        <f>+H35+G35</f>
        <v>314843.39194749948</v>
      </c>
      <c r="K35" s="11"/>
      <c r="L35" s="139">
        <f t="shared" ref="L35:L46" si="69">+J35/E35</f>
        <v>99.244544177121242</v>
      </c>
      <c r="M35" s="11"/>
      <c r="N35" s="57">
        <f>+'Customer Counts - Enspire'!D6+'Customer Counts - Enspire'!F6</f>
        <v>40146</v>
      </c>
      <c r="O35" s="132">
        <f>+'Customer Counts - Enspire'!G6+'Customer Counts - Enspire'!H6</f>
        <v>99122</v>
      </c>
      <c r="P35" s="57">
        <f>+O35+N35</f>
        <v>139268</v>
      </c>
      <c r="Q35" s="11"/>
      <c r="R35" s="88">
        <f t="shared" ref="R35:R42" si="70">+C35*2000/N35</f>
        <v>43.74881681861207</v>
      </c>
      <c r="S35" s="88">
        <f t="shared" ref="S35:T37" si="71">+D35*2000/O35</f>
        <v>46.291035289844849</v>
      </c>
      <c r="T35" s="88">
        <f t="shared" si="71"/>
        <v>45.558204325473199</v>
      </c>
      <c r="V35" s="210">
        <f>+G35/C35</f>
        <v>99.804567414838189</v>
      </c>
      <c r="X35" s="210">
        <f>+H35/D35</f>
        <v>99.030182231428824</v>
      </c>
      <c r="Z35" s="88"/>
      <c r="AA35" s="88"/>
    </row>
    <row r="36" spans="1:27">
      <c r="A36" t="str">
        <f t="shared" ref="A36:A58" si="72">+A8</f>
        <v>Nov</v>
      </c>
      <c r="C36" s="88">
        <f>+'KC Tonnage - Enspire'!V7+'KC Tonnage - Enspire'!V8</f>
        <v>1080.1400000000001</v>
      </c>
      <c r="D36" s="88">
        <f>+'SC Tonnage - Enspire'!T7+'SC Tonnage - Enspire'!T8</f>
        <v>2630.15</v>
      </c>
      <c r="E36" s="88">
        <f t="shared" si="67"/>
        <v>3710.29</v>
      </c>
      <c r="F36" s="11"/>
      <c r="G36" s="138">
        <f t="shared" si="68"/>
        <v>98721.487748498839</v>
      </c>
      <c r="H36" s="138">
        <f t="shared" si="68"/>
        <v>238743.90502239874</v>
      </c>
      <c r="I36" s="138"/>
      <c r="J36" s="138">
        <f t="shared" ref="J36:J58" si="73">+H36+G36</f>
        <v>337465.3927708976</v>
      </c>
      <c r="K36" s="11"/>
      <c r="L36" s="139">
        <f t="shared" si="69"/>
        <v>90.953912705178737</v>
      </c>
      <c r="M36" s="11"/>
      <c r="N36" s="57">
        <f>+'Customer Counts - Enspire'!D7+'Customer Counts - Enspire'!F7</f>
        <v>40120</v>
      </c>
      <c r="O36" s="132">
        <f>+'Customer Counts - Enspire'!G7+'Customer Counts - Enspire'!H7</f>
        <v>99117</v>
      </c>
      <c r="P36" s="57">
        <f t="shared" ref="P36:P58" si="74">+O36+N36</f>
        <v>139237</v>
      </c>
      <c r="Q36" s="11"/>
      <c r="R36" s="88">
        <f t="shared" si="70"/>
        <v>53.845463609172484</v>
      </c>
      <c r="S36" s="88">
        <f t="shared" si="71"/>
        <v>53.071622426021776</v>
      </c>
      <c r="T36" s="88">
        <f t="shared" si="71"/>
        <v>53.294598418523812</v>
      </c>
      <c r="V36" s="210">
        <f t="shared" ref="V36:V51" si="75">+G36/C36</f>
        <v>91.396937201195058</v>
      </c>
      <c r="X36" s="210">
        <f t="shared" ref="X36:X51" si="76">+H36/D36</f>
        <v>90.771973089899333</v>
      </c>
      <c r="Z36" s="88"/>
      <c r="AA36" s="88"/>
    </row>
    <row r="37" spans="1:27">
      <c r="A37" t="str">
        <f t="shared" si="72"/>
        <v>Dec</v>
      </c>
      <c r="C37" s="88">
        <f>+'KC Tonnage - Enspire'!V11+'KC Tonnage - Enspire'!V12</f>
        <v>910.21999999999991</v>
      </c>
      <c r="D37" s="88">
        <f>+'SC Tonnage - Enspire'!T11+'SC Tonnage - Enspire'!T12</f>
        <v>2086.9299999999998</v>
      </c>
      <c r="E37" s="88">
        <f t="shared" si="67"/>
        <v>2997.1499999999996</v>
      </c>
      <c r="F37" s="11"/>
      <c r="G37" s="138">
        <f t="shared" si="68"/>
        <v>61762.422298429199</v>
      </c>
      <c r="H37" s="138">
        <f t="shared" si="68"/>
        <v>139906.05084212206</v>
      </c>
      <c r="I37" s="138"/>
      <c r="J37" s="138">
        <f t="shared" si="73"/>
        <v>201668.47314055124</v>
      </c>
      <c r="K37" s="11"/>
      <c r="L37" s="139">
        <f t="shared" si="69"/>
        <v>67.286746789633909</v>
      </c>
      <c r="M37" s="11"/>
      <c r="N37" s="57">
        <f>+'Customer Counts - Enspire'!D8+'Customer Counts - Enspire'!F8</f>
        <v>40164</v>
      </c>
      <c r="O37" s="132">
        <f>+'Customer Counts - Enspire'!G8+'Customer Counts - Enspire'!H8</f>
        <v>92545</v>
      </c>
      <c r="P37" s="57">
        <f t="shared" si="74"/>
        <v>132709</v>
      </c>
      <c r="Q37" s="11"/>
      <c r="R37" s="88">
        <f t="shared" si="70"/>
        <v>45.325166816054171</v>
      </c>
      <c r="S37" s="88">
        <f t="shared" si="71"/>
        <v>45.100869847101407</v>
      </c>
      <c r="T37" s="88">
        <f t="shared" si="71"/>
        <v>45.168752684444904</v>
      </c>
      <c r="V37" s="210">
        <f t="shared" si="75"/>
        <v>67.854389376666305</v>
      </c>
      <c r="X37" s="210">
        <f t="shared" si="76"/>
        <v>67.039167984609961</v>
      </c>
      <c r="Z37" s="88"/>
      <c r="AA37" s="88"/>
    </row>
    <row r="38" spans="1:27">
      <c r="A38" t="str">
        <f t="shared" si="72"/>
        <v>Jan., 2022</v>
      </c>
      <c r="B38" s="22"/>
      <c r="C38" s="88">
        <f>+'KC Tonnage - Enspire'!V15+'KC Tonnage - Enspire'!V16</f>
        <v>1162.78</v>
      </c>
      <c r="D38" s="88">
        <f>+'SC Tonnage - Enspire'!T15+'SC Tonnage - Enspire'!T16</f>
        <v>2642.9199999999996</v>
      </c>
      <c r="E38" s="133">
        <f t="shared" si="67"/>
        <v>3805.7</v>
      </c>
      <c r="F38" s="134"/>
      <c r="G38" s="138">
        <f t="shared" si="68"/>
        <v>73332.149028208558</v>
      </c>
      <c r="H38" s="138">
        <f t="shared" si="68"/>
        <v>165273.76130238749</v>
      </c>
      <c r="I38" s="138"/>
      <c r="J38" s="149">
        <f t="shared" si="73"/>
        <v>238605.91033059603</v>
      </c>
      <c r="K38" s="11"/>
      <c r="L38" s="139">
        <f t="shared" si="69"/>
        <v>62.696983559028837</v>
      </c>
      <c r="M38" s="11"/>
      <c r="N38" s="57">
        <f>+'Customer Counts - Enspire'!D9+'Customer Counts - Enspire'!F9</f>
        <v>40104</v>
      </c>
      <c r="O38" s="132">
        <f>+'Customer Counts - Enspire'!G9+'Customer Counts - Enspire'!H9</f>
        <v>92455</v>
      </c>
      <c r="P38" s="57">
        <f t="shared" si="74"/>
        <v>132559</v>
      </c>
      <c r="Q38" s="11"/>
      <c r="R38" s="88">
        <f t="shared" si="70"/>
        <v>57.988230600438861</v>
      </c>
      <c r="S38" s="88">
        <f t="shared" ref="S38:T42" si="77">+D38*2000/O38</f>
        <v>57.172029636039142</v>
      </c>
      <c r="T38" s="88">
        <f t="shared" si="77"/>
        <v>57.41896061376444</v>
      </c>
      <c r="V38" s="210">
        <f t="shared" si="75"/>
        <v>63.066228373560399</v>
      </c>
      <c r="X38" s="210">
        <f t="shared" si="76"/>
        <v>62.534530482340557</v>
      </c>
      <c r="Z38" s="88"/>
      <c r="AA38" s="88"/>
    </row>
    <row r="39" spans="1:27">
      <c r="A39" t="str">
        <f t="shared" si="72"/>
        <v>Feb</v>
      </c>
      <c r="B39" s="22"/>
      <c r="C39" s="88">
        <f>+'KC Tonnage - Enspire'!V19+'KC Tonnage - Enspire'!V20</f>
        <v>871.59999999999991</v>
      </c>
      <c r="D39" s="88">
        <f>+'SC Tonnage - Enspire'!T19+'SC Tonnage - Enspire'!T20</f>
        <v>2004.33</v>
      </c>
      <c r="E39" s="133">
        <f t="shared" si="67"/>
        <v>2875.93</v>
      </c>
      <c r="F39" s="134"/>
      <c r="G39" s="138">
        <f t="shared" si="68"/>
        <v>58967.898096200894</v>
      </c>
      <c r="H39" s="138">
        <f t="shared" si="68"/>
        <v>134750.62200632543</v>
      </c>
      <c r="I39" s="138"/>
      <c r="J39" s="149">
        <f t="shared" si="73"/>
        <v>193718.52010252632</v>
      </c>
      <c r="K39" s="11"/>
      <c r="L39" s="139">
        <f t="shared" si="69"/>
        <v>67.35856578655472</v>
      </c>
      <c r="M39" s="11"/>
      <c r="N39" s="57">
        <f>+'Customer Counts - Enspire'!D10+'Customer Counts - Enspire'!F10</f>
        <v>40205</v>
      </c>
      <c r="O39" s="132">
        <f>+'Customer Counts - Enspire'!G10+'Customer Counts - Enspire'!H10</f>
        <v>92763</v>
      </c>
      <c r="P39" s="57">
        <f t="shared" si="74"/>
        <v>132968</v>
      </c>
      <c r="Q39" s="11"/>
      <c r="R39" s="88">
        <f t="shared" si="70"/>
        <v>43.357791319487617</v>
      </c>
      <c r="S39" s="88">
        <f t="shared" si="77"/>
        <v>43.213996959994823</v>
      </c>
      <c r="T39" s="88">
        <f t="shared" si="77"/>
        <v>43.257475482822933</v>
      </c>
      <c r="V39" s="210">
        <f t="shared" si="75"/>
        <v>67.654770647316312</v>
      </c>
      <c r="X39" s="210">
        <f t="shared" si="76"/>
        <v>67.229758575846006</v>
      </c>
      <c r="Z39" s="88"/>
      <c r="AA39" s="88"/>
    </row>
    <row r="40" spans="1:27">
      <c r="A40" t="str">
        <f t="shared" si="72"/>
        <v>Mar</v>
      </c>
      <c r="B40" s="22"/>
      <c r="C40" s="88">
        <f>+'KC Tonnage - Enspire'!V23+'KC Tonnage - Enspire'!V24</f>
        <v>1021.2200000000001</v>
      </c>
      <c r="D40" s="88">
        <f>+'SC Tonnage - Enspire'!T23+'SC Tonnage - Enspire'!T24</f>
        <v>2301.88</v>
      </c>
      <c r="E40" s="133">
        <f t="shared" si="67"/>
        <v>3323.1000000000004</v>
      </c>
      <c r="F40" s="134"/>
      <c r="G40" s="138">
        <f t="shared" si="68"/>
        <v>66560.005800700659</v>
      </c>
      <c r="H40" s="138">
        <f t="shared" si="68"/>
        <v>148157.63473343957</v>
      </c>
      <c r="I40" s="138"/>
      <c r="J40" s="149">
        <f t="shared" si="73"/>
        <v>214717.64053414023</v>
      </c>
      <c r="K40" s="11"/>
      <c r="L40" s="139">
        <f t="shared" si="69"/>
        <v>64.613656084421237</v>
      </c>
      <c r="M40" s="11"/>
      <c r="N40" s="57">
        <f>+'Customer Counts - Enspire'!D11+'Customer Counts - Enspire'!F11</f>
        <v>40179</v>
      </c>
      <c r="O40" s="132">
        <f>+'Customer Counts - Enspire'!G11+'Customer Counts - Enspire'!H11</f>
        <v>92888</v>
      </c>
      <c r="P40" s="57">
        <f t="shared" si="74"/>
        <v>133067</v>
      </c>
      <c r="Q40" s="11"/>
      <c r="R40" s="88">
        <f t="shared" si="70"/>
        <v>50.833519998008917</v>
      </c>
      <c r="S40" s="88">
        <f t="shared" si="77"/>
        <v>49.562483851520113</v>
      </c>
      <c r="T40" s="88">
        <f t="shared" si="77"/>
        <v>49.946267669670171</v>
      </c>
      <c r="V40" s="210">
        <f t="shared" si="75"/>
        <v>65.176950902548569</v>
      </c>
      <c r="X40" s="210">
        <f t="shared" si="76"/>
        <v>64.363752555928002</v>
      </c>
      <c r="Z40" s="88"/>
      <c r="AA40" s="88"/>
    </row>
    <row r="41" spans="1:27">
      <c r="A41" t="str">
        <f t="shared" si="72"/>
        <v>Apr</v>
      </c>
      <c r="B41" s="22"/>
      <c r="C41" s="88">
        <f>+'KC Tonnage - Enspire'!V27+'KC Tonnage - Enspire'!V28</f>
        <v>856.96</v>
      </c>
      <c r="D41" s="88">
        <f>+'SC Tonnage - Enspire'!T27+'SC Tonnage - Enspire'!T28</f>
        <v>2066.7600000000002</v>
      </c>
      <c r="E41" s="133">
        <f t="shared" si="67"/>
        <v>2923.7200000000003</v>
      </c>
      <c r="F41" s="134"/>
      <c r="G41" s="138">
        <f t="shared" si="68"/>
        <v>56252.359218238867</v>
      </c>
      <c r="H41" s="138">
        <f t="shared" si="68"/>
        <v>133569.0154872241</v>
      </c>
      <c r="I41" s="138"/>
      <c r="J41" s="149">
        <f t="shared" si="73"/>
        <v>189821.37470546295</v>
      </c>
      <c r="K41" s="11"/>
      <c r="L41" s="139">
        <f t="shared" si="69"/>
        <v>64.924607932860511</v>
      </c>
      <c r="M41" s="11"/>
      <c r="N41" s="57">
        <f>+'Customer Counts - Enspire'!D12+'Customer Counts - Enspire'!F12</f>
        <v>40146</v>
      </c>
      <c r="O41" s="132">
        <f>+'Customer Counts - Enspire'!G12+'Customer Counts - Enspire'!H12</f>
        <v>92789</v>
      </c>
      <c r="P41" s="57">
        <f t="shared" si="74"/>
        <v>132935</v>
      </c>
      <c r="Q41" s="11"/>
      <c r="R41" s="88">
        <f t="shared" si="70"/>
        <v>42.692173566482339</v>
      </c>
      <c r="S41" s="88">
        <f t="shared" si="77"/>
        <v>44.547521796764705</v>
      </c>
      <c r="T41" s="88">
        <f t="shared" ref="T41:T42" si="78">+E41*2000/P41</f>
        <v>43.987211795238281</v>
      </c>
      <c r="V41" s="210">
        <f t="shared" si="75"/>
        <v>65.641755995891131</v>
      </c>
      <c r="X41" s="210">
        <f t="shared" si="76"/>
        <v>64.627250134134627</v>
      </c>
      <c r="Z41" s="88"/>
      <c r="AA41" s="133"/>
    </row>
    <row r="42" spans="1:27">
      <c r="A42" t="str">
        <f t="shared" si="72"/>
        <v>May</v>
      </c>
      <c r="B42" s="22"/>
      <c r="C42" s="88">
        <f>+'KC Tonnage - Enspire'!V31+'KC Tonnage - Enspire'!V32</f>
        <v>958.34000000000015</v>
      </c>
      <c r="D42" s="88">
        <f>+'SC Tonnage - Enspire'!T31+'SC Tonnage - Enspire'!T32</f>
        <v>2280.29</v>
      </c>
      <c r="E42" s="133">
        <f t="shared" si="67"/>
        <v>3238.63</v>
      </c>
      <c r="F42" s="134"/>
      <c r="G42" s="138">
        <f t="shared" si="68"/>
        <v>56850.222384384775</v>
      </c>
      <c r="H42" s="138">
        <f t="shared" si="68"/>
        <v>130520.66587635738</v>
      </c>
      <c r="I42" s="138"/>
      <c r="J42" s="149">
        <f t="shared" si="73"/>
        <v>187370.88826074215</v>
      </c>
      <c r="K42" s="11"/>
      <c r="L42" s="139">
        <f t="shared" si="69"/>
        <v>57.854984441181038</v>
      </c>
      <c r="M42" s="11"/>
      <c r="N42" s="57">
        <f>+'Customer Counts - Enspire'!D13+'Customer Counts - Enspire'!F13</f>
        <v>40276</v>
      </c>
      <c r="O42" s="132">
        <f>+'Customer Counts - Enspire'!G13+'Customer Counts - Enspire'!H13</f>
        <v>92954</v>
      </c>
      <c r="P42" s="57">
        <f t="shared" si="74"/>
        <v>133230</v>
      </c>
      <c r="Q42" s="11"/>
      <c r="R42" s="88">
        <f t="shared" si="70"/>
        <v>47.588638395073993</v>
      </c>
      <c r="S42" s="88">
        <f t="shared" si="77"/>
        <v>49.062762226477609</v>
      </c>
      <c r="T42" s="88">
        <f t="shared" si="78"/>
        <v>48.617128274412671</v>
      </c>
      <c r="V42" s="210">
        <f t="shared" si="75"/>
        <v>59.321558511994454</v>
      </c>
      <c r="X42" s="210">
        <f t="shared" si="76"/>
        <v>57.238625734602785</v>
      </c>
      <c r="Z42" s="88"/>
      <c r="AA42" s="133"/>
    </row>
    <row r="43" spans="1:27">
      <c r="A43" t="str">
        <f t="shared" si="72"/>
        <v>Jun</v>
      </c>
      <c r="B43" s="22"/>
      <c r="C43" s="88">
        <f>+'KC Tonnage - Enspire'!V35+'KC Tonnage - Enspire'!V36</f>
        <v>1014.67</v>
      </c>
      <c r="D43" s="88">
        <f>+'SC Tonnage - Enspire'!T35+'SC Tonnage - Enspire'!T36</f>
        <v>2313.1400000000003</v>
      </c>
      <c r="E43" s="133">
        <f t="shared" si="67"/>
        <v>3327.8100000000004</v>
      </c>
      <c r="F43" s="134"/>
      <c r="G43" s="138">
        <f t="shared" si="68"/>
        <v>65617.764806918145</v>
      </c>
      <c r="H43" s="138">
        <f t="shared" si="68"/>
        <v>147258.36688192654</v>
      </c>
      <c r="I43" s="138"/>
      <c r="J43" s="149">
        <f t="shared" si="73"/>
        <v>212876.1316888447</v>
      </c>
      <c r="K43" s="11"/>
      <c r="L43" s="139">
        <f t="shared" si="69"/>
        <v>63.96883586768616</v>
      </c>
      <c r="M43" s="11"/>
      <c r="N43" s="57">
        <f>+'Customer Counts - Enspire'!D14+'Customer Counts - Enspire'!F14</f>
        <v>40333</v>
      </c>
      <c r="O43" s="132">
        <f>+'Customer Counts - Enspire'!G14+'Customer Counts - Enspire'!H14</f>
        <v>93004</v>
      </c>
      <c r="P43" s="57">
        <f>+O43+N43</f>
        <v>133337</v>
      </c>
      <c r="Q43" s="11"/>
      <c r="R43" s="88">
        <f t="shared" ref="R43:R45" si="79">+C43*2000/N43</f>
        <v>50.314630699427269</v>
      </c>
      <c r="S43" s="88">
        <f t="shared" ref="S43:S45" si="80">+D43*2000/O43</f>
        <v>49.742806760999535</v>
      </c>
      <c r="T43" s="88">
        <f t="shared" ref="T43" si="81">+E43*2000/P43</f>
        <v>49.915777316123815</v>
      </c>
      <c r="V43" s="210">
        <f t="shared" si="75"/>
        <v>64.669069556523937</v>
      </c>
      <c r="X43" s="210">
        <f t="shared" si="76"/>
        <v>63.661674988079632</v>
      </c>
      <c r="Z43" s="133"/>
      <c r="AA43" s="133"/>
    </row>
    <row r="44" spans="1:27" ht="15">
      <c r="A44" t="str">
        <f t="shared" si="72"/>
        <v>Jul</v>
      </c>
      <c r="B44" s="22"/>
      <c r="C44" s="88">
        <f>+'KC Tonnage - Enspire'!V39+'KC Tonnage - Enspire'!V40</f>
        <v>893.97000000000014</v>
      </c>
      <c r="D44" s="88">
        <f>+'SC Tonnage - Enspire'!T39+'SC Tonnage - Enspire'!T40</f>
        <v>2045.56</v>
      </c>
      <c r="E44" s="133">
        <f t="shared" si="67"/>
        <v>2939.53</v>
      </c>
      <c r="F44" s="150"/>
      <c r="G44" s="138">
        <f t="shared" si="68"/>
        <v>73358.737428992259</v>
      </c>
      <c r="H44" s="138">
        <f t="shared" si="68"/>
        <v>166849.50793863609</v>
      </c>
      <c r="I44" s="138"/>
      <c r="J44" s="149">
        <f t="shared" si="73"/>
        <v>240208.24536762835</v>
      </c>
      <c r="K44" s="11"/>
      <c r="L44" s="139">
        <f t="shared" si="69"/>
        <v>81.716548348759261</v>
      </c>
      <c r="M44" s="11"/>
      <c r="N44" s="57">
        <f>+'Customer Counts - Enspire'!D15+'Customer Counts - Enspire'!F15</f>
        <v>40420</v>
      </c>
      <c r="O44" s="132">
        <f>+'Customer Counts - Enspire'!G15+'Customer Counts - Enspire'!H15</f>
        <v>93134</v>
      </c>
      <c r="P44" s="57">
        <f>+O44+N44</f>
        <v>133554</v>
      </c>
      <c r="Q44" s="11"/>
      <c r="R44" s="88">
        <f t="shared" si="79"/>
        <v>44.234042553191493</v>
      </c>
      <c r="S44" s="88">
        <f t="shared" si="80"/>
        <v>43.927244615285503</v>
      </c>
      <c r="T44" s="88">
        <f t="shared" ref="T44" si="82">+E44*2000/P44</f>
        <v>44.020096739895472</v>
      </c>
      <c r="V44" s="210">
        <f t="shared" si="75"/>
        <v>82.059506951007577</v>
      </c>
      <c r="X44" s="210">
        <f t="shared" si="76"/>
        <v>81.566665333031594</v>
      </c>
      <c r="Z44" s="133"/>
      <c r="AA44" s="133"/>
    </row>
    <row r="45" spans="1:27" ht="15">
      <c r="A45" t="str">
        <f t="shared" si="72"/>
        <v>Aug</v>
      </c>
      <c r="B45" s="22"/>
      <c r="C45" s="88">
        <f>+'KC Tonnage - Enspire'!V43+'KC Tonnage - Enspire'!V44</f>
        <v>965.28999999999985</v>
      </c>
      <c r="D45" s="88">
        <f>+'SC Tonnage - Enspire'!T43+'SC Tonnage - Enspire'!T44</f>
        <v>2173.4700000000003</v>
      </c>
      <c r="E45" s="133">
        <f t="shared" si="67"/>
        <v>3138.76</v>
      </c>
      <c r="F45" s="150"/>
      <c r="G45" s="138">
        <f t="shared" si="68"/>
        <v>57309.00489881375</v>
      </c>
      <c r="H45" s="138">
        <f t="shared" si="68"/>
        <v>125876.72279592765</v>
      </c>
      <c r="I45" s="138"/>
      <c r="J45" s="149">
        <f t="shared" si="73"/>
        <v>183185.72769474139</v>
      </c>
      <c r="K45" s="11"/>
      <c r="L45" s="139">
        <f t="shared" si="69"/>
        <v>58.362451316679639</v>
      </c>
      <c r="M45" s="11"/>
      <c r="N45" s="57">
        <f>+'Customer Counts - Enspire'!D16+'Customer Counts - Enspire'!F16</f>
        <v>40443</v>
      </c>
      <c r="O45" s="132">
        <f>+'Customer Counts - Enspire'!G16+'Customer Counts - Enspire'!H16</f>
        <v>93308</v>
      </c>
      <c r="P45" s="57">
        <f t="shared" si="74"/>
        <v>133751</v>
      </c>
      <c r="Q45" s="11"/>
      <c r="R45" s="88">
        <f t="shared" si="79"/>
        <v>47.735825730039807</v>
      </c>
      <c r="S45" s="88">
        <f t="shared" si="80"/>
        <v>46.587002186307721</v>
      </c>
      <c r="T45" s="88">
        <f t="shared" ref="T45" si="83">+E45*2000/P45</f>
        <v>46.934378060724782</v>
      </c>
      <c r="V45" s="210">
        <f t="shared" si="75"/>
        <v>59.36972816336413</v>
      </c>
      <c r="X45" s="210">
        <f t="shared" si="76"/>
        <v>57.915095582606448</v>
      </c>
      <c r="Z45" s="133"/>
      <c r="AA45" s="133"/>
    </row>
    <row r="46" spans="1:27" s="22" customFormat="1">
      <c r="A46" s="22" t="str">
        <f t="shared" si="72"/>
        <v>Sep</v>
      </c>
      <c r="C46" s="133">
        <f>+'KC Tonnage - Enspire'!V47+'KC Tonnage - Enspire'!V48</f>
        <v>894.5200000000001</v>
      </c>
      <c r="D46" s="133">
        <f>+'SC Tonnage - Enspire'!T47+'SC Tonnage - Enspire'!T48</f>
        <v>2072.9700000000003</v>
      </c>
      <c r="E46" s="133">
        <f t="shared" si="67"/>
        <v>2967.4900000000002</v>
      </c>
      <c r="F46" s="134"/>
      <c r="G46" s="149">
        <f t="shared" ref="G46" si="84">+C46/C18*G18</f>
        <v>26601.551768542744</v>
      </c>
      <c r="H46" s="149">
        <f t="shared" ref="H46" si="85">+D46/D18*H18</f>
        <v>59898.156972941149</v>
      </c>
      <c r="I46" s="149"/>
      <c r="J46" s="149">
        <f t="shared" si="73"/>
        <v>86499.70874148389</v>
      </c>
      <c r="K46" s="134"/>
      <c r="L46" s="441">
        <f t="shared" si="69"/>
        <v>29.149115495413255</v>
      </c>
      <c r="M46" s="134"/>
      <c r="N46" s="442">
        <f>+'Customer Counts - Enspire'!D17+'Customer Counts - Enspire'!F17</f>
        <v>40479</v>
      </c>
      <c r="O46" s="137">
        <f>+'Customer Counts - Enspire'!G17+'Customer Counts - Enspire'!H17</f>
        <v>93404</v>
      </c>
      <c r="P46" s="442">
        <f t="shared" si="74"/>
        <v>133883</v>
      </c>
      <c r="Q46" s="134"/>
      <c r="R46" s="133">
        <f t="shared" ref="R46" si="86">+C46*2000/N46</f>
        <v>44.196743990711241</v>
      </c>
      <c r="S46" s="133">
        <f t="shared" ref="S46" si="87">+D46*2000/O46</f>
        <v>44.387178279302816</v>
      </c>
      <c r="T46" s="133">
        <f t="shared" ref="T46" si="88">+E46*2000/P46</f>
        <v>44.32960121897478</v>
      </c>
      <c r="V46" s="443">
        <f t="shared" si="75"/>
        <v>29.738353271634779</v>
      </c>
      <c r="X46" s="443">
        <f t="shared" si="76"/>
        <v>28.89484988829609</v>
      </c>
      <c r="Z46" s="133"/>
      <c r="AA46" s="133"/>
    </row>
    <row r="47" spans="1:27" ht="15">
      <c r="A47" t="str">
        <f t="shared" si="72"/>
        <v>Oct</v>
      </c>
      <c r="B47" s="22"/>
      <c r="C47" s="88">
        <f>+'KC Tonnage - Enspire'!V51+'KC Tonnage - Enspire'!V52</f>
        <v>0</v>
      </c>
      <c r="D47" s="88">
        <f>+'SC Tonnage - Enspire'!T51+'SC Tonnage - Enspire'!T52</f>
        <v>0</v>
      </c>
      <c r="E47" s="133">
        <f t="shared" si="67"/>
        <v>0</v>
      </c>
      <c r="F47" s="150"/>
      <c r="G47" s="138"/>
      <c r="H47" s="138"/>
      <c r="I47" s="141"/>
      <c r="J47" s="149">
        <f t="shared" si="73"/>
        <v>0</v>
      </c>
      <c r="K47" s="11"/>
      <c r="L47" s="139"/>
      <c r="M47" s="11"/>
      <c r="N47" s="57">
        <f>+'Customer Counts - Enspire'!D18+'Customer Counts - Enspire'!F18</f>
        <v>0</v>
      </c>
      <c r="O47" s="132">
        <f>+'Customer Counts - Enspire'!G18+'Customer Counts - Enspire'!H18</f>
        <v>0</v>
      </c>
      <c r="P47" s="57">
        <f t="shared" si="74"/>
        <v>0</v>
      </c>
      <c r="Q47" s="11"/>
      <c r="R47" s="88"/>
      <c r="S47" s="88"/>
      <c r="T47" s="88" t="e">
        <f t="shared" ref="T47:T49" si="89">+E47*2000/P47</f>
        <v>#DIV/0!</v>
      </c>
      <c r="V47" s="210" t="e">
        <f t="shared" si="75"/>
        <v>#DIV/0!</v>
      </c>
      <c r="X47" s="210" t="e">
        <f t="shared" si="76"/>
        <v>#DIV/0!</v>
      </c>
      <c r="Z47" s="133"/>
      <c r="AA47" s="133"/>
    </row>
    <row r="48" spans="1:27" ht="15">
      <c r="A48" t="str">
        <f t="shared" si="72"/>
        <v>Nov</v>
      </c>
      <c r="B48" s="22"/>
      <c r="C48" s="88">
        <f>+'KC Tonnage - Enspire'!V55+'KC Tonnage - Enspire'!V56</f>
        <v>0</v>
      </c>
      <c r="D48" s="88">
        <f>+'SC Tonnage - Enspire'!T55+'SC Tonnage - Enspire'!T56</f>
        <v>0</v>
      </c>
      <c r="E48" s="133">
        <f t="shared" si="67"/>
        <v>0</v>
      </c>
      <c r="F48" s="150"/>
      <c r="G48" s="138"/>
      <c r="H48" s="138"/>
      <c r="I48" s="141"/>
      <c r="J48" s="149">
        <f t="shared" si="73"/>
        <v>0</v>
      </c>
      <c r="K48" s="11"/>
      <c r="L48" s="139"/>
      <c r="M48" s="11"/>
      <c r="N48" s="57">
        <f>+'Customer Counts - Enspire'!D19+'Customer Counts - Enspire'!F19</f>
        <v>0</v>
      </c>
      <c r="O48" s="132">
        <f>+'Customer Counts - Enspire'!G19+'Customer Counts - Enspire'!H19</f>
        <v>0</v>
      </c>
      <c r="P48" s="57">
        <f t="shared" si="74"/>
        <v>0</v>
      </c>
      <c r="Q48" s="11"/>
      <c r="R48" s="88"/>
      <c r="S48" s="88"/>
      <c r="T48" s="88" t="e">
        <f t="shared" si="89"/>
        <v>#DIV/0!</v>
      </c>
      <c r="V48" s="210" t="e">
        <f t="shared" si="75"/>
        <v>#DIV/0!</v>
      </c>
      <c r="X48" s="210" t="e">
        <f t="shared" si="76"/>
        <v>#DIV/0!</v>
      </c>
      <c r="Z48" s="133"/>
      <c r="AA48" s="133"/>
    </row>
    <row r="49" spans="1:27">
      <c r="A49" t="str">
        <f t="shared" si="72"/>
        <v>Dec</v>
      </c>
      <c r="B49" s="22"/>
      <c r="C49" s="88">
        <f>+'KC Tonnage - Enspire'!V59+'KC Tonnage - Enspire'!V60</f>
        <v>0</v>
      </c>
      <c r="D49" s="88">
        <f>+'SC Tonnage - Enspire'!T59+'SC Tonnage - Enspire'!T60</f>
        <v>0</v>
      </c>
      <c r="E49" s="133">
        <f t="shared" si="67"/>
        <v>0</v>
      </c>
      <c r="F49" s="134"/>
      <c r="G49" s="138"/>
      <c r="H49" s="138"/>
      <c r="I49" s="138"/>
      <c r="J49" s="149">
        <f t="shared" si="73"/>
        <v>0</v>
      </c>
      <c r="K49" s="11"/>
      <c r="L49" s="139"/>
      <c r="M49" s="11"/>
      <c r="N49" s="57">
        <f>+'Customer Counts - Enspire'!D20+'Customer Counts - Enspire'!F20</f>
        <v>0</v>
      </c>
      <c r="O49" s="132">
        <f>+'Customer Counts - Enspire'!G20+'Customer Counts - Enspire'!H20</f>
        <v>0</v>
      </c>
      <c r="P49" s="57">
        <f t="shared" si="74"/>
        <v>0</v>
      </c>
      <c r="Q49" s="11"/>
      <c r="R49" s="88"/>
      <c r="S49" s="88"/>
      <c r="T49" s="88" t="e">
        <f t="shared" si="89"/>
        <v>#DIV/0!</v>
      </c>
      <c r="V49" s="210" t="e">
        <f t="shared" si="75"/>
        <v>#DIV/0!</v>
      </c>
      <c r="X49" s="210" t="e">
        <f t="shared" si="76"/>
        <v>#DIV/0!</v>
      </c>
      <c r="Z49" s="133"/>
      <c r="AA49" s="133"/>
    </row>
    <row r="50" spans="1:27" ht="15">
      <c r="A50" t="str">
        <f t="shared" si="72"/>
        <v>Jan. 2023</v>
      </c>
      <c r="B50" s="22"/>
      <c r="C50" s="88">
        <f>+'KC Tonnage - Enspire'!V63+'KC Tonnage - Enspire'!V64</f>
        <v>0</v>
      </c>
      <c r="D50" s="88">
        <f>+'SC Tonnage - Enspire'!T63+'SC Tonnage - Enspire'!T64</f>
        <v>0</v>
      </c>
      <c r="E50" s="133">
        <f t="shared" si="67"/>
        <v>0</v>
      </c>
      <c r="F50" s="150"/>
      <c r="G50" s="138"/>
      <c r="H50" s="138"/>
      <c r="I50" s="141"/>
      <c r="J50" s="149">
        <f t="shared" si="73"/>
        <v>0</v>
      </c>
      <c r="K50" s="11"/>
      <c r="L50" s="139"/>
      <c r="M50" s="11"/>
      <c r="N50" s="57">
        <f>+'Customer Counts - Enspire'!D21+'Customer Counts - Enspire'!F21</f>
        <v>0</v>
      </c>
      <c r="O50" s="132">
        <f>+'Customer Counts - Enspire'!G21+'Customer Counts - Enspire'!H21</f>
        <v>0</v>
      </c>
      <c r="P50" s="57">
        <f t="shared" si="74"/>
        <v>0</v>
      </c>
      <c r="Q50" s="11"/>
      <c r="R50" s="88"/>
      <c r="S50" s="88"/>
      <c r="T50" s="88" t="e">
        <f t="shared" ref="T50" si="90">+E50*2000/P50</f>
        <v>#DIV/0!</v>
      </c>
      <c r="V50" s="210" t="e">
        <f t="shared" si="75"/>
        <v>#DIV/0!</v>
      </c>
      <c r="X50" s="210" t="e">
        <f t="shared" si="76"/>
        <v>#DIV/0!</v>
      </c>
      <c r="Z50" s="88"/>
      <c r="AA50" s="133"/>
    </row>
    <row r="51" spans="1:27" ht="15">
      <c r="A51" t="str">
        <f t="shared" si="72"/>
        <v>Feb</v>
      </c>
      <c r="B51" s="22"/>
      <c r="C51" s="88">
        <f>+'KC Tonnage - Enspire'!V67+'KC Tonnage - Enspire'!V68</f>
        <v>0</v>
      </c>
      <c r="D51" s="88">
        <f>+'SC Tonnage - Enspire'!T67+'SC Tonnage - Enspire'!T68</f>
        <v>0</v>
      </c>
      <c r="E51" s="133">
        <f t="shared" si="67"/>
        <v>0</v>
      </c>
      <c r="F51" s="150"/>
      <c r="G51" s="138"/>
      <c r="H51" s="138"/>
      <c r="I51" s="141"/>
      <c r="J51" s="149">
        <f t="shared" si="73"/>
        <v>0</v>
      </c>
      <c r="K51" s="11"/>
      <c r="L51" s="139"/>
      <c r="M51" s="11"/>
      <c r="N51" s="57">
        <f>+'Customer Counts - Enspire'!D22+'Customer Counts - Enspire'!F22</f>
        <v>0</v>
      </c>
      <c r="O51" s="132">
        <f>+'Customer Counts - Enspire'!G22+'Customer Counts - Enspire'!H22</f>
        <v>0</v>
      </c>
      <c r="P51" s="57">
        <f t="shared" si="74"/>
        <v>0</v>
      </c>
      <c r="Q51" s="11"/>
      <c r="R51" s="88"/>
      <c r="S51" s="88"/>
      <c r="T51" s="88" t="e">
        <f t="shared" ref="T51" si="91">+E51*2000/P51</f>
        <v>#DIV/0!</v>
      </c>
      <c r="V51" s="210" t="e">
        <f t="shared" si="75"/>
        <v>#DIV/0!</v>
      </c>
      <c r="X51" s="210" t="e">
        <f t="shared" si="76"/>
        <v>#DIV/0!</v>
      </c>
      <c r="Z51" s="88"/>
      <c r="AA51" s="133"/>
    </row>
    <row r="52" spans="1:27">
      <c r="A52" t="str">
        <f>+A24</f>
        <v>Mar</v>
      </c>
      <c r="B52" s="22"/>
      <c r="C52" s="88">
        <f>+'KC Tonnage - Enspire'!V71+'KC Tonnage - Enspire'!V72</f>
        <v>0</v>
      </c>
      <c r="D52" s="88">
        <f>+'SC Tonnage - Enspire'!T71+'SC Tonnage - Enspire'!T72</f>
        <v>0</v>
      </c>
      <c r="E52" s="133">
        <f t="shared" si="67"/>
        <v>0</v>
      </c>
      <c r="F52" s="134"/>
      <c r="G52" s="138"/>
      <c r="H52" s="138"/>
      <c r="I52" s="138"/>
      <c r="J52" s="149">
        <f t="shared" si="73"/>
        <v>0</v>
      </c>
      <c r="K52" s="11"/>
      <c r="L52" s="139"/>
      <c r="M52" s="11"/>
      <c r="N52" s="57">
        <f>+'Customer Counts - Enspire'!D23+'Customer Counts - Enspire'!F23</f>
        <v>0</v>
      </c>
      <c r="O52" s="132">
        <f>+'Customer Counts - Enspire'!G23+'Customer Counts - Enspire'!H23</f>
        <v>0</v>
      </c>
      <c r="P52" s="57">
        <f t="shared" si="74"/>
        <v>0</v>
      </c>
      <c r="Q52" s="11"/>
      <c r="R52" s="88"/>
      <c r="S52" s="88"/>
      <c r="T52" s="88" t="e">
        <f t="shared" ref="T52" si="92">+E52*2000/P52</f>
        <v>#DIV/0!</v>
      </c>
      <c r="V52" s="210" t="e">
        <f t="shared" ref="V52" si="93">+G52/C52</f>
        <v>#DIV/0!</v>
      </c>
      <c r="X52" s="210" t="e">
        <f t="shared" ref="X52" si="94">+H52/D52</f>
        <v>#DIV/0!</v>
      </c>
      <c r="Z52" s="88"/>
      <c r="AA52" s="133"/>
    </row>
    <row r="53" spans="1:27" ht="15">
      <c r="A53" t="str">
        <f t="shared" si="72"/>
        <v>Apr</v>
      </c>
      <c r="B53" s="22"/>
      <c r="C53" s="88">
        <f>+'KC Tonnage - Enspire'!V75+'KC Tonnage - Enspire'!V76</f>
        <v>0</v>
      </c>
      <c r="D53" s="88">
        <f>+'SC Tonnage - Enspire'!T75+'SC Tonnage - Enspire'!T76</f>
        <v>0</v>
      </c>
      <c r="E53" s="133">
        <f t="shared" si="67"/>
        <v>0</v>
      </c>
      <c r="F53" s="150"/>
      <c r="G53" s="138"/>
      <c r="H53" s="138"/>
      <c r="I53" s="141"/>
      <c r="J53" s="149">
        <f t="shared" si="73"/>
        <v>0</v>
      </c>
      <c r="K53" s="11"/>
      <c r="L53" s="139"/>
      <c r="M53" s="11"/>
      <c r="N53" s="57">
        <f>+'Customer Counts - Enspire'!D24+'Customer Counts - Enspire'!F24</f>
        <v>0</v>
      </c>
      <c r="O53" s="132">
        <f>+'Customer Counts - Enspire'!G24+'Customer Counts - Enspire'!H24</f>
        <v>0</v>
      </c>
      <c r="P53" s="57">
        <f t="shared" si="74"/>
        <v>0</v>
      </c>
      <c r="Q53" s="11"/>
      <c r="R53" s="88"/>
      <c r="S53" s="88"/>
      <c r="T53" s="88" t="e">
        <f t="shared" ref="T53" si="95">+E53*2000/P53</f>
        <v>#DIV/0!</v>
      </c>
      <c r="V53" s="210" t="e">
        <f t="shared" ref="V53" si="96">+G53/C53</f>
        <v>#DIV/0!</v>
      </c>
      <c r="X53" s="210" t="e">
        <f t="shared" ref="X53" si="97">+H53/D53</f>
        <v>#DIV/0!</v>
      </c>
      <c r="Z53" s="88"/>
      <c r="AA53" s="133"/>
    </row>
    <row r="54" spans="1:27" ht="15">
      <c r="A54" t="str">
        <f t="shared" si="72"/>
        <v>May</v>
      </c>
      <c r="B54" s="22"/>
      <c r="C54" s="88">
        <f>+'KC Tonnage - Enspire'!V79+'KC Tonnage - Enspire'!V80</f>
        <v>0</v>
      </c>
      <c r="D54" s="88">
        <f>+'SC Tonnage - Enspire'!T79+'SC Tonnage - Enspire'!T80</f>
        <v>0</v>
      </c>
      <c r="E54" s="133">
        <f t="shared" si="67"/>
        <v>0</v>
      </c>
      <c r="F54" s="150"/>
      <c r="G54" s="138"/>
      <c r="H54" s="138"/>
      <c r="I54" s="141"/>
      <c r="J54" s="149">
        <f t="shared" si="73"/>
        <v>0</v>
      </c>
      <c r="K54" s="11"/>
      <c r="L54" s="139"/>
      <c r="M54" s="11"/>
      <c r="N54" s="57">
        <f>+'Customer Counts - Enspire'!D25+'Customer Counts - Enspire'!F25</f>
        <v>0</v>
      </c>
      <c r="O54" s="132">
        <f>+'Customer Counts - Enspire'!G25+'Customer Counts - Enspire'!H25</f>
        <v>0</v>
      </c>
      <c r="P54" s="57">
        <f t="shared" si="74"/>
        <v>0</v>
      </c>
      <c r="Q54" s="11"/>
      <c r="R54" s="88"/>
      <c r="S54" s="88"/>
      <c r="T54" s="88" t="e">
        <f t="shared" ref="T54" si="98">+E54*2000/P54</f>
        <v>#DIV/0!</v>
      </c>
      <c r="V54" s="210" t="e">
        <f t="shared" ref="V54" si="99">+G54/C54</f>
        <v>#DIV/0!</v>
      </c>
      <c r="X54" s="210" t="e">
        <f t="shared" ref="X54" si="100">+H54/D54</f>
        <v>#DIV/0!</v>
      </c>
      <c r="Z54" s="88"/>
      <c r="AA54" s="133"/>
    </row>
    <row r="55" spans="1:27" ht="15">
      <c r="A55" t="str">
        <f t="shared" si="72"/>
        <v>Jun</v>
      </c>
      <c r="B55" s="22"/>
      <c r="C55" s="88">
        <f>+'KC Tonnage - Enspire'!V83+'KC Tonnage - Enspire'!V84</f>
        <v>0</v>
      </c>
      <c r="D55" s="88">
        <f>+'SC Tonnage - Enspire'!T83+'SC Tonnage - Enspire'!T84</f>
        <v>0</v>
      </c>
      <c r="E55" s="133">
        <f t="shared" si="67"/>
        <v>0</v>
      </c>
      <c r="F55" s="150"/>
      <c r="G55" s="138"/>
      <c r="H55" s="138"/>
      <c r="I55" s="141"/>
      <c r="J55" s="149">
        <f t="shared" si="73"/>
        <v>0</v>
      </c>
      <c r="K55" s="11"/>
      <c r="L55" s="139"/>
      <c r="M55" s="11"/>
      <c r="N55" s="57">
        <f>+'Customer Counts - Enspire'!D26+'Customer Counts - Enspire'!F26</f>
        <v>0</v>
      </c>
      <c r="O55" s="132">
        <f>+'Customer Counts - Enspire'!G26+'Customer Counts - Enspire'!H26</f>
        <v>0</v>
      </c>
      <c r="P55" s="57">
        <f t="shared" si="74"/>
        <v>0</v>
      </c>
      <c r="Q55" s="11"/>
      <c r="R55" s="88"/>
      <c r="S55" s="88"/>
      <c r="T55" s="88" t="e">
        <f t="shared" ref="T55" si="101">+E55*2000/P55</f>
        <v>#DIV/0!</v>
      </c>
      <c r="V55" s="210" t="e">
        <f t="shared" ref="V55" si="102">+G55/C55</f>
        <v>#DIV/0!</v>
      </c>
      <c r="X55" s="210" t="e">
        <f t="shared" ref="X55" si="103">+H55/D55</f>
        <v>#DIV/0!</v>
      </c>
      <c r="Z55" s="88"/>
      <c r="AA55" s="133"/>
    </row>
    <row r="56" spans="1:27" ht="15">
      <c r="A56" t="str">
        <f t="shared" si="72"/>
        <v>Jul</v>
      </c>
      <c r="B56" s="22"/>
      <c r="C56" s="88">
        <f>+'KC Tonnage - Enspire'!V87+'KC Tonnage - Enspire'!V88</f>
        <v>0</v>
      </c>
      <c r="D56" s="88">
        <f>+'SC Tonnage - Enspire'!T87+'SC Tonnage - Enspire'!T88</f>
        <v>0</v>
      </c>
      <c r="E56" s="133">
        <f t="shared" si="67"/>
        <v>0</v>
      </c>
      <c r="F56" s="150"/>
      <c r="G56" s="138"/>
      <c r="H56" s="138"/>
      <c r="I56" s="141"/>
      <c r="J56" s="149">
        <f t="shared" si="73"/>
        <v>0</v>
      </c>
      <c r="K56" s="11"/>
      <c r="L56" s="139"/>
      <c r="M56" s="11"/>
      <c r="N56" s="57">
        <f>+'Customer Counts - Enspire'!D27+'Customer Counts - Enspire'!F27</f>
        <v>0</v>
      </c>
      <c r="O56" s="132">
        <f>+'Customer Counts - Enspire'!G27+'Customer Counts - Enspire'!H27</f>
        <v>0</v>
      </c>
      <c r="P56" s="57">
        <f t="shared" si="74"/>
        <v>0</v>
      </c>
      <c r="Q56" s="11"/>
      <c r="R56" s="88"/>
      <c r="S56" s="88"/>
      <c r="T56" s="88" t="e">
        <f t="shared" ref="T56" si="104">+E56*2000/P56</f>
        <v>#DIV/0!</v>
      </c>
      <c r="V56" s="210" t="e">
        <f t="shared" ref="V56" si="105">+G56/C56</f>
        <v>#DIV/0!</v>
      </c>
      <c r="X56" s="210" t="e">
        <f t="shared" ref="X56" si="106">+H56/D56</f>
        <v>#DIV/0!</v>
      </c>
      <c r="Z56" s="88"/>
      <c r="AA56" s="133"/>
    </row>
    <row r="57" spans="1:27" ht="15">
      <c r="A57" t="str">
        <f t="shared" si="72"/>
        <v>Aug</v>
      </c>
      <c r="B57" s="22"/>
      <c r="C57" s="88">
        <f>+'KC Tonnage - Enspire'!V91+'KC Tonnage - Enspire'!V92</f>
        <v>0</v>
      </c>
      <c r="D57" s="88">
        <f>+'SC Tonnage - Enspire'!T91+'SC Tonnage - Enspire'!T92</f>
        <v>0</v>
      </c>
      <c r="E57" s="392">
        <f t="shared" si="67"/>
        <v>0</v>
      </c>
      <c r="F57" s="386"/>
      <c r="G57" s="390"/>
      <c r="H57" s="390"/>
      <c r="I57" s="385"/>
      <c r="J57" s="393">
        <f t="shared" si="73"/>
        <v>0</v>
      </c>
      <c r="K57" s="90"/>
      <c r="L57" s="391"/>
      <c r="M57" s="90"/>
      <c r="N57" s="383">
        <f>+'Customer Counts - Enspire'!D28+'Customer Counts - Enspire'!F28</f>
        <v>0</v>
      </c>
      <c r="O57" s="380">
        <f>+'Customer Counts - Enspire'!G28+'Customer Counts - Enspire'!H28</f>
        <v>0</v>
      </c>
      <c r="P57" s="383">
        <f t="shared" si="74"/>
        <v>0</v>
      </c>
      <c r="Q57" s="286"/>
      <c r="R57" s="381"/>
      <c r="S57" s="381"/>
      <c r="T57" s="381" t="e">
        <f t="shared" ref="T57:T58" si="107">+E57*2000/P57</f>
        <v>#DIV/0!</v>
      </c>
      <c r="U57" s="286"/>
      <c r="V57" s="391" t="e">
        <f t="shared" ref="V57:V58" si="108">+G57/C57</f>
        <v>#DIV/0!</v>
      </c>
      <c r="W57" s="286"/>
      <c r="X57" s="391" t="e">
        <f t="shared" ref="X57:X58" si="109">+H57/D57</f>
        <v>#DIV/0!</v>
      </c>
      <c r="Z57" s="88"/>
      <c r="AA57" s="133"/>
    </row>
    <row r="58" spans="1:27" ht="15">
      <c r="A58" t="str">
        <f t="shared" si="72"/>
        <v>Sep</v>
      </c>
      <c r="B58" s="22"/>
      <c r="C58" s="74">
        <f>+'KC Tonnage - Enspire'!V95+'KC Tonnage - Enspire'!V96</f>
        <v>0</v>
      </c>
      <c r="D58" s="74">
        <f>+'SC Tonnage - Enspire'!T95+'SC Tonnage - Enspire'!T96</f>
        <v>0</v>
      </c>
      <c r="E58" s="162">
        <f t="shared" si="67"/>
        <v>0</v>
      </c>
      <c r="F58" s="386"/>
      <c r="G58" s="263"/>
      <c r="H58" s="263"/>
      <c r="I58" s="385"/>
      <c r="J58" s="399">
        <f t="shared" si="73"/>
        <v>0</v>
      </c>
      <c r="K58" s="90"/>
      <c r="L58" s="397"/>
      <c r="M58" s="286"/>
      <c r="N58" s="398">
        <f>+'Customer Counts - Enspire'!D29+'Customer Counts - Enspire'!F29</f>
        <v>0</v>
      </c>
      <c r="O58" s="102">
        <f>+'Customer Counts - Enspire'!G29+'Customer Counts - Enspire'!H29</f>
        <v>0</v>
      </c>
      <c r="P58" s="398">
        <f t="shared" si="74"/>
        <v>0</v>
      </c>
      <c r="Q58" s="286"/>
      <c r="R58" s="74"/>
      <c r="S58" s="74"/>
      <c r="T58" s="74" t="e">
        <f t="shared" si="107"/>
        <v>#DIV/0!</v>
      </c>
      <c r="U58" s="189"/>
      <c r="V58" s="397" t="e">
        <f t="shared" si="108"/>
        <v>#DIV/0!</v>
      </c>
      <c r="W58" s="189"/>
      <c r="X58" s="397" t="e">
        <f t="shared" si="109"/>
        <v>#DIV/0!</v>
      </c>
      <c r="Z58" s="74"/>
      <c r="AA58" s="74"/>
    </row>
    <row r="59" spans="1:27" ht="15">
      <c r="C59" s="145">
        <f>SUM(C35:C58)</f>
        <v>11507.88</v>
      </c>
      <c r="D59" s="145">
        <f t="shared" ref="D59:P59" si="110">SUM(D35:D58)</f>
        <v>26912.630000000005</v>
      </c>
      <c r="E59" s="145">
        <f t="shared" si="110"/>
        <v>38420.51</v>
      </c>
      <c r="F59" s="145"/>
      <c r="G59" s="146">
        <f t="shared" si="110"/>
        <v>782978.9804446171</v>
      </c>
      <c r="H59" s="146">
        <f t="shared" si="110"/>
        <v>1818002.4248404971</v>
      </c>
      <c r="I59" s="145"/>
      <c r="J59" s="146">
        <f t="shared" si="110"/>
        <v>2600981.405285114</v>
      </c>
      <c r="K59" s="145"/>
      <c r="L59" s="147">
        <f>+J59/E59</f>
        <v>67.697732416490922</v>
      </c>
      <c r="M59" s="145"/>
      <c r="N59" s="148">
        <f t="shared" si="110"/>
        <v>483015</v>
      </c>
      <c r="O59" s="148">
        <f t="shared" si="110"/>
        <v>1127483</v>
      </c>
      <c r="P59" s="148">
        <f t="shared" si="110"/>
        <v>1610498</v>
      </c>
      <c r="Q59" s="11"/>
      <c r="R59" s="145">
        <f>+C59*2000/N59</f>
        <v>47.650197198844758</v>
      </c>
      <c r="S59" s="145">
        <f>+D59*2000/O59</f>
        <v>47.739309594911859</v>
      </c>
      <c r="T59" s="145">
        <f>+E59*2000/P59</f>
        <v>47.712583312739291</v>
      </c>
      <c r="V59" s="291">
        <f t="shared" ref="V59" si="111">+G59/C59</f>
        <v>68.038507565652154</v>
      </c>
      <c r="W59" s="292"/>
      <c r="X59" s="291">
        <f t="shared" ref="X59" si="112">+H59/D59</f>
        <v>67.552016463663961</v>
      </c>
      <c r="Y59" s="289"/>
    </row>
    <row r="60" spans="1:27" ht="15">
      <c r="C60" s="270">
        <f>+C59/E59</f>
        <v>0.29952439465275182</v>
      </c>
      <c r="D60" s="270">
        <f>+D59/E59</f>
        <v>0.70047560534724818</v>
      </c>
      <c r="E60" s="87">
        <f>+D60+C60</f>
        <v>1</v>
      </c>
      <c r="F60" s="11"/>
      <c r="G60" s="270">
        <f>+G59/J59</f>
        <v>0.30103213304548354</v>
      </c>
      <c r="H60" s="270">
        <f>+H59/J59</f>
        <v>0.69896786695451663</v>
      </c>
      <c r="I60" s="11"/>
      <c r="J60" s="87">
        <f>+H60+G60</f>
        <v>1.0000000000000002</v>
      </c>
      <c r="K60" s="11"/>
      <c r="L60" s="11"/>
      <c r="M60" s="11"/>
      <c r="N60" s="270">
        <f>+N59/P59</f>
        <v>0.29991654755237201</v>
      </c>
      <c r="O60" s="270">
        <f>+O59/P59</f>
        <v>0.70008345244762804</v>
      </c>
      <c r="P60" s="87">
        <f>+O60+N60</f>
        <v>1</v>
      </c>
      <c r="Q60" s="11"/>
      <c r="R60" s="11"/>
      <c r="S60" s="11"/>
      <c r="T60" s="11"/>
      <c r="V60" s="292"/>
      <c r="W60" s="293"/>
      <c r="X60" s="293"/>
      <c r="Y60" s="289"/>
    </row>
    <row r="61" spans="1:27" s="54" customFormat="1" ht="16.5">
      <c r="A61" s="69" t="s">
        <v>274</v>
      </c>
      <c r="C61" s="157">
        <f>+C66/24*12</f>
        <v>12292</v>
      </c>
      <c r="D61" s="152">
        <f>+D66/24*12</f>
        <v>29718</v>
      </c>
      <c r="E61" s="153">
        <f>+D61+C61</f>
        <v>42010</v>
      </c>
      <c r="F61" s="90"/>
      <c r="G61" s="154">
        <f>+G66/24*12</f>
        <v>832000</v>
      </c>
      <c r="H61" s="154">
        <f>+H66/24*12</f>
        <v>2002000</v>
      </c>
      <c r="I61" s="154"/>
      <c r="J61" s="155">
        <f>+H61+G61</f>
        <v>2834000</v>
      </c>
      <c r="K61" s="90"/>
      <c r="L61" s="156">
        <f>+J61/E61</f>
        <v>67.460128540823618</v>
      </c>
      <c r="M61" s="90"/>
      <c r="N61" s="157">
        <f>+N66/24*12</f>
        <v>482208</v>
      </c>
      <c r="O61" s="157">
        <f>+O66/24*12</f>
        <v>1230588</v>
      </c>
      <c r="P61" s="157">
        <f>+O61+N61</f>
        <v>1712796</v>
      </c>
      <c r="Q61" s="90"/>
      <c r="R61" s="153">
        <f>+C61*2000/N61</f>
        <v>50.982148782268233</v>
      </c>
      <c r="S61" s="153">
        <f>+D61*2000/O61</f>
        <v>48.298862007430593</v>
      </c>
      <c r="T61" s="153">
        <f>+E61*2000/P61</f>
        <v>49.054294848890351</v>
      </c>
      <c r="V61" s="291">
        <f t="shared" ref="V61" si="113">+G61/C61</f>
        <v>67.686300032541496</v>
      </c>
      <c r="W61" s="292"/>
      <c r="X61" s="291">
        <f t="shared" ref="X61" si="114">+H61/D61</f>
        <v>67.366579177602802</v>
      </c>
    </row>
    <row r="62" spans="1:27">
      <c r="A62" s="70"/>
      <c r="C62" s="270">
        <f>+C61/E61</f>
        <v>0.29259700071411571</v>
      </c>
      <c r="D62" s="270">
        <f>+D61/E61</f>
        <v>0.70740299928588435</v>
      </c>
      <c r="E62" s="87">
        <f>+D62+C62</f>
        <v>1</v>
      </c>
      <c r="F62" s="11"/>
      <c r="G62" s="270">
        <f>+G61/J61</f>
        <v>0.29357798165137616</v>
      </c>
      <c r="H62" s="270">
        <f>+H61/J61</f>
        <v>0.70642201834862384</v>
      </c>
      <c r="I62" s="11"/>
      <c r="J62" s="87">
        <f>+H62+G62</f>
        <v>1</v>
      </c>
      <c r="K62" s="11"/>
      <c r="L62" s="11"/>
      <c r="M62" s="11"/>
      <c r="N62" s="11"/>
      <c r="O62" s="11"/>
      <c r="P62" s="11"/>
      <c r="Q62" s="11"/>
      <c r="R62" s="11"/>
      <c r="S62" s="11"/>
      <c r="T62" s="11"/>
    </row>
    <row r="63" spans="1:27" s="55" customFormat="1" ht="16.5">
      <c r="A63" s="55" t="s">
        <v>90</v>
      </c>
      <c r="C63" s="145">
        <f>+C59-C61</f>
        <v>-784.1200000000008</v>
      </c>
      <c r="D63" s="145">
        <f>+D59-D61</f>
        <v>-2805.3699999999953</v>
      </c>
      <c r="E63" s="145">
        <f>+E59-E61</f>
        <v>-3589.489999999998</v>
      </c>
      <c r="F63" s="145"/>
      <c r="G63" s="146">
        <f>+G59-G61</f>
        <v>-49021.019555382896</v>
      </c>
      <c r="H63" s="146">
        <f>+H59-H61</f>
        <v>-183997.57515950291</v>
      </c>
      <c r="I63" s="146"/>
      <c r="J63" s="146">
        <f>+J59-J61</f>
        <v>-233018.59471488604</v>
      </c>
      <c r="K63" s="145"/>
      <c r="L63" s="145">
        <f>+L59-L61</f>
        <v>0.23760387566730401</v>
      </c>
      <c r="M63" s="145"/>
      <c r="N63" s="148">
        <f>+N59-N61</f>
        <v>807</v>
      </c>
      <c r="O63" s="148">
        <f>+O59-O61</f>
        <v>-103105</v>
      </c>
      <c r="P63" s="148">
        <f>+P59-P61</f>
        <v>-102298</v>
      </c>
      <c r="Q63" s="145"/>
      <c r="R63" s="145">
        <f>+R59-R61</f>
        <v>-3.331951583423475</v>
      </c>
      <c r="S63" s="145">
        <f>+S59-S61</f>
        <v>-0.55955241251873389</v>
      </c>
      <c r="T63" s="145">
        <f>+T59-T61</f>
        <v>-1.3417115361510596</v>
      </c>
    </row>
    <row r="64" spans="1:27">
      <c r="C64" s="135">
        <f>+C63/C61</f>
        <v>-6.3791083631630399E-2</v>
      </c>
      <c r="D64" s="135">
        <f>+D63/D61</f>
        <v>-9.439969042331231E-2</v>
      </c>
      <c r="E64" s="135">
        <f>+E63/E61</f>
        <v>-8.5443703880028518E-2</v>
      </c>
      <c r="F64" s="135"/>
      <c r="G64" s="135">
        <f>+G63/G61</f>
        <v>-5.8919494657912137E-2</v>
      </c>
      <c r="H64" s="135">
        <f>+H63/H61</f>
        <v>-9.190688069905241E-2</v>
      </c>
      <c r="I64" s="135"/>
      <c r="J64" s="135">
        <f>+J63/J61</f>
        <v>-8.2222510485139746E-2</v>
      </c>
      <c r="K64" s="11"/>
      <c r="L64" s="135">
        <f>+L63/L61</f>
        <v>3.522137902887594E-3</v>
      </c>
      <c r="M64" s="135"/>
      <c r="N64" s="135">
        <f>+N63/N61</f>
        <v>1.6735516623531755E-3</v>
      </c>
      <c r="O64" s="135">
        <f>+O63/O61</f>
        <v>-8.3785149863317379E-2</v>
      </c>
      <c r="P64" s="135">
        <f>+P63/P61</f>
        <v>-5.9725734997045768E-2</v>
      </c>
      <c r="Q64" s="135"/>
      <c r="R64" s="135">
        <f>+R63/R61</f>
        <v>-6.5355259890150785E-2</v>
      </c>
      <c r="S64" s="135">
        <f>+S63/S61</f>
        <v>-1.1585209035207681E-2</v>
      </c>
      <c r="T64" s="135">
        <f>+T63/T61</f>
        <v>-2.7351560964929664E-2</v>
      </c>
      <c r="V64" s="418"/>
      <c r="W64" s="418"/>
      <c r="X64" s="418"/>
    </row>
    <row r="65" spans="1:20">
      <c r="C65" s="11"/>
      <c r="D65" s="11"/>
      <c r="E65" s="11"/>
      <c r="F65" s="11"/>
      <c r="G65" s="11"/>
      <c r="H65" s="11"/>
      <c r="I65" s="11"/>
      <c r="J65" s="11"/>
      <c r="K65" s="11"/>
      <c r="L65" s="11"/>
      <c r="M65" s="11"/>
      <c r="N65" s="11"/>
      <c r="O65" s="11"/>
      <c r="P65" s="11"/>
      <c r="Q65" s="11"/>
      <c r="R65" s="11"/>
      <c r="S65" s="11"/>
      <c r="T65" s="11"/>
    </row>
    <row r="66" spans="1:20" s="54" customFormat="1" ht="16.5">
      <c r="A66" s="69" t="s">
        <v>275</v>
      </c>
      <c r="C66" s="152">
        <f>+'KC 2022-2023 Budget'!D12</f>
        <v>24584</v>
      </c>
      <c r="D66" s="152">
        <f>+'SC 2022-2023 Budget'!D11</f>
        <v>59436</v>
      </c>
      <c r="E66" s="153">
        <f>+D66+C66</f>
        <v>84020</v>
      </c>
      <c r="F66" s="90"/>
      <c r="G66" s="154">
        <f>+'KC 2022-2023 Budget'!D16</f>
        <v>1664000</v>
      </c>
      <c r="H66" s="154">
        <f>+'SC 2022-2023 Budget'!D15</f>
        <v>4004000</v>
      </c>
      <c r="I66" s="154"/>
      <c r="J66" s="155">
        <f>+H66+G66</f>
        <v>5668000</v>
      </c>
      <c r="K66" s="90"/>
      <c r="L66" s="156">
        <f>+J66/E66</f>
        <v>67.460128540823618</v>
      </c>
      <c r="M66" s="90"/>
      <c r="N66" s="157">
        <f>+'KC 2022-2023 Budget'!D8*24</f>
        <v>964416</v>
      </c>
      <c r="O66" s="157">
        <f>+'SC 2022-2023 Budget'!D7*24</f>
        <v>2461176</v>
      </c>
      <c r="P66" s="157">
        <f>+O66+N66</f>
        <v>3425592</v>
      </c>
      <c r="Q66" s="90"/>
      <c r="R66" s="153">
        <f>+R61</f>
        <v>50.982148782268233</v>
      </c>
      <c r="S66" s="153">
        <f>+S61</f>
        <v>48.298862007430593</v>
      </c>
      <c r="T66" s="153">
        <f>+T61</f>
        <v>49.054294848890351</v>
      </c>
    </row>
    <row r="67" spans="1:20" s="54" customFormat="1" ht="16.5">
      <c r="A67" s="69"/>
      <c r="C67" s="270"/>
      <c r="D67" s="270"/>
      <c r="E67" s="87"/>
      <c r="F67" s="90"/>
      <c r="G67" s="270"/>
      <c r="H67" s="270"/>
      <c r="I67" s="11"/>
      <c r="J67" s="87"/>
      <c r="K67" s="90"/>
      <c r="L67" s="156"/>
      <c r="M67" s="90"/>
      <c r="N67" s="157"/>
      <c r="O67" s="157"/>
      <c r="P67" s="157"/>
      <c r="Q67" s="90"/>
      <c r="R67" s="153"/>
      <c r="S67" s="153"/>
      <c r="T67" s="153"/>
    </row>
    <row r="68" spans="1:20" s="54" customFormat="1" ht="16.5">
      <c r="A68" s="78"/>
      <c r="C68" s="152"/>
      <c r="D68" s="152"/>
      <c r="E68" s="153"/>
      <c r="F68" s="90"/>
      <c r="G68" s="158">
        <f>+G63*0.5</f>
        <v>-24510.509777691448</v>
      </c>
      <c r="H68" s="158">
        <f>+H63*0.5</f>
        <v>-91998.787579751457</v>
      </c>
      <c r="I68" s="154"/>
      <c r="J68" s="159"/>
      <c r="K68" s="90"/>
      <c r="L68" s="156"/>
      <c r="M68" s="90"/>
      <c r="N68" s="157"/>
      <c r="O68" s="157"/>
      <c r="P68" s="157"/>
      <c r="Q68" s="90"/>
      <c r="R68" s="153"/>
      <c r="S68" s="153"/>
      <c r="T68" s="153"/>
    </row>
    <row r="69" spans="1:20" s="54" customFormat="1" ht="16.5">
      <c r="A69" s="69"/>
      <c r="C69" s="152"/>
      <c r="D69" s="152"/>
      <c r="E69" s="153"/>
      <c r="F69" s="90"/>
      <c r="G69" s="158"/>
      <c r="H69" s="158"/>
      <c r="I69" s="158"/>
      <c r="J69" s="158"/>
      <c r="K69" s="90"/>
      <c r="L69" s="156"/>
      <c r="M69" s="90"/>
      <c r="N69" s="157"/>
      <c r="O69" s="157"/>
      <c r="P69" s="157"/>
      <c r="Q69" s="90"/>
      <c r="R69" s="153"/>
      <c r="S69" s="153"/>
      <c r="T69" s="153"/>
    </row>
    <row r="70" spans="1:20" ht="15">
      <c r="A70" s="56" t="s">
        <v>91</v>
      </c>
      <c r="C70" s="11"/>
      <c r="D70" s="11"/>
      <c r="E70" s="11"/>
      <c r="F70" s="11"/>
      <c r="G70" s="11"/>
      <c r="H70" s="136"/>
      <c r="I70" s="11"/>
      <c r="J70" s="11"/>
      <c r="K70" s="11"/>
      <c r="L70" s="11"/>
      <c r="M70" s="11"/>
      <c r="N70" s="11"/>
      <c r="O70" s="11"/>
      <c r="P70" s="11"/>
      <c r="Q70" s="11"/>
      <c r="R70" s="473" t="s">
        <v>143</v>
      </c>
      <c r="S70" s="473"/>
      <c r="T70" s="11"/>
    </row>
    <row r="71" spans="1:20" ht="15">
      <c r="A71" s="56"/>
      <c r="C71" s="471" t="s">
        <v>96</v>
      </c>
      <c r="D71" s="471"/>
      <c r="E71" s="471"/>
      <c r="F71" s="11"/>
      <c r="G71" s="472" t="s">
        <v>100</v>
      </c>
      <c r="H71" s="472"/>
      <c r="I71" s="11"/>
      <c r="J71" s="11"/>
      <c r="K71" s="11"/>
      <c r="L71" s="11"/>
      <c r="M71" s="11"/>
      <c r="N71" s="160" t="s">
        <v>71</v>
      </c>
      <c r="O71" s="160" t="s">
        <v>71</v>
      </c>
      <c r="P71" s="160" t="s">
        <v>43</v>
      </c>
      <c r="Q71" s="11"/>
      <c r="R71" s="160" t="s">
        <v>104</v>
      </c>
      <c r="S71" s="160" t="s">
        <v>104</v>
      </c>
      <c r="T71" s="11"/>
    </row>
    <row r="72" spans="1:20" ht="15">
      <c r="A72" s="56"/>
      <c r="C72" s="99"/>
      <c r="D72" s="160" t="s">
        <v>14</v>
      </c>
      <c r="E72" s="160"/>
      <c r="F72" s="11"/>
      <c r="G72" s="160" t="s">
        <v>99</v>
      </c>
      <c r="H72" s="11"/>
      <c r="I72" s="11"/>
      <c r="J72" s="160" t="s">
        <v>99</v>
      </c>
      <c r="K72" s="11"/>
      <c r="L72" s="160" t="s">
        <v>14</v>
      </c>
      <c r="M72" s="11"/>
      <c r="N72" s="160" t="s">
        <v>82</v>
      </c>
      <c r="O72" s="160" t="s">
        <v>31</v>
      </c>
      <c r="P72" s="160" t="s">
        <v>85</v>
      </c>
      <c r="Q72" s="11"/>
      <c r="R72" s="160" t="s">
        <v>137</v>
      </c>
      <c r="S72" s="160" t="s">
        <v>137</v>
      </c>
      <c r="T72" s="11"/>
    </row>
    <row r="73" spans="1:20" ht="15">
      <c r="A73" s="56"/>
      <c r="C73" s="161" t="s">
        <v>16</v>
      </c>
      <c r="D73" s="161" t="s">
        <v>17</v>
      </c>
      <c r="E73" s="161" t="s">
        <v>71</v>
      </c>
      <c r="F73" s="11"/>
      <c r="G73" s="161" t="s">
        <v>72</v>
      </c>
      <c r="H73" s="161" t="s">
        <v>71</v>
      </c>
      <c r="I73" s="161"/>
      <c r="J73" s="161" t="s">
        <v>72</v>
      </c>
      <c r="K73" s="11"/>
      <c r="L73" s="161" t="s">
        <v>17</v>
      </c>
      <c r="M73" s="11"/>
      <c r="N73" s="161" t="s">
        <v>15</v>
      </c>
      <c r="O73" s="161" t="s">
        <v>15</v>
      </c>
      <c r="P73" s="161" t="s">
        <v>86</v>
      </c>
      <c r="Q73" s="11"/>
      <c r="R73" s="273" t="s">
        <v>138</v>
      </c>
      <c r="S73" s="273" t="s">
        <v>139</v>
      </c>
      <c r="T73" s="11"/>
    </row>
    <row r="74" spans="1:20">
      <c r="A74" t="str">
        <f t="shared" ref="A74:A97" si="115">+A35</f>
        <v>Oct., 2021</v>
      </c>
      <c r="C74" s="93">
        <f>+'KC Tonnage - Enspire'!R3+'KC Tonnage - Enspire'!S3</f>
        <v>398.08</v>
      </c>
      <c r="D74" s="93">
        <f>+'KC Tonnage - Enspire'!P3+'KC Tonnage - Enspire'!Q3</f>
        <v>388.34000000000003</v>
      </c>
      <c r="E74" s="88">
        <f t="shared" ref="E74:E97" si="116">+D74+C74</f>
        <v>786.42000000000007</v>
      </c>
      <c r="F74" s="11"/>
      <c r="G74" s="88">
        <f>+'SC Tonnage - Enspire'!T3</f>
        <v>2037.1300000000003</v>
      </c>
      <c r="H74" s="88">
        <f t="shared" ref="H74:H97" si="117">+G74+E74</f>
        <v>2823.55</v>
      </c>
      <c r="I74" s="88"/>
      <c r="J74" s="138">
        <f t="shared" ref="J74:J79" si="118">+C74/E74*N74</f>
        <v>39730.202196498787</v>
      </c>
      <c r="K74" s="11"/>
      <c r="L74" s="138">
        <f t="shared" ref="L74:L79" si="119">+N74-J74</f>
        <v>38758.105709878269</v>
      </c>
      <c r="M74" s="11"/>
      <c r="N74" s="138">
        <f t="shared" ref="N74:N79" si="120">+E74/C7*G7</f>
        <v>78488.307906377056</v>
      </c>
      <c r="O74" s="138">
        <f t="shared" ref="O74:O79" si="121">+G74/D7*H7</f>
        <v>201737.35512911063</v>
      </c>
      <c r="P74" s="139">
        <f t="shared" ref="P74:P79" si="122">(O74+N74)/H74</f>
        <v>99.245865323967237</v>
      </c>
      <c r="Q74" s="138"/>
      <c r="R74" s="270">
        <f t="shared" ref="R74:R79" si="123">(C74+G74)/H74</f>
        <v>0.86246391953392021</v>
      </c>
      <c r="S74" s="87">
        <f t="shared" ref="S74:S80" si="124">1-R74</f>
        <v>0.13753608046607979</v>
      </c>
      <c r="T74" s="93"/>
    </row>
    <row r="75" spans="1:20">
      <c r="A75" t="str">
        <f t="shared" si="115"/>
        <v>Nov</v>
      </c>
      <c r="C75" s="93">
        <f>+'KC Tonnage - Enspire'!R7+'KC Tonnage - Enspire'!S7</f>
        <v>490.18</v>
      </c>
      <c r="D75" s="93">
        <f>+'KC Tonnage - Enspire'!P7+'KC Tonnage - Enspire'!Q7</f>
        <v>484.13</v>
      </c>
      <c r="E75" s="88">
        <f t="shared" si="116"/>
        <v>974.31</v>
      </c>
      <c r="F75" s="11"/>
      <c r="G75" s="88">
        <f>+'SC Tonnage - Enspire'!T7</f>
        <v>2312.67</v>
      </c>
      <c r="H75" s="88">
        <f t="shared" si="117"/>
        <v>3286.98</v>
      </c>
      <c r="I75" s="88"/>
      <c r="J75" s="138">
        <f t="shared" si="118"/>
        <v>44800.950677281799</v>
      </c>
      <c r="K75" s="11"/>
      <c r="L75" s="138">
        <f t="shared" si="119"/>
        <v>44247.999207214554</v>
      </c>
      <c r="M75" s="11"/>
      <c r="N75" s="138">
        <f t="shared" si="120"/>
        <v>89048.949884496353</v>
      </c>
      <c r="O75" s="138">
        <f t="shared" si="121"/>
        <v>209925.61900581748</v>
      </c>
      <c r="P75" s="139">
        <f t="shared" si="122"/>
        <v>90.957221793352517</v>
      </c>
      <c r="Q75" s="138"/>
      <c r="R75" s="270">
        <f t="shared" si="123"/>
        <v>0.85271282453802577</v>
      </c>
      <c r="S75" s="87">
        <f t="shared" si="124"/>
        <v>0.14728717546197423</v>
      </c>
      <c r="T75" s="93"/>
    </row>
    <row r="76" spans="1:20">
      <c r="A76" t="str">
        <f t="shared" si="115"/>
        <v>Dec</v>
      </c>
      <c r="C76" s="93">
        <f>+'KC Tonnage - Enspire'!R11+'KC Tonnage - Enspire'!S11</f>
        <v>371.24</v>
      </c>
      <c r="D76" s="93">
        <f>+'KC Tonnage - Enspire'!P11+'KC Tonnage - Enspire'!Q11</f>
        <v>448.34999999999997</v>
      </c>
      <c r="E76" s="88">
        <f t="shared" si="116"/>
        <v>819.58999999999992</v>
      </c>
      <c r="F76" s="11"/>
      <c r="G76" s="88">
        <f>+'SC Tonnage - Enspire'!T11</f>
        <v>1842.4199999999998</v>
      </c>
      <c r="H76" s="88">
        <f t="shared" si="117"/>
        <v>2662.0099999999998</v>
      </c>
      <c r="I76" s="88"/>
      <c r="J76" s="138">
        <f t="shared" si="118"/>
        <v>25190.2635121936</v>
      </c>
      <c r="K76" s="11"/>
      <c r="L76" s="138">
        <f t="shared" si="119"/>
        <v>30422.515477028337</v>
      </c>
      <c r="M76" s="11"/>
      <c r="N76" s="138">
        <f t="shared" si="120"/>
        <v>55612.778989221937</v>
      </c>
      <c r="O76" s="138">
        <f t="shared" si="121"/>
        <v>123514.3038782051</v>
      </c>
      <c r="P76" s="139">
        <f t="shared" si="122"/>
        <v>67.29016151983916</v>
      </c>
      <c r="Q76" s="138"/>
      <c r="R76" s="270">
        <f t="shared" si="123"/>
        <v>0.8315746372102284</v>
      </c>
      <c r="S76" s="87">
        <f t="shared" si="124"/>
        <v>0.1684253627897716</v>
      </c>
      <c r="T76" s="93"/>
    </row>
    <row r="77" spans="1:20">
      <c r="A77" t="str">
        <f t="shared" si="115"/>
        <v>Jan., 2022</v>
      </c>
      <c r="C77" s="93">
        <f>+'KC Tonnage - Enspire'!R15+'KC Tonnage - Enspire'!S15</f>
        <v>537.46</v>
      </c>
      <c r="D77" s="93">
        <f>+'KC Tonnage - Enspire'!P15+'KC Tonnage - Enspire'!Q15</f>
        <v>504.53</v>
      </c>
      <c r="E77" s="88">
        <f t="shared" si="116"/>
        <v>1041.99</v>
      </c>
      <c r="F77" s="11"/>
      <c r="G77" s="88">
        <f>+'SC Tonnage - Enspire'!T15</f>
        <v>2317.4199999999996</v>
      </c>
      <c r="H77" s="133">
        <f t="shared" si="117"/>
        <v>3359.41</v>
      </c>
      <c r="I77" s="133"/>
      <c r="J77" s="138">
        <f t="shared" si="118"/>
        <v>33895.575101653776</v>
      </c>
      <c r="K77" s="11"/>
      <c r="L77" s="138">
        <f t="shared" si="119"/>
        <v>31818.804201312429</v>
      </c>
      <c r="M77" s="11"/>
      <c r="N77" s="138">
        <f t="shared" si="120"/>
        <v>65714.379302966205</v>
      </c>
      <c r="O77" s="138">
        <f t="shared" si="121"/>
        <v>144918.77163038563</v>
      </c>
      <c r="P77" s="139">
        <f t="shared" si="122"/>
        <v>62.699447502195873</v>
      </c>
      <c r="Q77" s="138"/>
      <c r="R77" s="270">
        <f t="shared" si="123"/>
        <v>0.84981589029025928</v>
      </c>
      <c r="S77" s="87">
        <f t="shared" si="124"/>
        <v>0.15018410970974072</v>
      </c>
      <c r="T77" s="93"/>
    </row>
    <row r="78" spans="1:20">
      <c r="A78" t="str">
        <f t="shared" si="115"/>
        <v>Feb</v>
      </c>
      <c r="C78" s="93">
        <f>+'KC Tonnage - Enspire'!R19+'KC Tonnage - Enspire'!S19</f>
        <v>388.04</v>
      </c>
      <c r="D78" s="93">
        <f>+'KC Tonnage - Enspire'!P19+'KC Tonnage - Enspire'!Q19</f>
        <v>394.9</v>
      </c>
      <c r="E78" s="88">
        <f t="shared" si="116"/>
        <v>782.94</v>
      </c>
      <c r="F78" s="11"/>
      <c r="G78" s="88">
        <f>+'SC Tonnage - Enspire'!T19</f>
        <v>1734.7</v>
      </c>
      <c r="H78" s="133">
        <f t="shared" si="117"/>
        <v>2517.6400000000003</v>
      </c>
      <c r="I78" s="133"/>
      <c r="J78" s="138">
        <f t="shared" si="118"/>
        <v>26252.757201984623</v>
      </c>
      <c r="K78" s="11"/>
      <c r="L78" s="138">
        <f t="shared" si="119"/>
        <v>26716.868928625216</v>
      </c>
      <c r="M78" s="11"/>
      <c r="N78" s="138">
        <f t="shared" si="120"/>
        <v>52969.626130609839</v>
      </c>
      <c r="O78" s="138">
        <f t="shared" si="121"/>
        <v>116623.46220152007</v>
      </c>
      <c r="P78" s="139">
        <f t="shared" si="122"/>
        <v>67.361929557891472</v>
      </c>
      <c r="Q78" s="138"/>
      <c r="R78" s="270">
        <f t="shared" si="123"/>
        <v>0.84314675648623316</v>
      </c>
      <c r="S78" s="87">
        <f t="shared" si="124"/>
        <v>0.15685324351376684</v>
      </c>
      <c r="T78" s="93"/>
    </row>
    <row r="79" spans="1:20">
      <c r="A79" t="str">
        <f t="shared" si="115"/>
        <v>Mar</v>
      </c>
      <c r="C79" s="93">
        <f>+'KC Tonnage - Enspire'!R23+'KC Tonnage - Enspire'!S23</f>
        <v>437.79</v>
      </c>
      <c r="D79" s="93">
        <f>+'KC Tonnage - Enspire'!P23+'KC Tonnage - Enspire'!Q23</f>
        <v>476.05</v>
      </c>
      <c r="E79" s="88">
        <f t="shared" si="116"/>
        <v>913.84</v>
      </c>
      <c r="F79" s="11"/>
      <c r="G79" s="88">
        <f>+'SC Tonnage - Enspire'!T23</f>
        <v>1998.86</v>
      </c>
      <c r="H79" s="133">
        <f t="shared" si="117"/>
        <v>2912.7</v>
      </c>
      <c r="I79" s="133"/>
      <c r="J79" s="138">
        <f t="shared" si="118"/>
        <v>28533.81733562674</v>
      </c>
      <c r="K79" s="11"/>
      <c r="L79" s="138">
        <f t="shared" si="119"/>
        <v>31027.487477158244</v>
      </c>
      <c r="M79" s="11"/>
      <c r="N79" s="138">
        <f t="shared" si="120"/>
        <v>59561.304812784983</v>
      </c>
      <c r="O79" s="138">
        <f t="shared" si="121"/>
        <v>128654.13043394226</v>
      </c>
      <c r="P79" s="139">
        <f t="shared" si="122"/>
        <v>64.618888058065465</v>
      </c>
      <c r="Q79" s="138"/>
      <c r="R79" s="270">
        <f t="shared" si="123"/>
        <v>0.83656057953101937</v>
      </c>
      <c r="S79" s="87">
        <f t="shared" si="124"/>
        <v>0.16343942046898063</v>
      </c>
      <c r="T79" s="93"/>
    </row>
    <row r="80" spans="1:20">
      <c r="A80" t="str">
        <f t="shared" si="115"/>
        <v>Apr</v>
      </c>
      <c r="C80" s="93">
        <f>+'KC Tonnage - Enspire'!R27+'KC Tonnage - Enspire'!S27</f>
        <v>382.75</v>
      </c>
      <c r="D80" s="93">
        <f>+'KC Tonnage - Enspire'!P27+'KC Tonnage - Enspire'!Q27</f>
        <v>382.41999999999996</v>
      </c>
      <c r="E80" s="88">
        <f t="shared" si="116"/>
        <v>765.17</v>
      </c>
      <c r="F80" s="11"/>
      <c r="G80" s="88">
        <f>+'SC Tonnage - Enspire'!T27</f>
        <v>1806.0400000000002</v>
      </c>
      <c r="H80" s="133">
        <f t="shared" si="117"/>
        <v>2571.21</v>
      </c>
      <c r="I80" s="133"/>
      <c r="J80" s="138">
        <f t="shared" ref="J80:J92" si="125">+C80/E80*N80</f>
        <v>25124.382107427329</v>
      </c>
      <c r="K80" s="11"/>
      <c r="L80" s="138">
        <f t="shared" ref="L80:L84" si="126">+N80-J80</f>
        <v>25102.720327948686</v>
      </c>
      <c r="M80" s="11"/>
      <c r="N80" s="138">
        <f t="shared" ref="N80:N84" si="127">+E80/C13*G13</f>
        <v>50227.102435376015</v>
      </c>
      <c r="O80" s="138">
        <f t="shared" ref="O80:O84" si="128">+G80/D13*H13</f>
        <v>116719.39883225251</v>
      </c>
      <c r="P80" s="139">
        <f t="shared" ref="P80:P85" si="129">(O80+N80)/H80</f>
        <v>64.929158360316151</v>
      </c>
      <c r="Q80" s="138"/>
      <c r="R80" s="270">
        <f t="shared" ref="R80:R85" si="130">(C80+G80)/H80</f>
        <v>0.85126846893097019</v>
      </c>
      <c r="S80" s="87">
        <f t="shared" si="124"/>
        <v>0.14873153106902981</v>
      </c>
      <c r="T80" s="93"/>
    </row>
    <row r="81" spans="1:20">
      <c r="A81" t="str">
        <f t="shared" si="115"/>
        <v>May</v>
      </c>
      <c r="C81" s="93">
        <f>+'KC Tonnage - Enspire'!R31+'KC Tonnage - Enspire'!S31</f>
        <v>443.22</v>
      </c>
      <c r="D81" s="93">
        <f>+'KC Tonnage - Enspire'!P31+'KC Tonnage - Enspire'!Q31</f>
        <v>414.81000000000006</v>
      </c>
      <c r="E81" s="88">
        <f t="shared" si="116"/>
        <v>858.03000000000009</v>
      </c>
      <c r="F81" s="11"/>
      <c r="G81" s="88">
        <f>+'SC Tonnage - Enspire'!T31</f>
        <v>1981.75</v>
      </c>
      <c r="H81" s="133">
        <f t="shared" si="117"/>
        <v>2839.78</v>
      </c>
      <c r="I81" s="133"/>
      <c r="J81" s="138">
        <f t="shared" si="125"/>
        <v>26292.501163686185</v>
      </c>
      <c r="K81" s="11"/>
      <c r="L81" s="138">
        <f t="shared" si="126"/>
        <v>24607.175686360428</v>
      </c>
      <c r="M81" s="11"/>
      <c r="N81" s="138">
        <f t="shared" si="127"/>
        <v>50899.676850046613</v>
      </c>
      <c r="O81" s="138">
        <f t="shared" si="128"/>
        <v>113432.64654954908</v>
      </c>
      <c r="P81" s="139">
        <f t="shared" si="129"/>
        <v>57.867976885391009</v>
      </c>
      <c r="Q81" s="138"/>
      <c r="R81" s="270">
        <f t="shared" si="130"/>
        <v>0.85392882547239579</v>
      </c>
      <c r="S81" s="87">
        <f>1-R81</f>
        <v>0.14607117452760421</v>
      </c>
      <c r="T81" s="93"/>
    </row>
    <row r="82" spans="1:20">
      <c r="A82" t="str">
        <f t="shared" si="115"/>
        <v>Jun</v>
      </c>
      <c r="C82" s="93">
        <f>+'KC Tonnage - Enspire'!R35+'KC Tonnage - Enspire'!S35</f>
        <v>440.66999999999996</v>
      </c>
      <c r="D82" s="93">
        <f>+'KC Tonnage - Enspire'!P35+'KC Tonnage - Enspire'!Q35</f>
        <v>473.39</v>
      </c>
      <c r="E82" s="88">
        <f t="shared" si="116"/>
        <v>914.06</v>
      </c>
      <c r="F82" s="11"/>
      <c r="G82" s="88">
        <f>+'SC Tonnage - Enspire'!T35</f>
        <v>2018.5900000000001</v>
      </c>
      <c r="H82" s="133">
        <f t="shared" si="117"/>
        <v>2932.65</v>
      </c>
      <c r="I82" s="133"/>
      <c r="J82" s="138">
        <f t="shared" si="125"/>
        <v>28497.7188814734</v>
      </c>
      <c r="K82" s="11"/>
      <c r="L82" s="138">
        <f t="shared" si="126"/>
        <v>30613.690837362865</v>
      </c>
      <c r="M82" s="11"/>
      <c r="N82" s="138">
        <f t="shared" si="127"/>
        <v>59111.409718836265</v>
      </c>
      <c r="O82" s="138">
        <f t="shared" si="128"/>
        <v>128506.82051418767</v>
      </c>
      <c r="P82" s="139">
        <f t="shared" si="129"/>
        <v>63.975663728376702</v>
      </c>
      <c r="Q82" s="138"/>
      <c r="R82" s="270">
        <f t="shared" si="130"/>
        <v>0.83857944180178345</v>
      </c>
      <c r="S82" s="87">
        <f>1-R82</f>
        <v>0.16142055819821655</v>
      </c>
      <c r="T82" s="93"/>
    </row>
    <row r="83" spans="1:20">
      <c r="A83" t="str">
        <f t="shared" si="115"/>
        <v>Jul</v>
      </c>
      <c r="C83" s="93">
        <f>+'KC Tonnage - Enspire'!R39+'KC Tonnage - Enspire'!S39</f>
        <v>395.58000000000004</v>
      </c>
      <c r="D83" s="93">
        <f>+'KC Tonnage - Enspire'!P39+'KC Tonnage - Enspire'!Q39</f>
        <v>408.01</v>
      </c>
      <c r="E83" s="88">
        <f t="shared" si="116"/>
        <v>803.59</v>
      </c>
      <c r="F83" s="11"/>
      <c r="G83" s="88">
        <f>+'SC Tonnage - Enspire'!T39</f>
        <v>1791.19</v>
      </c>
      <c r="H83" s="133">
        <f t="shared" si="117"/>
        <v>2594.7800000000002</v>
      </c>
      <c r="I83" s="133"/>
      <c r="J83" s="138">
        <f t="shared" si="125"/>
        <v>32461.099759679586</v>
      </c>
      <c r="K83" s="11"/>
      <c r="L83" s="138">
        <f t="shared" si="126"/>
        <v>33481.099431080605</v>
      </c>
      <c r="M83" s="11"/>
      <c r="N83" s="138">
        <f t="shared" si="127"/>
        <v>65942.199190760191</v>
      </c>
      <c r="O83" s="138">
        <f t="shared" si="128"/>
        <v>146101.39527787286</v>
      </c>
      <c r="P83" s="139">
        <f t="shared" si="129"/>
        <v>81.719295843436839</v>
      </c>
      <c r="Q83" s="138"/>
      <c r="R83" s="270">
        <f t="shared" si="130"/>
        <v>0.8427573821287353</v>
      </c>
      <c r="S83" s="87">
        <f>1-R83</f>
        <v>0.1572426178712647</v>
      </c>
      <c r="T83" s="93"/>
    </row>
    <row r="84" spans="1:20">
      <c r="A84" t="str">
        <f t="shared" si="115"/>
        <v>Aug</v>
      </c>
      <c r="C84" s="93">
        <f>+'KC Tonnage - Enspire'!R43+'KC Tonnage - Enspire'!S43</f>
        <v>431.28</v>
      </c>
      <c r="D84" s="93">
        <f>+'KC Tonnage - Enspire'!P43+'KC Tonnage - Enspire'!Q43</f>
        <v>426.84</v>
      </c>
      <c r="E84" s="88">
        <f t="shared" si="116"/>
        <v>858.11999999999989</v>
      </c>
      <c r="F84" s="11"/>
      <c r="G84" s="88">
        <f>+'SC Tonnage - Enspire'!T43</f>
        <v>1877.66</v>
      </c>
      <c r="H84" s="133">
        <f t="shared" si="117"/>
        <v>2735.7799999999997</v>
      </c>
      <c r="I84" s="133"/>
      <c r="J84" s="138">
        <f t="shared" si="125"/>
        <v>25604.976362295678</v>
      </c>
      <c r="K84" s="11"/>
      <c r="L84" s="138">
        <f t="shared" si="126"/>
        <v>25341.374769250342</v>
      </c>
      <c r="M84" s="11"/>
      <c r="N84" s="138">
        <f t="shared" si="127"/>
        <v>50946.35113154602</v>
      </c>
      <c r="O84" s="138">
        <f t="shared" si="128"/>
        <v>108744.85837163684</v>
      </c>
      <c r="P84" s="139">
        <f t="shared" si="129"/>
        <v>58.371363743862027</v>
      </c>
      <c r="Q84" s="138"/>
      <c r="R84" s="270">
        <f t="shared" si="130"/>
        <v>0.84397868249639962</v>
      </c>
      <c r="S84" s="87">
        <f>1-R84</f>
        <v>0.15602131750360038</v>
      </c>
      <c r="T84" s="93"/>
    </row>
    <row r="85" spans="1:20" s="426" customFormat="1">
      <c r="A85" s="426" t="str">
        <f t="shared" si="115"/>
        <v>Sep</v>
      </c>
      <c r="C85" s="432">
        <f>+'KC Tonnage - Enspire'!R47+'KC Tonnage - Enspire'!S47</f>
        <v>387.72</v>
      </c>
      <c r="D85" s="432">
        <f>+'KC Tonnage - Enspire'!P47+'KC Tonnage - Enspire'!Q47</f>
        <v>405.08000000000004</v>
      </c>
      <c r="E85" s="427">
        <f t="shared" si="116"/>
        <v>792.80000000000007</v>
      </c>
      <c r="F85" s="428"/>
      <c r="G85" s="427">
        <f>+'SC Tonnage - Enspire'!T47</f>
        <v>1834.63</v>
      </c>
      <c r="H85" s="427">
        <f t="shared" si="117"/>
        <v>2627.4300000000003</v>
      </c>
      <c r="I85" s="427"/>
      <c r="J85" s="429">
        <f t="shared" ref="J85" si="131">+C85/E85*N85</f>
        <v>11530.154330478237</v>
      </c>
      <c r="K85" s="428"/>
      <c r="L85" s="429">
        <f t="shared" ref="L85" si="132">+N85-J85</f>
        <v>12046.412143273816</v>
      </c>
      <c r="M85" s="428"/>
      <c r="N85" s="429">
        <f t="shared" ref="N85" si="133">+E85/C18*G18</f>
        <v>23576.566473752053</v>
      </c>
      <c r="O85" s="429">
        <f t="shared" ref="O85" si="134">+G85/D18*H18</f>
        <v>53011.35845056465</v>
      </c>
      <c r="P85" s="430">
        <f t="shared" si="129"/>
        <v>29.149368365405241</v>
      </c>
      <c r="Q85" s="429"/>
      <c r="R85" s="433">
        <f t="shared" si="130"/>
        <v>0.8458265301073673</v>
      </c>
      <c r="S85" s="434">
        <f>1-R85</f>
        <v>0.1541734698926327</v>
      </c>
      <c r="T85" s="432"/>
    </row>
    <row r="86" spans="1:20" ht="15">
      <c r="A86" t="str">
        <f t="shared" si="115"/>
        <v>Oct</v>
      </c>
      <c r="C86" s="93">
        <f>+'KC Tonnage - Enspire'!R51+'KC Tonnage - Enspire'!S51</f>
        <v>0</v>
      </c>
      <c r="D86" s="93">
        <f>+'KC Tonnage - Enspire'!P51+'KC Tonnage - Enspire'!Q51</f>
        <v>0</v>
      </c>
      <c r="E86" s="88">
        <f t="shared" si="116"/>
        <v>0</v>
      </c>
      <c r="F86" s="11"/>
      <c r="G86" s="88">
        <f>+'SC Tonnage - Enspire'!T51</f>
        <v>0</v>
      </c>
      <c r="H86" s="133">
        <f t="shared" si="117"/>
        <v>0</v>
      </c>
      <c r="I86" s="151"/>
      <c r="J86" s="138" t="e">
        <f t="shared" si="125"/>
        <v>#DIV/0!</v>
      </c>
      <c r="K86" s="11"/>
      <c r="L86" s="138" t="e">
        <f t="shared" ref="L86:L91" si="135">+N86-J86</f>
        <v>#DIV/0!</v>
      </c>
      <c r="M86" s="11"/>
      <c r="N86" s="138" t="e">
        <f t="shared" ref="N86:N89" si="136">+E86/C19*G19</f>
        <v>#DIV/0!</v>
      </c>
      <c r="O86" s="138" t="e">
        <f t="shared" ref="O86:O89" si="137">+G86/D19*H19</f>
        <v>#DIV/0!</v>
      </c>
      <c r="P86" s="139" t="e">
        <f t="shared" ref="P86:P89" si="138">(O86+N86)/H86</f>
        <v>#DIV/0!</v>
      </c>
      <c r="Q86" s="138"/>
      <c r="R86" s="270" t="e">
        <f t="shared" ref="R86:R89" si="139">(C86+G86)/H86</f>
        <v>#DIV/0!</v>
      </c>
      <c r="S86" s="87" t="e">
        <f t="shared" ref="S86:S89" si="140">1-R86</f>
        <v>#DIV/0!</v>
      </c>
      <c r="T86" s="93"/>
    </row>
    <row r="87" spans="1:20" ht="15">
      <c r="A87" t="str">
        <f t="shared" si="115"/>
        <v>Nov</v>
      </c>
      <c r="C87" s="93">
        <f>+'KC Tonnage - Enspire'!R55+'KC Tonnage - Enspire'!S55</f>
        <v>0</v>
      </c>
      <c r="D87" s="93">
        <f>+'KC Tonnage - Enspire'!P55+'KC Tonnage - Enspire'!Q55</f>
        <v>0</v>
      </c>
      <c r="E87" s="88">
        <f t="shared" si="116"/>
        <v>0</v>
      </c>
      <c r="F87" s="11"/>
      <c r="G87" s="88">
        <f>+'SC Tonnage - Enspire'!T55</f>
        <v>0</v>
      </c>
      <c r="H87" s="133">
        <f t="shared" si="117"/>
        <v>0</v>
      </c>
      <c r="I87" s="151"/>
      <c r="J87" s="138" t="e">
        <f t="shared" si="125"/>
        <v>#DIV/0!</v>
      </c>
      <c r="K87" s="11"/>
      <c r="L87" s="138" t="e">
        <f t="shared" si="135"/>
        <v>#DIV/0!</v>
      </c>
      <c r="M87" s="11"/>
      <c r="N87" s="138" t="e">
        <f t="shared" si="136"/>
        <v>#DIV/0!</v>
      </c>
      <c r="O87" s="138" t="e">
        <f t="shared" si="137"/>
        <v>#DIV/0!</v>
      </c>
      <c r="P87" s="139" t="e">
        <f t="shared" si="138"/>
        <v>#DIV/0!</v>
      </c>
      <c r="Q87" s="138"/>
      <c r="R87" s="270" t="e">
        <f t="shared" si="139"/>
        <v>#DIV/0!</v>
      </c>
      <c r="S87" s="87" t="e">
        <f t="shared" si="140"/>
        <v>#DIV/0!</v>
      </c>
      <c r="T87" s="93"/>
    </row>
    <row r="88" spans="1:20">
      <c r="A88" t="str">
        <f t="shared" si="115"/>
        <v>Dec</v>
      </c>
      <c r="C88" s="93">
        <f>+'KC Tonnage - Enspire'!R59+'KC Tonnage - Enspire'!S59</f>
        <v>0</v>
      </c>
      <c r="D88" s="93">
        <f>+'KC Tonnage - Enspire'!P59+'KC Tonnage - Enspire'!Q59</f>
        <v>0</v>
      </c>
      <c r="E88" s="88">
        <f t="shared" si="116"/>
        <v>0</v>
      </c>
      <c r="F88" s="11"/>
      <c r="G88" s="88">
        <f>+'SC Tonnage - Enspire'!T59</f>
        <v>0</v>
      </c>
      <c r="H88" s="133">
        <f t="shared" si="117"/>
        <v>0</v>
      </c>
      <c r="I88" s="133"/>
      <c r="J88" s="138" t="e">
        <f t="shared" si="125"/>
        <v>#DIV/0!</v>
      </c>
      <c r="K88" s="11"/>
      <c r="L88" s="138" t="e">
        <f t="shared" si="135"/>
        <v>#DIV/0!</v>
      </c>
      <c r="M88" s="11"/>
      <c r="N88" s="138" t="e">
        <f t="shared" si="136"/>
        <v>#DIV/0!</v>
      </c>
      <c r="O88" s="138" t="e">
        <f t="shared" si="137"/>
        <v>#DIV/0!</v>
      </c>
      <c r="P88" s="139" t="e">
        <f t="shared" si="138"/>
        <v>#DIV/0!</v>
      </c>
      <c r="Q88" s="138"/>
      <c r="R88" s="270" t="e">
        <f t="shared" si="139"/>
        <v>#DIV/0!</v>
      </c>
      <c r="S88" s="87" t="e">
        <f t="shared" si="140"/>
        <v>#DIV/0!</v>
      </c>
      <c r="T88" s="93"/>
    </row>
    <row r="89" spans="1:20" ht="15">
      <c r="A89" t="str">
        <f t="shared" si="115"/>
        <v>Jan. 2023</v>
      </c>
      <c r="C89" s="93">
        <f>+'KC Tonnage - Enspire'!R63+'KC Tonnage - Enspire'!S63</f>
        <v>0</v>
      </c>
      <c r="D89" s="93">
        <f>+'KC Tonnage - Enspire'!P63+'KC Tonnage - Enspire'!Q63</f>
        <v>0</v>
      </c>
      <c r="E89" s="88">
        <f t="shared" si="116"/>
        <v>0</v>
      </c>
      <c r="F89" s="11"/>
      <c r="G89" s="88">
        <f>+'SC Tonnage - Enspire'!T63</f>
        <v>0</v>
      </c>
      <c r="H89" s="133">
        <f t="shared" si="117"/>
        <v>0</v>
      </c>
      <c r="I89" s="151"/>
      <c r="J89" s="138" t="e">
        <f t="shared" si="125"/>
        <v>#DIV/0!</v>
      </c>
      <c r="K89" s="11"/>
      <c r="L89" s="138" t="e">
        <f t="shared" si="135"/>
        <v>#DIV/0!</v>
      </c>
      <c r="M89" s="11"/>
      <c r="N89" s="138" t="e">
        <f t="shared" si="136"/>
        <v>#DIV/0!</v>
      </c>
      <c r="O89" s="138" t="e">
        <f t="shared" si="137"/>
        <v>#DIV/0!</v>
      </c>
      <c r="P89" s="139" t="e">
        <f t="shared" si="138"/>
        <v>#DIV/0!</v>
      </c>
      <c r="Q89" s="138"/>
      <c r="R89" s="270" t="e">
        <f t="shared" si="139"/>
        <v>#DIV/0!</v>
      </c>
      <c r="S89" s="87" t="e">
        <f t="shared" si="140"/>
        <v>#DIV/0!</v>
      </c>
      <c r="T89" s="93"/>
    </row>
    <row r="90" spans="1:20" ht="15">
      <c r="A90" t="str">
        <f t="shared" si="115"/>
        <v>Feb</v>
      </c>
      <c r="C90" s="93">
        <f>+'KC Tonnage - Enspire'!R67+'KC Tonnage - Enspire'!S67</f>
        <v>0</v>
      </c>
      <c r="D90" s="93">
        <f>+'KC Tonnage - Enspire'!P67+'KC Tonnage - Enspire'!Q67</f>
        <v>0</v>
      </c>
      <c r="E90" s="88">
        <f t="shared" si="116"/>
        <v>0</v>
      </c>
      <c r="F90" s="11"/>
      <c r="G90" s="88">
        <f>+'SC Tonnage - Enspire'!T67</f>
        <v>0</v>
      </c>
      <c r="H90" s="133">
        <f t="shared" si="117"/>
        <v>0</v>
      </c>
      <c r="I90" s="151"/>
      <c r="J90" s="138" t="e">
        <f t="shared" si="125"/>
        <v>#DIV/0!</v>
      </c>
      <c r="K90" s="11"/>
      <c r="L90" s="138" t="e">
        <f t="shared" si="135"/>
        <v>#DIV/0!</v>
      </c>
      <c r="M90" s="11"/>
      <c r="N90" s="138" t="e">
        <f t="shared" ref="N90" si="141">+E90/C23*G23</f>
        <v>#DIV/0!</v>
      </c>
      <c r="O90" s="138" t="e">
        <f t="shared" ref="O90" si="142">+G90/D23*H23</f>
        <v>#DIV/0!</v>
      </c>
      <c r="P90" s="139" t="e">
        <f t="shared" ref="P90" si="143">(O90+N90)/H90</f>
        <v>#DIV/0!</v>
      </c>
      <c r="Q90" s="138"/>
      <c r="R90" s="270" t="e">
        <f t="shared" ref="R90" si="144">(C90+G90)/H90</f>
        <v>#DIV/0!</v>
      </c>
      <c r="S90" s="87" t="e">
        <f t="shared" ref="S90" si="145">1-R90</f>
        <v>#DIV/0!</v>
      </c>
      <c r="T90" s="93"/>
    </row>
    <row r="91" spans="1:20">
      <c r="A91" t="str">
        <f t="shared" si="115"/>
        <v>Mar</v>
      </c>
      <c r="C91" s="93">
        <f>+'KC Tonnage - Enspire'!R71+'KC Tonnage - Enspire'!S71</f>
        <v>0</v>
      </c>
      <c r="D91" s="93">
        <f>+'KC Tonnage - Enspire'!P71+'KC Tonnage - Enspire'!Q71</f>
        <v>0</v>
      </c>
      <c r="E91" s="88">
        <f t="shared" si="116"/>
        <v>0</v>
      </c>
      <c r="F91" s="11"/>
      <c r="G91" s="88">
        <f>+'SC Tonnage - Enspire'!T71</f>
        <v>0</v>
      </c>
      <c r="H91" s="133">
        <f t="shared" si="117"/>
        <v>0</v>
      </c>
      <c r="I91" s="133"/>
      <c r="J91" s="138" t="e">
        <f t="shared" si="125"/>
        <v>#DIV/0!</v>
      </c>
      <c r="K91" s="11"/>
      <c r="L91" s="138" t="e">
        <f t="shared" si="135"/>
        <v>#DIV/0!</v>
      </c>
      <c r="M91" s="11"/>
      <c r="N91" s="138" t="e">
        <f t="shared" ref="N91" si="146">+E91/C24*G24</f>
        <v>#DIV/0!</v>
      </c>
      <c r="O91" s="138" t="e">
        <f t="shared" ref="O91" si="147">+G91/D24*H24</f>
        <v>#DIV/0!</v>
      </c>
      <c r="P91" s="139" t="e">
        <f t="shared" ref="P91" si="148">(O91+N91)/H91</f>
        <v>#DIV/0!</v>
      </c>
      <c r="Q91" s="138"/>
      <c r="R91" s="270" t="e">
        <f t="shared" ref="R91" si="149">(C91+G91)/H91</f>
        <v>#DIV/0!</v>
      </c>
      <c r="S91" s="87" t="e">
        <f t="shared" ref="S91" si="150">1-R91</f>
        <v>#DIV/0!</v>
      </c>
      <c r="T91" s="93"/>
    </row>
    <row r="92" spans="1:20">
      <c r="A92" t="str">
        <f t="shared" si="115"/>
        <v>Apr</v>
      </c>
      <c r="C92" s="93">
        <f>+'KC Tonnage - Enspire'!R75+'KC Tonnage - Enspire'!S75</f>
        <v>0</v>
      </c>
      <c r="D92" s="93">
        <f>+'KC Tonnage - Enspire'!P75+'KC Tonnage - Enspire'!Q75</f>
        <v>0</v>
      </c>
      <c r="E92" s="88">
        <f t="shared" si="116"/>
        <v>0</v>
      </c>
      <c r="F92" s="11"/>
      <c r="G92" s="88">
        <f>+'SC Tonnage - Enspire'!T75</f>
        <v>0</v>
      </c>
      <c r="H92" s="133">
        <f t="shared" si="117"/>
        <v>0</v>
      </c>
      <c r="I92" s="133"/>
      <c r="J92" s="138" t="e">
        <f t="shared" si="125"/>
        <v>#DIV/0!</v>
      </c>
      <c r="K92" s="11"/>
      <c r="L92" s="138" t="e">
        <f t="shared" ref="L92" si="151">+N92-J92</f>
        <v>#DIV/0!</v>
      </c>
      <c r="M92" s="11"/>
      <c r="N92" s="138" t="e">
        <f t="shared" ref="N92" si="152">+E92/C25*G25</f>
        <v>#DIV/0!</v>
      </c>
      <c r="O92" s="138" t="e">
        <f t="shared" ref="O92" si="153">+G92/D25*H25</f>
        <v>#DIV/0!</v>
      </c>
      <c r="P92" s="139" t="e">
        <f t="shared" ref="P92" si="154">(O92+N92)/H92</f>
        <v>#DIV/0!</v>
      </c>
      <c r="Q92" s="138"/>
      <c r="R92" s="270" t="e">
        <f t="shared" ref="R92" si="155">(C92+G92)/H92</f>
        <v>#DIV/0!</v>
      </c>
      <c r="S92" s="87" t="e">
        <f t="shared" ref="S92" si="156">1-R92</f>
        <v>#DIV/0!</v>
      </c>
      <c r="T92" s="93"/>
    </row>
    <row r="93" spans="1:20">
      <c r="A93" t="str">
        <f t="shared" si="115"/>
        <v>May</v>
      </c>
      <c r="C93" s="93">
        <f>+'KC Tonnage - Enspire'!R79+'KC Tonnage - Enspire'!S79</f>
        <v>0</v>
      </c>
      <c r="D93" s="93">
        <f>+'KC Tonnage - Enspire'!P79+'KC Tonnage - Enspire'!Q79</f>
        <v>0</v>
      </c>
      <c r="E93" s="88">
        <f t="shared" si="116"/>
        <v>0</v>
      </c>
      <c r="F93" s="11"/>
      <c r="G93" s="88">
        <f>+'SC Tonnage - Enspire'!T79</f>
        <v>0</v>
      </c>
      <c r="H93" s="133">
        <f t="shared" si="117"/>
        <v>0</v>
      </c>
      <c r="I93" s="133"/>
      <c r="J93" s="138" t="e">
        <f t="shared" ref="J93:J97" si="157">+C93/E93*N93</f>
        <v>#DIV/0!</v>
      </c>
      <c r="K93" s="11"/>
      <c r="L93" s="138" t="e">
        <f t="shared" ref="L93:L94" si="158">+N93-J93</f>
        <v>#DIV/0!</v>
      </c>
      <c r="M93" s="11"/>
      <c r="N93" s="138" t="e">
        <f t="shared" ref="N93" si="159">+E93/C26*G26</f>
        <v>#DIV/0!</v>
      </c>
      <c r="O93" s="138" t="e">
        <f t="shared" ref="O93" si="160">+G93/D26*H26</f>
        <v>#DIV/0!</v>
      </c>
      <c r="P93" s="139" t="e">
        <f t="shared" ref="P93" si="161">(O93+N93)/H93</f>
        <v>#DIV/0!</v>
      </c>
      <c r="Q93" s="138"/>
      <c r="R93" s="270" t="e">
        <f t="shared" ref="R93" si="162">(C93+G93)/H93</f>
        <v>#DIV/0!</v>
      </c>
      <c r="S93" s="87" t="e">
        <f t="shared" ref="S93" si="163">1-R93</f>
        <v>#DIV/0!</v>
      </c>
      <c r="T93" s="93"/>
    </row>
    <row r="94" spans="1:20">
      <c r="A94" t="str">
        <f t="shared" si="115"/>
        <v>Jun</v>
      </c>
      <c r="C94" s="93">
        <f>+'KC Tonnage - Enspire'!R83+'KC Tonnage - Enspire'!S83</f>
        <v>0</v>
      </c>
      <c r="D94" s="93">
        <f>+'KC Tonnage - Enspire'!P83+'KC Tonnage - Enspire'!Q83</f>
        <v>0</v>
      </c>
      <c r="E94" s="88">
        <f t="shared" si="116"/>
        <v>0</v>
      </c>
      <c r="F94" s="11"/>
      <c r="G94" s="88">
        <f>+'SC Tonnage - Enspire'!T83</f>
        <v>0</v>
      </c>
      <c r="H94" s="133">
        <f t="shared" si="117"/>
        <v>0</v>
      </c>
      <c r="I94" s="133"/>
      <c r="J94" s="138" t="e">
        <f t="shared" si="157"/>
        <v>#DIV/0!</v>
      </c>
      <c r="K94" s="11"/>
      <c r="L94" s="138" t="e">
        <f t="shared" si="158"/>
        <v>#DIV/0!</v>
      </c>
      <c r="M94" s="11"/>
      <c r="N94" s="138" t="e">
        <f t="shared" ref="N94" si="164">+E94/C27*G27</f>
        <v>#DIV/0!</v>
      </c>
      <c r="O94" s="138" t="e">
        <f t="shared" ref="O94" si="165">+G94/D27*H27</f>
        <v>#DIV/0!</v>
      </c>
      <c r="P94" s="139" t="e">
        <f t="shared" ref="P94" si="166">(O94+N94)/H94</f>
        <v>#DIV/0!</v>
      </c>
      <c r="Q94" s="138"/>
      <c r="R94" s="270" t="e">
        <f t="shared" ref="R94" si="167">(C94+G94)/H94</f>
        <v>#DIV/0!</v>
      </c>
      <c r="S94" s="87" t="e">
        <f t="shared" ref="S94" si="168">1-R94</f>
        <v>#DIV/0!</v>
      </c>
      <c r="T94" s="93"/>
    </row>
    <row r="95" spans="1:20">
      <c r="A95" t="str">
        <f t="shared" si="115"/>
        <v>Jul</v>
      </c>
      <c r="C95" s="93">
        <f>+'KC Tonnage - Enspire'!R87+'KC Tonnage - Enspire'!S87</f>
        <v>0</v>
      </c>
      <c r="D95" s="93">
        <f>+'KC Tonnage - Enspire'!P87+'KC Tonnage - Enspire'!Q87</f>
        <v>0</v>
      </c>
      <c r="E95" s="88">
        <f t="shared" si="116"/>
        <v>0</v>
      </c>
      <c r="F95" s="11"/>
      <c r="G95" s="88">
        <f>+'SC Tonnage - Enspire'!T87</f>
        <v>0</v>
      </c>
      <c r="H95" s="133">
        <f t="shared" si="117"/>
        <v>0</v>
      </c>
      <c r="I95" s="133"/>
      <c r="J95" s="138" t="e">
        <f t="shared" si="157"/>
        <v>#DIV/0!</v>
      </c>
      <c r="K95" s="11"/>
      <c r="L95" s="138" t="e">
        <f t="shared" ref="L95:L97" si="169">+N95-J95</f>
        <v>#DIV/0!</v>
      </c>
      <c r="M95" s="11"/>
      <c r="N95" s="138" t="e">
        <f t="shared" ref="N95" si="170">+E95/C28*G28</f>
        <v>#DIV/0!</v>
      </c>
      <c r="O95" s="138" t="e">
        <f t="shared" ref="O95" si="171">+G95/D28*H28</f>
        <v>#DIV/0!</v>
      </c>
      <c r="P95" s="139" t="e">
        <f t="shared" ref="P95" si="172">(O95+N95)/H95</f>
        <v>#DIV/0!</v>
      </c>
      <c r="Q95" s="138"/>
      <c r="R95" s="270" t="e">
        <f t="shared" ref="R95" si="173">(C95+G95)/H95</f>
        <v>#DIV/0!</v>
      </c>
      <c r="S95" s="87" t="e">
        <f t="shared" ref="S95" si="174">1-R95</f>
        <v>#DIV/0!</v>
      </c>
      <c r="T95" s="93"/>
    </row>
    <row r="96" spans="1:20">
      <c r="A96" t="str">
        <f t="shared" si="115"/>
        <v>Aug</v>
      </c>
      <c r="C96" s="93">
        <f>+'KC Tonnage - Enspire'!R91+'KC Tonnage - Enspire'!S91</f>
        <v>0</v>
      </c>
      <c r="D96" s="93">
        <f>+'KC Tonnage - Enspire'!P91+'KC Tonnage - Enspire'!Q91</f>
        <v>0</v>
      </c>
      <c r="E96" s="88">
        <f t="shared" si="116"/>
        <v>0</v>
      </c>
      <c r="F96" s="11"/>
      <c r="G96" s="88">
        <f>+'SC Tonnage - Enspire'!T91</f>
        <v>0</v>
      </c>
      <c r="H96" s="133">
        <f t="shared" si="117"/>
        <v>0</v>
      </c>
      <c r="I96" s="133"/>
      <c r="J96" s="138" t="e">
        <f t="shared" si="157"/>
        <v>#DIV/0!</v>
      </c>
      <c r="K96" s="11"/>
      <c r="L96" s="138" t="e">
        <f t="shared" si="169"/>
        <v>#DIV/0!</v>
      </c>
      <c r="M96" s="11"/>
      <c r="N96" s="138" t="e">
        <f t="shared" ref="N96:N97" si="175">+E96/C29*G29</f>
        <v>#DIV/0!</v>
      </c>
      <c r="O96" s="138" t="e">
        <f t="shared" ref="O96:O97" si="176">+G96/D29*H29</f>
        <v>#DIV/0!</v>
      </c>
      <c r="P96" s="139" t="e">
        <f t="shared" ref="P96:P97" si="177">(O96+N96)/H96</f>
        <v>#DIV/0!</v>
      </c>
      <c r="Q96" s="138"/>
      <c r="R96" s="270" t="e">
        <f t="shared" ref="R96:R97" si="178">(C96+G96)/H96</f>
        <v>#DIV/0!</v>
      </c>
      <c r="S96" s="87" t="e">
        <f t="shared" ref="S96:S97" si="179">1-R96</f>
        <v>#DIV/0!</v>
      </c>
      <c r="T96" s="93"/>
    </row>
    <row r="97" spans="1:20" s="54" customFormat="1" ht="16.5">
      <c r="A97" t="str">
        <f t="shared" si="115"/>
        <v>Sep</v>
      </c>
      <c r="C97" s="400">
        <f>+'KC Tonnage - Enspire'!R95+'KC Tonnage - Enspire'!S95</f>
        <v>0</v>
      </c>
      <c r="D97" s="400">
        <f>+'KC Tonnage - Enspire'!P95+'KC Tonnage - Enspire'!Q95</f>
        <v>0</v>
      </c>
      <c r="E97" s="74">
        <f t="shared" si="116"/>
        <v>0</v>
      </c>
      <c r="F97" s="90"/>
      <c r="G97" s="74">
        <f>+'SC Tonnage - Enspire'!T95</f>
        <v>0</v>
      </c>
      <c r="H97" s="162">
        <f t="shared" si="117"/>
        <v>0</v>
      </c>
      <c r="I97" s="163"/>
      <c r="J97" s="141" t="e">
        <f t="shared" si="157"/>
        <v>#DIV/0!</v>
      </c>
      <c r="K97" s="140"/>
      <c r="L97" s="141" t="e">
        <f t="shared" si="169"/>
        <v>#DIV/0!</v>
      </c>
      <c r="M97" s="189"/>
      <c r="N97" s="141" t="e">
        <f t="shared" si="175"/>
        <v>#DIV/0!</v>
      </c>
      <c r="O97" s="141" t="e">
        <f t="shared" si="176"/>
        <v>#DIV/0!</v>
      </c>
      <c r="P97" s="144" t="e">
        <f t="shared" si="177"/>
        <v>#DIV/0!</v>
      </c>
      <c r="Q97" s="141"/>
      <c r="R97" s="376" t="e">
        <f t="shared" si="178"/>
        <v>#DIV/0!</v>
      </c>
      <c r="S97" s="377" t="e">
        <f t="shared" si="179"/>
        <v>#DIV/0!</v>
      </c>
      <c r="T97" s="131"/>
    </row>
    <row r="98" spans="1:20" ht="15">
      <c r="C98" s="145">
        <f>SUM(C74:C97)</f>
        <v>5104.01</v>
      </c>
      <c r="D98" s="145">
        <f t="shared" ref="D98:O98" si="180">SUM(D74:D97)</f>
        <v>5206.8500000000004</v>
      </c>
      <c r="E98" s="145">
        <f t="shared" si="180"/>
        <v>10310.86</v>
      </c>
      <c r="F98" s="145"/>
      <c r="G98" s="145">
        <f t="shared" si="180"/>
        <v>23553.06</v>
      </c>
      <c r="H98" s="145">
        <f t="shared" si="180"/>
        <v>33863.919999999998</v>
      </c>
      <c r="I98" s="145"/>
      <c r="J98" s="146" t="e">
        <f t="shared" si="180"/>
        <v>#DIV/0!</v>
      </c>
      <c r="K98" s="146"/>
      <c r="L98" s="146" t="e">
        <f t="shared" si="180"/>
        <v>#DIV/0!</v>
      </c>
      <c r="M98" s="146"/>
      <c r="N98" s="146" t="e">
        <f t="shared" si="180"/>
        <v>#DIV/0!</v>
      </c>
      <c r="O98" s="146" t="e">
        <f t="shared" si="180"/>
        <v>#DIV/0!</v>
      </c>
      <c r="P98" s="147" t="e">
        <f>(O98+N98)/H98</f>
        <v>#DIV/0!</v>
      </c>
      <c r="Q98" s="146"/>
      <c r="R98" s="272">
        <f>(C98+G98)/H98</f>
        <v>0.84624195899352472</v>
      </c>
      <c r="S98" s="274">
        <f>1-R98</f>
        <v>0.15375804100647528</v>
      </c>
      <c r="T98" s="11"/>
    </row>
    <row r="99" spans="1:20" ht="15">
      <c r="B99" s="71"/>
      <c r="E99" s="135">
        <f>+E98/C59</f>
        <v>0.89598257889376687</v>
      </c>
      <c r="F99" s="11"/>
      <c r="G99" s="135">
        <f>+G98/D59</f>
        <v>0.87516753286468085</v>
      </c>
      <c r="H99" s="135">
        <f>+H98/E59</f>
        <v>0.88140214692621199</v>
      </c>
      <c r="I99" s="135"/>
      <c r="J99" s="11"/>
      <c r="K99" s="11"/>
      <c r="L99" s="11"/>
      <c r="M99" s="11"/>
      <c r="N99" s="135" t="e">
        <f>+N98/G59</f>
        <v>#DIV/0!</v>
      </c>
      <c r="O99" s="135" t="e">
        <f>+O98/H59</f>
        <v>#DIV/0!</v>
      </c>
      <c r="P99" s="11"/>
      <c r="Q99" s="135"/>
      <c r="R99" s="11"/>
      <c r="S99" s="11"/>
      <c r="T99" s="11"/>
    </row>
    <row r="100" spans="1:20" ht="15">
      <c r="B100" s="71"/>
      <c r="E100" s="135"/>
      <c r="F100" s="11"/>
      <c r="G100" s="135"/>
      <c r="H100" s="135"/>
      <c r="I100" s="135"/>
      <c r="J100" s="11"/>
      <c r="K100" s="11"/>
      <c r="L100" s="11"/>
      <c r="M100" s="11"/>
      <c r="N100" s="135"/>
      <c r="O100" s="135"/>
      <c r="P100" s="11"/>
      <c r="Q100" s="135"/>
      <c r="R100" s="11"/>
      <c r="S100" s="11"/>
      <c r="T100" s="11"/>
    </row>
    <row r="101" spans="1:20" ht="15">
      <c r="A101" s="71" t="s">
        <v>140</v>
      </c>
      <c r="C101" s="272">
        <f>+C98/E98</f>
        <v>0.49501302510168887</v>
      </c>
      <c r="D101" s="274">
        <f>-C101+1</f>
        <v>0.50498697489831113</v>
      </c>
      <c r="E101" s="274">
        <f>+D101+C101</f>
        <v>1</v>
      </c>
      <c r="F101" s="11"/>
      <c r="G101" s="135">
        <v>1</v>
      </c>
      <c r="H101" s="274"/>
      <c r="I101" s="11"/>
      <c r="K101" s="11"/>
      <c r="L101" s="11"/>
      <c r="M101" s="11"/>
      <c r="N101" s="11"/>
      <c r="O101" s="11"/>
      <c r="P101" s="11"/>
      <c r="Q101" s="11"/>
      <c r="R101" s="274">
        <f>+R98</f>
        <v>0.84624195899352472</v>
      </c>
      <c r="S101" s="274">
        <f>+S98</f>
        <v>0.15375804100647528</v>
      </c>
      <c r="T101" s="11"/>
    </row>
    <row r="102" spans="1:20">
      <c r="C102" s="275" t="s">
        <v>141</v>
      </c>
      <c r="D102" s="275" t="s">
        <v>142</v>
      </c>
      <c r="E102" s="276"/>
      <c r="F102" s="276"/>
      <c r="G102" s="275" t="s">
        <v>141</v>
      </c>
      <c r="I102" s="11"/>
      <c r="J102" s="11"/>
      <c r="K102" s="11"/>
      <c r="L102" s="11"/>
      <c r="M102" s="11"/>
      <c r="N102" s="11"/>
      <c r="O102" s="11"/>
      <c r="P102" s="11"/>
      <c r="Q102" s="11"/>
      <c r="R102" s="11"/>
      <c r="S102" s="11"/>
      <c r="T102" s="11"/>
    </row>
    <row r="103" spans="1:20">
      <c r="C103" s="11"/>
      <c r="D103" s="11"/>
      <c r="E103" s="11"/>
      <c r="F103" s="11"/>
      <c r="G103" s="11"/>
      <c r="H103" s="11"/>
      <c r="I103" s="11"/>
      <c r="J103" s="11"/>
      <c r="K103" s="11"/>
      <c r="L103" s="11"/>
      <c r="M103" s="11"/>
      <c r="N103" s="11"/>
      <c r="O103" s="11"/>
      <c r="P103" s="11"/>
      <c r="Q103" s="11"/>
      <c r="R103" s="11"/>
      <c r="S103" s="11"/>
      <c r="T103" s="11"/>
    </row>
    <row r="104" spans="1:20" ht="15">
      <c r="A104" s="56" t="s">
        <v>93</v>
      </c>
      <c r="C104" s="11"/>
      <c r="D104" s="11"/>
      <c r="E104" s="11"/>
      <c r="F104" s="11"/>
      <c r="G104" s="11"/>
      <c r="H104" s="11"/>
      <c r="I104" s="11"/>
      <c r="J104" s="11"/>
      <c r="K104" s="11"/>
      <c r="L104" s="11"/>
      <c r="M104" s="11"/>
      <c r="N104" s="11"/>
      <c r="O104" s="11"/>
      <c r="P104" s="11"/>
      <c r="Q104" s="11"/>
      <c r="R104" s="11"/>
      <c r="S104" s="11"/>
      <c r="T104" s="11"/>
    </row>
    <row r="105" spans="1:20">
      <c r="A105" t="str">
        <f t="shared" ref="A105:A128" si="181">+A74</f>
        <v>Oct., 2021</v>
      </c>
      <c r="C105" s="93">
        <f>+'KC Tonnage - Enspire'!R4+'KC Tonnage - Enspire'!S4</f>
        <v>34.67</v>
      </c>
      <c r="D105" s="93">
        <f>+'KC Tonnage - Enspire'!P4+'KC Tonnage - Enspire'!Q4</f>
        <v>57.080000000000005</v>
      </c>
      <c r="E105" s="88">
        <f t="shared" ref="E105:E128" si="182">+D105+C105</f>
        <v>91.75</v>
      </c>
      <c r="F105" s="11"/>
      <c r="G105" s="88">
        <f t="shared" ref="G105:G128" si="183">+D35-G74</f>
        <v>257.10000000000014</v>
      </c>
      <c r="H105" s="88">
        <f t="shared" ref="H105:H127" si="184">+G105+E105</f>
        <v>348.85000000000014</v>
      </c>
      <c r="I105" s="88"/>
      <c r="J105" s="138">
        <f t="shared" ref="J105:J110" si="185">+C105/E105*N105</f>
        <v>3460.2243522724407</v>
      </c>
      <c r="K105" s="11"/>
      <c r="L105" s="138">
        <f t="shared" ref="L105:L110" si="186">+N105-J105</f>
        <v>5696.8447080389651</v>
      </c>
      <c r="M105" s="11"/>
      <c r="N105" s="138">
        <f t="shared" ref="N105:N128" si="187">+G35-N74</f>
        <v>9157.0690603114053</v>
      </c>
      <c r="O105" s="138">
        <f t="shared" ref="O105:O128" si="188">+H35-O74</f>
        <v>25460.659851700359</v>
      </c>
      <c r="P105" s="139">
        <f t="shared" ref="P105:P128" si="189">(O105+N105)/H105</f>
        <v>99.233850973231327</v>
      </c>
      <c r="Q105" s="132"/>
      <c r="R105" s="11"/>
      <c r="S105" s="93"/>
      <c r="T105" s="93"/>
    </row>
    <row r="106" spans="1:20">
      <c r="A106" t="str">
        <f t="shared" si="181"/>
        <v>Nov</v>
      </c>
      <c r="C106" s="93">
        <f>+'KC Tonnage - Enspire'!R8+'KC Tonnage - Enspire'!S8</f>
        <v>37</v>
      </c>
      <c r="D106" s="93">
        <f>+'KC Tonnage - Enspire'!P8+'KC Tonnage - Enspire'!Q8</f>
        <v>68.83</v>
      </c>
      <c r="E106" s="88">
        <f t="shared" si="182"/>
        <v>105.83</v>
      </c>
      <c r="F106" s="11"/>
      <c r="G106" s="88">
        <f t="shared" si="183"/>
        <v>317.48</v>
      </c>
      <c r="H106" s="88">
        <f t="shared" si="184"/>
        <v>423.31</v>
      </c>
      <c r="I106" s="88"/>
      <c r="J106" s="138">
        <f t="shared" si="185"/>
        <v>3381.6866764442216</v>
      </c>
      <c r="K106" s="11"/>
      <c r="L106" s="138">
        <f t="shared" si="186"/>
        <v>6290.8511875582644</v>
      </c>
      <c r="M106" s="11"/>
      <c r="N106" s="138">
        <f t="shared" si="187"/>
        <v>9672.5378640024865</v>
      </c>
      <c r="O106" s="138">
        <f t="shared" si="188"/>
        <v>28818.28601658126</v>
      </c>
      <c r="P106" s="139">
        <f t="shared" si="189"/>
        <v>90.928217808659724</v>
      </c>
      <c r="Q106" s="132"/>
      <c r="R106" s="11"/>
      <c r="S106" s="93"/>
      <c r="T106" s="93"/>
    </row>
    <row r="107" spans="1:20">
      <c r="A107" t="str">
        <f t="shared" si="181"/>
        <v>Dec</v>
      </c>
      <c r="C107" s="93">
        <f>+'KC Tonnage - Enspire'!R12+'KC Tonnage - Enspire'!S12</f>
        <v>35.79</v>
      </c>
      <c r="D107" s="93">
        <f>+'KC Tonnage - Enspire'!P12+'KC Tonnage - Enspire'!Q12</f>
        <v>54.84</v>
      </c>
      <c r="E107" s="88">
        <f t="shared" si="182"/>
        <v>90.63</v>
      </c>
      <c r="F107" s="11"/>
      <c r="G107" s="88">
        <f t="shared" si="183"/>
        <v>244.51</v>
      </c>
      <c r="H107" s="88">
        <f t="shared" si="184"/>
        <v>335.14</v>
      </c>
      <c r="I107" s="88"/>
      <c r="J107" s="138">
        <f t="shared" si="185"/>
        <v>2428.508595790885</v>
      </c>
      <c r="K107" s="11"/>
      <c r="L107" s="138">
        <f t="shared" si="186"/>
        <v>3721.1347134163771</v>
      </c>
      <c r="M107" s="11"/>
      <c r="N107" s="138">
        <f t="shared" si="187"/>
        <v>6149.6433092072621</v>
      </c>
      <c r="O107" s="138">
        <f t="shared" si="188"/>
        <v>16391.746963916958</v>
      </c>
      <c r="P107" s="139">
        <f t="shared" si="189"/>
        <v>67.259623659140118</v>
      </c>
      <c r="Q107" s="132"/>
      <c r="R107" s="11"/>
      <c r="S107" s="93"/>
      <c r="T107" s="93"/>
    </row>
    <row r="108" spans="1:20">
      <c r="A108" t="str">
        <f t="shared" si="181"/>
        <v>Jan., 2022</v>
      </c>
      <c r="C108" s="93">
        <f>+'KC Tonnage - Enspire'!R16+'KC Tonnage - Enspire'!S16</f>
        <v>48.190000000000005</v>
      </c>
      <c r="D108" s="93">
        <f>+'KC Tonnage - Enspire'!P16+'KC Tonnage - Enspire'!Q16</f>
        <v>72.599999999999994</v>
      </c>
      <c r="E108" s="88">
        <f t="shared" si="182"/>
        <v>120.78999999999999</v>
      </c>
      <c r="F108" s="11"/>
      <c r="G108" s="88">
        <f t="shared" si="183"/>
        <v>325.5</v>
      </c>
      <c r="H108" s="133">
        <f t="shared" si="184"/>
        <v>446.28999999999996</v>
      </c>
      <c r="I108" s="133"/>
      <c r="J108" s="138">
        <f t="shared" si="185"/>
        <v>3039.1615453218733</v>
      </c>
      <c r="K108" s="11"/>
      <c r="L108" s="138">
        <f t="shared" si="186"/>
        <v>4578.6081799204803</v>
      </c>
      <c r="M108" s="11"/>
      <c r="N108" s="138">
        <f t="shared" si="187"/>
        <v>7617.7697252423532</v>
      </c>
      <c r="O108" s="138">
        <f t="shared" si="188"/>
        <v>20354.989672001859</v>
      </c>
      <c r="P108" s="139">
        <f t="shared" si="189"/>
        <v>62.678436436496931</v>
      </c>
      <c r="Q108" s="137"/>
      <c r="R108" s="11"/>
      <c r="S108" s="93"/>
      <c r="T108" s="93"/>
    </row>
    <row r="109" spans="1:20">
      <c r="A109" t="str">
        <f t="shared" si="181"/>
        <v>Feb</v>
      </c>
      <c r="C109" s="93">
        <f>+'KC Tonnage - Enspire'!R20+'KC Tonnage - Enspire'!S20</f>
        <v>34.049999999999997</v>
      </c>
      <c r="D109" s="93">
        <f>+'KC Tonnage - Enspire'!P20+'KC Tonnage - Enspire'!Q20</f>
        <v>54.61</v>
      </c>
      <c r="E109" s="88">
        <f t="shared" si="182"/>
        <v>88.66</v>
      </c>
      <c r="F109" s="11"/>
      <c r="G109" s="88">
        <f t="shared" si="183"/>
        <v>269.62999999999988</v>
      </c>
      <c r="H109" s="133">
        <f t="shared" si="184"/>
        <v>358.28999999999985</v>
      </c>
      <c r="I109" s="133"/>
      <c r="J109" s="138">
        <f t="shared" si="185"/>
        <v>2303.6449405411167</v>
      </c>
      <c r="K109" s="11"/>
      <c r="L109" s="138">
        <f t="shared" si="186"/>
        <v>3694.6270250499383</v>
      </c>
      <c r="M109" s="11"/>
      <c r="N109" s="138">
        <f t="shared" si="187"/>
        <v>5998.2719655910551</v>
      </c>
      <c r="O109" s="138">
        <f t="shared" si="188"/>
        <v>18127.159804805357</v>
      </c>
      <c r="P109" s="139">
        <f t="shared" si="189"/>
        <v>67.334929164633181</v>
      </c>
      <c r="Q109" s="137"/>
      <c r="R109" s="11"/>
      <c r="S109" s="93"/>
      <c r="T109" s="93"/>
    </row>
    <row r="110" spans="1:20">
      <c r="A110" t="str">
        <f t="shared" si="181"/>
        <v>Mar</v>
      </c>
      <c r="C110" s="93">
        <f>+'KC Tonnage - Enspire'!R24+'KC Tonnage - Enspire'!S24</f>
        <v>38.07</v>
      </c>
      <c r="D110" s="93">
        <f>+'KC Tonnage - Enspire'!P24+'KC Tonnage - Enspire'!Q24</f>
        <v>69.31</v>
      </c>
      <c r="E110" s="88">
        <f t="shared" si="182"/>
        <v>107.38</v>
      </c>
      <c r="F110" s="11"/>
      <c r="G110" s="88">
        <f t="shared" si="183"/>
        <v>303.02000000000021</v>
      </c>
      <c r="H110" s="133">
        <f t="shared" si="184"/>
        <v>410.4000000000002</v>
      </c>
      <c r="I110" s="133"/>
      <c r="J110" s="138">
        <f t="shared" si="185"/>
        <v>2481.2865208600278</v>
      </c>
      <c r="K110" s="11"/>
      <c r="L110" s="138">
        <f t="shared" si="186"/>
        <v>4517.4144670556479</v>
      </c>
      <c r="M110" s="11"/>
      <c r="N110" s="138">
        <f t="shared" si="187"/>
        <v>6998.7009879156758</v>
      </c>
      <c r="O110" s="138">
        <f t="shared" si="188"/>
        <v>19503.504299497305</v>
      </c>
      <c r="P110" s="139">
        <f t="shared" si="189"/>
        <v>64.57652360480742</v>
      </c>
      <c r="Q110" s="137"/>
      <c r="R110" s="11"/>
      <c r="S110" s="93"/>
      <c r="T110" s="93"/>
    </row>
    <row r="111" spans="1:20">
      <c r="A111" t="str">
        <f t="shared" si="181"/>
        <v>Apr</v>
      </c>
      <c r="C111" s="93">
        <f>+'KC Tonnage - Enspire'!R28+'KC Tonnage - Enspire'!S28</f>
        <v>35.159999999999997</v>
      </c>
      <c r="D111" s="93">
        <f>+'KC Tonnage - Enspire'!P28+'KC Tonnage - Enspire'!Q28</f>
        <v>56.63</v>
      </c>
      <c r="E111" s="88">
        <f t="shared" si="182"/>
        <v>91.789999999999992</v>
      </c>
      <c r="F111" s="11"/>
      <c r="G111" s="88">
        <f t="shared" si="183"/>
        <v>260.72000000000003</v>
      </c>
      <c r="H111" s="133">
        <f t="shared" si="184"/>
        <v>352.51</v>
      </c>
      <c r="I111" s="133"/>
      <c r="J111" s="138">
        <f>+C111/E111*N111</f>
        <v>2307.9641408155344</v>
      </c>
      <c r="K111" s="11"/>
      <c r="L111" s="138">
        <f t="shared" ref="L111:L128" si="190">+N111-J111</f>
        <v>3717.2926420473182</v>
      </c>
      <c r="M111" s="11"/>
      <c r="N111" s="138">
        <f t="shared" si="187"/>
        <v>6025.2567828628526</v>
      </c>
      <c r="O111" s="138">
        <f t="shared" si="188"/>
        <v>16849.616654971585</v>
      </c>
      <c r="P111" s="139">
        <f t="shared" si="189"/>
        <v>64.891417088407252</v>
      </c>
      <c r="Q111" s="137"/>
      <c r="R111" s="11"/>
      <c r="S111" s="93"/>
      <c r="T111" s="93"/>
    </row>
    <row r="112" spans="1:20">
      <c r="A112" t="str">
        <f t="shared" si="181"/>
        <v>May</v>
      </c>
      <c r="C112" s="93">
        <f>+'KC Tonnage - Enspire'!R32+'KC Tonnage - Enspire'!S32</f>
        <v>37.39</v>
      </c>
      <c r="D112" s="93">
        <f>+'KC Tonnage - Enspire'!P32+'KC Tonnage - Enspire'!Q32</f>
        <v>62.92</v>
      </c>
      <c r="E112" s="88">
        <f t="shared" si="182"/>
        <v>100.31</v>
      </c>
      <c r="F112" s="11"/>
      <c r="G112" s="88">
        <f t="shared" si="183"/>
        <v>298.53999999999996</v>
      </c>
      <c r="H112" s="133">
        <f t="shared" si="184"/>
        <v>398.84999999999997</v>
      </c>
      <c r="I112" s="133"/>
      <c r="J112" s="138">
        <f>+C112/E112*N112</f>
        <v>2218.0330727634719</v>
      </c>
      <c r="K112" s="11"/>
      <c r="L112" s="138">
        <f t="shared" si="190"/>
        <v>3732.51246157469</v>
      </c>
      <c r="M112" s="11"/>
      <c r="N112" s="138">
        <f t="shared" si="187"/>
        <v>5950.5455343381618</v>
      </c>
      <c r="O112" s="138">
        <f t="shared" si="188"/>
        <v>17088.019326808295</v>
      </c>
      <c r="P112" s="139">
        <f t="shared" si="189"/>
        <v>57.762479280798445</v>
      </c>
      <c r="Q112" s="137"/>
      <c r="R112" s="11"/>
      <c r="S112" s="93"/>
      <c r="T112" s="93"/>
    </row>
    <row r="113" spans="1:20">
      <c r="A113" t="str">
        <f t="shared" si="181"/>
        <v>Jun</v>
      </c>
      <c r="C113" s="93">
        <f>+'KC Tonnage - Enspire'!R36+'KC Tonnage - Enspire'!S36</f>
        <v>39.409999999999997</v>
      </c>
      <c r="D113" s="93">
        <f>+'KC Tonnage - Enspire'!P36+'KC Tonnage - Enspire'!Q36</f>
        <v>61.2</v>
      </c>
      <c r="E113" s="88">
        <f t="shared" si="182"/>
        <v>100.61</v>
      </c>
      <c r="F113" s="11"/>
      <c r="G113" s="88">
        <f t="shared" si="183"/>
        <v>294.55000000000018</v>
      </c>
      <c r="H113" s="133">
        <f t="shared" si="184"/>
        <v>395.1600000000002</v>
      </c>
      <c r="I113" s="133"/>
      <c r="J113" s="138">
        <f>+C113/E113*N113</f>
        <v>2548.6080312226109</v>
      </c>
      <c r="K113" s="11"/>
      <c r="L113" s="138">
        <f t="shared" si="190"/>
        <v>3957.7470568592694</v>
      </c>
      <c r="M113" s="11"/>
      <c r="N113" s="138">
        <f t="shared" si="187"/>
        <v>6506.3550880818802</v>
      </c>
      <c r="O113" s="138">
        <f t="shared" si="188"/>
        <v>18751.546367738876</v>
      </c>
      <c r="P113" s="139">
        <f t="shared" si="189"/>
        <v>63.918163416896306</v>
      </c>
      <c r="Q113" s="137"/>
      <c r="R113" s="11"/>
      <c r="S113" s="93"/>
      <c r="T113" s="93"/>
    </row>
    <row r="114" spans="1:20">
      <c r="A114" t="str">
        <f t="shared" si="181"/>
        <v>Jul</v>
      </c>
      <c r="C114" s="93">
        <f>+'KC Tonnage - Enspire'!R40+'KC Tonnage - Enspire'!S40</f>
        <v>34.46</v>
      </c>
      <c r="D114" s="93">
        <f>+'KC Tonnage - Enspire'!P40+'KC Tonnage - Enspire'!Q40</f>
        <v>55.92</v>
      </c>
      <c r="E114" s="88">
        <f t="shared" si="182"/>
        <v>90.38</v>
      </c>
      <c r="F114" s="11"/>
      <c r="G114" s="88">
        <f t="shared" si="183"/>
        <v>254.36999999999989</v>
      </c>
      <c r="H114" s="133">
        <f t="shared" si="184"/>
        <v>344.74999999999989</v>
      </c>
      <c r="I114" s="133"/>
      <c r="J114" s="138">
        <f>+C114/E114*N114</f>
        <v>2827.7706095317226</v>
      </c>
      <c r="K114" s="11"/>
      <c r="L114" s="138">
        <f t="shared" si="190"/>
        <v>4588.7676287003451</v>
      </c>
      <c r="M114" s="11"/>
      <c r="N114" s="138">
        <f t="shared" si="187"/>
        <v>7416.5382382320677</v>
      </c>
      <c r="O114" s="138">
        <f t="shared" si="188"/>
        <v>20748.112660763232</v>
      </c>
      <c r="P114" s="139">
        <f t="shared" si="189"/>
        <v>81.695869177651375</v>
      </c>
      <c r="Q114" s="137"/>
      <c r="R114" s="11"/>
      <c r="S114" s="93"/>
      <c r="T114" s="93"/>
    </row>
    <row r="115" spans="1:20">
      <c r="A115" t="str">
        <f t="shared" si="181"/>
        <v>Aug</v>
      </c>
      <c r="C115" s="93">
        <f>+'KC Tonnage - Enspire'!R44+'KC Tonnage - Enspire'!S44</f>
        <v>39.44</v>
      </c>
      <c r="D115" s="93">
        <f>+'KC Tonnage - Enspire'!P44+'KC Tonnage - Enspire'!Q44</f>
        <v>67.72999999999999</v>
      </c>
      <c r="E115" s="88">
        <f t="shared" si="182"/>
        <v>107.16999999999999</v>
      </c>
      <c r="F115" s="11"/>
      <c r="G115" s="88">
        <f t="shared" si="183"/>
        <v>295.81000000000017</v>
      </c>
      <c r="H115" s="133">
        <f t="shared" si="184"/>
        <v>402.98000000000013</v>
      </c>
      <c r="I115" s="133"/>
      <c r="J115" s="138">
        <f>+C115/E115*N115</f>
        <v>2341.5420787630796</v>
      </c>
      <c r="K115" s="11"/>
      <c r="L115" s="138">
        <f t="shared" si="190"/>
        <v>4021.1116885046499</v>
      </c>
      <c r="M115" s="11"/>
      <c r="N115" s="138">
        <f t="shared" si="187"/>
        <v>6362.6537672677296</v>
      </c>
      <c r="O115" s="138">
        <f t="shared" si="188"/>
        <v>17131.864424290805</v>
      </c>
      <c r="P115" s="139">
        <f t="shared" si="189"/>
        <v>58.301945981335365</v>
      </c>
      <c r="Q115" s="137"/>
      <c r="R115" s="11"/>
      <c r="S115" s="93"/>
      <c r="T115" s="93"/>
    </row>
    <row r="116" spans="1:20" s="426" customFormat="1">
      <c r="A116" s="426" t="str">
        <f t="shared" si="181"/>
        <v>Sep</v>
      </c>
      <c r="C116" s="432">
        <f>+'KC Tonnage - Enspire'!R48+'KC Tonnage - Enspire'!S48</f>
        <v>39.03</v>
      </c>
      <c r="D116" s="432">
        <f>+'KC Tonnage - Enspire'!P48+'KC Tonnage - Enspire'!Q48</f>
        <v>62.690000000000005</v>
      </c>
      <c r="E116" s="427">
        <f t="shared" si="182"/>
        <v>101.72</v>
      </c>
      <c r="F116" s="428"/>
      <c r="G116" s="427">
        <f t="shared" si="183"/>
        <v>238.34000000000015</v>
      </c>
      <c r="H116" s="427">
        <f t="shared" si="184"/>
        <v>340.06000000000017</v>
      </c>
      <c r="I116" s="427"/>
      <c r="J116" s="429">
        <f t="shared" ref="J116:J128" si="191">+C116/E116*N116</f>
        <v>1160.6879281919062</v>
      </c>
      <c r="K116" s="428"/>
      <c r="L116" s="429">
        <f t="shared" si="190"/>
        <v>1864.2973665987849</v>
      </c>
      <c r="M116" s="428"/>
      <c r="N116" s="429">
        <f t="shared" si="187"/>
        <v>3024.9852947906911</v>
      </c>
      <c r="O116" s="429">
        <f t="shared" si="188"/>
        <v>6886.798522376499</v>
      </c>
      <c r="P116" s="430">
        <f t="shared" si="189"/>
        <v>29.147161727833868</v>
      </c>
      <c r="Q116" s="431"/>
      <c r="R116" s="428"/>
      <c r="S116" s="432"/>
      <c r="T116" s="432"/>
    </row>
    <row r="117" spans="1:20">
      <c r="A117" t="str">
        <f t="shared" si="181"/>
        <v>Oct</v>
      </c>
      <c r="C117" s="93">
        <f>+'KC Tonnage - Enspire'!R52+'KC Tonnage - Enspire'!S52</f>
        <v>0</v>
      </c>
      <c r="D117" s="93">
        <f>+'KC Tonnage - Enspire'!P52+'KC Tonnage - Enspire'!Q52</f>
        <v>0</v>
      </c>
      <c r="E117" s="88">
        <f t="shared" si="182"/>
        <v>0</v>
      </c>
      <c r="F117" s="11"/>
      <c r="G117" s="88">
        <f t="shared" si="183"/>
        <v>0</v>
      </c>
      <c r="H117" s="133">
        <f t="shared" si="184"/>
        <v>0</v>
      </c>
      <c r="I117" s="133"/>
      <c r="J117" s="138" t="e">
        <f t="shared" si="191"/>
        <v>#DIV/0!</v>
      </c>
      <c r="K117" s="11"/>
      <c r="L117" s="138" t="e">
        <f t="shared" si="190"/>
        <v>#DIV/0!</v>
      </c>
      <c r="M117" s="11"/>
      <c r="N117" s="138" t="e">
        <f t="shared" si="187"/>
        <v>#DIV/0!</v>
      </c>
      <c r="O117" s="138" t="e">
        <f t="shared" si="188"/>
        <v>#DIV/0!</v>
      </c>
      <c r="P117" s="139" t="e">
        <f t="shared" si="189"/>
        <v>#DIV/0!</v>
      </c>
      <c r="Q117" s="137"/>
      <c r="R117" s="11"/>
      <c r="S117" s="93"/>
      <c r="T117" s="93"/>
    </row>
    <row r="118" spans="1:20">
      <c r="A118" t="str">
        <f t="shared" si="181"/>
        <v>Nov</v>
      </c>
      <c r="C118" s="93">
        <f>+'KC Tonnage - Enspire'!R56+'KC Tonnage - Enspire'!S56</f>
        <v>0</v>
      </c>
      <c r="D118" s="93">
        <f>+'KC Tonnage - Enspire'!P56+'KC Tonnage - Enspire'!Q56</f>
        <v>0</v>
      </c>
      <c r="E118" s="88">
        <f t="shared" si="182"/>
        <v>0</v>
      </c>
      <c r="F118" s="11"/>
      <c r="G118" s="88">
        <f t="shared" si="183"/>
        <v>0</v>
      </c>
      <c r="H118" s="133">
        <f t="shared" si="184"/>
        <v>0</v>
      </c>
      <c r="I118" s="133"/>
      <c r="J118" s="138" t="e">
        <f t="shared" si="191"/>
        <v>#DIV/0!</v>
      </c>
      <c r="K118" s="11"/>
      <c r="L118" s="138" t="e">
        <f t="shared" si="190"/>
        <v>#DIV/0!</v>
      </c>
      <c r="M118" s="11"/>
      <c r="N118" s="138" t="e">
        <f t="shared" si="187"/>
        <v>#DIV/0!</v>
      </c>
      <c r="O118" s="138" t="e">
        <f t="shared" si="188"/>
        <v>#DIV/0!</v>
      </c>
      <c r="P118" s="139" t="e">
        <f t="shared" si="189"/>
        <v>#DIV/0!</v>
      </c>
      <c r="Q118" s="137"/>
      <c r="R118" s="11"/>
      <c r="S118" s="93"/>
      <c r="T118" s="93"/>
    </row>
    <row r="119" spans="1:20">
      <c r="A119" t="str">
        <f t="shared" si="181"/>
        <v>Dec</v>
      </c>
      <c r="C119" s="93">
        <f>+'KC Tonnage - Enspire'!R60+'KC Tonnage - Enspire'!S60</f>
        <v>0</v>
      </c>
      <c r="D119" s="93">
        <f>+'KC Tonnage - Enspire'!P60+'KC Tonnage - Enspire'!Q60</f>
        <v>0</v>
      </c>
      <c r="E119" s="88">
        <f t="shared" si="182"/>
        <v>0</v>
      </c>
      <c r="F119" s="11"/>
      <c r="G119" s="88">
        <f t="shared" si="183"/>
        <v>0</v>
      </c>
      <c r="H119" s="133">
        <f t="shared" si="184"/>
        <v>0</v>
      </c>
      <c r="I119" s="133"/>
      <c r="J119" s="138" t="e">
        <f t="shared" si="191"/>
        <v>#DIV/0!</v>
      </c>
      <c r="K119" s="11"/>
      <c r="L119" s="138" t="e">
        <f t="shared" si="190"/>
        <v>#DIV/0!</v>
      </c>
      <c r="M119" s="11"/>
      <c r="N119" s="138" t="e">
        <f t="shared" si="187"/>
        <v>#DIV/0!</v>
      </c>
      <c r="O119" s="138" t="e">
        <f t="shared" si="188"/>
        <v>#DIV/0!</v>
      </c>
      <c r="P119" s="139" t="e">
        <f t="shared" si="189"/>
        <v>#DIV/0!</v>
      </c>
      <c r="Q119" s="137"/>
      <c r="R119" s="11"/>
      <c r="S119" s="93"/>
      <c r="T119" s="93"/>
    </row>
    <row r="120" spans="1:20">
      <c r="A120" t="str">
        <f t="shared" si="181"/>
        <v>Jan. 2023</v>
      </c>
      <c r="C120" s="93">
        <f>+'KC Tonnage - Enspire'!R64+'KC Tonnage - Enspire'!S64</f>
        <v>0</v>
      </c>
      <c r="D120" s="93">
        <f>+'KC Tonnage - Enspire'!P64+'KC Tonnage - Enspire'!Q64</f>
        <v>0</v>
      </c>
      <c r="E120" s="88">
        <f t="shared" si="182"/>
        <v>0</v>
      </c>
      <c r="F120" s="11"/>
      <c r="G120" s="88">
        <f t="shared" si="183"/>
        <v>0</v>
      </c>
      <c r="H120" s="133">
        <f t="shared" si="184"/>
        <v>0</v>
      </c>
      <c r="I120" s="133"/>
      <c r="J120" s="138" t="e">
        <f t="shared" si="191"/>
        <v>#DIV/0!</v>
      </c>
      <c r="K120" s="11"/>
      <c r="L120" s="138" t="e">
        <f t="shared" si="190"/>
        <v>#DIV/0!</v>
      </c>
      <c r="M120" s="11"/>
      <c r="N120" s="138" t="e">
        <f t="shared" si="187"/>
        <v>#DIV/0!</v>
      </c>
      <c r="O120" s="138" t="e">
        <f t="shared" si="188"/>
        <v>#DIV/0!</v>
      </c>
      <c r="P120" s="139" t="e">
        <f t="shared" si="189"/>
        <v>#DIV/0!</v>
      </c>
      <c r="Q120" s="137"/>
      <c r="R120" s="11"/>
      <c r="S120" s="93"/>
      <c r="T120" s="93"/>
    </row>
    <row r="121" spans="1:20">
      <c r="A121" t="str">
        <f t="shared" si="181"/>
        <v>Feb</v>
      </c>
      <c r="C121" s="93">
        <f>+'KC Tonnage - Enspire'!R68+'KC Tonnage - Enspire'!S68</f>
        <v>0</v>
      </c>
      <c r="D121" s="93">
        <f>+'KC Tonnage - Enspire'!P68+'KC Tonnage - Enspire'!Q68</f>
        <v>0</v>
      </c>
      <c r="E121" s="88">
        <f t="shared" si="182"/>
        <v>0</v>
      </c>
      <c r="F121" s="11"/>
      <c r="G121" s="88">
        <f t="shared" si="183"/>
        <v>0</v>
      </c>
      <c r="H121" s="133">
        <f t="shared" si="184"/>
        <v>0</v>
      </c>
      <c r="I121" s="133"/>
      <c r="J121" s="138" t="e">
        <f t="shared" si="191"/>
        <v>#DIV/0!</v>
      </c>
      <c r="K121" s="11"/>
      <c r="L121" s="138" t="e">
        <f t="shared" si="190"/>
        <v>#DIV/0!</v>
      </c>
      <c r="M121" s="11"/>
      <c r="N121" s="138" t="e">
        <f t="shared" si="187"/>
        <v>#DIV/0!</v>
      </c>
      <c r="O121" s="138" t="e">
        <f t="shared" si="188"/>
        <v>#DIV/0!</v>
      </c>
      <c r="P121" s="139" t="e">
        <f t="shared" si="189"/>
        <v>#DIV/0!</v>
      </c>
      <c r="Q121" s="137"/>
      <c r="R121" s="11"/>
      <c r="S121" s="93"/>
      <c r="T121" s="93"/>
    </row>
    <row r="122" spans="1:20">
      <c r="A122" t="str">
        <f t="shared" si="181"/>
        <v>Mar</v>
      </c>
      <c r="C122" s="93">
        <f>+'KC Tonnage - Enspire'!R72+'KC Tonnage - Enspire'!S72</f>
        <v>0</v>
      </c>
      <c r="D122" s="93">
        <f>+'KC Tonnage - Enspire'!P72+'KC Tonnage - Enspire'!Q72</f>
        <v>0</v>
      </c>
      <c r="E122" s="88">
        <f t="shared" si="182"/>
        <v>0</v>
      </c>
      <c r="F122" s="11"/>
      <c r="G122" s="88">
        <f t="shared" si="183"/>
        <v>0</v>
      </c>
      <c r="H122" s="133">
        <f t="shared" si="184"/>
        <v>0</v>
      </c>
      <c r="I122" s="133"/>
      <c r="J122" s="138" t="e">
        <f t="shared" si="191"/>
        <v>#DIV/0!</v>
      </c>
      <c r="K122" s="11"/>
      <c r="L122" s="138" t="e">
        <f t="shared" si="190"/>
        <v>#DIV/0!</v>
      </c>
      <c r="M122" s="11"/>
      <c r="N122" s="138" t="e">
        <f t="shared" si="187"/>
        <v>#DIV/0!</v>
      </c>
      <c r="O122" s="138" t="e">
        <f t="shared" si="188"/>
        <v>#DIV/0!</v>
      </c>
      <c r="P122" s="139" t="e">
        <f t="shared" si="189"/>
        <v>#DIV/0!</v>
      </c>
      <c r="Q122" s="137"/>
      <c r="R122" s="11"/>
      <c r="S122" s="93"/>
      <c r="T122" s="93"/>
    </row>
    <row r="123" spans="1:20">
      <c r="A123" t="str">
        <f t="shared" si="181"/>
        <v>Apr</v>
      </c>
      <c r="C123" s="93">
        <f>+'KC Tonnage - Enspire'!R76+'KC Tonnage - Enspire'!S76</f>
        <v>0</v>
      </c>
      <c r="D123" s="93">
        <f>+'KC Tonnage - Enspire'!P76+'KC Tonnage - Enspire'!Q76</f>
        <v>0</v>
      </c>
      <c r="E123" s="88">
        <f t="shared" si="182"/>
        <v>0</v>
      </c>
      <c r="F123" s="11"/>
      <c r="G123" s="88">
        <f t="shared" si="183"/>
        <v>0</v>
      </c>
      <c r="H123" s="133">
        <f t="shared" si="184"/>
        <v>0</v>
      </c>
      <c r="I123" s="133"/>
      <c r="J123" s="138" t="e">
        <f t="shared" si="191"/>
        <v>#DIV/0!</v>
      </c>
      <c r="K123" s="11"/>
      <c r="L123" s="138" t="e">
        <f t="shared" si="190"/>
        <v>#DIV/0!</v>
      </c>
      <c r="M123" s="11"/>
      <c r="N123" s="138" t="e">
        <f t="shared" si="187"/>
        <v>#DIV/0!</v>
      </c>
      <c r="O123" s="138" t="e">
        <f t="shared" si="188"/>
        <v>#DIV/0!</v>
      </c>
      <c r="P123" s="139" t="e">
        <f t="shared" si="189"/>
        <v>#DIV/0!</v>
      </c>
      <c r="Q123" s="137"/>
      <c r="R123" s="11"/>
      <c r="S123" s="93"/>
      <c r="T123" s="93"/>
    </row>
    <row r="124" spans="1:20">
      <c r="A124" t="str">
        <f t="shared" si="181"/>
        <v>May</v>
      </c>
      <c r="C124" s="93">
        <f>+'KC Tonnage - Enspire'!R80+'KC Tonnage - Enspire'!S80</f>
        <v>0</v>
      </c>
      <c r="D124" s="93">
        <f>+'KC Tonnage - Enspire'!P80+'KC Tonnage - Enspire'!Q80</f>
        <v>0</v>
      </c>
      <c r="E124" s="88">
        <f t="shared" si="182"/>
        <v>0</v>
      </c>
      <c r="F124" s="11"/>
      <c r="G124" s="88">
        <f t="shared" si="183"/>
        <v>0</v>
      </c>
      <c r="H124" s="133">
        <f t="shared" si="184"/>
        <v>0</v>
      </c>
      <c r="I124" s="133"/>
      <c r="J124" s="138" t="e">
        <f t="shared" si="191"/>
        <v>#DIV/0!</v>
      </c>
      <c r="K124" s="11"/>
      <c r="L124" s="138" t="e">
        <f t="shared" si="190"/>
        <v>#DIV/0!</v>
      </c>
      <c r="M124" s="11"/>
      <c r="N124" s="138" t="e">
        <f t="shared" si="187"/>
        <v>#DIV/0!</v>
      </c>
      <c r="O124" s="138" t="e">
        <f t="shared" si="188"/>
        <v>#DIV/0!</v>
      </c>
      <c r="P124" s="139" t="e">
        <f t="shared" si="189"/>
        <v>#DIV/0!</v>
      </c>
      <c r="Q124" s="137"/>
      <c r="R124" s="11"/>
      <c r="S124" s="93"/>
      <c r="T124" s="93"/>
    </row>
    <row r="125" spans="1:20">
      <c r="A125" t="str">
        <f t="shared" si="181"/>
        <v>Jun</v>
      </c>
      <c r="C125" s="93">
        <f>+'KC Tonnage - Enspire'!R84+'KC Tonnage - Enspire'!S84</f>
        <v>0</v>
      </c>
      <c r="D125" s="93">
        <f>+'KC Tonnage - Enspire'!P84+'KC Tonnage - Enspire'!Q84</f>
        <v>0</v>
      </c>
      <c r="E125" s="88">
        <f t="shared" si="182"/>
        <v>0</v>
      </c>
      <c r="F125" s="11"/>
      <c r="G125" s="88">
        <f t="shared" si="183"/>
        <v>0</v>
      </c>
      <c r="H125" s="133">
        <f t="shared" si="184"/>
        <v>0</v>
      </c>
      <c r="I125" s="133"/>
      <c r="J125" s="138" t="e">
        <f t="shared" si="191"/>
        <v>#DIV/0!</v>
      </c>
      <c r="K125" s="11"/>
      <c r="L125" s="138" t="e">
        <f t="shared" si="190"/>
        <v>#DIV/0!</v>
      </c>
      <c r="M125" s="11"/>
      <c r="N125" s="138" t="e">
        <f t="shared" si="187"/>
        <v>#DIV/0!</v>
      </c>
      <c r="O125" s="138" t="e">
        <f t="shared" si="188"/>
        <v>#DIV/0!</v>
      </c>
      <c r="P125" s="139" t="e">
        <f t="shared" si="189"/>
        <v>#DIV/0!</v>
      </c>
      <c r="Q125" s="137"/>
      <c r="R125" s="11"/>
      <c r="S125" s="93"/>
      <c r="T125" s="93"/>
    </row>
    <row r="126" spans="1:20">
      <c r="A126" t="str">
        <f t="shared" si="181"/>
        <v>Jul</v>
      </c>
      <c r="C126" s="93">
        <f>+'KC Tonnage - Enspire'!R88+'KC Tonnage - Enspire'!S88</f>
        <v>0</v>
      </c>
      <c r="D126" s="93">
        <f>+'KC Tonnage - Enspire'!P88+'KC Tonnage - Enspire'!Q88</f>
        <v>0</v>
      </c>
      <c r="E126" s="88">
        <f t="shared" si="182"/>
        <v>0</v>
      </c>
      <c r="F126" s="11"/>
      <c r="G126" s="88">
        <f t="shared" si="183"/>
        <v>0</v>
      </c>
      <c r="H126" s="133">
        <f t="shared" si="184"/>
        <v>0</v>
      </c>
      <c r="I126" s="133"/>
      <c r="J126" s="138" t="e">
        <f t="shared" si="191"/>
        <v>#DIV/0!</v>
      </c>
      <c r="K126" s="11"/>
      <c r="L126" s="138" t="e">
        <f t="shared" si="190"/>
        <v>#DIV/0!</v>
      </c>
      <c r="M126" s="11"/>
      <c r="N126" s="138" t="e">
        <f t="shared" si="187"/>
        <v>#DIV/0!</v>
      </c>
      <c r="O126" s="138" t="e">
        <f t="shared" si="188"/>
        <v>#DIV/0!</v>
      </c>
      <c r="P126" s="139" t="e">
        <f t="shared" si="189"/>
        <v>#DIV/0!</v>
      </c>
      <c r="Q126" s="137"/>
      <c r="R126" s="11"/>
      <c r="S126" s="93"/>
      <c r="T126" s="93"/>
    </row>
    <row r="127" spans="1:20">
      <c r="A127" t="str">
        <f t="shared" si="181"/>
        <v>Aug</v>
      </c>
      <c r="C127" s="93">
        <f>+'KC Tonnage - Enspire'!R92+'KC Tonnage - Enspire'!S92</f>
        <v>0</v>
      </c>
      <c r="D127" s="93">
        <f>+'KC Tonnage - Enspire'!P92+'KC Tonnage - Enspire'!Q92</f>
        <v>0</v>
      </c>
      <c r="E127" s="88">
        <f t="shared" si="182"/>
        <v>0</v>
      </c>
      <c r="F127" s="11"/>
      <c r="G127" s="88">
        <f t="shared" si="183"/>
        <v>0</v>
      </c>
      <c r="H127" s="133">
        <f t="shared" si="184"/>
        <v>0</v>
      </c>
      <c r="I127" s="133"/>
      <c r="J127" s="138" t="e">
        <f t="shared" si="191"/>
        <v>#DIV/0!</v>
      </c>
      <c r="K127" s="11"/>
      <c r="L127" s="138" t="e">
        <f t="shared" si="190"/>
        <v>#DIV/0!</v>
      </c>
      <c r="M127" s="11"/>
      <c r="N127" s="138" t="e">
        <f t="shared" si="187"/>
        <v>#DIV/0!</v>
      </c>
      <c r="O127" s="138" t="e">
        <f t="shared" si="188"/>
        <v>#DIV/0!</v>
      </c>
      <c r="P127" s="139" t="e">
        <f t="shared" si="189"/>
        <v>#DIV/0!</v>
      </c>
      <c r="Q127" s="137"/>
      <c r="R127" s="11"/>
      <c r="S127" s="93"/>
      <c r="T127" s="93"/>
    </row>
    <row r="128" spans="1:20" ht="15">
      <c r="A128" t="str">
        <f t="shared" si="181"/>
        <v>Sep</v>
      </c>
      <c r="C128" s="400">
        <f>+'KC Tonnage - Enspire'!R96+'KC Tonnage - Enspire'!S96</f>
        <v>0</v>
      </c>
      <c r="D128" s="400">
        <f>+'KC Tonnage - Enspire'!P96+'KC Tonnage - Enspire'!Q96</f>
        <v>0</v>
      </c>
      <c r="E128" s="74">
        <f t="shared" si="182"/>
        <v>0</v>
      </c>
      <c r="F128" s="11"/>
      <c r="G128" s="142">
        <f t="shared" si="183"/>
        <v>0</v>
      </c>
      <c r="H128" s="151">
        <f>+G128+E128</f>
        <v>0</v>
      </c>
      <c r="I128" s="133"/>
      <c r="J128" s="141" t="e">
        <f t="shared" si="191"/>
        <v>#DIV/0!</v>
      </c>
      <c r="K128" s="140"/>
      <c r="L128" s="141" t="e">
        <f t="shared" si="190"/>
        <v>#DIV/0!</v>
      </c>
      <c r="M128" s="189"/>
      <c r="N128" s="141" t="e">
        <f t="shared" si="187"/>
        <v>#DIV/0!</v>
      </c>
      <c r="O128" s="141" t="e">
        <f t="shared" si="188"/>
        <v>#DIV/0!</v>
      </c>
      <c r="P128" s="144" t="e">
        <f t="shared" si="189"/>
        <v>#DIV/0!</v>
      </c>
      <c r="Q128" s="137"/>
      <c r="R128" s="11"/>
      <c r="S128" s="11"/>
      <c r="T128" s="11"/>
    </row>
    <row r="129" spans="1:20" ht="15">
      <c r="C129" s="145">
        <f>SUM(C105:C128)</f>
        <v>452.65999999999985</v>
      </c>
      <c r="D129" s="145">
        <f t="shared" ref="D129:O129" si="192">SUM(D105:D128)</f>
        <v>744.36</v>
      </c>
      <c r="E129" s="145">
        <f t="shared" si="192"/>
        <v>1197.02</v>
      </c>
      <c r="F129" s="145"/>
      <c r="G129" s="145">
        <f t="shared" si="192"/>
        <v>3359.5700000000006</v>
      </c>
      <c r="H129" s="145">
        <f t="shared" si="192"/>
        <v>4556.5900000000011</v>
      </c>
      <c r="I129" s="145"/>
      <c r="J129" s="147" t="e">
        <f t="shared" si="192"/>
        <v>#DIV/0!</v>
      </c>
      <c r="K129" s="147"/>
      <c r="L129" s="146" t="e">
        <f t="shared" si="192"/>
        <v>#DIV/0!</v>
      </c>
      <c r="M129" s="146"/>
      <c r="N129" s="146" t="e">
        <f t="shared" si="192"/>
        <v>#DIV/0!</v>
      </c>
      <c r="O129" s="146" t="e">
        <f t="shared" si="192"/>
        <v>#DIV/0!</v>
      </c>
      <c r="P129" s="147" t="e">
        <f>(O129+N129)/H129</f>
        <v>#DIV/0!</v>
      </c>
      <c r="Q129" s="148"/>
      <c r="R129" s="11"/>
      <c r="S129" s="11"/>
      <c r="T129" s="11"/>
    </row>
    <row r="130" spans="1:20" ht="16.5">
      <c r="B130" s="71" t="s">
        <v>92</v>
      </c>
      <c r="C130" s="164">
        <f>+C129/E129</f>
        <v>0.37815575345441166</v>
      </c>
      <c r="D130" s="165">
        <f>+D129/E129</f>
        <v>0.62184424654558823</v>
      </c>
      <c r="E130" s="135">
        <f>+E129/C59</f>
        <v>0.1040174211062333</v>
      </c>
      <c r="F130" s="11"/>
      <c r="G130" s="135">
        <f>+G129/D59</f>
        <v>0.12483246713531899</v>
      </c>
      <c r="H130" s="135">
        <f>+H129/E59</f>
        <v>0.11859785307378795</v>
      </c>
      <c r="I130" s="135"/>
      <c r="J130" s="11"/>
      <c r="K130" s="11"/>
      <c r="L130" s="11"/>
      <c r="M130" s="11"/>
      <c r="N130" s="135" t="e">
        <f>+N129/G59</f>
        <v>#DIV/0!</v>
      </c>
      <c r="O130" s="135" t="e">
        <f>+O129/H59</f>
        <v>#DIV/0!</v>
      </c>
      <c r="P130" s="11"/>
      <c r="Q130" s="135"/>
      <c r="R130" s="92"/>
      <c r="S130" s="11"/>
      <c r="T130" s="11"/>
    </row>
    <row r="131" spans="1:20">
      <c r="C131" s="11"/>
      <c r="D131" s="11"/>
      <c r="E131" s="11"/>
      <c r="F131" s="11"/>
      <c r="G131" s="11"/>
      <c r="H131" s="11"/>
      <c r="I131" s="11"/>
      <c r="J131" s="11"/>
      <c r="K131" s="11"/>
      <c r="L131" s="11"/>
      <c r="M131" s="11"/>
      <c r="N131" s="11"/>
      <c r="O131" s="11"/>
      <c r="P131" s="11"/>
      <c r="Q131" s="11"/>
      <c r="R131" s="11"/>
      <c r="S131" s="11"/>
      <c r="T131" s="11"/>
    </row>
    <row r="132" spans="1:20">
      <c r="C132" s="11"/>
      <c r="D132" s="11"/>
      <c r="E132" s="88"/>
      <c r="F132" s="11"/>
      <c r="G132" s="11"/>
      <c r="H132" s="11"/>
      <c r="I132" s="11"/>
      <c r="J132" s="11"/>
      <c r="K132" s="11"/>
      <c r="L132" s="11"/>
      <c r="M132" s="11"/>
      <c r="N132" s="11"/>
      <c r="O132" s="11"/>
      <c r="P132" s="11"/>
      <c r="Q132" s="11"/>
      <c r="R132" s="11"/>
      <c r="S132" s="11"/>
      <c r="T132" s="11"/>
    </row>
    <row r="133" spans="1:20" ht="16.5">
      <c r="A133" s="69"/>
      <c r="C133" s="152"/>
      <c r="D133" s="152"/>
      <c r="E133" s="153"/>
      <c r="F133" s="11"/>
      <c r="G133" s="154"/>
      <c r="H133" s="154"/>
      <c r="I133" s="11"/>
      <c r="J133" s="11"/>
      <c r="K133" s="11"/>
      <c r="L133" s="11"/>
      <c r="M133" s="11"/>
      <c r="N133" s="157"/>
      <c r="O133" s="157"/>
      <c r="P133" s="157"/>
      <c r="Q133" s="11"/>
      <c r="R133" s="11"/>
      <c r="S133" s="11"/>
      <c r="T133" s="11"/>
    </row>
    <row r="134" spans="1:20">
      <c r="C134" s="11"/>
      <c r="D134" s="11"/>
      <c r="F134" s="11"/>
      <c r="G134" s="11"/>
      <c r="H134" s="11"/>
      <c r="I134" s="11"/>
      <c r="J134" s="11"/>
      <c r="K134" s="11"/>
      <c r="L134" s="11"/>
      <c r="M134" s="11"/>
      <c r="N134" s="11"/>
      <c r="O134" s="11"/>
      <c r="P134" s="11"/>
      <c r="Q134" s="11"/>
      <c r="R134" s="11"/>
      <c r="S134" s="11"/>
      <c r="T134" s="11"/>
    </row>
    <row r="135" spans="1:20">
      <c r="C135" s="11"/>
      <c r="D135" s="11"/>
      <c r="F135" s="11"/>
      <c r="G135" s="11"/>
      <c r="H135" s="11"/>
      <c r="I135" s="11"/>
      <c r="J135" s="11"/>
      <c r="K135" s="11"/>
      <c r="L135" s="11"/>
      <c r="M135" s="11"/>
      <c r="N135" s="11"/>
      <c r="O135" s="11"/>
      <c r="P135" s="11"/>
      <c r="Q135" s="11"/>
      <c r="R135" s="11"/>
      <c r="S135" s="11"/>
      <c r="T135" s="11"/>
    </row>
    <row r="159" spans="5:5">
      <c r="E159" s="88"/>
    </row>
    <row r="160" spans="5:5">
      <c r="E160" s="88"/>
    </row>
    <row r="161" spans="5:5">
      <c r="E161" s="88"/>
    </row>
    <row r="162" spans="5:5">
      <c r="E162" s="88"/>
    </row>
    <row r="163" spans="5:5">
      <c r="E163" s="88"/>
    </row>
    <row r="164" spans="5:5">
      <c r="E164" s="88"/>
    </row>
    <row r="165" spans="5:5">
      <c r="E165" s="88"/>
    </row>
  </sheetData>
  <mergeCells count="5">
    <mergeCell ref="C4:E4"/>
    <mergeCell ref="G4:J4"/>
    <mergeCell ref="C71:E71"/>
    <mergeCell ref="G71:H71"/>
    <mergeCell ref="R70:S70"/>
  </mergeCells>
  <pageMargins left="0.7" right="0.7" top="0.75" bottom="0.75" header="0.3" footer="0.3"/>
  <pageSetup orientation="portrait" verticalDpi="599"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97"/>
  <sheetViews>
    <sheetView workbookViewId="0">
      <pane xSplit="2" ySplit="1" topLeftCell="C32" activePane="bottomRight" state="frozen"/>
      <selection pane="topRight" activeCell="C1" sqref="C1"/>
      <selection pane="bottomLeft" activeCell="A2" sqref="A2"/>
      <selection pane="bottomRight" activeCell="A47" sqref="A47"/>
    </sheetView>
  </sheetViews>
  <sheetFormatPr defaultRowHeight="12.75"/>
  <cols>
    <col min="1" max="1" width="14.42578125" bestFit="1" customWidth="1"/>
    <col min="2" max="2" width="8.5703125" bestFit="1" customWidth="1"/>
    <col min="3" max="3" width="7.140625" bestFit="1" customWidth="1"/>
    <col min="4" max="4" width="9.28515625" bestFit="1" customWidth="1"/>
    <col min="5" max="5" width="7.42578125" bestFit="1" customWidth="1"/>
    <col min="6" max="6" width="6.7109375" bestFit="1" customWidth="1"/>
    <col min="7" max="7" width="12.140625" bestFit="1" customWidth="1"/>
    <col min="8" max="8" width="8.28515625" bestFit="1" customWidth="1"/>
    <col min="9" max="9" width="10.28515625" bestFit="1" customWidth="1"/>
    <col min="10" max="10" width="14.7109375" bestFit="1" customWidth="1"/>
    <col min="11" max="11" width="6.7109375" bestFit="1" customWidth="1"/>
    <col min="12" max="12" width="9.5703125" bestFit="1" customWidth="1"/>
    <col min="13" max="13" width="11.7109375" bestFit="1" customWidth="1"/>
    <col min="14" max="14" width="11.5703125" bestFit="1" customWidth="1"/>
    <col min="15" max="15" width="7.85546875" bestFit="1" customWidth="1"/>
    <col min="16" max="16" width="16.28515625" bestFit="1" customWidth="1"/>
    <col min="17" max="17" width="11.28515625" bestFit="1" customWidth="1"/>
    <col min="18" max="18" width="16.28515625" bestFit="1" customWidth="1"/>
    <col min="19" max="19" width="17.42578125" bestFit="1" customWidth="1"/>
    <col min="20" max="20" width="11" bestFit="1" customWidth="1"/>
    <col min="22" max="22" width="10.28515625" bestFit="1" customWidth="1"/>
    <col min="24" max="24" width="10.28515625" bestFit="1" customWidth="1"/>
  </cols>
  <sheetData>
    <row r="1" spans="1:23" ht="15">
      <c r="A1" s="56" t="s">
        <v>155</v>
      </c>
      <c r="B1" s="56" t="s">
        <v>156</v>
      </c>
      <c r="C1" s="56" t="s">
        <v>157</v>
      </c>
      <c r="D1" s="56" t="s">
        <v>158</v>
      </c>
      <c r="E1" s="56" t="s">
        <v>159</v>
      </c>
      <c r="F1" s="56" t="s">
        <v>160</v>
      </c>
      <c r="G1" s="56" t="s">
        <v>161</v>
      </c>
      <c r="H1" s="56" t="s">
        <v>162</v>
      </c>
      <c r="I1" s="56" t="s">
        <v>163</v>
      </c>
      <c r="J1" s="56" t="s">
        <v>164</v>
      </c>
      <c r="K1" s="56" t="s">
        <v>165</v>
      </c>
      <c r="L1" s="56" t="s">
        <v>166</v>
      </c>
      <c r="M1" s="56" t="s">
        <v>167</v>
      </c>
      <c r="N1" s="56" t="s">
        <v>168</v>
      </c>
      <c r="O1" s="56" t="s">
        <v>169</v>
      </c>
      <c r="P1" s="56" t="s">
        <v>170</v>
      </c>
      <c r="Q1" s="56" t="s">
        <v>171</v>
      </c>
      <c r="R1" s="56" t="s">
        <v>172</v>
      </c>
      <c r="S1" s="56" t="s">
        <v>263</v>
      </c>
      <c r="T1" s="56" t="s">
        <v>173</v>
      </c>
      <c r="U1" s="56"/>
      <c r="V1" s="14" t="s">
        <v>65</v>
      </c>
    </row>
    <row r="2" spans="1:23" ht="15">
      <c r="A2" s="56" t="s">
        <v>174</v>
      </c>
      <c r="B2" s="56"/>
      <c r="C2" s="56"/>
      <c r="D2" s="56"/>
      <c r="E2" s="56"/>
      <c r="F2" s="56"/>
      <c r="G2" s="56"/>
      <c r="H2" s="56"/>
      <c r="I2" s="56"/>
      <c r="J2" s="56"/>
      <c r="K2" s="56"/>
      <c r="L2" s="56"/>
      <c r="M2" s="56"/>
      <c r="N2" s="56"/>
      <c r="O2" s="56"/>
      <c r="P2" s="56"/>
      <c r="Q2" s="56"/>
      <c r="R2" s="56"/>
      <c r="S2" s="56"/>
      <c r="T2" s="56"/>
      <c r="U2" s="56"/>
      <c r="V2" s="14"/>
    </row>
    <row r="3" spans="1:23">
      <c r="A3" t="s">
        <v>19</v>
      </c>
      <c r="B3" t="s">
        <v>175</v>
      </c>
      <c r="C3" s="415">
        <v>13.91</v>
      </c>
      <c r="D3" s="415">
        <v>312.85000000000002</v>
      </c>
      <c r="E3" s="415">
        <v>0.05</v>
      </c>
      <c r="F3" s="415">
        <v>72.319999999999993</v>
      </c>
      <c r="G3" s="415">
        <v>385.26</v>
      </c>
      <c r="H3" s="415">
        <v>580.4</v>
      </c>
      <c r="I3" s="415">
        <v>73.97</v>
      </c>
      <c r="J3" s="415">
        <v>37.25</v>
      </c>
      <c r="K3" s="415">
        <v>28.09</v>
      </c>
      <c r="L3" s="415">
        <v>353.69</v>
      </c>
      <c r="M3" s="415">
        <v>0.34</v>
      </c>
      <c r="N3" s="415">
        <v>115.33</v>
      </c>
      <c r="O3" s="415">
        <v>66.45</v>
      </c>
      <c r="P3" s="415">
        <v>132.47999999999999</v>
      </c>
      <c r="Q3" s="415">
        <v>255.86</v>
      </c>
      <c r="R3" s="415">
        <v>344.64</v>
      </c>
      <c r="S3" s="415">
        <v>53.44</v>
      </c>
      <c r="T3" s="47">
        <f>SUM(C3:S3)</f>
        <v>2826.33</v>
      </c>
      <c r="V3" s="183">
        <f>+S3+R3+Q3+P3</f>
        <v>786.42000000000007</v>
      </c>
    </row>
    <row r="4" spans="1:23">
      <c r="A4" t="s">
        <v>176</v>
      </c>
      <c r="B4" t="s">
        <v>175</v>
      </c>
      <c r="C4" s="415">
        <v>0.02</v>
      </c>
      <c r="D4" s="415">
        <v>123.49</v>
      </c>
      <c r="E4" s="415">
        <v>1.55</v>
      </c>
      <c r="F4" s="415">
        <v>1.1399999999999999</v>
      </c>
      <c r="G4" s="415">
        <v>140.09</v>
      </c>
      <c r="H4" s="415">
        <v>251.26</v>
      </c>
      <c r="I4" s="415">
        <v>9.94</v>
      </c>
      <c r="J4" s="415">
        <v>3.28</v>
      </c>
      <c r="K4" s="415">
        <v>2.7</v>
      </c>
      <c r="L4" s="415">
        <v>177.31</v>
      </c>
      <c r="M4" s="415"/>
      <c r="N4" s="415">
        <v>1.61</v>
      </c>
      <c r="O4" s="415">
        <v>48.72</v>
      </c>
      <c r="P4" s="415">
        <v>5.0599999999999996</v>
      </c>
      <c r="Q4" s="415">
        <v>52.02</v>
      </c>
      <c r="R4" s="415">
        <v>8.5</v>
      </c>
      <c r="S4" s="415">
        <v>26.17</v>
      </c>
      <c r="T4" s="47">
        <f t="shared" ref="T4:T8" si="0">SUM(C4:S4)</f>
        <v>852.8599999999999</v>
      </c>
      <c r="V4" s="183">
        <f>+S4+R4+Q4+P4</f>
        <v>91.75</v>
      </c>
      <c r="W4" s="183"/>
    </row>
    <row r="5" spans="1:23">
      <c r="C5" s="415"/>
      <c r="D5" s="415"/>
      <c r="E5" s="415"/>
      <c r="F5" s="415"/>
      <c r="G5" s="415"/>
      <c r="H5" s="415"/>
      <c r="I5" s="415"/>
      <c r="J5" s="415"/>
      <c r="K5" s="415"/>
      <c r="L5" s="415"/>
      <c r="M5" s="415"/>
      <c r="N5" s="415"/>
      <c r="O5" s="415"/>
      <c r="P5" s="415"/>
      <c r="Q5" s="415"/>
      <c r="R5" s="415"/>
      <c r="S5" s="415"/>
      <c r="T5" s="47"/>
      <c r="V5" s="183">
        <f t="shared" ref="V5:V68" si="1">+S5+R5+Q5+P5</f>
        <v>0</v>
      </c>
    </row>
    <row r="6" spans="1:23" ht="15">
      <c r="A6" s="56" t="s">
        <v>177</v>
      </c>
      <c r="C6" s="90"/>
      <c r="D6" s="90"/>
      <c r="E6" s="90"/>
      <c r="F6" s="90"/>
      <c r="G6" s="90"/>
      <c r="H6" s="90"/>
      <c r="I6" s="90"/>
      <c r="J6" s="90"/>
      <c r="K6" s="90"/>
      <c r="L6" s="90"/>
      <c r="M6" s="90"/>
      <c r="N6" s="90"/>
      <c r="O6" s="90"/>
      <c r="P6" s="90"/>
      <c r="Q6" s="90"/>
      <c r="R6" s="90"/>
      <c r="S6" s="90"/>
      <c r="T6" s="47"/>
      <c r="V6" s="183">
        <f t="shared" si="1"/>
        <v>0</v>
      </c>
    </row>
    <row r="7" spans="1:23">
      <c r="A7" t="s">
        <v>19</v>
      </c>
      <c r="B7" t="s">
        <v>175</v>
      </c>
      <c r="C7" s="415">
        <v>15.43</v>
      </c>
      <c r="D7" s="415">
        <v>371.24</v>
      </c>
      <c r="E7" s="415">
        <v>0.05</v>
      </c>
      <c r="F7" s="415">
        <v>72.37</v>
      </c>
      <c r="G7" s="415">
        <v>447.92</v>
      </c>
      <c r="H7" s="415">
        <v>690.19</v>
      </c>
      <c r="I7" s="415">
        <v>77.5</v>
      </c>
      <c r="J7" s="415">
        <v>46.13</v>
      </c>
      <c r="K7" s="415">
        <v>30.71</v>
      </c>
      <c r="L7" s="415">
        <v>407.4</v>
      </c>
      <c r="M7" s="415">
        <v>0.56999999999999995</v>
      </c>
      <c r="N7" s="415">
        <v>144.33000000000001</v>
      </c>
      <c r="O7" s="415">
        <v>70.959999999999994</v>
      </c>
      <c r="P7" s="415">
        <v>159.46</v>
      </c>
      <c r="Q7" s="415">
        <v>324.67</v>
      </c>
      <c r="R7" s="415">
        <v>423.93</v>
      </c>
      <c r="S7" s="415">
        <v>66.25</v>
      </c>
      <c r="T7" s="47">
        <f t="shared" si="0"/>
        <v>3349.11</v>
      </c>
      <c r="U7" s="47"/>
      <c r="V7" s="183">
        <f t="shared" si="1"/>
        <v>974.31000000000006</v>
      </c>
    </row>
    <row r="8" spans="1:23">
      <c r="A8" t="s">
        <v>176</v>
      </c>
      <c r="B8" t="s">
        <v>175</v>
      </c>
      <c r="C8" s="415">
        <v>0.02</v>
      </c>
      <c r="D8" s="415">
        <v>136.51</v>
      </c>
      <c r="E8" s="415">
        <v>1.86</v>
      </c>
      <c r="F8" s="415">
        <v>1.27</v>
      </c>
      <c r="G8" s="415">
        <v>172.5</v>
      </c>
      <c r="H8" s="415">
        <v>307.02999999999997</v>
      </c>
      <c r="I8" s="415">
        <v>13.52</v>
      </c>
      <c r="J8" s="415">
        <v>4.28</v>
      </c>
      <c r="K8" s="415">
        <v>3.35</v>
      </c>
      <c r="L8" s="415">
        <v>205.62</v>
      </c>
      <c r="M8" s="415"/>
      <c r="N8" s="415">
        <v>1.76</v>
      </c>
      <c r="O8" s="415">
        <v>55.2</v>
      </c>
      <c r="P8" s="415">
        <v>5.62</v>
      </c>
      <c r="Q8" s="415">
        <v>63.21</v>
      </c>
      <c r="R8" s="415">
        <v>8.4</v>
      </c>
      <c r="S8" s="415">
        <v>28.6</v>
      </c>
      <c r="T8" s="47">
        <f t="shared" si="0"/>
        <v>1008.7500000000001</v>
      </c>
      <c r="U8" s="47"/>
      <c r="V8" s="183">
        <f t="shared" si="1"/>
        <v>105.83000000000001</v>
      </c>
      <c r="W8" s="183"/>
    </row>
    <row r="9" spans="1:23">
      <c r="C9" s="415"/>
      <c r="D9" s="415"/>
      <c r="E9" s="415"/>
      <c r="F9" s="415"/>
      <c r="G9" s="415"/>
      <c r="H9" s="415"/>
      <c r="I9" s="415"/>
      <c r="J9" s="415"/>
      <c r="K9" s="415"/>
      <c r="L9" s="415"/>
      <c r="M9" s="415"/>
      <c r="N9" s="415"/>
      <c r="O9" s="415"/>
      <c r="P9" s="415"/>
      <c r="Q9" s="415"/>
      <c r="R9" s="415"/>
      <c r="S9" s="415"/>
      <c r="T9" s="47"/>
      <c r="U9" s="47"/>
      <c r="V9" s="183">
        <f t="shared" si="1"/>
        <v>0</v>
      </c>
    </row>
    <row r="10" spans="1:23" ht="15">
      <c r="A10" s="56" t="s">
        <v>178</v>
      </c>
      <c r="C10" s="415"/>
      <c r="D10" s="415"/>
      <c r="E10" s="415"/>
      <c r="F10" s="415"/>
      <c r="G10" s="415"/>
      <c r="H10" s="415"/>
      <c r="I10" s="415"/>
      <c r="J10" s="415"/>
      <c r="K10" s="415"/>
      <c r="L10" s="415"/>
      <c r="M10" s="415"/>
      <c r="N10" s="415"/>
      <c r="O10" s="415"/>
      <c r="P10" s="415"/>
      <c r="Q10" s="415"/>
      <c r="R10" s="415"/>
      <c r="S10" s="415"/>
      <c r="T10" s="47"/>
      <c r="U10" s="47"/>
      <c r="V10" s="183">
        <f t="shared" si="1"/>
        <v>0</v>
      </c>
    </row>
    <row r="11" spans="1:23">
      <c r="A11" t="s">
        <v>19</v>
      </c>
      <c r="B11" t="s">
        <v>175</v>
      </c>
      <c r="C11" s="415">
        <v>14.68</v>
      </c>
      <c r="D11" s="415">
        <v>284.02999999999997</v>
      </c>
      <c r="E11" s="415">
        <v>0.04</v>
      </c>
      <c r="F11" s="415">
        <v>72.03</v>
      </c>
      <c r="G11" s="415">
        <v>355.58</v>
      </c>
      <c r="H11" s="415">
        <v>534.69000000000005</v>
      </c>
      <c r="I11" s="415">
        <v>102.79</v>
      </c>
      <c r="J11" s="415">
        <v>66.150000000000006</v>
      </c>
      <c r="K11" s="415">
        <v>29.11</v>
      </c>
      <c r="L11" s="415">
        <v>322.63</v>
      </c>
      <c r="M11" s="415">
        <v>0.2</v>
      </c>
      <c r="N11" s="415">
        <v>100.63</v>
      </c>
      <c r="O11" s="415">
        <v>90.63</v>
      </c>
      <c r="P11" s="415">
        <v>127.51</v>
      </c>
      <c r="Q11" s="415">
        <v>320.83999999999997</v>
      </c>
      <c r="R11" s="415">
        <v>316.13</v>
      </c>
      <c r="S11" s="415">
        <v>55.11</v>
      </c>
      <c r="T11" s="47">
        <f>SUM(C11:S11)</f>
        <v>2792.7800000000007</v>
      </c>
      <c r="U11" s="47"/>
      <c r="V11" s="183">
        <f t="shared" si="1"/>
        <v>819.58999999999992</v>
      </c>
    </row>
    <row r="12" spans="1:23">
      <c r="A12" t="s">
        <v>176</v>
      </c>
      <c r="B12" t="s">
        <v>175</v>
      </c>
      <c r="C12" s="415">
        <v>0.01</v>
      </c>
      <c r="D12" s="415">
        <v>103.04</v>
      </c>
      <c r="E12" s="415">
        <v>1.51</v>
      </c>
      <c r="F12" s="415">
        <v>1.26</v>
      </c>
      <c r="G12" s="415">
        <v>133.88999999999999</v>
      </c>
      <c r="H12" s="415">
        <v>237.45</v>
      </c>
      <c r="I12" s="415">
        <v>9.09</v>
      </c>
      <c r="J12" s="415">
        <v>3.11</v>
      </c>
      <c r="K12" s="415">
        <v>2.39</v>
      </c>
      <c r="L12" s="415">
        <v>173.2</v>
      </c>
      <c r="M12" s="415"/>
      <c r="N12" s="415">
        <v>1.47</v>
      </c>
      <c r="O12" s="415">
        <v>44.12</v>
      </c>
      <c r="P12" s="415">
        <v>5.23</v>
      </c>
      <c r="Q12" s="415">
        <v>49.61</v>
      </c>
      <c r="R12" s="415">
        <v>8.09</v>
      </c>
      <c r="S12" s="415">
        <v>27.7</v>
      </c>
      <c r="T12" s="47">
        <f t="shared" ref="T12:T16" si="2">SUM(C12:S12)</f>
        <v>801.17000000000007</v>
      </c>
      <c r="U12" s="47"/>
      <c r="V12" s="183">
        <f t="shared" si="1"/>
        <v>90.63000000000001</v>
      </c>
      <c r="W12" s="183"/>
    </row>
    <row r="13" spans="1:23">
      <c r="C13" s="90"/>
      <c r="D13" s="90"/>
      <c r="E13" s="90"/>
      <c r="F13" s="90"/>
      <c r="G13" s="90"/>
      <c r="H13" s="90"/>
      <c r="I13" s="90"/>
      <c r="J13" s="90"/>
      <c r="K13" s="90"/>
      <c r="L13" s="90"/>
      <c r="M13" s="90"/>
      <c r="N13" s="90"/>
      <c r="O13" s="90"/>
      <c r="P13" s="90"/>
      <c r="Q13" s="90"/>
      <c r="R13" s="90"/>
      <c r="S13" s="90"/>
      <c r="T13" s="47"/>
      <c r="V13" s="183">
        <f t="shared" si="1"/>
        <v>0</v>
      </c>
    </row>
    <row r="14" spans="1:23" ht="15">
      <c r="A14" s="56" t="s">
        <v>189</v>
      </c>
      <c r="C14" s="90"/>
      <c r="D14" s="90"/>
      <c r="E14" s="90"/>
      <c r="F14" s="90"/>
      <c r="G14" s="90"/>
      <c r="H14" s="90"/>
      <c r="I14" s="90"/>
      <c r="J14" s="90"/>
      <c r="K14" s="90"/>
      <c r="L14" s="90"/>
      <c r="M14" s="90"/>
      <c r="N14" s="90"/>
      <c r="O14" s="90"/>
      <c r="P14" s="90"/>
      <c r="Q14" s="90"/>
      <c r="R14" s="90"/>
      <c r="S14" s="90"/>
      <c r="T14" s="47"/>
      <c r="V14" s="183">
        <f t="shared" si="1"/>
        <v>0</v>
      </c>
    </row>
    <row r="15" spans="1:23">
      <c r="A15" t="s">
        <v>19</v>
      </c>
      <c r="B15" t="s">
        <v>175</v>
      </c>
      <c r="C15" s="415">
        <v>17.100000000000001</v>
      </c>
      <c r="D15" s="415">
        <v>365.76</v>
      </c>
      <c r="E15" s="415">
        <v>0.06</v>
      </c>
      <c r="F15" s="415">
        <v>83.86</v>
      </c>
      <c r="G15" s="415">
        <v>560.86</v>
      </c>
      <c r="H15" s="415">
        <v>746.55</v>
      </c>
      <c r="I15" s="415">
        <v>102.86</v>
      </c>
      <c r="J15" s="415">
        <v>53.89</v>
      </c>
      <c r="K15" s="415">
        <v>30.88</v>
      </c>
      <c r="L15" s="415">
        <v>442.87</v>
      </c>
      <c r="M15" s="415">
        <v>0.47</v>
      </c>
      <c r="N15" s="415">
        <v>112.88</v>
      </c>
      <c r="O15" s="415">
        <v>88.51</v>
      </c>
      <c r="P15" s="415">
        <v>155.71</v>
      </c>
      <c r="Q15" s="415">
        <v>348.82</v>
      </c>
      <c r="R15" s="415">
        <v>471.02</v>
      </c>
      <c r="S15" s="415">
        <v>66.44</v>
      </c>
      <c r="T15" s="47">
        <f t="shared" si="2"/>
        <v>3648.5400000000004</v>
      </c>
      <c r="V15" s="183">
        <f t="shared" si="1"/>
        <v>1041.99</v>
      </c>
    </row>
    <row r="16" spans="1:23">
      <c r="A16" t="s">
        <v>176</v>
      </c>
      <c r="B16" t="s">
        <v>175</v>
      </c>
      <c r="C16" s="415">
        <v>0.02</v>
      </c>
      <c r="D16" s="415">
        <v>151.59</v>
      </c>
      <c r="E16" s="415">
        <v>1.94</v>
      </c>
      <c r="F16" s="415">
        <v>1.54</v>
      </c>
      <c r="G16" s="415">
        <v>181.64</v>
      </c>
      <c r="H16" s="415">
        <v>332.42</v>
      </c>
      <c r="I16" s="415">
        <v>25.3</v>
      </c>
      <c r="J16" s="415">
        <v>4.26</v>
      </c>
      <c r="K16" s="415">
        <v>3.69</v>
      </c>
      <c r="L16" s="415">
        <v>238.52</v>
      </c>
      <c r="M16" s="415"/>
      <c r="N16" s="415">
        <v>1.64</v>
      </c>
      <c r="O16" s="415">
        <v>53.89</v>
      </c>
      <c r="P16" s="415">
        <v>6.41</v>
      </c>
      <c r="Q16" s="415">
        <v>66.19</v>
      </c>
      <c r="R16" s="415">
        <v>10.92</v>
      </c>
      <c r="S16" s="415">
        <v>37.270000000000003</v>
      </c>
      <c r="T16" s="47">
        <f t="shared" si="2"/>
        <v>1117.24</v>
      </c>
      <c r="V16" s="183">
        <f t="shared" si="1"/>
        <v>120.78999999999999</v>
      </c>
      <c r="W16" s="183"/>
    </row>
    <row r="17" spans="1:23">
      <c r="C17" s="90"/>
      <c r="D17" s="90"/>
      <c r="E17" s="90"/>
      <c r="F17" s="90"/>
      <c r="G17" s="90"/>
      <c r="H17" s="90"/>
      <c r="I17" s="90"/>
      <c r="J17" s="90"/>
      <c r="K17" s="90"/>
      <c r="L17" s="90"/>
      <c r="M17" s="90"/>
      <c r="N17" s="90"/>
      <c r="O17" s="90"/>
      <c r="P17" s="90"/>
      <c r="Q17" s="90"/>
      <c r="R17" s="90"/>
      <c r="S17" s="90"/>
      <c r="V17" s="183">
        <f t="shared" si="1"/>
        <v>0</v>
      </c>
    </row>
    <row r="18" spans="1:23" ht="15">
      <c r="A18" s="56" t="s">
        <v>190</v>
      </c>
      <c r="C18" s="90"/>
      <c r="D18" s="90"/>
      <c r="E18" s="90"/>
      <c r="F18" s="90"/>
      <c r="G18" s="90"/>
      <c r="H18" s="90"/>
      <c r="I18" s="90"/>
      <c r="J18" s="90"/>
      <c r="K18" s="90"/>
      <c r="L18" s="90"/>
      <c r="M18" s="90"/>
      <c r="N18" s="90"/>
      <c r="O18" s="90"/>
      <c r="P18" s="90"/>
      <c r="Q18" s="90"/>
      <c r="R18" s="90"/>
      <c r="S18" s="90"/>
      <c r="V18" s="183">
        <f t="shared" si="1"/>
        <v>0</v>
      </c>
    </row>
    <row r="19" spans="1:23">
      <c r="A19" t="s">
        <v>19</v>
      </c>
      <c r="B19" t="s">
        <v>175</v>
      </c>
      <c r="C19" s="415">
        <v>12.53</v>
      </c>
      <c r="D19" s="415">
        <v>272.3</v>
      </c>
      <c r="E19" s="415">
        <v>0.04</v>
      </c>
      <c r="F19" s="415">
        <v>66.17</v>
      </c>
      <c r="G19" s="415">
        <v>320.51</v>
      </c>
      <c r="H19" s="415">
        <v>565.1</v>
      </c>
      <c r="I19" s="415">
        <v>100.09</v>
      </c>
      <c r="J19" s="415">
        <v>49.4</v>
      </c>
      <c r="K19" s="415">
        <v>25.53</v>
      </c>
      <c r="L19" s="415">
        <v>339.08</v>
      </c>
      <c r="M19" s="415">
        <v>0.35</v>
      </c>
      <c r="N19" s="415">
        <v>111.65</v>
      </c>
      <c r="O19" s="415">
        <v>86.68</v>
      </c>
      <c r="P19" s="415">
        <f>121.13+0.02</f>
        <v>121.14999999999999</v>
      </c>
      <c r="Q19" s="415">
        <v>273.75</v>
      </c>
      <c r="R19" s="415">
        <v>332.97</v>
      </c>
      <c r="S19" s="415">
        <v>55.07</v>
      </c>
      <c r="T19" s="47">
        <f>SUM(C19:S19)</f>
        <v>2732.3700000000003</v>
      </c>
      <c r="V19" s="183">
        <f t="shared" si="1"/>
        <v>782.93999999999994</v>
      </c>
    </row>
    <row r="20" spans="1:23">
      <c r="A20" t="s">
        <v>176</v>
      </c>
      <c r="B20" t="s">
        <v>175</v>
      </c>
      <c r="C20" s="415">
        <v>0.02</v>
      </c>
      <c r="D20" s="415">
        <v>113.44</v>
      </c>
      <c r="E20" s="415">
        <v>1.53</v>
      </c>
      <c r="F20" s="415">
        <v>1.21</v>
      </c>
      <c r="G20" s="415">
        <v>129.15</v>
      </c>
      <c r="H20" s="415">
        <v>245.93</v>
      </c>
      <c r="I20" s="415">
        <v>18.3</v>
      </c>
      <c r="J20" s="415">
        <v>3.24</v>
      </c>
      <c r="K20" s="415">
        <v>2.31</v>
      </c>
      <c r="L20" s="415">
        <v>176.35</v>
      </c>
      <c r="M20" s="415"/>
      <c r="N20" s="415">
        <v>1.59</v>
      </c>
      <c r="O20" s="415">
        <v>44.9</v>
      </c>
      <c r="P20" s="415">
        <v>4.53</v>
      </c>
      <c r="Q20" s="415">
        <v>50.08</v>
      </c>
      <c r="R20" s="415">
        <v>7.85</v>
      </c>
      <c r="S20" s="415">
        <v>26.2</v>
      </c>
      <c r="T20" s="47">
        <f t="shared" ref="T20:T36" si="3">SUM(C20:S20)</f>
        <v>826.63</v>
      </c>
      <c r="V20" s="183">
        <f t="shared" si="1"/>
        <v>88.66</v>
      </c>
      <c r="W20" s="183"/>
    </row>
    <row r="21" spans="1:23">
      <c r="C21" s="90"/>
      <c r="D21" s="90"/>
      <c r="E21" s="90"/>
      <c r="F21" s="90"/>
      <c r="G21" s="90"/>
      <c r="H21" s="90"/>
      <c r="I21" s="90"/>
      <c r="J21" s="90"/>
      <c r="K21" s="90"/>
      <c r="L21" s="90"/>
      <c r="M21" s="90"/>
      <c r="N21" s="90"/>
      <c r="O21" s="90"/>
      <c r="P21" s="90"/>
      <c r="Q21" s="90"/>
      <c r="R21" s="90"/>
      <c r="S21" s="90"/>
      <c r="T21" s="47"/>
      <c r="V21" s="183">
        <f t="shared" si="1"/>
        <v>0</v>
      </c>
    </row>
    <row r="22" spans="1:23" ht="15">
      <c r="A22" s="56" t="s">
        <v>191</v>
      </c>
      <c r="C22" s="90"/>
      <c r="D22" s="90"/>
      <c r="E22" s="90"/>
      <c r="F22" s="90"/>
      <c r="G22" s="90"/>
      <c r="H22" s="90"/>
      <c r="I22" s="90"/>
      <c r="J22" s="90"/>
      <c r="K22" s="90"/>
      <c r="L22" s="90"/>
      <c r="M22" s="90"/>
      <c r="N22" s="90"/>
      <c r="O22" s="90"/>
      <c r="P22" s="90"/>
      <c r="Q22" s="90"/>
      <c r="R22" s="90"/>
      <c r="S22" s="90"/>
      <c r="T22" s="47"/>
      <c r="V22" s="183">
        <f t="shared" si="1"/>
        <v>0</v>
      </c>
    </row>
    <row r="23" spans="1:23">
      <c r="A23" t="s">
        <v>19</v>
      </c>
      <c r="B23" t="s">
        <v>175</v>
      </c>
      <c r="C23" s="415">
        <v>20.25</v>
      </c>
      <c r="D23" s="415">
        <v>330.5</v>
      </c>
      <c r="E23" s="415">
        <v>0.04</v>
      </c>
      <c r="F23" s="415">
        <v>67.510000000000005</v>
      </c>
      <c r="G23" s="415">
        <v>391.92</v>
      </c>
      <c r="H23" s="415">
        <v>642.25</v>
      </c>
      <c r="I23" s="415">
        <v>95.89</v>
      </c>
      <c r="J23" s="415">
        <v>59.15</v>
      </c>
      <c r="K23" s="415">
        <v>31.45</v>
      </c>
      <c r="L23" s="415">
        <v>394.82</v>
      </c>
      <c r="M23" s="415">
        <v>0.36</v>
      </c>
      <c r="N23" s="415">
        <v>130.30000000000001</v>
      </c>
      <c r="O23" s="415">
        <v>79.22</v>
      </c>
      <c r="P23" s="415">
        <v>158.94</v>
      </c>
      <c r="Q23" s="415">
        <v>317.11</v>
      </c>
      <c r="R23" s="415">
        <v>375.42</v>
      </c>
      <c r="S23" s="415">
        <v>62.37</v>
      </c>
      <c r="T23" s="47">
        <f t="shared" si="3"/>
        <v>3157.5</v>
      </c>
      <c r="V23" s="183">
        <f t="shared" si="1"/>
        <v>913.84000000000015</v>
      </c>
    </row>
    <row r="24" spans="1:23">
      <c r="A24" t="s">
        <v>176</v>
      </c>
      <c r="B24" t="s">
        <v>175</v>
      </c>
      <c r="C24" s="415">
        <v>0.02</v>
      </c>
      <c r="D24" s="415">
        <v>132.96</v>
      </c>
      <c r="E24" s="415">
        <v>1.72</v>
      </c>
      <c r="F24" s="415">
        <v>0.95</v>
      </c>
      <c r="G24" s="415">
        <v>148.37</v>
      </c>
      <c r="H24" s="415">
        <v>287.10000000000002</v>
      </c>
      <c r="I24" s="415">
        <v>23.48</v>
      </c>
      <c r="J24" s="415">
        <v>23.48</v>
      </c>
      <c r="K24" s="415">
        <v>2.85</v>
      </c>
      <c r="L24" s="415">
        <v>202.31</v>
      </c>
      <c r="M24" s="415"/>
      <c r="N24" s="415">
        <v>2.0099999999999998</v>
      </c>
      <c r="O24" s="415">
        <v>55.5</v>
      </c>
      <c r="P24" s="415">
        <v>7.25</v>
      </c>
      <c r="Q24" s="415">
        <v>62.06</v>
      </c>
      <c r="R24" s="415">
        <v>8.81</v>
      </c>
      <c r="S24" s="415">
        <v>29.26</v>
      </c>
      <c r="T24" s="47">
        <f t="shared" si="3"/>
        <v>988.12999999999988</v>
      </c>
      <c r="V24" s="183">
        <f t="shared" si="1"/>
        <v>107.38</v>
      </c>
      <c r="W24" s="183"/>
    </row>
    <row r="25" spans="1:23">
      <c r="C25" s="90"/>
      <c r="D25" s="90"/>
      <c r="E25" s="90"/>
      <c r="F25" s="90"/>
      <c r="G25" s="90"/>
      <c r="H25" s="90"/>
      <c r="I25" s="90"/>
      <c r="J25" s="90"/>
      <c r="K25" s="90"/>
      <c r="L25" s="90"/>
      <c r="M25" s="90"/>
      <c r="N25" s="90"/>
      <c r="O25" s="90"/>
      <c r="P25" s="90"/>
      <c r="Q25" s="90"/>
      <c r="R25" s="90"/>
      <c r="S25" s="90"/>
      <c r="T25" s="47"/>
      <c r="V25" s="183">
        <f t="shared" si="1"/>
        <v>0</v>
      </c>
    </row>
    <row r="26" spans="1:23" ht="15">
      <c r="A26" s="56" t="s">
        <v>192</v>
      </c>
      <c r="C26" s="90"/>
      <c r="D26" s="90"/>
      <c r="E26" s="90"/>
      <c r="F26" s="90"/>
      <c r="G26" s="90"/>
      <c r="H26" s="90"/>
      <c r="I26" s="90"/>
      <c r="J26" s="90"/>
      <c r="K26" s="90"/>
      <c r="L26" s="90"/>
      <c r="M26" s="90"/>
      <c r="N26" s="90"/>
      <c r="O26" s="90"/>
      <c r="P26" s="90"/>
      <c r="Q26" s="90"/>
      <c r="R26" s="90"/>
      <c r="S26" s="90"/>
      <c r="T26" s="47"/>
      <c r="V26" s="183">
        <f t="shared" si="1"/>
        <v>0</v>
      </c>
    </row>
    <row r="27" spans="1:23">
      <c r="A27" t="s">
        <v>19</v>
      </c>
      <c r="B27" t="s">
        <v>175</v>
      </c>
      <c r="C27" s="415">
        <v>11.35</v>
      </c>
      <c r="D27" s="415">
        <v>306.69</v>
      </c>
      <c r="E27" s="90">
        <v>0.05</v>
      </c>
      <c r="F27" s="90">
        <v>65.52</v>
      </c>
      <c r="G27" s="415">
        <v>342.5</v>
      </c>
      <c r="H27" s="90">
        <v>549.69000000000005</v>
      </c>
      <c r="I27" s="415">
        <v>84.77</v>
      </c>
      <c r="J27" s="415">
        <v>35.24</v>
      </c>
      <c r="K27" s="415">
        <v>25.3</v>
      </c>
      <c r="L27" s="90">
        <v>327.52</v>
      </c>
      <c r="M27" s="90">
        <v>0.34</v>
      </c>
      <c r="N27" s="90">
        <v>109.88</v>
      </c>
      <c r="O27" s="415">
        <v>70.56</v>
      </c>
      <c r="P27" s="415">
        <v>127.22</v>
      </c>
      <c r="Q27" s="415">
        <v>255.2</v>
      </c>
      <c r="R27" s="90">
        <v>330.43</v>
      </c>
      <c r="S27" s="90">
        <v>52.32</v>
      </c>
      <c r="T27" s="47">
        <f t="shared" si="3"/>
        <v>2694.5799999999995</v>
      </c>
      <c r="V27" s="183">
        <f t="shared" si="1"/>
        <v>765.17000000000007</v>
      </c>
    </row>
    <row r="28" spans="1:23">
      <c r="A28" t="s">
        <v>176</v>
      </c>
      <c r="B28" t="s">
        <v>175</v>
      </c>
      <c r="C28" s="415">
        <v>0.01</v>
      </c>
      <c r="D28" s="415">
        <v>117.52</v>
      </c>
      <c r="E28" s="90">
        <v>1.47</v>
      </c>
      <c r="F28" s="90">
        <v>1.06</v>
      </c>
      <c r="G28" s="415">
        <v>117.88</v>
      </c>
      <c r="H28" s="90">
        <v>241.77</v>
      </c>
      <c r="I28" s="415">
        <v>18.53</v>
      </c>
      <c r="J28" s="415">
        <v>2.95</v>
      </c>
      <c r="K28" s="415">
        <v>2.5099999999999998</v>
      </c>
      <c r="L28" s="90">
        <v>172.79</v>
      </c>
      <c r="M28" s="90"/>
      <c r="N28" s="90">
        <v>1.53</v>
      </c>
      <c r="O28" s="415">
        <v>43.65</v>
      </c>
      <c r="P28" s="415">
        <v>4.79</v>
      </c>
      <c r="Q28" s="415">
        <v>51.84</v>
      </c>
      <c r="R28" s="90">
        <v>7.39</v>
      </c>
      <c r="S28" s="90">
        <v>27.77</v>
      </c>
      <c r="T28" s="47">
        <f t="shared" si="3"/>
        <v>813.45999999999992</v>
      </c>
      <c r="V28" s="183">
        <f t="shared" si="1"/>
        <v>91.79</v>
      </c>
      <c r="W28" s="183"/>
    </row>
    <row r="29" spans="1:23">
      <c r="C29" s="90"/>
      <c r="D29" s="90"/>
      <c r="E29" s="90"/>
      <c r="F29" s="90"/>
      <c r="G29" s="90"/>
      <c r="H29" s="90"/>
      <c r="I29" s="90"/>
      <c r="J29" s="90"/>
      <c r="K29" s="90"/>
      <c r="L29" s="90"/>
      <c r="M29" s="90"/>
      <c r="N29" s="90"/>
      <c r="O29" s="90"/>
      <c r="P29" s="90"/>
      <c r="Q29" s="90"/>
      <c r="R29" s="90"/>
      <c r="S29" s="90"/>
      <c r="T29" s="47"/>
      <c r="V29" s="183"/>
    </row>
    <row r="30" spans="1:23" ht="15">
      <c r="A30" s="56" t="s">
        <v>52</v>
      </c>
      <c r="C30" s="90"/>
      <c r="D30" s="90"/>
      <c r="E30" s="90"/>
      <c r="F30" s="90"/>
      <c r="G30" s="90"/>
      <c r="H30" s="90"/>
      <c r="I30" s="90"/>
      <c r="J30" s="90"/>
      <c r="K30" s="90"/>
      <c r="L30" s="90"/>
      <c r="M30" s="90"/>
      <c r="N30" s="90"/>
      <c r="O30" s="90"/>
      <c r="P30" s="90"/>
      <c r="Q30" s="90"/>
      <c r="R30" s="90"/>
      <c r="S30" s="90"/>
      <c r="T30" s="47"/>
      <c r="V30" s="183"/>
    </row>
    <row r="31" spans="1:23">
      <c r="A31" t="s">
        <v>19</v>
      </c>
      <c r="B31" t="s">
        <v>175</v>
      </c>
      <c r="C31" s="415">
        <v>13.15</v>
      </c>
      <c r="D31" s="415">
        <v>322.76</v>
      </c>
      <c r="E31" s="90">
        <v>0.05</v>
      </c>
      <c r="F31" s="90">
        <v>66.900000000000006</v>
      </c>
      <c r="G31" s="415">
        <v>391.83</v>
      </c>
      <c r="H31" s="90">
        <v>627.02</v>
      </c>
      <c r="I31" s="415">
        <v>72.319999999999993</v>
      </c>
      <c r="J31" s="415">
        <v>50.81</v>
      </c>
      <c r="K31" s="415">
        <v>26.54</v>
      </c>
      <c r="L31" s="90">
        <v>373.26</v>
      </c>
      <c r="M31" s="90">
        <v>0.53</v>
      </c>
      <c r="N31" s="90">
        <v>128.91</v>
      </c>
      <c r="O31" s="415">
        <v>80.34</v>
      </c>
      <c r="P31" s="415">
        <v>139.46</v>
      </c>
      <c r="Q31" s="415">
        <v>275.35000000000002</v>
      </c>
      <c r="R31" s="90">
        <v>383.47</v>
      </c>
      <c r="S31" s="415">
        <v>59.75</v>
      </c>
      <c r="T31" s="47">
        <f t="shared" si="3"/>
        <v>3012.45</v>
      </c>
      <c r="V31" s="183">
        <f t="shared" si="1"/>
        <v>858.03000000000009</v>
      </c>
    </row>
    <row r="32" spans="1:23">
      <c r="A32" t="s">
        <v>176</v>
      </c>
      <c r="B32" t="s">
        <v>175</v>
      </c>
      <c r="C32" s="415">
        <v>0.02</v>
      </c>
      <c r="D32" s="415">
        <v>132.30000000000001</v>
      </c>
      <c r="E32" s="90">
        <v>1.53</v>
      </c>
      <c r="F32" s="90">
        <v>1.17</v>
      </c>
      <c r="G32" s="415">
        <v>127.59</v>
      </c>
      <c r="H32" s="90">
        <v>269.95</v>
      </c>
      <c r="I32" s="415">
        <v>20.63</v>
      </c>
      <c r="J32" s="415">
        <v>3.74</v>
      </c>
      <c r="K32" s="415">
        <v>2.8</v>
      </c>
      <c r="L32" s="90">
        <v>190.57</v>
      </c>
      <c r="M32" s="90"/>
      <c r="N32" s="90">
        <v>1.56</v>
      </c>
      <c r="O32" s="415">
        <v>49.56</v>
      </c>
      <c r="P32" s="415">
        <v>4.88</v>
      </c>
      <c r="Q32" s="415">
        <v>58.04</v>
      </c>
      <c r="R32" s="90">
        <v>8.25</v>
      </c>
      <c r="S32" s="90">
        <v>29.14</v>
      </c>
      <c r="T32" s="47">
        <f t="shared" si="3"/>
        <v>901.72999999999979</v>
      </c>
      <c r="V32" s="183">
        <f t="shared" si="1"/>
        <v>100.31</v>
      </c>
      <c r="W32" s="183"/>
    </row>
    <row r="33" spans="1:23">
      <c r="C33" s="90"/>
      <c r="D33" s="90"/>
      <c r="E33" s="90"/>
      <c r="F33" s="90"/>
      <c r="G33" s="90"/>
      <c r="H33" s="90"/>
      <c r="I33" s="90"/>
      <c r="J33" s="90"/>
      <c r="K33" s="90"/>
      <c r="L33" s="90"/>
      <c r="M33" s="90"/>
      <c r="N33" s="90"/>
      <c r="O33" s="90"/>
      <c r="P33" s="90"/>
      <c r="Q33" s="90"/>
      <c r="R33" s="90"/>
      <c r="S33" s="90"/>
      <c r="T33" s="47"/>
      <c r="V33" s="183"/>
    </row>
    <row r="34" spans="1:23" ht="15">
      <c r="A34" s="56" t="s">
        <v>197</v>
      </c>
      <c r="C34" s="90"/>
      <c r="D34" s="90"/>
      <c r="E34" s="90"/>
      <c r="F34" s="90"/>
      <c r="G34" s="90"/>
      <c r="H34" s="90"/>
      <c r="I34" s="90"/>
      <c r="J34" s="90"/>
      <c r="K34" s="90"/>
      <c r="L34" s="90"/>
      <c r="M34" s="90"/>
      <c r="N34" s="90"/>
      <c r="O34" s="90"/>
      <c r="P34" s="90"/>
      <c r="Q34" s="90"/>
      <c r="R34" s="90"/>
      <c r="S34" s="90"/>
      <c r="T34" s="47"/>
      <c r="V34" s="183"/>
    </row>
    <row r="35" spans="1:23">
      <c r="A35" t="s">
        <v>19</v>
      </c>
      <c r="B35" t="s">
        <v>175</v>
      </c>
      <c r="C35" s="415">
        <v>13.62</v>
      </c>
      <c r="D35" s="415">
        <v>326.93</v>
      </c>
      <c r="E35" s="415">
        <v>0.04</v>
      </c>
      <c r="F35" s="415">
        <v>69.09</v>
      </c>
      <c r="G35" s="415">
        <v>404.17</v>
      </c>
      <c r="H35" s="415">
        <v>643.82000000000005</v>
      </c>
      <c r="I35" s="415">
        <v>86.71</v>
      </c>
      <c r="J35" s="415">
        <v>37.36</v>
      </c>
      <c r="K35" s="415">
        <v>26.79</v>
      </c>
      <c r="L35" s="415">
        <v>369.39</v>
      </c>
      <c r="M35" s="415">
        <v>0.37</v>
      </c>
      <c r="N35" s="415">
        <v>130.16</v>
      </c>
      <c r="O35" s="415">
        <v>73.239999999999995</v>
      </c>
      <c r="P35" s="415">
        <v>142.55000000000001</v>
      </c>
      <c r="Q35" s="415">
        <v>330.84</v>
      </c>
      <c r="R35" s="415">
        <v>384.76</v>
      </c>
      <c r="S35" s="415">
        <v>55.91</v>
      </c>
      <c r="T35" s="47">
        <f t="shared" si="3"/>
        <v>3095.75</v>
      </c>
      <c r="V35" s="183">
        <f t="shared" si="1"/>
        <v>914.06</v>
      </c>
    </row>
    <row r="36" spans="1:23" ht="12" customHeight="1">
      <c r="A36" t="s">
        <v>176</v>
      </c>
      <c r="B36" t="s">
        <v>175</v>
      </c>
      <c r="C36" s="415">
        <v>0.01</v>
      </c>
      <c r="D36" s="415">
        <v>137.1</v>
      </c>
      <c r="E36" s="415">
        <v>1.72</v>
      </c>
      <c r="F36" s="415">
        <v>1.24</v>
      </c>
      <c r="G36" s="415">
        <v>132.16999999999999</v>
      </c>
      <c r="H36" s="415">
        <v>267.37</v>
      </c>
      <c r="I36" s="415">
        <v>21.18</v>
      </c>
      <c r="J36" s="415">
        <v>3.29</v>
      </c>
      <c r="K36" s="415">
        <v>2.98</v>
      </c>
      <c r="L36" s="415">
        <v>199.55</v>
      </c>
      <c r="M36" s="415"/>
      <c r="N36" s="415">
        <v>1.84</v>
      </c>
      <c r="O36" s="415">
        <v>49.77</v>
      </c>
      <c r="P36" s="415">
        <v>4.2</v>
      </c>
      <c r="Q36" s="415">
        <f>54.97+2.03</f>
        <v>57</v>
      </c>
      <c r="R36" s="415">
        <v>9.0399999999999991</v>
      </c>
      <c r="S36" s="415">
        <v>30.37</v>
      </c>
      <c r="T36" s="47">
        <f t="shared" si="3"/>
        <v>918.82999999999993</v>
      </c>
      <c r="V36" s="183">
        <f t="shared" si="1"/>
        <v>100.61</v>
      </c>
      <c r="W36" s="183"/>
    </row>
    <row r="37" spans="1:23">
      <c r="C37" s="90"/>
      <c r="D37" s="90"/>
      <c r="E37" s="90"/>
      <c r="F37" s="90"/>
      <c r="G37" s="90"/>
      <c r="H37" s="90"/>
      <c r="I37" s="90"/>
      <c r="J37" s="90"/>
      <c r="K37" s="90"/>
      <c r="L37" s="90"/>
      <c r="M37" s="90"/>
      <c r="N37" s="90"/>
      <c r="O37" s="90"/>
      <c r="P37" s="90"/>
      <c r="Q37" s="90"/>
      <c r="R37" s="90"/>
      <c r="S37" s="90"/>
      <c r="V37" s="183">
        <f t="shared" si="1"/>
        <v>0</v>
      </c>
    </row>
    <row r="38" spans="1:23" ht="15">
      <c r="A38" s="56" t="s">
        <v>198</v>
      </c>
      <c r="C38" s="90"/>
      <c r="D38" s="90"/>
      <c r="E38" s="90"/>
      <c r="F38" s="90"/>
      <c r="G38" s="90"/>
      <c r="H38" s="90"/>
      <c r="I38" s="90"/>
      <c r="J38" s="90"/>
      <c r="K38" s="90"/>
      <c r="L38" s="90"/>
      <c r="M38" s="90"/>
      <c r="N38" s="90"/>
      <c r="O38" s="90"/>
      <c r="P38" s="90"/>
      <c r="Q38" s="90"/>
      <c r="R38" s="90"/>
      <c r="S38" s="90"/>
      <c r="T38" s="47"/>
      <c r="V38" s="183">
        <f t="shared" si="1"/>
        <v>0</v>
      </c>
    </row>
    <row r="39" spans="1:23">
      <c r="A39" t="s">
        <v>19</v>
      </c>
      <c r="B39" t="s">
        <v>175</v>
      </c>
      <c r="C39" s="415">
        <v>14.61</v>
      </c>
      <c r="D39" s="415">
        <v>295.61</v>
      </c>
      <c r="E39" s="415">
        <v>0.04</v>
      </c>
      <c r="F39" s="415">
        <v>65.27</v>
      </c>
      <c r="G39" s="415">
        <v>348.42</v>
      </c>
      <c r="H39" s="415">
        <v>544.01</v>
      </c>
      <c r="I39" s="415">
        <v>76.11</v>
      </c>
      <c r="J39" s="415">
        <v>46.66</v>
      </c>
      <c r="K39" s="415">
        <v>22.16</v>
      </c>
      <c r="L39" s="415">
        <v>326.14999999999998</v>
      </c>
      <c r="M39" s="415">
        <v>0.33</v>
      </c>
      <c r="N39" s="415">
        <v>110.03</v>
      </c>
      <c r="O39" s="415">
        <v>98.43</v>
      </c>
      <c r="P39" s="415">
        <v>125.68</v>
      </c>
      <c r="Q39" s="415">
        <v>282.33</v>
      </c>
      <c r="R39" s="415">
        <v>339.49</v>
      </c>
      <c r="S39" s="415">
        <v>56.09</v>
      </c>
      <c r="T39" s="47">
        <f t="shared" ref="T39:T40" si="4">SUM(C39:S39)</f>
        <v>2751.42</v>
      </c>
      <c r="V39" s="183">
        <f t="shared" si="1"/>
        <v>803.59000000000015</v>
      </c>
    </row>
    <row r="40" spans="1:23">
      <c r="A40" t="s">
        <v>176</v>
      </c>
      <c r="B40" t="s">
        <v>175</v>
      </c>
      <c r="C40" s="415">
        <v>0.03</v>
      </c>
      <c r="D40" s="415">
        <v>123.18</v>
      </c>
      <c r="E40" s="415">
        <v>1.45</v>
      </c>
      <c r="F40" s="415">
        <v>1.18</v>
      </c>
      <c r="G40" s="415">
        <v>112.07</v>
      </c>
      <c r="H40" s="415">
        <v>237.22</v>
      </c>
      <c r="I40" s="415">
        <v>15.33</v>
      </c>
      <c r="J40" s="415">
        <v>3.27</v>
      </c>
      <c r="K40" s="415">
        <v>2.37</v>
      </c>
      <c r="L40" s="415">
        <v>175.1</v>
      </c>
      <c r="M40" s="415"/>
      <c r="N40" s="415">
        <v>1.47</v>
      </c>
      <c r="O40" s="415">
        <v>44.77</v>
      </c>
      <c r="P40" s="415">
        <v>4.6399999999999997</v>
      </c>
      <c r="Q40" s="415">
        <f>48.77+2.51</f>
        <v>51.28</v>
      </c>
      <c r="R40" s="415">
        <v>7.21</v>
      </c>
      <c r="S40" s="415">
        <v>27.25</v>
      </c>
      <c r="T40" s="47">
        <f t="shared" si="4"/>
        <v>807.81999999999994</v>
      </c>
      <c r="V40" s="183">
        <f t="shared" si="1"/>
        <v>90.38000000000001</v>
      </c>
      <c r="W40" s="183"/>
    </row>
    <row r="41" spans="1:23">
      <c r="C41" s="90"/>
      <c r="D41" s="90"/>
      <c r="E41" s="90"/>
      <c r="F41" s="90"/>
      <c r="G41" s="90"/>
      <c r="H41" s="90"/>
      <c r="I41" s="90"/>
      <c r="J41" s="90"/>
      <c r="K41" s="90"/>
      <c r="L41" s="90"/>
      <c r="M41" s="90"/>
      <c r="N41" s="90"/>
      <c r="O41" s="90"/>
      <c r="P41" s="90"/>
      <c r="Q41" s="90"/>
      <c r="R41" s="90"/>
      <c r="S41" s="90"/>
      <c r="V41" s="183">
        <f t="shared" si="1"/>
        <v>0</v>
      </c>
    </row>
    <row r="42" spans="1:23" ht="15">
      <c r="A42" s="56" t="s">
        <v>199</v>
      </c>
      <c r="C42" s="90"/>
      <c r="D42" s="90"/>
      <c r="E42" s="90"/>
      <c r="F42" s="90"/>
      <c r="G42" s="90"/>
      <c r="H42" s="90"/>
      <c r="I42" s="90"/>
      <c r="J42" s="90"/>
      <c r="K42" s="90"/>
      <c r="L42" s="90"/>
      <c r="M42" s="90"/>
      <c r="N42" s="90"/>
      <c r="O42" s="90"/>
      <c r="P42" s="90"/>
      <c r="Q42" s="90"/>
      <c r="R42" s="90"/>
      <c r="S42" s="90"/>
      <c r="T42" s="47"/>
      <c r="V42" s="183">
        <f t="shared" si="1"/>
        <v>0</v>
      </c>
    </row>
    <row r="43" spans="1:23">
      <c r="A43" t="s">
        <v>19</v>
      </c>
      <c r="B43" t="s">
        <v>175</v>
      </c>
      <c r="C43" s="415">
        <v>12.65</v>
      </c>
      <c r="D43" s="415">
        <v>315.8</v>
      </c>
      <c r="E43" s="415">
        <v>0.05</v>
      </c>
      <c r="F43" s="415">
        <v>64</v>
      </c>
      <c r="G43" s="415">
        <v>348.72</v>
      </c>
      <c r="H43" s="415">
        <v>617.1</v>
      </c>
      <c r="I43" s="415">
        <v>107.8</v>
      </c>
      <c r="J43" s="415">
        <v>62.41</v>
      </c>
      <c r="K43" s="415">
        <v>36.15</v>
      </c>
      <c r="L43" s="415">
        <v>362.83</v>
      </c>
      <c r="M43" s="415">
        <v>0.33</v>
      </c>
      <c r="N43" s="415">
        <v>121.63</v>
      </c>
      <c r="O43" s="415">
        <v>71.34</v>
      </c>
      <c r="P43" s="415">
        <v>155.75</v>
      </c>
      <c r="Q43" s="415">
        <v>271.08999999999997</v>
      </c>
      <c r="R43" s="415">
        <v>372.64</v>
      </c>
      <c r="S43" s="415">
        <v>58.64</v>
      </c>
      <c r="T43" s="47">
        <f t="shared" ref="T43:T44" si="5">SUM(C43:S43)</f>
        <v>2978.9300000000003</v>
      </c>
      <c r="V43" s="183">
        <f t="shared" si="1"/>
        <v>858.11999999999989</v>
      </c>
    </row>
    <row r="44" spans="1:23">
      <c r="A44" t="s">
        <v>176</v>
      </c>
      <c r="B44" t="s">
        <v>175</v>
      </c>
      <c r="C44" s="415">
        <v>0.01</v>
      </c>
      <c r="D44" s="415">
        <v>130.93</v>
      </c>
      <c r="E44" s="415">
        <v>1.59</v>
      </c>
      <c r="F44" s="415">
        <v>1.1299999999999999</v>
      </c>
      <c r="G44" s="415">
        <v>123.63</v>
      </c>
      <c r="H44" s="415">
        <v>267.14999999999998</v>
      </c>
      <c r="I44" s="415">
        <v>18.16</v>
      </c>
      <c r="J44" s="415">
        <v>3.55</v>
      </c>
      <c r="K44" s="415">
        <v>2.78</v>
      </c>
      <c r="L44" s="415">
        <v>193.48</v>
      </c>
      <c r="M44" s="415"/>
      <c r="N44" s="415">
        <v>1.35</v>
      </c>
      <c r="O44" s="415">
        <v>45.66</v>
      </c>
      <c r="P44" s="415">
        <v>5.28</v>
      </c>
      <c r="Q44" s="415">
        <f>59.48+2.97</f>
        <v>62.449999999999996</v>
      </c>
      <c r="R44" s="415">
        <v>8.75</v>
      </c>
      <c r="S44" s="415">
        <v>30.69</v>
      </c>
      <c r="T44" s="47">
        <f t="shared" si="5"/>
        <v>896.58999999999992</v>
      </c>
      <c r="V44" s="183">
        <f t="shared" si="1"/>
        <v>107.16999999999999</v>
      </c>
      <c r="W44" s="183"/>
    </row>
    <row r="45" spans="1:23">
      <c r="C45" s="90"/>
      <c r="D45" s="90"/>
      <c r="E45" s="90"/>
      <c r="F45" s="90"/>
      <c r="G45" s="90"/>
      <c r="H45" s="90"/>
      <c r="I45" s="90"/>
      <c r="J45" s="90"/>
      <c r="K45" s="90"/>
      <c r="L45" s="90"/>
      <c r="M45" s="90"/>
      <c r="N45" s="90"/>
      <c r="O45" s="90"/>
      <c r="P45" s="90"/>
      <c r="Q45" s="90"/>
      <c r="R45" s="90"/>
      <c r="S45" s="90"/>
      <c r="V45" s="183">
        <f t="shared" si="1"/>
        <v>0</v>
      </c>
    </row>
    <row r="46" spans="1:23" ht="15">
      <c r="A46" s="56" t="s">
        <v>200</v>
      </c>
      <c r="C46" s="90"/>
      <c r="D46" s="90"/>
      <c r="E46" s="90"/>
      <c r="F46" s="90"/>
      <c r="G46" s="90"/>
      <c r="H46" s="90"/>
      <c r="I46" s="90"/>
      <c r="J46" s="90"/>
      <c r="K46" s="90"/>
      <c r="L46" s="90"/>
      <c r="M46" s="90"/>
      <c r="N46" s="90"/>
      <c r="O46" s="90"/>
      <c r="P46" s="90"/>
      <c r="Q46" s="90"/>
      <c r="R46" s="90"/>
      <c r="S46" s="90"/>
      <c r="T46" s="47"/>
      <c r="V46" s="183">
        <f t="shared" si="1"/>
        <v>0</v>
      </c>
    </row>
    <row r="47" spans="1:23" s="22" customFormat="1">
      <c r="A47" s="22" t="s">
        <v>19</v>
      </c>
      <c r="B47" s="22" t="s">
        <v>175</v>
      </c>
      <c r="C47" s="437">
        <v>18.73</v>
      </c>
      <c r="D47" s="437">
        <v>310.93</v>
      </c>
      <c r="E47" s="437">
        <v>0.05</v>
      </c>
      <c r="F47" s="437">
        <v>74.8</v>
      </c>
      <c r="G47" s="437">
        <v>381.72</v>
      </c>
      <c r="H47" s="437">
        <v>580.46</v>
      </c>
      <c r="I47" s="437">
        <v>71.48</v>
      </c>
      <c r="J47" s="437">
        <v>38.619999999999997</v>
      </c>
      <c r="K47" s="437">
        <v>25.41</v>
      </c>
      <c r="L47" s="437">
        <v>348.19</v>
      </c>
      <c r="M47" s="437">
        <v>0.33</v>
      </c>
      <c r="N47" s="437">
        <v>112.09</v>
      </c>
      <c r="O47" s="437">
        <v>65.319999999999993</v>
      </c>
      <c r="P47" s="437">
        <v>131.6</v>
      </c>
      <c r="Q47" s="437">
        <v>273.48</v>
      </c>
      <c r="R47" s="437">
        <v>332.24</v>
      </c>
      <c r="S47" s="437">
        <v>55.48</v>
      </c>
      <c r="T47" s="438">
        <f t="shared" ref="T47:T48" si="6">SUM(C47:S47)</f>
        <v>2820.93</v>
      </c>
      <c r="V47" s="439">
        <f t="shared" si="1"/>
        <v>792.80000000000007</v>
      </c>
    </row>
    <row r="48" spans="1:23" s="22" customFormat="1">
      <c r="A48" s="22" t="s">
        <v>176</v>
      </c>
      <c r="B48" s="22" t="s">
        <v>175</v>
      </c>
      <c r="C48" s="437">
        <v>7.0000000000000007E-2</v>
      </c>
      <c r="D48" s="437">
        <v>126.34</v>
      </c>
      <c r="E48" s="437">
        <v>1.49</v>
      </c>
      <c r="F48" s="437">
        <v>1.39</v>
      </c>
      <c r="G48" s="437">
        <v>120.77</v>
      </c>
      <c r="H48" s="437">
        <v>250.55</v>
      </c>
      <c r="I48" s="437">
        <v>19.02</v>
      </c>
      <c r="J48" s="437">
        <v>2.95</v>
      </c>
      <c r="K48" s="437">
        <v>2.63</v>
      </c>
      <c r="L48" s="437">
        <v>185.95</v>
      </c>
      <c r="M48" s="437"/>
      <c r="N48" s="437">
        <v>1.63</v>
      </c>
      <c r="O48" s="437">
        <v>46.31</v>
      </c>
      <c r="P48" s="437">
        <v>5.88</v>
      </c>
      <c r="Q48" s="437">
        <f>54.03+2.78</f>
        <v>56.81</v>
      </c>
      <c r="R48" s="437">
        <v>7.87</v>
      </c>
      <c r="S48" s="437">
        <v>31.16</v>
      </c>
      <c r="T48" s="438">
        <f t="shared" si="6"/>
        <v>860.82000000000016</v>
      </c>
      <c r="V48" s="439">
        <f t="shared" si="1"/>
        <v>101.72</v>
      </c>
      <c r="W48" s="439"/>
    </row>
    <row r="49" spans="1:23">
      <c r="C49" s="90"/>
      <c r="D49" s="90"/>
      <c r="E49" s="90"/>
      <c r="F49" s="90"/>
      <c r="G49" s="90"/>
      <c r="H49" s="90"/>
      <c r="I49" s="90"/>
      <c r="J49" s="90"/>
      <c r="K49" s="90"/>
      <c r="L49" s="90"/>
      <c r="M49" s="90"/>
      <c r="N49" s="90"/>
      <c r="O49" s="90"/>
      <c r="P49" s="90"/>
      <c r="Q49" s="90"/>
      <c r="R49" s="90"/>
      <c r="S49" s="90"/>
      <c r="V49" s="183">
        <f t="shared" si="1"/>
        <v>0</v>
      </c>
    </row>
    <row r="50" spans="1:23" ht="15">
      <c r="A50" s="56" t="s">
        <v>201</v>
      </c>
      <c r="C50" s="90"/>
      <c r="D50" s="90"/>
      <c r="E50" s="90"/>
      <c r="F50" s="90"/>
      <c r="G50" s="90"/>
      <c r="H50" s="90"/>
      <c r="I50" s="90"/>
      <c r="J50" s="90"/>
      <c r="K50" s="90"/>
      <c r="L50" s="90"/>
      <c r="M50" s="90"/>
      <c r="N50" s="90"/>
      <c r="O50" s="90"/>
      <c r="P50" s="90"/>
      <c r="Q50" s="90"/>
      <c r="R50" s="90"/>
      <c r="S50" s="90"/>
      <c r="T50" s="47"/>
      <c r="V50" s="183">
        <f t="shared" si="1"/>
        <v>0</v>
      </c>
    </row>
    <row r="51" spans="1:23">
      <c r="A51" t="s">
        <v>19</v>
      </c>
      <c r="B51" t="s">
        <v>175</v>
      </c>
      <c r="C51" s="415"/>
      <c r="D51" s="415"/>
      <c r="E51" s="415"/>
      <c r="F51" s="415"/>
      <c r="G51" s="415"/>
      <c r="H51" s="415"/>
      <c r="I51" s="415"/>
      <c r="J51" s="415"/>
      <c r="K51" s="415"/>
      <c r="L51" s="415"/>
      <c r="M51" s="415"/>
      <c r="N51" s="415"/>
      <c r="O51" s="415"/>
      <c r="P51" s="415"/>
      <c r="Q51" s="415"/>
      <c r="R51" s="415"/>
      <c r="S51" s="415"/>
      <c r="T51" s="47">
        <f t="shared" ref="T51:T52" si="7">SUM(C51:S51)</f>
        <v>0</v>
      </c>
      <c r="V51" s="183">
        <f t="shared" si="1"/>
        <v>0</v>
      </c>
    </row>
    <row r="52" spans="1:23">
      <c r="A52" t="s">
        <v>176</v>
      </c>
      <c r="B52" t="s">
        <v>175</v>
      </c>
      <c r="C52" s="415"/>
      <c r="D52" s="415"/>
      <c r="E52" s="415"/>
      <c r="F52" s="415"/>
      <c r="G52" s="415"/>
      <c r="H52" s="415"/>
      <c r="I52" s="415"/>
      <c r="J52" s="415"/>
      <c r="K52" s="415"/>
      <c r="L52" s="415"/>
      <c r="M52" s="415"/>
      <c r="N52" s="415"/>
      <c r="O52" s="415"/>
      <c r="P52" s="415"/>
      <c r="Q52" s="415"/>
      <c r="R52" s="415"/>
      <c r="S52" s="415"/>
      <c r="T52" s="47">
        <f t="shared" si="7"/>
        <v>0</v>
      </c>
      <c r="V52" s="183">
        <f t="shared" si="1"/>
        <v>0</v>
      </c>
      <c r="W52" s="183"/>
    </row>
    <row r="53" spans="1:23">
      <c r="C53" s="90"/>
      <c r="D53" s="90"/>
      <c r="E53" s="90"/>
      <c r="F53" s="90"/>
      <c r="G53" s="90"/>
      <c r="H53" s="90"/>
      <c r="I53" s="90"/>
      <c r="J53" s="90"/>
      <c r="K53" s="90"/>
      <c r="L53" s="90"/>
      <c r="M53" s="90"/>
      <c r="N53" s="90"/>
      <c r="O53" s="90"/>
      <c r="P53" s="90"/>
      <c r="Q53" s="90"/>
      <c r="R53" s="90"/>
      <c r="S53" s="90"/>
      <c r="V53" s="183">
        <f t="shared" si="1"/>
        <v>0</v>
      </c>
    </row>
    <row r="54" spans="1:23" ht="15">
      <c r="A54" s="56" t="s">
        <v>202</v>
      </c>
      <c r="C54" s="90"/>
      <c r="D54" s="90"/>
      <c r="E54" s="90"/>
      <c r="F54" s="90"/>
      <c r="G54" s="90"/>
      <c r="H54" s="90"/>
      <c r="I54" s="90"/>
      <c r="J54" s="90"/>
      <c r="K54" s="90"/>
      <c r="L54" s="90"/>
      <c r="M54" s="90"/>
      <c r="N54" s="90"/>
      <c r="O54" s="90"/>
      <c r="P54" s="90"/>
      <c r="Q54" s="90"/>
      <c r="R54" s="90"/>
      <c r="S54" s="90"/>
      <c r="T54" s="47"/>
      <c r="V54" s="183">
        <f t="shared" si="1"/>
        <v>0</v>
      </c>
    </row>
    <row r="55" spans="1:23">
      <c r="A55" t="s">
        <v>19</v>
      </c>
      <c r="B55" t="s">
        <v>175</v>
      </c>
      <c r="C55" s="415"/>
      <c r="D55" s="415"/>
      <c r="E55" s="415"/>
      <c r="F55" s="415"/>
      <c r="G55" s="415"/>
      <c r="H55" s="415"/>
      <c r="I55" s="415"/>
      <c r="J55" s="415"/>
      <c r="K55" s="415"/>
      <c r="L55" s="415"/>
      <c r="M55" s="415"/>
      <c r="N55" s="415"/>
      <c r="O55" s="415"/>
      <c r="P55" s="415"/>
      <c r="Q55" s="415"/>
      <c r="R55" s="415"/>
      <c r="S55" s="415"/>
      <c r="T55" s="47">
        <f t="shared" ref="T55:T56" si="8">SUM(C55:S55)</f>
        <v>0</v>
      </c>
      <c r="V55" s="183">
        <f t="shared" si="1"/>
        <v>0</v>
      </c>
    </row>
    <row r="56" spans="1:23">
      <c r="A56" t="s">
        <v>176</v>
      </c>
      <c r="B56" t="s">
        <v>175</v>
      </c>
      <c r="C56" s="415"/>
      <c r="D56" s="415"/>
      <c r="E56" s="415"/>
      <c r="F56" s="415"/>
      <c r="G56" s="415"/>
      <c r="H56" s="415"/>
      <c r="I56" s="415"/>
      <c r="J56" s="415"/>
      <c r="K56" s="415"/>
      <c r="L56" s="415"/>
      <c r="M56" s="415"/>
      <c r="N56" s="415"/>
      <c r="O56" s="415"/>
      <c r="P56" s="415"/>
      <c r="Q56" s="415"/>
      <c r="R56" s="415"/>
      <c r="S56" s="415"/>
      <c r="T56" s="47">
        <f t="shared" si="8"/>
        <v>0</v>
      </c>
      <c r="V56" s="183">
        <f t="shared" si="1"/>
        <v>0</v>
      </c>
      <c r="W56" s="183"/>
    </row>
    <row r="57" spans="1:23">
      <c r="C57" s="90"/>
      <c r="D57" s="90"/>
      <c r="E57" s="90"/>
      <c r="F57" s="90"/>
      <c r="G57" s="90"/>
      <c r="H57" s="90"/>
      <c r="I57" s="90"/>
      <c r="J57" s="90"/>
      <c r="K57" s="90"/>
      <c r="L57" s="90"/>
      <c r="M57" s="90"/>
      <c r="N57" s="90"/>
      <c r="O57" s="90"/>
      <c r="P57" s="90"/>
      <c r="Q57" s="90"/>
      <c r="R57" s="90"/>
      <c r="S57" s="90"/>
      <c r="V57" s="183">
        <f t="shared" si="1"/>
        <v>0</v>
      </c>
    </row>
    <row r="58" spans="1:23" ht="15">
      <c r="A58" s="56" t="s">
        <v>188</v>
      </c>
      <c r="C58" s="90"/>
      <c r="D58" s="90"/>
      <c r="E58" s="90"/>
      <c r="F58" s="90"/>
      <c r="G58" s="90"/>
      <c r="H58" s="90"/>
      <c r="I58" s="90"/>
      <c r="J58" s="90"/>
      <c r="K58" s="90"/>
      <c r="L58" s="90"/>
      <c r="M58" s="90"/>
      <c r="N58" s="90"/>
      <c r="O58" s="90"/>
      <c r="P58" s="90"/>
      <c r="Q58" s="90"/>
      <c r="R58" s="90"/>
      <c r="S58" s="90"/>
      <c r="T58" s="47"/>
      <c r="V58" s="183">
        <f t="shared" si="1"/>
        <v>0</v>
      </c>
    </row>
    <row r="59" spans="1:23">
      <c r="A59" t="s">
        <v>19</v>
      </c>
      <c r="B59" t="s">
        <v>175</v>
      </c>
      <c r="C59" s="415"/>
      <c r="D59" s="415"/>
      <c r="E59" s="415"/>
      <c r="F59" s="415"/>
      <c r="G59" s="415"/>
      <c r="H59" s="415"/>
      <c r="I59" s="415"/>
      <c r="J59" s="415"/>
      <c r="K59" s="415"/>
      <c r="L59" s="415"/>
      <c r="M59" s="415"/>
      <c r="N59" s="415"/>
      <c r="O59" s="415"/>
      <c r="P59" s="415"/>
      <c r="Q59" s="415"/>
      <c r="R59" s="415"/>
      <c r="S59" s="415"/>
      <c r="T59" s="47">
        <f t="shared" ref="T59:T60" si="9">SUM(C59:S59)</f>
        <v>0</v>
      </c>
      <c r="V59" s="183">
        <f t="shared" si="1"/>
        <v>0</v>
      </c>
    </row>
    <row r="60" spans="1:23">
      <c r="A60" t="s">
        <v>176</v>
      </c>
      <c r="B60" t="s">
        <v>175</v>
      </c>
      <c r="C60" s="415"/>
      <c r="D60" s="415"/>
      <c r="E60" s="415"/>
      <c r="F60" s="415"/>
      <c r="G60" s="415"/>
      <c r="H60" s="415"/>
      <c r="I60" s="415"/>
      <c r="J60" s="415"/>
      <c r="K60" s="415"/>
      <c r="L60" s="415"/>
      <c r="M60" s="415"/>
      <c r="N60" s="415"/>
      <c r="O60" s="415"/>
      <c r="P60" s="415"/>
      <c r="Q60" s="415"/>
      <c r="R60" s="415"/>
      <c r="S60" s="415"/>
      <c r="T60" s="47">
        <f t="shared" si="9"/>
        <v>0</v>
      </c>
      <c r="V60" s="183">
        <f t="shared" si="1"/>
        <v>0</v>
      </c>
      <c r="W60" s="183"/>
    </row>
    <row r="61" spans="1:23">
      <c r="C61" s="90"/>
      <c r="D61" s="90"/>
      <c r="E61" s="90"/>
      <c r="F61" s="90"/>
      <c r="G61" s="90"/>
      <c r="H61" s="90"/>
      <c r="I61" s="90"/>
      <c r="J61" s="90"/>
      <c r="K61" s="90"/>
      <c r="L61" s="90"/>
      <c r="M61" s="90"/>
      <c r="N61" s="90"/>
      <c r="O61" s="90"/>
      <c r="P61" s="90"/>
      <c r="Q61" s="90"/>
      <c r="R61" s="90"/>
      <c r="S61" s="90"/>
      <c r="V61" s="183">
        <f t="shared" si="1"/>
        <v>0</v>
      </c>
    </row>
    <row r="62" spans="1:23" ht="15">
      <c r="A62" s="56" t="s">
        <v>203</v>
      </c>
      <c r="C62" s="90"/>
      <c r="D62" s="90"/>
      <c r="E62" s="90"/>
      <c r="F62" s="90"/>
      <c r="G62" s="90"/>
      <c r="H62" s="90"/>
      <c r="I62" s="90"/>
      <c r="J62" s="90"/>
      <c r="K62" s="90"/>
      <c r="L62" s="90"/>
      <c r="M62" s="90"/>
      <c r="N62" s="90"/>
      <c r="O62" s="90"/>
      <c r="P62" s="90"/>
      <c r="Q62" s="90"/>
      <c r="R62" s="90"/>
      <c r="S62" s="90"/>
      <c r="T62" s="47"/>
      <c r="V62" s="183">
        <f t="shared" si="1"/>
        <v>0</v>
      </c>
    </row>
    <row r="63" spans="1:23">
      <c r="A63" t="s">
        <v>19</v>
      </c>
      <c r="B63" t="s">
        <v>175</v>
      </c>
      <c r="C63" s="415"/>
      <c r="D63" s="415"/>
      <c r="E63" s="415"/>
      <c r="F63" s="415"/>
      <c r="G63" s="415"/>
      <c r="H63" s="415"/>
      <c r="I63" s="415"/>
      <c r="J63" s="415"/>
      <c r="K63" s="415"/>
      <c r="L63" s="415"/>
      <c r="M63" s="415"/>
      <c r="N63" s="415"/>
      <c r="O63" s="415"/>
      <c r="P63" s="415"/>
      <c r="Q63" s="415"/>
      <c r="R63" s="415"/>
      <c r="S63" s="415"/>
      <c r="T63" s="47">
        <f t="shared" ref="T63:T64" si="10">SUM(C63:S63)</f>
        <v>0</v>
      </c>
      <c r="V63" s="183">
        <f t="shared" si="1"/>
        <v>0</v>
      </c>
    </row>
    <row r="64" spans="1:23">
      <c r="A64" t="s">
        <v>176</v>
      </c>
      <c r="B64" t="s">
        <v>175</v>
      </c>
      <c r="C64" s="415"/>
      <c r="D64" s="415"/>
      <c r="E64" s="415"/>
      <c r="F64" s="415"/>
      <c r="G64" s="415"/>
      <c r="H64" s="415"/>
      <c r="I64" s="415"/>
      <c r="J64" s="415"/>
      <c r="K64" s="415"/>
      <c r="L64" s="415"/>
      <c r="M64" s="415"/>
      <c r="N64" s="415"/>
      <c r="O64" s="415"/>
      <c r="P64" s="415"/>
      <c r="Q64" s="415"/>
      <c r="R64" s="415"/>
      <c r="S64" s="415"/>
      <c r="T64" s="47">
        <f t="shared" si="10"/>
        <v>0</v>
      </c>
      <c r="V64" s="183">
        <f t="shared" si="1"/>
        <v>0</v>
      </c>
      <c r="W64" s="183"/>
    </row>
    <row r="65" spans="1:23">
      <c r="C65" s="90"/>
      <c r="D65" s="90"/>
      <c r="E65" s="90"/>
      <c r="F65" s="90"/>
      <c r="G65" s="90"/>
      <c r="H65" s="90"/>
      <c r="I65" s="90"/>
      <c r="J65" s="90"/>
      <c r="K65" s="90"/>
      <c r="L65" s="90"/>
      <c r="M65" s="90"/>
      <c r="N65" s="90"/>
      <c r="O65" s="90"/>
      <c r="P65" s="90"/>
      <c r="Q65" s="90"/>
      <c r="R65" s="90"/>
      <c r="S65" s="90"/>
      <c r="V65" s="183">
        <f t="shared" si="1"/>
        <v>0</v>
      </c>
    </row>
    <row r="66" spans="1:23" ht="15">
      <c r="A66" s="56" t="s">
        <v>204</v>
      </c>
      <c r="C66" s="90"/>
      <c r="D66" s="90"/>
      <c r="E66" s="90"/>
      <c r="F66" s="90"/>
      <c r="G66" s="90"/>
      <c r="H66" s="90"/>
      <c r="I66" s="90"/>
      <c r="J66" s="90"/>
      <c r="K66" s="90"/>
      <c r="L66" s="90"/>
      <c r="M66" s="90"/>
      <c r="N66" s="90"/>
      <c r="O66" s="90"/>
      <c r="P66" s="90"/>
      <c r="Q66" s="90"/>
      <c r="R66" s="90"/>
      <c r="S66" s="90"/>
      <c r="T66" s="47"/>
      <c r="V66" s="183">
        <f t="shared" si="1"/>
        <v>0</v>
      </c>
    </row>
    <row r="67" spans="1:23">
      <c r="A67" t="s">
        <v>19</v>
      </c>
      <c r="B67" t="s">
        <v>175</v>
      </c>
      <c r="C67" s="415"/>
      <c r="D67" s="415"/>
      <c r="E67" s="415"/>
      <c r="F67" s="415"/>
      <c r="G67" s="415"/>
      <c r="H67" s="415"/>
      <c r="I67" s="415"/>
      <c r="J67" s="415"/>
      <c r="K67" s="415"/>
      <c r="L67" s="415"/>
      <c r="M67" s="415"/>
      <c r="N67" s="415"/>
      <c r="O67" s="415"/>
      <c r="P67" s="415"/>
      <c r="Q67" s="415"/>
      <c r="R67" s="415"/>
      <c r="S67" s="415"/>
      <c r="T67" s="47">
        <f t="shared" ref="T67:T68" si="11">SUM(C67:S67)</f>
        <v>0</v>
      </c>
      <c r="V67" s="183">
        <f t="shared" si="1"/>
        <v>0</v>
      </c>
    </row>
    <row r="68" spans="1:23">
      <c r="A68" t="s">
        <v>176</v>
      </c>
      <c r="B68" t="s">
        <v>175</v>
      </c>
      <c r="C68" s="415"/>
      <c r="D68" s="415"/>
      <c r="E68" s="415"/>
      <c r="F68" s="415"/>
      <c r="G68" s="415"/>
      <c r="H68" s="415"/>
      <c r="I68" s="415"/>
      <c r="J68" s="415"/>
      <c r="K68" s="415"/>
      <c r="L68" s="415"/>
      <c r="M68" s="415"/>
      <c r="N68" s="415"/>
      <c r="O68" s="415"/>
      <c r="P68" s="415"/>
      <c r="Q68" s="415"/>
      <c r="R68" s="415"/>
      <c r="S68" s="415"/>
      <c r="T68" s="47">
        <f t="shared" si="11"/>
        <v>0</v>
      </c>
      <c r="V68" s="183">
        <f t="shared" si="1"/>
        <v>0</v>
      </c>
      <c r="W68" s="183"/>
    </row>
    <row r="69" spans="1:23">
      <c r="C69" s="90"/>
      <c r="D69" s="90"/>
      <c r="E69" s="90"/>
      <c r="F69" s="90"/>
      <c r="G69" s="90"/>
      <c r="H69" s="90"/>
      <c r="I69" s="90"/>
      <c r="J69" s="90"/>
      <c r="K69" s="90"/>
      <c r="L69" s="90"/>
      <c r="M69" s="90"/>
      <c r="N69" s="90"/>
      <c r="O69" s="90"/>
      <c r="P69" s="90"/>
      <c r="Q69" s="90"/>
      <c r="R69" s="90"/>
      <c r="S69" s="90"/>
      <c r="V69" s="183">
        <f t="shared" ref="V69:V92" si="12">+S69+R69+Q69+P69</f>
        <v>0</v>
      </c>
    </row>
    <row r="70" spans="1:23" ht="15">
      <c r="A70" s="56" t="s">
        <v>191</v>
      </c>
      <c r="C70" s="90"/>
      <c r="D70" s="90"/>
      <c r="E70" s="90"/>
      <c r="F70" s="90"/>
      <c r="G70" s="90"/>
      <c r="H70" s="90"/>
      <c r="I70" s="90"/>
      <c r="J70" s="90"/>
      <c r="K70" s="90"/>
      <c r="L70" s="90"/>
      <c r="M70" s="90"/>
      <c r="N70" s="90"/>
      <c r="O70" s="90"/>
      <c r="P70" s="90"/>
      <c r="Q70" s="90"/>
      <c r="R70" s="90"/>
      <c r="S70" s="90"/>
      <c r="T70" s="47"/>
      <c r="V70" s="183">
        <f t="shared" si="12"/>
        <v>0</v>
      </c>
    </row>
    <row r="71" spans="1:23">
      <c r="A71" t="s">
        <v>19</v>
      </c>
      <c r="B71" t="s">
        <v>175</v>
      </c>
      <c r="C71" s="415"/>
      <c r="D71" s="415"/>
      <c r="E71" s="415"/>
      <c r="F71" s="415"/>
      <c r="G71" s="415"/>
      <c r="H71" s="415"/>
      <c r="I71" s="415"/>
      <c r="J71" s="415"/>
      <c r="K71" s="415"/>
      <c r="L71" s="415"/>
      <c r="M71" s="415"/>
      <c r="N71" s="415"/>
      <c r="O71" s="415"/>
      <c r="P71" s="415"/>
      <c r="Q71" s="415"/>
      <c r="R71" s="415"/>
      <c r="S71" s="415"/>
      <c r="T71" s="47">
        <f t="shared" ref="T71:T72" si="13">SUM(C71:S71)</f>
        <v>0</v>
      </c>
      <c r="V71" s="183">
        <f t="shared" si="12"/>
        <v>0</v>
      </c>
    </row>
    <row r="72" spans="1:23">
      <c r="A72" t="s">
        <v>176</v>
      </c>
      <c r="B72" t="s">
        <v>175</v>
      </c>
      <c r="C72" s="415"/>
      <c r="D72" s="415"/>
      <c r="E72" s="415"/>
      <c r="F72" s="415"/>
      <c r="G72" s="415"/>
      <c r="H72" s="415"/>
      <c r="I72" s="415"/>
      <c r="J72" s="415"/>
      <c r="K72" s="415"/>
      <c r="L72" s="415"/>
      <c r="M72" s="415"/>
      <c r="N72" s="415"/>
      <c r="O72" s="415"/>
      <c r="P72" s="415"/>
      <c r="Q72" s="415"/>
      <c r="R72" s="415"/>
      <c r="S72" s="415"/>
      <c r="T72" s="47">
        <f t="shared" si="13"/>
        <v>0</v>
      </c>
      <c r="V72" s="183">
        <f t="shared" si="12"/>
        <v>0</v>
      </c>
      <c r="W72" s="183"/>
    </row>
    <row r="73" spans="1:23">
      <c r="C73" s="90"/>
      <c r="D73" s="90"/>
      <c r="E73" s="90"/>
      <c r="F73" s="90"/>
      <c r="G73" s="90"/>
      <c r="H73" s="90"/>
      <c r="I73" s="90"/>
      <c r="J73" s="90"/>
      <c r="K73" s="90"/>
      <c r="L73" s="90"/>
      <c r="M73" s="90"/>
      <c r="N73" s="90"/>
      <c r="O73" s="90"/>
      <c r="P73" s="90"/>
      <c r="Q73" s="90"/>
      <c r="R73" s="90"/>
      <c r="S73" s="90"/>
      <c r="V73" s="183">
        <f t="shared" si="12"/>
        <v>0</v>
      </c>
    </row>
    <row r="74" spans="1:23" ht="15">
      <c r="A74" s="56" t="s">
        <v>192</v>
      </c>
      <c r="C74" s="90"/>
      <c r="D74" s="90"/>
      <c r="E74" s="90"/>
      <c r="F74" s="90"/>
      <c r="G74" s="90"/>
      <c r="H74" s="90"/>
      <c r="I74" s="90"/>
      <c r="J74" s="90"/>
      <c r="K74" s="90"/>
      <c r="L74" s="90"/>
      <c r="M74" s="90"/>
      <c r="N74" s="90"/>
      <c r="O74" s="90"/>
      <c r="P74" s="90"/>
      <c r="Q74" s="90"/>
      <c r="R74" s="90"/>
      <c r="S74" s="90"/>
      <c r="T74" s="47"/>
      <c r="V74" s="183">
        <f t="shared" si="12"/>
        <v>0</v>
      </c>
    </row>
    <row r="75" spans="1:23">
      <c r="A75" t="s">
        <v>19</v>
      </c>
      <c r="B75" t="s">
        <v>175</v>
      </c>
      <c r="C75" s="415"/>
      <c r="D75" s="415"/>
      <c r="E75" s="415"/>
      <c r="F75" s="415"/>
      <c r="G75" s="415"/>
      <c r="H75" s="415"/>
      <c r="I75" s="415"/>
      <c r="J75" s="415"/>
      <c r="K75" s="415"/>
      <c r="L75" s="415"/>
      <c r="M75" s="415"/>
      <c r="N75" s="415"/>
      <c r="O75" s="415"/>
      <c r="P75" s="415"/>
      <c r="Q75" s="415"/>
      <c r="R75" s="415"/>
      <c r="S75" s="415"/>
      <c r="T75" s="47">
        <f t="shared" ref="T75:T76" si="14">SUM(C75:S75)</f>
        <v>0</v>
      </c>
      <c r="V75" s="183">
        <f t="shared" si="12"/>
        <v>0</v>
      </c>
    </row>
    <row r="76" spans="1:23">
      <c r="A76" t="s">
        <v>176</v>
      </c>
      <c r="B76" t="s">
        <v>175</v>
      </c>
      <c r="C76" s="415"/>
      <c r="D76" s="415"/>
      <c r="E76" s="415"/>
      <c r="F76" s="415"/>
      <c r="G76" s="415"/>
      <c r="H76" s="415"/>
      <c r="I76" s="415"/>
      <c r="J76" s="415"/>
      <c r="K76" s="415"/>
      <c r="L76" s="415"/>
      <c r="M76" s="415"/>
      <c r="N76" s="415"/>
      <c r="O76" s="415"/>
      <c r="P76" s="415"/>
      <c r="Q76" s="415"/>
      <c r="R76" s="415"/>
      <c r="S76" s="415"/>
      <c r="T76" s="47">
        <f t="shared" si="14"/>
        <v>0</v>
      </c>
      <c r="V76" s="183">
        <f t="shared" si="12"/>
        <v>0</v>
      </c>
      <c r="W76" s="183"/>
    </row>
    <row r="77" spans="1:23">
      <c r="C77" s="90"/>
      <c r="D77" s="90"/>
      <c r="E77" s="90"/>
      <c r="F77" s="90"/>
      <c r="G77" s="90"/>
      <c r="H77" s="90"/>
      <c r="I77" s="90"/>
      <c r="J77" s="90"/>
      <c r="K77" s="90"/>
      <c r="L77" s="90"/>
      <c r="M77" s="90"/>
      <c r="N77" s="90"/>
      <c r="O77" s="90"/>
      <c r="P77" s="90"/>
      <c r="Q77" s="90"/>
      <c r="R77" s="90"/>
      <c r="S77" s="90"/>
      <c r="V77" s="183">
        <f t="shared" si="12"/>
        <v>0</v>
      </c>
    </row>
    <row r="78" spans="1:23" ht="15">
      <c r="A78" s="56" t="s">
        <v>52</v>
      </c>
      <c r="C78" s="90"/>
      <c r="D78" s="90"/>
      <c r="E78" s="90"/>
      <c r="F78" s="90"/>
      <c r="G78" s="90"/>
      <c r="H78" s="90"/>
      <c r="I78" s="90"/>
      <c r="J78" s="90"/>
      <c r="K78" s="90"/>
      <c r="L78" s="90"/>
      <c r="M78" s="90"/>
      <c r="N78" s="90"/>
      <c r="O78" s="90"/>
      <c r="P78" s="90"/>
      <c r="Q78" s="90"/>
      <c r="R78" s="90"/>
      <c r="S78" s="90"/>
      <c r="T78" s="47"/>
      <c r="V78" s="183">
        <f t="shared" si="12"/>
        <v>0</v>
      </c>
    </row>
    <row r="79" spans="1:23">
      <c r="A79" t="s">
        <v>19</v>
      </c>
      <c r="B79" t="s">
        <v>175</v>
      </c>
      <c r="C79" s="415"/>
      <c r="D79" s="415"/>
      <c r="E79" s="415"/>
      <c r="F79" s="415"/>
      <c r="G79" s="415"/>
      <c r="H79" s="415"/>
      <c r="I79" s="415"/>
      <c r="J79" s="415"/>
      <c r="K79" s="415"/>
      <c r="L79" s="415"/>
      <c r="M79" s="415"/>
      <c r="N79" s="415"/>
      <c r="O79" s="415"/>
      <c r="P79" s="415"/>
      <c r="Q79" s="415"/>
      <c r="R79" s="415"/>
      <c r="S79" s="415"/>
      <c r="T79" s="47">
        <f t="shared" ref="T79:T80" si="15">SUM(C79:S79)</f>
        <v>0</v>
      </c>
      <c r="V79" s="183">
        <f t="shared" si="12"/>
        <v>0</v>
      </c>
    </row>
    <row r="80" spans="1:23">
      <c r="A80" t="s">
        <v>176</v>
      </c>
      <c r="B80" t="s">
        <v>175</v>
      </c>
      <c r="C80" s="415"/>
      <c r="D80" s="415"/>
      <c r="E80" s="415"/>
      <c r="F80" s="415"/>
      <c r="G80" s="415"/>
      <c r="H80" s="415"/>
      <c r="I80" s="415"/>
      <c r="J80" s="415"/>
      <c r="K80" s="415"/>
      <c r="L80" s="415"/>
      <c r="M80" s="415"/>
      <c r="N80" s="415"/>
      <c r="O80" s="415"/>
      <c r="P80" s="415"/>
      <c r="Q80" s="415"/>
      <c r="R80" s="415"/>
      <c r="S80" s="415"/>
      <c r="T80" s="47">
        <f t="shared" si="15"/>
        <v>0</v>
      </c>
      <c r="V80" s="183">
        <f t="shared" si="12"/>
        <v>0</v>
      </c>
      <c r="W80" s="183"/>
    </row>
    <row r="81" spans="1:24">
      <c r="C81" s="90"/>
      <c r="D81" s="90"/>
      <c r="E81" s="90"/>
      <c r="F81" s="90"/>
      <c r="G81" s="90"/>
      <c r="H81" s="90"/>
      <c r="I81" s="90"/>
      <c r="J81" s="90"/>
      <c r="K81" s="90"/>
      <c r="L81" s="90"/>
      <c r="M81" s="90"/>
      <c r="N81" s="90"/>
      <c r="O81" s="90"/>
      <c r="P81" s="90"/>
      <c r="Q81" s="90"/>
      <c r="R81" s="90"/>
      <c r="S81" s="90"/>
      <c r="V81" s="183">
        <f t="shared" si="12"/>
        <v>0</v>
      </c>
    </row>
    <row r="82" spans="1:24" ht="15">
      <c r="A82" s="56" t="s">
        <v>197</v>
      </c>
      <c r="C82" s="90"/>
      <c r="D82" s="90"/>
      <c r="E82" s="90"/>
      <c r="F82" s="90"/>
      <c r="G82" s="90"/>
      <c r="H82" s="90"/>
      <c r="I82" s="90"/>
      <c r="J82" s="90"/>
      <c r="K82" s="90"/>
      <c r="L82" s="90"/>
      <c r="M82" s="90"/>
      <c r="N82" s="90"/>
      <c r="O82" s="90"/>
      <c r="P82" s="90"/>
      <c r="Q82" s="90"/>
      <c r="R82" s="90"/>
      <c r="S82" s="90"/>
      <c r="T82" s="47"/>
      <c r="V82" s="183">
        <f t="shared" si="12"/>
        <v>0</v>
      </c>
    </row>
    <row r="83" spans="1:24">
      <c r="A83" t="s">
        <v>19</v>
      </c>
      <c r="B83" t="s">
        <v>175</v>
      </c>
      <c r="C83" s="415"/>
      <c r="D83" s="415"/>
      <c r="E83" s="415"/>
      <c r="F83" s="415"/>
      <c r="G83" s="415"/>
      <c r="H83" s="415"/>
      <c r="I83" s="415"/>
      <c r="J83" s="415"/>
      <c r="K83" s="415"/>
      <c r="L83" s="415"/>
      <c r="M83" s="415"/>
      <c r="N83" s="415"/>
      <c r="O83" s="415"/>
      <c r="P83" s="415"/>
      <c r="Q83" s="415"/>
      <c r="R83" s="415"/>
      <c r="S83" s="415"/>
      <c r="T83" s="47">
        <f t="shared" ref="T83:T84" si="16">SUM(C83:S83)</f>
        <v>0</v>
      </c>
      <c r="V83" s="183">
        <f t="shared" si="12"/>
        <v>0</v>
      </c>
    </row>
    <row r="84" spans="1:24">
      <c r="A84" t="s">
        <v>176</v>
      </c>
      <c r="B84" t="s">
        <v>175</v>
      </c>
      <c r="C84" s="415"/>
      <c r="D84" s="415"/>
      <c r="E84" s="415"/>
      <c r="F84" s="415"/>
      <c r="G84" s="415"/>
      <c r="H84" s="415"/>
      <c r="I84" s="415"/>
      <c r="J84" s="415"/>
      <c r="K84" s="415"/>
      <c r="L84" s="415"/>
      <c r="M84" s="415"/>
      <c r="N84" s="415"/>
      <c r="O84" s="415"/>
      <c r="P84" s="415"/>
      <c r="Q84" s="415"/>
      <c r="R84" s="415"/>
      <c r="S84" s="415"/>
      <c r="T84" s="47">
        <f t="shared" si="16"/>
        <v>0</v>
      </c>
      <c r="V84" s="183">
        <f t="shared" si="12"/>
        <v>0</v>
      </c>
      <c r="W84" s="183"/>
    </row>
    <row r="85" spans="1:24">
      <c r="C85" s="90"/>
      <c r="D85" s="90"/>
      <c r="E85" s="90"/>
      <c r="F85" s="90"/>
      <c r="G85" s="90"/>
      <c r="H85" s="90"/>
      <c r="I85" s="90"/>
      <c r="J85" s="90"/>
      <c r="K85" s="90"/>
      <c r="L85" s="90"/>
      <c r="M85" s="90"/>
      <c r="N85" s="90"/>
      <c r="O85" s="90"/>
      <c r="P85" s="90"/>
      <c r="Q85" s="90"/>
      <c r="R85" s="90"/>
      <c r="S85" s="90"/>
      <c r="V85" s="183">
        <f t="shared" si="12"/>
        <v>0</v>
      </c>
    </row>
    <row r="86" spans="1:24" ht="15">
      <c r="A86" s="56" t="s">
        <v>198</v>
      </c>
      <c r="C86" s="90"/>
      <c r="D86" s="90"/>
      <c r="E86" s="90"/>
      <c r="F86" s="90"/>
      <c r="G86" s="90"/>
      <c r="H86" s="90"/>
      <c r="I86" s="90"/>
      <c r="J86" s="90"/>
      <c r="K86" s="90"/>
      <c r="L86" s="90"/>
      <c r="M86" s="90"/>
      <c r="N86" s="90"/>
      <c r="O86" s="90"/>
      <c r="P86" s="90"/>
      <c r="Q86" s="90"/>
      <c r="R86" s="90"/>
      <c r="S86" s="90"/>
      <c r="T86" s="47"/>
      <c r="V86" s="183">
        <f t="shared" si="12"/>
        <v>0</v>
      </c>
    </row>
    <row r="87" spans="1:24">
      <c r="A87" t="s">
        <v>19</v>
      </c>
      <c r="B87" t="s">
        <v>175</v>
      </c>
      <c r="C87" s="415"/>
      <c r="D87" s="415"/>
      <c r="E87" s="415"/>
      <c r="F87" s="415"/>
      <c r="G87" s="415"/>
      <c r="H87" s="415"/>
      <c r="I87" s="415"/>
      <c r="J87" s="415"/>
      <c r="K87" s="415"/>
      <c r="L87" s="415"/>
      <c r="M87" s="415"/>
      <c r="N87" s="415"/>
      <c r="O87" s="415"/>
      <c r="P87" s="415"/>
      <c r="Q87" s="415"/>
      <c r="R87" s="415"/>
      <c r="S87" s="415"/>
      <c r="T87" s="47">
        <f t="shared" ref="T87:T88" si="17">SUM(C87:S87)</f>
        <v>0</v>
      </c>
      <c r="V87" s="183">
        <f t="shared" si="12"/>
        <v>0</v>
      </c>
    </row>
    <row r="88" spans="1:24">
      <c r="A88" t="s">
        <v>176</v>
      </c>
      <c r="B88" t="s">
        <v>175</v>
      </c>
      <c r="C88" s="415"/>
      <c r="D88" s="415"/>
      <c r="E88" s="415"/>
      <c r="F88" s="415"/>
      <c r="G88" s="415"/>
      <c r="H88" s="415"/>
      <c r="I88" s="415"/>
      <c r="J88" s="415"/>
      <c r="K88" s="415"/>
      <c r="L88" s="415"/>
      <c r="M88" s="415"/>
      <c r="N88" s="415"/>
      <c r="O88" s="415"/>
      <c r="P88" s="415"/>
      <c r="Q88" s="415"/>
      <c r="R88" s="415"/>
      <c r="S88" s="415"/>
      <c r="T88" s="47">
        <f t="shared" si="17"/>
        <v>0</v>
      </c>
      <c r="V88" s="183">
        <f t="shared" si="12"/>
        <v>0</v>
      </c>
      <c r="W88" s="183"/>
    </row>
    <row r="89" spans="1:24">
      <c r="C89" s="90"/>
      <c r="D89" s="90"/>
      <c r="E89" s="90"/>
      <c r="F89" s="90"/>
      <c r="G89" s="90"/>
      <c r="H89" s="90"/>
      <c r="I89" s="90"/>
      <c r="J89" s="90"/>
      <c r="K89" s="90"/>
      <c r="L89" s="90"/>
      <c r="M89" s="90"/>
      <c r="N89" s="90"/>
      <c r="O89" s="90"/>
      <c r="P89" s="90"/>
      <c r="Q89" s="90"/>
      <c r="R89" s="90"/>
      <c r="S89" s="90"/>
      <c r="V89" s="183"/>
    </row>
    <row r="90" spans="1:24" ht="15">
      <c r="A90" s="56" t="s">
        <v>199</v>
      </c>
      <c r="C90" s="90"/>
      <c r="D90" s="90"/>
      <c r="E90" s="90"/>
      <c r="F90" s="90"/>
      <c r="G90" s="90"/>
      <c r="H90" s="90"/>
      <c r="I90" s="90"/>
      <c r="J90" s="90"/>
      <c r="K90" s="90"/>
      <c r="L90" s="90"/>
      <c r="M90" s="90"/>
      <c r="N90" s="90"/>
      <c r="O90" s="90"/>
      <c r="P90" s="90"/>
      <c r="Q90" s="90"/>
      <c r="R90" s="90"/>
      <c r="S90" s="90"/>
      <c r="T90" s="47"/>
      <c r="V90" s="183"/>
    </row>
    <row r="91" spans="1:24">
      <c r="A91" t="s">
        <v>19</v>
      </c>
      <c r="B91" t="s">
        <v>175</v>
      </c>
      <c r="C91" s="415"/>
      <c r="D91" s="415"/>
      <c r="E91" s="415"/>
      <c r="F91" s="415"/>
      <c r="G91" s="415"/>
      <c r="H91" s="415"/>
      <c r="I91" s="415"/>
      <c r="J91" s="415"/>
      <c r="K91" s="415"/>
      <c r="L91" s="415"/>
      <c r="M91" s="415"/>
      <c r="N91" s="415"/>
      <c r="O91" s="415"/>
      <c r="P91" s="415"/>
      <c r="Q91" s="415"/>
      <c r="R91" s="415"/>
      <c r="S91" s="415"/>
      <c r="T91" s="47">
        <f t="shared" ref="T91:T92" si="18">SUM(C91:S91)</f>
        <v>0</v>
      </c>
      <c r="V91" s="183">
        <f t="shared" si="12"/>
        <v>0</v>
      </c>
    </row>
    <row r="92" spans="1:24">
      <c r="A92" t="s">
        <v>176</v>
      </c>
      <c r="B92" t="s">
        <v>175</v>
      </c>
      <c r="C92" s="415"/>
      <c r="D92" s="415"/>
      <c r="E92" s="415"/>
      <c r="F92" s="415"/>
      <c r="G92" s="415"/>
      <c r="H92" s="415"/>
      <c r="I92" s="415"/>
      <c r="J92" s="415"/>
      <c r="K92" s="415"/>
      <c r="L92" s="415"/>
      <c r="M92" s="415"/>
      <c r="N92" s="415"/>
      <c r="O92" s="415"/>
      <c r="P92" s="415"/>
      <c r="Q92" s="415"/>
      <c r="R92" s="415"/>
      <c r="S92" s="415"/>
      <c r="T92" s="47">
        <f t="shared" si="18"/>
        <v>0</v>
      </c>
      <c r="V92" s="183">
        <f t="shared" si="12"/>
        <v>0</v>
      </c>
      <c r="W92" s="183"/>
    </row>
    <row r="93" spans="1:24">
      <c r="C93" s="90"/>
      <c r="D93" s="90"/>
      <c r="E93" s="90"/>
      <c r="F93" s="90"/>
      <c r="G93" s="90"/>
      <c r="H93" s="90"/>
      <c r="I93" s="90"/>
      <c r="J93" s="90"/>
      <c r="K93" s="90"/>
      <c r="L93" s="90"/>
      <c r="M93" s="90"/>
      <c r="N93" s="90"/>
      <c r="O93" s="90"/>
      <c r="P93" s="90"/>
      <c r="Q93" s="90"/>
      <c r="R93" s="90"/>
      <c r="S93" s="90"/>
    </row>
    <row r="94" spans="1:24" ht="15">
      <c r="A94" s="56" t="s">
        <v>200</v>
      </c>
      <c r="C94" s="90"/>
      <c r="D94" s="90"/>
      <c r="E94" s="90"/>
      <c r="F94" s="90"/>
      <c r="G94" s="90"/>
      <c r="H94" s="90"/>
      <c r="I94" s="90"/>
      <c r="J94" s="90"/>
      <c r="K94" s="90"/>
      <c r="L94" s="90"/>
      <c r="M94" s="90"/>
      <c r="N94" s="90"/>
      <c r="O94" s="90"/>
      <c r="P94" s="90"/>
      <c r="Q94" s="90"/>
      <c r="R94" s="90"/>
      <c r="S94" s="90"/>
      <c r="T94" s="47"/>
      <c r="V94" s="183"/>
      <c r="W94" s="183"/>
      <c r="X94" s="183"/>
    </row>
    <row r="95" spans="1:24">
      <c r="A95" t="s">
        <v>19</v>
      </c>
      <c r="B95" t="s">
        <v>175</v>
      </c>
      <c r="C95" s="415"/>
      <c r="D95" s="415"/>
      <c r="E95" s="415"/>
      <c r="F95" s="415"/>
      <c r="G95" s="415"/>
      <c r="H95" s="415"/>
      <c r="I95" s="415"/>
      <c r="J95" s="415"/>
      <c r="K95" s="415"/>
      <c r="L95" s="415"/>
      <c r="M95" s="415"/>
      <c r="N95" s="415"/>
      <c r="O95" s="415"/>
      <c r="P95" s="415"/>
      <c r="Q95" s="415"/>
      <c r="R95" s="415"/>
      <c r="S95" s="415"/>
      <c r="T95" s="47">
        <f t="shared" ref="T95:T96" si="19">SUM(C95:S95)</f>
        <v>0</v>
      </c>
      <c r="V95" s="183">
        <f t="shared" ref="V95:V96" si="20">+S95+R95+Q95+P95</f>
        <v>0</v>
      </c>
    </row>
    <row r="96" spans="1:24">
      <c r="A96" t="s">
        <v>176</v>
      </c>
      <c r="B96" t="s">
        <v>175</v>
      </c>
      <c r="C96" s="415"/>
      <c r="D96" s="415"/>
      <c r="E96" s="415"/>
      <c r="F96" s="415"/>
      <c r="G96" s="415"/>
      <c r="H96" s="415"/>
      <c r="I96" s="415"/>
      <c r="J96" s="415"/>
      <c r="K96" s="415"/>
      <c r="L96" s="415"/>
      <c r="M96" s="415"/>
      <c r="N96" s="415"/>
      <c r="O96" s="415"/>
      <c r="P96" s="415"/>
      <c r="Q96" s="415"/>
      <c r="R96" s="415"/>
      <c r="S96" s="415"/>
      <c r="T96" s="47">
        <f t="shared" si="19"/>
        <v>0</v>
      </c>
      <c r="V96" s="183">
        <f t="shared" si="20"/>
        <v>0</v>
      </c>
      <c r="W96" s="183"/>
    </row>
    <row r="97" spans="22:24">
      <c r="V97" s="183"/>
      <c r="W97" s="183"/>
      <c r="X97" s="18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0"/>
  <sheetViews>
    <sheetView workbookViewId="0">
      <pane xSplit="2" ySplit="1" topLeftCell="C27" activePane="bottomRight" state="frozen"/>
      <selection pane="topRight" activeCell="C1" sqref="C1"/>
      <selection pane="bottomLeft" activeCell="A2" sqref="A2"/>
      <selection pane="bottomRight" activeCell="A47" sqref="A47"/>
    </sheetView>
  </sheetViews>
  <sheetFormatPr defaultRowHeight="12.75"/>
  <cols>
    <col min="1" max="1" width="14.42578125" bestFit="1" customWidth="1"/>
    <col min="2" max="2" width="8.5703125" bestFit="1" customWidth="1"/>
    <col min="3" max="3" width="9.28515625" bestFit="1" customWidth="1"/>
    <col min="4" max="4" width="9.28515625" customWidth="1"/>
    <col min="5" max="5" width="14" bestFit="1" customWidth="1"/>
    <col min="6" max="6" width="12" bestFit="1" customWidth="1"/>
    <col min="7" max="7" width="12.140625" bestFit="1" customWidth="1"/>
    <col min="8" max="8" width="12.42578125" bestFit="1" customWidth="1"/>
    <col min="9" max="9" width="15" bestFit="1" customWidth="1"/>
    <col min="10" max="10" width="10.28515625" bestFit="1" customWidth="1"/>
    <col min="11" max="11" width="10.140625" bestFit="1" customWidth="1"/>
    <col min="12" max="12" width="18" bestFit="1" customWidth="1"/>
    <col min="14" max="14" width="10.42578125" bestFit="1" customWidth="1"/>
    <col min="15" max="15" width="9.85546875" bestFit="1" customWidth="1"/>
    <col min="16" max="16" width="16.28515625" bestFit="1" customWidth="1"/>
    <col min="17" max="17" width="14.42578125" bestFit="1" customWidth="1"/>
    <col min="18" max="18" width="11" bestFit="1" customWidth="1"/>
    <col min="20" max="20" width="9.28515625" bestFit="1" customWidth="1"/>
  </cols>
  <sheetData>
    <row r="1" spans="1:20" ht="15">
      <c r="A1" s="56" t="s">
        <v>155</v>
      </c>
      <c r="B1" s="56" t="s">
        <v>156</v>
      </c>
      <c r="C1" s="56" t="s">
        <v>179</v>
      </c>
      <c r="D1" s="56" t="s">
        <v>273</v>
      </c>
      <c r="E1" s="56" t="s">
        <v>265</v>
      </c>
      <c r="F1" s="56" t="s">
        <v>266</v>
      </c>
      <c r="G1" s="56" t="s">
        <v>180</v>
      </c>
      <c r="H1" s="56" t="s">
        <v>181</v>
      </c>
      <c r="I1" s="56" t="s">
        <v>264</v>
      </c>
      <c r="J1" s="56" t="s">
        <v>72</v>
      </c>
      <c r="K1" s="56" t="s">
        <v>182</v>
      </c>
      <c r="L1" s="56" t="s">
        <v>183</v>
      </c>
      <c r="M1" s="56" t="s">
        <v>184</v>
      </c>
      <c r="N1" s="56" t="s">
        <v>185</v>
      </c>
      <c r="O1" s="56" t="s">
        <v>186</v>
      </c>
      <c r="P1" s="56" t="s">
        <v>172</v>
      </c>
      <c r="Q1" s="56" t="s">
        <v>187</v>
      </c>
      <c r="R1" s="56" t="s">
        <v>173</v>
      </c>
      <c r="S1" s="56"/>
      <c r="T1" s="56" t="s">
        <v>65</v>
      </c>
    </row>
    <row r="2" spans="1:20" ht="15">
      <c r="A2" s="56" t="s">
        <v>174</v>
      </c>
      <c r="B2" s="56"/>
      <c r="C2" s="56"/>
      <c r="D2" s="56"/>
      <c r="E2" s="56"/>
      <c r="F2" s="56"/>
      <c r="G2" s="56"/>
      <c r="H2" s="56"/>
      <c r="I2" s="56"/>
      <c r="J2" s="56"/>
      <c r="K2" s="56"/>
      <c r="L2" s="56"/>
      <c r="M2" s="56"/>
      <c r="N2" s="56"/>
      <c r="O2" s="56"/>
      <c r="P2" s="56"/>
      <c r="Q2" s="56"/>
      <c r="R2" s="56"/>
      <c r="S2" s="56"/>
      <c r="T2" s="56"/>
    </row>
    <row r="3" spans="1:20">
      <c r="A3" t="s">
        <v>19</v>
      </c>
      <c r="B3" t="s">
        <v>175</v>
      </c>
      <c r="C3" s="415">
        <v>89.6</v>
      </c>
      <c r="D3" s="415">
        <v>42.39</v>
      </c>
      <c r="E3" s="415">
        <v>2.9</v>
      </c>
      <c r="F3" s="415">
        <f>34.63+0.79</f>
        <v>35.42</v>
      </c>
      <c r="G3" s="415">
        <v>24.73</v>
      </c>
      <c r="H3" s="415">
        <f>0.02+219.62</f>
        <v>219.64000000000001</v>
      </c>
      <c r="I3" s="415">
        <v>74.67</v>
      </c>
      <c r="J3" s="415">
        <v>284.95</v>
      </c>
      <c r="K3" s="415">
        <v>145.31</v>
      </c>
      <c r="L3" s="415">
        <v>79.540000000000006</v>
      </c>
      <c r="M3" s="415">
        <v>93.98</v>
      </c>
      <c r="N3" s="415">
        <v>10.45</v>
      </c>
      <c r="O3" s="415">
        <v>37.729999999999997</v>
      </c>
      <c r="P3" s="415">
        <f>1180.18</f>
        <v>1180.18</v>
      </c>
      <c r="Q3" s="415">
        <v>701.57</v>
      </c>
      <c r="R3" s="47">
        <f>SUM(C3:Q3)</f>
        <v>3023.06</v>
      </c>
      <c r="T3" s="183">
        <f>+Q3+P3+I3+F3+E3+D3</f>
        <v>2037.1300000000003</v>
      </c>
    </row>
    <row r="4" spans="1:20">
      <c r="A4" t="s">
        <v>176</v>
      </c>
      <c r="B4" t="s">
        <v>175</v>
      </c>
      <c r="C4" s="415">
        <v>9.41</v>
      </c>
      <c r="D4" s="415">
        <v>0.04</v>
      </c>
      <c r="E4" s="415">
        <v>1.48</v>
      </c>
      <c r="F4" s="415">
        <f>20.63+0.09</f>
        <v>20.72</v>
      </c>
      <c r="G4" s="415">
        <v>0.14000000000000001</v>
      </c>
      <c r="H4" s="415">
        <v>6.81</v>
      </c>
      <c r="I4" s="415">
        <v>33.65</v>
      </c>
      <c r="J4" s="415">
        <v>46.62</v>
      </c>
      <c r="K4" s="415">
        <v>20.77</v>
      </c>
      <c r="L4" s="415">
        <v>33.74</v>
      </c>
      <c r="M4" s="415">
        <v>26.59</v>
      </c>
      <c r="N4" s="415"/>
      <c r="O4" s="415">
        <v>0.41</v>
      </c>
      <c r="P4" s="415">
        <f>194.17</f>
        <v>194.17</v>
      </c>
      <c r="Q4" s="415">
        <v>7.04</v>
      </c>
      <c r="R4" s="47">
        <f>SUM(C4:Q4)</f>
        <v>401.59000000000003</v>
      </c>
      <c r="T4" s="183">
        <f>+Q4+P4+I4+F4+E4+D4</f>
        <v>257.10000000000002</v>
      </c>
    </row>
    <row r="5" spans="1:20">
      <c r="C5" s="415"/>
      <c r="D5" s="415"/>
      <c r="E5" s="415"/>
      <c r="F5" s="415"/>
      <c r="G5" s="415"/>
      <c r="H5" s="415"/>
      <c r="I5" s="415"/>
      <c r="J5" s="415"/>
      <c r="K5" s="415"/>
      <c r="L5" s="415"/>
      <c r="M5" s="415"/>
      <c r="N5" s="415"/>
      <c r="O5" s="415"/>
      <c r="P5" s="415"/>
      <c r="Q5" s="415"/>
      <c r="R5" s="47"/>
      <c r="T5" s="183"/>
    </row>
    <row r="6" spans="1:20" ht="15">
      <c r="A6" s="56" t="s">
        <v>177</v>
      </c>
      <c r="C6" s="90"/>
      <c r="D6" s="90"/>
      <c r="E6" s="90"/>
      <c r="F6" s="90"/>
      <c r="G6" s="90"/>
      <c r="H6" s="90"/>
      <c r="I6" s="90"/>
      <c r="J6" s="90"/>
      <c r="K6" s="90"/>
      <c r="L6" s="90"/>
      <c r="M6" s="90"/>
      <c r="N6" s="90"/>
      <c r="O6" s="90"/>
      <c r="P6" s="90"/>
      <c r="Q6" s="90"/>
      <c r="T6" s="183"/>
    </row>
    <row r="7" spans="1:20">
      <c r="A7" t="s">
        <v>19</v>
      </c>
      <c r="B7" t="s">
        <v>175</v>
      </c>
      <c r="C7" s="415">
        <v>116.56</v>
      </c>
      <c r="D7" s="415">
        <v>39.06</v>
      </c>
      <c r="E7" s="415">
        <v>3.66</v>
      </c>
      <c r="F7" s="415">
        <v>41.39</v>
      </c>
      <c r="G7" s="415">
        <v>26.49</v>
      </c>
      <c r="H7" s="415">
        <v>233.82</v>
      </c>
      <c r="I7" s="415">
        <v>102.05</v>
      </c>
      <c r="J7" s="415">
        <v>349.05</v>
      </c>
      <c r="K7" s="415">
        <v>168</v>
      </c>
      <c r="L7" s="415">
        <v>94.27</v>
      </c>
      <c r="M7" s="415">
        <v>119.29</v>
      </c>
      <c r="N7" s="415">
        <v>16.71</v>
      </c>
      <c r="O7" s="415">
        <v>52.97</v>
      </c>
      <c r="P7" s="415">
        <v>1323.53</v>
      </c>
      <c r="Q7" s="415">
        <v>802.98</v>
      </c>
      <c r="R7" s="47">
        <f>SUM(C7:Q7)</f>
        <v>3489.83</v>
      </c>
      <c r="S7" s="47"/>
      <c r="T7" s="183">
        <f t="shared" ref="T7:T68" si="0">+Q7+P7+I7+F7+E7+D7</f>
        <v>2312.67</v>
      </c>
    </row>
    <row r="8" spans="1:20">
      <c r="A8" t="s">
        <v>176</v>
      </c>
      <c r="B8" t="s">
        <v>175</v>
      </c>
      <c r="C8" s="415">
        <v>12.28</v>
      </c>
      <c r="D8" s="415">
        <v>0.04</v>
      </c>
      <c r="E8" s="415">
        <v>2.0099999999999998</v>
      </c>
      <c r="F8" s="415">
        <v>25.67</v>
      </c>
      <c r="G8" s="415">
        <v>0.24</v>
      </c>
      <c r="H8" s="415">
        <v>6.92</v>
      </c>
      <c r="I8" s="415">
        <v>41.74</v>
      </c>
      <c r="J8" s="415">
        <v>57.32</v>
      </c>
      <c r="K8" s="415">
        <v>24.79</v>
      </c>
      <c r="L8" s="415">
        <v>42.15</v>
      </c>
      <c r="M8" s="415">
        <v>31.7</v>
      </c>
      <c r="N8" s="415"/>
      <c r="O8" s="415">
        <v>0.55000000000000004</v>
      </c>
      <c r="P8" s="415">
        <v>240.41</v>
      </c>
      <c r="Q8" s="415">
        <v>7.61</v>
      </c>
      <c r="R8" s="47">
        <f>SUM(C8:Q8)</f>
        <v>493.43</v>
      </c>
      <c r="S8" s="47"/>
      <c r="T8" s="183">
        <f t="shared" si="0"/>
        <v>317.48</v>
      </c>
    </row>
    <row r="9" spans="1:20">
      <c r="C9" s="90"/>
      <c r="D9" s="90"/>
      <c r="E9" s="90"/>
      <c r="F9" s="90"/>
      <c r="G9" s="90"/>
      <c r="H9" s="90"/>
      <c r="I9" s="90"/>
      <c r="J9" s="90"/>
      <c r="K9" s="90"/>
      <c r="L9" s="90"/>
      <c r="M9" s="90"/>
      <c r="N9" s="90"/>
      <c r="O9" s="90"/>
      <c r="P9" s="90"/>
      <c r="Q9" s="90"/>
      <c r="T9" s="183"/>
    </row>
    <row r="10" spans="1:20" ht="15">
      <c r="A10" s="56" t="s">
        <v>188</v>
      </c>
      <c r="C10" s="90"/>
      <c r="D10" s="90"/>
      <c r="E10" s="90"/>
      <c r="F10" s="90"/>
      <c r="G10" s="90"/>
      <c r="H10" s="90"/>
      <c r="I10" s="90"/>
      <c r="J10" s="90"/>
      <c r="K10" s="90"/>
      <c r="L10" s="90"/>
      <c r="M10" s="90"/>
      <c r="N10" s="90"/>
      <c r="O10" s="90"/>
      <c r="P10" s="90"/>
      <c r="Q10" s="90"/>
      <c r="T10" s="183"/>
    </row>
    <row r="11" spans="1:20">
      <c r="A11" t="s">
        <v>19</v>
      </c>
      <c r="B11" t="s">
        <v>175</v>
      </c>
      <c r="C11" s="90">
        <v>75.09</v>
      </c>
      <c r="D11" s="90">
        <v>37.07</v>
      </c>
      <c r="E11" s="415">
        <v>2.14</v>
      </c>
      <c r="F11" s="415">
        <v>32.97</v>
      </c>
      <c r="G11" s="90">
        <v>26.16</v>
      </c>
      <c r="H11" s="90">
        <v>190.46</v>
      </c>
      <c r="I11" s="90">
        <v>49.33</v>
      </c>
      <c r="J11" s="90">
        <v>257.56</v>
      </c>
      <c r="K11" s="90">
        <v>137.56</v>
      </c>
      <c r="L11" s="90">
        <v>84.68</v>
      </c>
      <c r="M11" s="90">
        <v>88.59</v>
      </c>
      <c r="N11" s="90">
        <v>5.55</v>
      </c>
      <c r="O11" s="90">
        <v>27.99</v>
      </c>
      <c r="P11" s="416">
        <v>1074.3499999999999</v>
      </c>
      <c r="Q11" s="90">
        <v>646.55999999999995</v>
      </c>
      <c r="R11" s="47">
        <f>SUM(C11:Q11)</f>
        <v>2736.06</v>
      </c>
      <c r="T11" s="183">
        <f t="shared" si="0"/>
        <v>1842.4199999999998</v>
      </c>
    </row>
    <row r="12" spans="1:20">
      <c r="A12" t="s">
        <v>176</v>
      </c>
      <c r="B12" t="s">
        <v>175</v>
      </c>
      <c r="C12" s="90">
        <v>9.27</v>
      </c>
      <c r="D12" s="90">
        <v>0.04</v>
      </c>
      <c r="E12" s="415">
        <v>1.19</v>
      </c>
      <c r="F12" s="415">
        <v>18.07</v>
      </c>
      <c r="G12" s="90">
        <v>0.14000000000000001</v>
      </c>
      <c r="H12" s="90">
        <v>6.87</v>
      </c>
      <c r="I12" s="90">
        <v>34.21</v>
      </c>
      <c r="J12" s="90">
        <v>41.01</v>
      </c>
      <c r="K12" s="90">
        <v>22.02</v>
      </c>
      <c r="L12" s="90">
        <v>33.770000000000003</v>
      </c>
      <c r="M12" s="90">
        <v>24.41</v>
      </c>
      <c r="N12" s="90"/>
      <c r="O12" s="90">
        <v>0.33</v>
      </c>
      <c r="P12" s="90">
        <v>183.79</v>
      </c>
      <c r="Q12" s="90">
        <v>7.21</v>
      </c>
      <c r="R12" s="47">
        <f>SUM(C12:Q12)</f>
        <v>382.33</v>
      </c>
      <c r="T12" s="183">
        <f t="shared" si="0"/>
        <v>244.51</v>
      </c>
    </row>
    <row r="13" spans="1:20">
      <c r="C13" s="90"/>
      <c r="D13" s="90"/>
      <c r="E13" s="90"/>
      <c r="F13" s="90"/>
      <c r="G13" s="90"/>
      <c r="H13" s="90"/>
      <c r="I13" s="90"/>
      <c r="J13" s="90"/>
      <c r="K13" s="90"/>
      <c r="L13" s="90"/>
      <c r="M13" s="90"/>
      <c r="N13" s="90"/>
      <c r="O13" s="90"/>
      <c r="P13" s="90"/>
      <c r="Q13" s="90"/>
      <c r="T13" s="183"/>
    </row>
    <row r="14" spans="1:20" ht="15">
      <c r="A14" s="56" t="s">
        <v>189</v>
      </c>
      <c r="C14" s="90"/>
      <c r="D14" s="90"/>
      <c r="E14" s="90"/>
      <c r="F14" s="90"/>
      <c r="G14" s="90"/>
      <c r="H14" s="90"/>
      <c r="I14" s="90"/>
      <c r="J14" s="90"/>
      <c r="K14" s="90"/>
      <c r="L14" s="90"/>
      <c r="M14" s="90"/>
      <c r="N14" s="90"/>
      <c r="O14" s="90"/>
      <c r="P14" s="90"/>
      <c r="Q14" s="90"/>
      <c r="T14" s="183"/>
    </row>
    <row r="15" spans="1:20">
      <c r="A15" t="s">
        <v>19</v>
      </c>
      <c r="B15" t="s">
        <v>175</v>
      </c>
      <c r="C15" s="415">
        <v>117.27</v>
      </c>
      <c r="D15" s="415">
        <v>47.87</v>
      </c>
      <c r="E15" s="415">
        <v>3.83</v>
      </c>
      <c r="F15" s="415">
        <v>46.65</v>
      </c>
      <c r="G15" s="415">
        <v>31.81</v>
      </c>
      <c r="H15" s="415">
        <v>293.27999999999997</v>
      </c>
      <c r="I15" s="415">
        <v>98.74</v>
      </c>
      <c r="J15" s="415">
        <v>600.80999999999995</v>
      </c>
      <c r="K15" s="415">
        <v>174.29</v>
      </c>
      <c r="L15" s="415">
        <v>115.84</v>
      </c>
      <c r="M15" s="415">
        <v>118.75</v>
      </c>
      <c r="N15" s="415">
        <v>13.68</v>
      </c>
      <c r="O15" s="415">
        <v>53.35</v>
      </c>
      <c r="P15" s="415">
        <v>1420.73</v>
      </c>
      <c r="Q15" s="415">
        <v>699.6</v>
      </c>
      <c r="R15" s="47">
        <f>SUM(C15:Q15)</f>
        <v>3836.4999999999995</v>
      </c>
      <c r="T15" s="183">
        <f t="shared" si="0"/>
        <v>2317.4199999999996</v>
      </c>
    </row>
    <row r="16" spans="1:20">
      <c r="A16" t="s">
        <v>176</v>
      </c>
      <c r="B16" t="s">
        <v>175</v>
      </c>
      <c r="C16" s="415">
        <v>12.71</v>
      </c>
      <c r="D16" s="415">
        <v>0.02</v>
      </c>
      <c r="E16" s="415">
        <v>1.94</v>
      </c>
      <c r="F16" s="415">
        <v>26.7</v>
      </c>
      <c r="G16" s="415">
        <v>0.18</v>
      </c>
      <c r="H16" s="415">
        <v>8.56</v>
      </c>
      <c r="I16" s="415">
        <v>45.44</v>
      </c>
      <c r="J16" s="415">
        <v>63.22</v>
      </c>
      <c r="K16" s="415">
        <v>30.18</v>
      </c>
      <c r="L16" s="415">
        <v>45.95</v>
      </c>
      <c r="M16" s="415">
        <v>34.39</v>
      </c>
      <c r="N16" s="415"/>
      <c r="O16" s="415">
        <v>0.4</v>
      </c>
      <c r="P16" s="415">
        <v>243.81</v>
      </c>
      <c r="Q16" s="415">
        <v>7.59</v>
      </c>
      <c r="R16" s="47">
        <f>SUM(C16:Q16)</f>
        <v>521.09</v>
      </c>
      <c r="T16" s="183">
        <f t="shared" si="0"/>
        <v>325.5</v>
      </c>
    </row>
    <row r="17" spans="1:20">
      <c r="C17" s="90"/>
      <c r="D17" s="90"/>
      <c r="E17" s="90"/>
      <c r="F17" s="90"/>
      <c r="G17" s="90"/>
      <c r="H17" s="90"/>
      <c r="I17" s="90"/>
      <c r="J17" s="90"/>
      <c r="K17" s="90"/>
      <c r="L17" s="90"/>
      <c r="M17" s="90"/>
      <c r="N17" s="90"/>
      <c r="O17" s="90"/>
      <c r="P17" s="90"/>
      <c r="Q17" s="90"/>
      <c r="T17" s="183"/>
    </row>
    <row r="18" spans="1:20" ht="15">
      <c r="A18" s="56" t="s">
        <v>190</v>
      </c>
      <c r="C18" s="90"/>
      <c r="D18" s="90"/>
      <c r="E18" s="90"/>
      <c r="F18" s="90"/>
      <c r="G18" s="90"/>
      <c r="H18" s="90"/>
      <c r="I18" s="90"/>
      <c r="J18" s="90"/>
      <c r="K18" s="90"/>
      <c r="L18" s="90"/>
      <c r="M18" s="90"/>
      <c r="N18" s="90"/>
      <c r="O18" s="90"/>
      <c r="P18" s="90"/>
      <c r="Q18" s="90"/>
      <c r="T18" s="183"/>
    </row>
    <row r="19" spans="1:20">
      <c r="A19" s="47" t="s">
        <v>19</v>
      </c>
      <c r="B19" s="47" t="s">
        <v>175</v>
      </c>
      <c r="C19" s="415">
        <v>86.72</v>
      </c>
      <c r="D19" s="415">
        <v>35.340000000000003</v>
      </c>
      <c r="E19" s="415">
        <v>2.76</v>
      </c>
      <c r="F19" s="415">
        <f>34.42+0.57</f>
        <v>34.99</v>
      </c>
      <c r="G19" s="415">
        <v>24.69</v>
      </c>
      <c r="H19" s="415">
        <f>0.02+220.72</f>
        <v>220.74</v>
      </c>
      <c r="I19" s="415">
        <v>74.27</v>
      </c>
      <c r="J19" s="415">
        <v>436.18</v>
      </c>
      <c r="K19" s="415">
        <v>140.94999999999999</v>
      </c>
      <c r="L19" s="415">
        <v>86.36</v>
      </c>
      <c r="M19" s="415">
        <v>97.14</v>
      </c>
      <c r="N19" s="415">
        <v>9.98</v>
      </c>
      <c r="O19" s="415">
        <v>35.880000000000003</v>
      </c>
      <c r="P19" s="415">
        <v>1096.8900000000001</v>
      </c>
      <c r="Q19" s="415">
        <v>490.45</v>
      </c>
      <c r="R19" s="47">
        <f>SUM(C19:Q19)</f>
        <v>2873.34</v>
      </c>
      <c r="T19" s="183">
        <f t="shared" si="0"/>
        <v>1734.7</v>
      </c>
    </row>
    <row r="20" spans="1:20">
      <c r="A20" s="47" t="s">
        <v>176</v>
      </c>
      <c r="B20" s="47" t="s">
        <v>175</v>
      </c>
      <c r="C20" s="415">
        <v>9.4700000000000006</v>
      </c>
      <c r="D20" s="415">
        <v>0.04</v>
      </c>
      <c r="E20" s="415">
        <v>1.46</v>
      </c>
      <c r="F20" s="415">
        <f>23.4+0.08</f>
        <v>23.479999999999997</v>
      </c>
      <c r="G20" s="415">
        <v>0.17</v>
      </c>
      <c r="H20" s="415">
        <v>6.33</v>
      </c>
      <c r="I20" s="415">
        <v>36.39</v>
      </c>
      <c r="J20" s="415">
        <v>43.15</v>
      </c>
      <c r="K20" s="415">
        <v>19.850000000000001</v>
      </c>
      <c r="L20" s="415">
        <v>34.47</v>
      </c>
      <c r="M20" s="415">
        <v>22.82</v>
      </c>
      <c r="N20" s="415"/>
      <c r="O20" s="415">
        <v>0.38</v>
      </c>
      <c r="P20" s="415">
        <v>202.97</v>
      </c>
      <c r="Q20" s="415">
        <v>5.29</v>
      </c>
      <c r="R20" s="47">
        <f>SUM(C20:Q20)</f>
        <v>406.27000000000004</v>
      </c>
      <c r="T20" s="183">
        <f t="shared" si="0"/>
        <v>269.63</v>
      </c>
    </row>
    <row r="21" spans="1:20">
      <c r="C21" s="90"/>
      <c r="D21" s="90"/>
      <c r="E21" s="90"/>
      <c r="F21" s="90"/>
      <c r="G21" s="90"/>
      <c r="H21" s="90"/>
      <c r="I21" s="90"/>
      <c r="J21" s="90"/>
      <c r="K21" s="90"/>
      <c r="L21" s="90"/>
      <c r="M21" s="90"/>
      <c r="N21" s="90"/>
      <c r="O21" s="90"/>
      <c r="P21" s="90"/>
      <c r="Q21" s="90"/>
      <c r="T21" s="183"/>
    </row>
    <row r="22" spans="1:20" ht="15">
      <c r="A22" s="56" t="s">
        <v>191</v>
      </c>
      <c r="C22" s="90"/>
      <c r="D22" s="90"/>
      <c r="E22" s="90"/>
      <c r="F22" s="90"/>
      <c r="G22" s="90"/>
      <c r="H22" s="90"/>
      <c r="I22" s="90"/>
      <c r="J22" s="90"/>
      <c r="K22" s="90"/>
      <c r="L22" s="90"/>
      <c r="M22" s="90"/>
      <c r="N22" s="90"/>
      <c r="O22" s="90"/>
      <c r="P22" s="90"/>
      <c r="Q22" s="90"/>
      <c r="T22" s="183"/>
    </row>
    <row r="23" spans="1:20">
      <c r="A23" s="47" t="s">
        <v>19</v>
      </c>
      <c r="B23" s="47" t="s">
        <v>175</v>
      </c>
      <c r="C23" s="415">
        <v>99.36</v>
      </c>
      <c r="D23" s="415">
        <v>50.27</v>
      </c>
      <c r="E23" s="415">
        <v>3.16</v>
      </c>
      <c r="F23" s="415">
        <f>40.74+0.63</f>
        <v>41.370000000000005</v>
      </c>
      <c r="G23" s="415">
        <v>25.14</v>
      </c>
      <c r="H23" s="415">
        <f>0.03+273.43</f>
        <v>273.45999999999998</v>
      </c>
      <c r="I23" s="415">
        <v>84.13</v>
      </c>
      <c r="J23" s="415">
        <v>490.16</v>
      </c>
      <c r="K23" s="415">
        <v>163.03</v>
      </c>
      <c r="L23" s="415">
        <v>111.09</v>
      </c>
      <c r="M23" s="415">
        <v>101.3</v>
      </c>
      <c r="N23" s="415">
        <v>10.29</v>
      </c>
      <c r="O23" s="415">
        <v>37</v>
      </c>
      <c r="P23" s="415">
        <v>1244.42</v>
      </c>
      <c r="Q23" s="415">
        <v>575.51</v>
      </c>
      <c r="R23" s="47">
        <f>SUM(C23:Q23)</f>
        <v>3309.6899999999996</v>
      </c>
      <c r="T23" s="183">
        <f t="shared" si="0"/>
        <v>1998.86</v>
      </c>
    </row>
    <row r="24" spans="1:20">
      <c r="A24" s="47" t="s">
        <v>176</v>
      </c>
      <c r="B24" s="47" t="s">
        <v>175</v>
      </c>
      <c r="C24" s="415">
        <v>10.39</v>
      </c>
      <c r="D24" s="415">
        <v>0.04</v>
      </c>
      <c r="E24" s="415">
        <v>1.48</v>
      </c>
      <c r="F24" s="415">
        <f>28.23+0.13</f>
        <v>28.36</v>
      </c>
      <c r="G24" s="415">
        <v>0.18</v>
      </c>
      <c r="H24" s="415">
        <v>8.0399999999999991</v>
      </c>
      <c r="I24" s="415">
        <v>42.57</v>
      </c>
      <c r="J24" s="415">
        <v>53.38</v>
      </c>
      <c r="K24" s="415">
        <v>22.56</v>
      </c>
      <c r="L24" s="415">
        <v>37.99</v>
      </c>
      <c r="M24" s="415">
        <v>25.84</v>
      </c>
      <c r="N24" s="415"/>
      <c r="O24" s="415">
        <v>0.4</v>
      </c>
      <c r="P24" s="415">
        <v>223.49</v>
      </c>
      <c r="Q24" s="415">
        <v>7.08</v>
      </c>
      <c r="R24" s="47">
        <f>SUM(C24:Q24)</f>
        <v>461.8</v>
      </c>
      <c r="T24" s="183">
        <f t="shared" si="0"/>
        <v>303.0200000000001</v>
      </c>
    </row>
    <row r="25" spans="1:20">
      <c r="C25" s="90"/>
      <c r="D25" s="90"/>
      <c r="E25" s="90"/>
      <c r="F25" s="90"/>
      <c r="G25" s="90"/>
      <c r="H25" s="90"/>
      <c r="I25" s="90"/>
      <c r="J25" s="90"/>
      <c r="K25" s="90"/>
      <c r="L25" s="90"/>
      <c r="M25" s="90"/>
      <c r="N25" s="90"/>
      <c r="O25" s="90"/>
      <c r="P25" s="90"/>
      <c r="Q25" s="90"/>
      <c r="T25" s="183"/>
    </row>
    <row r="26" spans="1:20" ht="15">
      <c r="A26" s="56" t="s">
        <v>192</v>
      </c>
      <c r="C26" s="90"/>
      <c r="D26" s="90"/>
      <c r="E26" s="90"/>
      <c r="F26" s="90"/>
      <c r="G26" s="90"/>
      <c r="H26" s="90"/>
      <c r="I26" s="90"/>
      <c r="J26" s="90"/>
      <c r="K26" s="90"/>
      <c r="L26" s="90"/>
      <c r="M26" s="90"/>
      <c r="N26" s="90"/>
      <c r="O26" s="90"/>
      <c r="P26" s="90"/>
      <c r="Q26" s="90"/>
      <c r="T26" s="183"/>
    </row>
    <row r="27" spans="1:20">
      <c r="A27" s="47" t="s">
        <v>19</v>
      </c>
      <c r="B27" s="47" t="s">
        <v>175</v>
      </c>
      <c r="C27" s="415">
        <v>85.86</v>
      </c>
      <c r="D27" s="415">
        <v>33.96</v>
      </c>
      <c r="E27" s="90">
        <v>2.69</v>
      </c>
      <c r="F27" s="90">
        <f>34.56+0.59</f>
        <v>35.150000000000006</v>
      </c>
      <c r="G27" s="415">
        <v>23.57</v>
      </c>
      <c r="H27" s="90">
        <f>0.02+224.74</f>
        <v>224.76000000000002</v>
      </c>
      <c r="I27" s="90">
        <v>72.97</v>
      </c>
      <c r="J27" s="90">
        <v>475.89</v>
      </c>
      <c r="K27" s="90">
        <v>137.53</v>
      </c>
      <c r="L27" s="90">
        <v>83.34</v>
      </c>
      <c r="M27" s="90">
        <v>90.98</v>
      </c>
      <c r="N27" s="415">
        <v>9.98</v>
      </c>
      <c r="O27" s="415">
        <v>35.89</v>
      </c>
      <c r="P27" s="416">
        <v>1105.71</v>
      </c>
      <c r="Q27" s="415">
        <v>555.55999999999995</v>
      </c>
      <c r="R27" s="47">
        <f>SUM(C27:Q27)</f>
        <v>2973.84</v>
      </c>
      <c r="T27" s="183">
        <f t="shared" si="0"/>
        <v>1806.0400000000002</v>
      </c>
    </row>
    <row r="28" spans="1:20">
      <c r="A28" s="47" t="s">
        <v>176</v>
      </c>
      <c r="B28" s="47" t="s">
        <v>175</v>
      </c>
      <c r="C28" s="415">
        <v>8.61</v>
      </c>
      <c r="D28" s="415">
        <v>0.03</v>
      </c>
      <c r="E28" s="90">
        <v>1.4</v>
      </c>
      <c r="F28" s="90">
        <f>28.94+0.08</f>
        <v>29.02</v>
      </c>
      <c r="G28" s="415">
        <v>0.16</v>
      </c>
      <c r="H28" s="415">
        <v>6.44</v>
      </c>
      <c r="I28" s="90">
        <v>35.340000000000003</v>
      </c>
      <c r="J28" s="90">
        <v>47.02</v>
      </c>
      <c r="K28" s="90">
        <v>19.940000000000001</v>
      </c>
      <c r="L28" s="90">
        <v>32.450000000000003</v>
      </c>
      <c r="M28" s="90">
        <v>22.48</v>
      </c>
      <c r="N28" s="415"/>
      <c r="O28" s="415">
        <v>0.39</v>
      </c>
      <c r="P28" s="90">
        <v>189.36</v>
      </c>
      <c r="Q28" s="415">
        <v>5.57</v>
      </c>
      <c r="R28" s="47">
        <f>SUM(C28:Q28)</f>
        <v>398.21</v>
      </c>
      <c r="T28" s="183">
        <f t="shared" si="0"/>
        <v>260.71999999999997</v>
      </c>
    </row>
    <row r="29" spans="1:20">
      <c r="C29" s="90"/>
      <c r="D29" s="90"/>
      <c r="E29" s="90"/>
      <c r="F29" s="90"/>
      <c r="G29" s="90"/>
      <c r="H29" s="90"/>
      <c r="I29" s="90"/>
      <c r="J29" s="90"/>
      <c r="K29" s="90"/>
      <c r="L29" s="90"/>
      <c r="M29" s="90"/>
      <c r="N29" s="90"/>
      <c r="O29" s="90"/>
      <c r="P29" s="90"/>
      <c r="Q29" s="90"/>
      <c r="T29" s="183"/>
    </row>
    <row r="30" spans="1:20" ht="15">
      <c r="A30" s="56" t="s">
        <v>52</v>
      </c>
      <c r="C30" s="90"/>
      <c r="D30" s="90"/>
      <c r="E30" s="90"/>
      <c r="F30" s="90"/>
      <c r="G30" s="90"/>
      <c r="H30" s="90"/>
      <c r="I30" s="90"/>
      <c r="J30" s="90"/>
      <c r="K30" s="90"/>
      <c r="L30" s="90"/>
      <c r="M30" s="90"/>
      <c r="N30" s="90"/>
      <c r="O30" s="90"/>
      <c r="P30" s="90"/>
      <c r="Q30" s="90"/>
      <c r="T30" s="183"/>
    </row>
    <row r="31" spans="1:20">
      <c r="A31" s="47" t="s">
        <v>19</v>
      </c>
      <c r="B31" s="47" t="s">
        <v>175</v>
      </c>
      <c r="C31" s="415">
        <v>137.63999999999999</v>
      </c>
      <c r="D31" s="415">
        <v>35.21</v>
      </c>
      <c r="E31" s="90">
        <v>3.52</v>
      </c>
      <c r="F31" s="90">
        <f>40.18+0.64</f>
        <v>40.82</v>
      </c>
      <c r="G31" s="415">
        <v>24.66</v>
      </c>
      <c r="H31" s="415">
        <f>0.02+221.91</f>
        <v>221.93</v>
      </c>
      <c r="I31" s="90">
        <v>101.19</v>
      </c>
      <c r="J31" s="90">
        <v>505.85</v>
      </c>
      <c r="K31" s="90">
        <v>152.81</v>
      </c>
      <c r="L31" s="90">
        <v>86.88</v>
      </c>
      <c r="M31" s="90">
        <v>114.43</v>
      </c>
      <c r="N31" s="415">
        <v>14.49</v>
      </c>
      <c r="O31" s="415">
        <v>100.12</v>
      </c>
      <c r="P31" s="416">
        <v>1187.77</v>
      </c>
      <c r="Q31" s="415">
        <v>613.24</v>
      </c>
      <c r="R31" s="47">
        <f>SUM(C31:Q31)</f>
        <v>3340.5600000000004</v>
      </c>
      <c r="T31" s="183">
        <f t="shared" si="0"/>
        <v>1981.75</v>
      </c>
    </row>
    <row r="32" spans="1:20">
      <c r="A32" s="47" t="s">
        <v>176</v>
      </c>
      <c r="B32" s="47" t="s">
        <v>175</v>
      </c>
      <c r="C32" s="415">
        <v>11.06</v>
      </c>
      <c r="D32" s="415">
        <v>0.02</v>
      </c>
      <c r="E32" s="90">
        <v>1.82</v>
      </c>
      <c r="F32" s="90">
        <f>30.62+0.08</f>
        <v>30.7</v>
      </c>
      <c r="G32" s="415">
        <v>0.22</v>
      </c>
      <c r="H32" s="415">
        <v>6.23</v>
      </c>
      <c r="I32" s="90">
        <v>40.06</v>
      </c>
      <c r="J32" s="90">
        <v>54.08</v>
      </c>
      <c r="K32" s="90">
        <v>23.18</v>
      </c>
      <c r="L32" s="90">
        <v>36.950000000000003</v>
      </c>
      <c r="M32" s="90">
        <v>26</v>
      </c>
      <c r="N32" s="415"/>
      <c r="O32" s="415">
        <v>0.28000000000000003</v>
      </c>
      <c r="P32" s="90">
        <v>219.55</v>
      </c>
      <c r="Q32" s="415">
        <v>6.39</v>
      </c>
      <c r="R32" s="47">
        <f>SUM(C32:Q32)</f>
        <v>456.53999999999996</v>
      </c>
      <c r="T32" s="183">
        <f t="shared" si="0"/>
        <v>298.53999999999996</v>
      </c>
    </row>
    <row r="33" spans="1:20">
      <c r="C33" s="90"/>
      <c r="D33" s="90"/>
      <c r="E33" s="90"/>
      <c r="F33" s="90"/>
      <c r="G33" s="90"/>
      <c r="H33" s="90"/>
      <c r="I33" s="90"/>
      <c r="J33" s="90"/>
      <c r="K33" s="90"/>
      <c r="L33" s="90"/>
      <c r="M33" s="90"/>
      <c r="N33" s="90"/>
      <c r="O33" s="90"/>
      <c r="P33" s="90"/>
      <c r="Q33" s="90"/>
      <c r="T33" s="183"/>
    </row>
    <row r="34" spans="1:20" ht="15">
      <c r="A34" s="56" t="s">
        <v>197</v>
      </c>
      <c r="C34" s="90"/>
      <c r="D34" s="90"/>
      <c r="E34" s="90"/>
      <c r="F34" s="90"/>
      <c r="G34" s="90"/>
      <c r="H34" s="90"/>
      <c r="I34" s="90"/>
      <c r="J34" s="90"/>
      <c r="K34" s="90"/>
      <c r="L34" s="90"/>
      <c r="M34" s="90"/>
      <c r="N34" s="90"/>
      <c r="O34" s="90"/>
      <c r="P34" s="90"/>
      <c r="Q34" s="90"/>
      <c r="T34" s="183"/>
    </row>
    <row r="35" spans="1:20">
      <c r="A35" s="47" t="s">
        <v>19</v>
      </c>
      <c r="B35" s="47" t="s">
        <v>175</v>
      </c>
      <c r="C35" s="415">
        <v>109.23</v>
      </c>
      <c r="D35" s="415">
        <v>37.57</v>
      </c>
      <c r="E35" s="90">
        <v>3.56</v>
      </c>
      <c r="F35" s="90">
        <f>38.57+0.63</f>
        <v>39.200000000000003</v>
      </c>
      <c r="G35" s="415">
        <v>37.94</v>
      </c>
      <c r="H35" s="415">
        <v>252.28</v>
      </c>
      <c r="I35" s="415">
        <v>80.930000000000007</v>
      </c>
      <c r="J35" s="415">
        <v>546.78</v>
      </c>
      <c r="K35" s="415">
        <v>163.89</v>
      </c>
      <c r="L35" s="415">
        <v>110.12</v>
      </c>
      <c r="M35" s="415">
        <v>102.99</v>
      </c>
      <c r="N35" s="415">
        <v>19.87</v>
      </c>
      <c r="O35" s="415">
        <v>106.59</v>
      </c>
      <c r="P35" s="416">
        <v>1265.1300000000001</v>
      </c>
      <c r="Q35" s="415">
        <v>592.20000000000005</v>
      </c>
      <c r="R35" s="47">
        <f>SUM(C35:Q35)</f>
        <v>3468.2799999999997</v>
      </c>
      <c r="T35" s="183">
        <f t="shared" si="0"/>
        <v>2018.5900000000001</v>
      </c>
    </row>
    <row r="36" spans="1:20">
      <c r="A36" s="47" t="s">
        <v>176</v>
      </c>
      <c r="B36" s="47" t="s">
        <v>175</v>
      </c>
      <c r="C36" s="415">
        <v>9.81</v>
      </c>
      <c r="D36" s="415">
        <v>0.06</v>
      </c>
      <c r="E36" s="90">
        <v>1.49</v>
      </c>
      <c r="F36" s="90">
        <f>30.22+0.08</f>
        <v>30.299999999999997</v>
      </c>
      <c r="G36" s="415">
        <v>0.18</v>
      </c>
      <c r="H36" s="415">
        <v>5.81</v>
      </c>
      <c r="I36" s="415">
        <v>40.72</v>
      </c>
      <c r="J36" s="90">
        <v>56.51</v>
      </c>
      <c r="K36" s="415">
        <v>23.19</v>
      </c>
      <c r="L36" s="415">
        <v>38.049999999999997</v>
      </c>
      <c r="M36" s="415">
        <v>24.82</v>
      </c>
      <c r="N36" s="415"/>
      <c r="O36" s="415">
        <v>0.77</v>
      </c>
      <c r="P36" s="415">
        <v>216.58</v>
      </c>
      <c r="Q36" s="415">
        <v>5.4</v>
      </c>
      <c r="R36" s="47">
        <f>SUM(C36:Q36)</f>
        <v>453.69</v>
      </c>
      <c r="T36" s="183">
        <f t="shared" si="0"/>
        <v>294.55000000000007</v>
      </c>
    </row>
    <row r="37" spans="1:20">
      <c r="C37" s="90"/>
      <c r="D37" s="90"/>
      <c r="E37" s="90"/>
      <c r="F37" s="90"/>
      <c r="G37" s="90"/>
      <c r="H37" s="90"/>
      <c r="I37" s="90"/>
      <c r="J37" s="90"/>
      <c r="K37" s="90"/>
      <c r="L37" s="90"/>
      <c r="M37" s="90"/>
      <c r="N37" s="90"/>
      <c r="O37" s="90"/>
      <c r="P37" s="90"/>
      <c r="Q37" s="90"/>
      <c r="T37" s="183"/>
    </row>
    <row r="38" spans="1:20" ht="15">
      <c r="A38" s="56" t="s">
        <v>198</v>
      </c>
      <c r="C38" s="90"/>
      <c r="D38" s="90"/>
      <c r="E38" s="90"/>
      <c r="F38" s="90"/>
      <c r="G38" s="90"/>
      <c r="H38" s="90"/>
      <c r="I38" s="90"/>
      <c r="J38" s="90"/>
      <c r="K38" s="90"/>
      <c r="L38" s="90"/>
      <c r="M38" s="90"/>
      <c r="N38" s="90"/>
      <c r="O38" s="90"/>
      <c r="P38" s="90"/>
      <c r="Q38" s="90"/>
      <c r="T38" s="183"/>
    </row>
    <row r="39" spans="1:20">
      <c r="A39" s="47" t="s">
        <v>19</v>
      </c>
      <c r="B39" s="47" t="s">
        <v>175</v>
      </c>
      <c r="C39" s="415">
        <v>90.16</v>
      </c>
      <c r="D39" s="415">
        <v>36.770000000000003</v>
      </c>
      <c r="E39" s="415">
        <v>2.87</v>
      </c>
      <c r="F39" s="415">
        <f>37.92+0.56</f>
        <v>38.480000000000004</v>
      </c>
      <c r="G39" s="415">
        <v>24.43</v>
      </c>
      <c r="H39" s="415">
        <v>217.98</v>
      </c>
      <c r="I39" s="415">
        <v>81.209999999999994</v>
      </c>
      <c r="J39" s="415">
        <v>450.38</v>
      </c>
      <c r="K39" s="415">
        <v>136.87</v>
      </c>
      <c r="L39" s="415">
        <v>81.89</v>
      </c>
      <c r="M39" s="415">
        <v>100.12</v>
      </c>
      <c r="N39" s="415">
        <v>9.35</v>
      </c>
      <c r="O39" s="415">
        <v>34.11</v>
      </c>
      <c r="P39" s="415">
        <v>1099.23</v>
      </c>
      <c r="Q39" s="415">
        <v>532.63</v>
      </c>
      <c r="R39" s="47">
        <f>SUM(C39:Q39)</f>
        <v>2936.4800000000005</v>
      </c>
      <c r="T39" s="183">
        <f t="shared" si="0"/>
        <v>1791.19</v>
      </c>
    </row>
    <row r="40" spans="1:20">
      <c r="A40" s="47" t="s">
        <v>176</v>
      </c>
      <c r="B40" s="47" t="s">
        <v>175</v>
      </c>
      <c r="C40" s="415">
        <v>9.5</v>
      </c>
      <c r="D40" s="415">
        <v>0.03</v>
      </c>
      <c r="E40" s="415">
        <v>1.37</v>
      </c>
      <c r="F40" s="415">
        <f>27.35+0.08</f>
        <v>27.43</v>
      </c>
      <c r="G40" s="415">
        <v>0.17</v>
      </c>
      <c r="H40" s="415">
        <v>3.89</v>
      </c>
      <c r="I40" s="415">
        <v>33.94</v>
      </c>
      <c r="J40" s="415">
        <v>48.39</v>
      </c>
      <c r="K40" s="415">
        <v>19.18</v>
      </c>
      <c r="L40" s="415">
        <v>31.26</v>
      </c>
      <c r="M40" s="415">
        <v>21.02</v>
      </c>
      <c r="N40" s="415"/>
      <c r="O40" s="415">
        <v>0.36</v>
      </c>
      <c r="P40" s="415">
        <v>186.26</v>
      </c>
      <c r="Q40" s="415">
        <v>5.34</v>
      </c>
      <c r="R40" s="47">
        <f>SUM(C40:Q40)</f>
        <v>388.14</v>
      </c>
      <c r="T40" s="183">
        <f t="shared" si="0"/>
        <v>254.37</v>
      </c>
    </row>
    <row r="41" spans="1:20">
      <c r="C41" s="90"/>
      <c r="D41" s="90"/>
      <c r="E41" s="90"/>
      <c r="F41" s="90"/>
      <c r="G41" s="90"/>
      <c r="H41" s="90"/>
      <c r="I41" s="90"/>
      <c r="J41" s="90"/>
      <c r="K41" s="90"/>
      <c r="L41" s="90"/>
      <c r="M41" s="90"/>
      <c r="N41" s="90"/>
      <c r="O41" s="90"/>
      <c r="P41" s="90"/>
      <c r="Q41" s="90"/>
      <c r="T41" s="183"/>
    </row>
    <row r="42" spans="1:20" ht="15">
      <c r="A42" s="56" t="s">
        <v>199</v>
      </c>
      <c r="C42" s="90"/>
      <c r="D42" s="90"/>
      <c r="E42" s="90"/>
      <c r="F42" s="90"/>
      <c r="G42" s="90"/>
      <c r="H42" s="90"/>
      <c r="I42" s="90"/>
      <c r="J42" s="90"/>
      <c r="K42" s="90"/>
      <c r="L42" s="90"/>
      <c r="M42" s="90"/>
      <c r="N42" s="90"/>
      <c r="O42" s="90"/>
      <c r="P42" s="90"/>
      <c r="Q42" s="90"/>
      <c r="T42" s="183"/>
    </row>
    <row r="43" spans="1:20">
      <c r="A43" s="47" t="s">
        <v>19</v>
      </c>
      <c r="B43" s="47" t="s">
        <v>175</v>
      </c>
      <c r="C43" s="415">
        <v>100.87</v>
      </c>
      <c r="D43" s="415">
        <v>46.64</v>
      </c>
      <c r="E43" s="90">
        <v>3.19</v>
      </c>
      <c r="F43" s="90">
        <f>42.87+0.61</f>
        <v>43.48</v>
      </c>
      <c r="G43" s="415">
        <v>23.35</v>
      </c>
      <c r="H43" s="415">
        <v>270.98</v>
      </c>
      <c r="I43" s="415">
        <v>87.48</v>
      </c>
      <c r="J43" s="415">
        <v>478.61</v>
      </c>
      <c r="K43" s="415">
        <v>148.91</v>
      </c>
      <c r="L43" s="415">
        <v>95.62</v>
      </c>
      <c r="M43" s="415">
        <v>123.45</v>
      </c>
      <c r="N43" s="415">
        <v>8.6300000000000008</v>
      </c>
      <c r="O43" s="415">
        <v>39.020000000000003</v>
      </c>
      <c r="P43" s="416">
        <v>1151.97</v>
      </c>
      <c r="Q43" s="415">
        <v>544.9</v>
      </c>
      <c r="R43" s="47">
        <f>SUM(C43:Q43)</f>
        <v>3167.1000000000004</v>
      </c>
      <c r="T43" s="183">
        <f t="shared" si="0"/>
        <v>1877.66</v>
      </c>
    </row>
    <row r="44" spans="1:20">
      <c r="A44" s="47" t="s">
        <v>176</v>
      </c>
      <c r="B44" s="47" t="s">
        <v>175</v>
      </c>
      <c r="C44" s="415">
        <v>10.9</v>
      </c>
      <c r="D44" s="415">
        <v>0.03</v>
      </c>
      <c r="E44" s="90">
        <v>1.71</v>
      </c>
      <c r="F44" s="90">
        <f>34.71+0.12</f>
        <v>34.83</v>
      </c>
      <c r="G44" s="415">
        <v>0.21</v>
      </c>
      <c r="H44" s="415">
        <v>4.24</v>
      </c>
      <c r="I44" s="415">
        <v>36.99</v>
      </c>
      <c r="J44" s="90">
        <v>53.66</v>
      </c>
      <c r="K44" s="415">
        <v>22.44</v>
      </c>
      <c r="L44" s="415">
        <v>37.21</v>
      </c>
      <c r="M44" s="415">
        <v>24.07</v>
      </c>
      <c r="N44" s="415"/>
      <c r="O44" s="415">
        <v>0.41</v>
      </c>
      <c r="P44" s="415">
        <v>216.54</v>
      </c>
      <c r="Q44" s="415">
        <v>5.71</v>
      </c>
      <c r="R44" s="47">
        <f>SUM(C44:Q44)</f>
        <v>448.95</v>
      </c>
      <c r="T44" s="183">
        <f t="shared" si="0"/>
        <v>295.80999999999995</v>
      </c>
    </row>
    <row r="45" spans="1:20">
      <c r="C45" s="90"/>
      <c r="D45" s="90"/>
      <c r="E45" s="90"/>
      <c r="F45" s="90"/>
      <c r="G45" s="90"/>
      <c r="H45" s="90"/>
      <c r="I45" s="90"/>
      <c r="J45" s="90"/>
      <c r="K45" s="90"/>
      <c r="L45" s="90"/>
      <c r="M45" s="90"/>
      <c r="N45" s="90"/>
      <c r="O45" s="90"/>
      <c r="P45" s="90"/>
      <c r="Q45" s="90"/>
      <c r="T45" s="183"/>
    </row>
    <row r="46" spans="1:20" ht="15">
      <c r="A46" s="56" t="s">
        <v>200</v>
      </c>
      <c r="C46" s="90"/>
      <c r="D46" s="90"/>
      <c r="E46" s="90"/>
      <c r="F46" s="90"/>
      <c r="G46" s="90"/>
      <c r="H46" s="90"/>
      <c r="I46" s="90"/>
      <c r="J46" s="90"/>
      <c r="K46" s="90"/>
      <c r="L46" s="90"/>
      <c r="M46" s="90"/>
      <c r="N46" s="90"/>
      <c r="O46" s="90"/>
      <c r="P46" s="90"/>
      <c r="Q46" s="90"/>
      <c r="T46" s="183"/>
    </row>
    <row r="47" spans="1:20">
      <c r="A47" s="47" t="s">
        <v>19</v>
      </c>
      <c r="B47" s="47" t="s">
        <v>175</v>
      </c>
      <c r="C47" s="437">
        <v>93.59</v>
      </c>
      <c r="D47" s="437">
        <v>32.61</v>
      </c>
      <c r="E47" s="437">
        <v>2.92</v>
      </c>
      <c r="F47" s="437">
        <v>0.74</v>
      </c>
      <c r="G47" s="437">
        <v>23.54</v>
      </c>
      <c r="H47" s="437">
        <v>212.46</v>
      </c>
      <c r="I47" s="437">
        <v>72.66</v>
      </c>
      <c r="J47" s="437">
        <v>473.14</v>
      </c>
      <c r="K47" s="437">
        <v>146.88</v>
      </c>
      <c r="L47" s="437">
        <v>80.25</v>
      </c>
      <c r="M47" s="437">
        <v>91.87</v>
      </c>
      <c r="N47" s="437">
        <v>9.2899999999999991</v>
      </c>
      <c r="O47" s="437">
        <v>33.81</v>
      </c>
      <c r="P47" s="437">
        <v>1150.97</v>
      </c>
      <c r="Q47" s="437">
        <v>574.73</v>
      </c>
      <c r="R47" s="47">
        <f>SUM(C47:Q47)</f>
        <v>2999.4599999999996</v>
      </c>
      <c r="T47" s="183">
        <f t="shared" si="0"/>
        <v>1834.63</v>
      </c>
    </row>
    <row r="48" spans="1:20">
      <c r="A48" s="47" t="s">
        <v>176</v>
      </c>
      <c r="B48" s="47" t="s">
        <v>175</v>
      </c>
      <c r="C48" s="437">
        <v>9.81</v>
      </c>
      <c r="D48" s="437">
        <v>0.03</v>
      </c>
      <c r="E48" s="437">
        <v>1.34</v>
      </c>
      <c r="F48" s="437">
        <v>0.08</v>
      </c>
      <c r="G48" s="437">
        <v>0.17</v>
      </c>
      <c r="H48" s="437">
        <v>4</v>
      </c>
      <c r="I48" s="437">
        <v>34.950000000000003</v>
      </c>
      <c r="J48" s="437">
        <v>49.38</v>
      </c>
      <c r="K48" s="437">
        <v>21.17</v>
      </c>
      <c r="L48" s="437">
        <v>33.520000000000003</v>
      </c>
      <c r="M48" s="437">
        <v>22.89</v>
      </c>
      <c r="N48" s="437"/>
      <c r="O48" s="437">
        <v>0.27</v>
      </c>
      <c r="P48" s="437">
        <v>196.47</v>
      </c>
      <c r="Q48" s="437">
        <v>5.47</v>
      </c>
      <c r="R48" s="47">
        <f>SUM(C48:Q48)</f>
        <v>379.55000000000007</v>
      </c>
      <c r="T48" s="183">
        <f t="shared" si="0"/>
        <v>238.34</v>
      </c>
    </row>
    <row r="49" spans="1:20">
      <c r="C49" s="440"/>
      <c r="D49" s="440"/>
      <c r="E49" s="440"/>
      <c r="F49" s="440"/>
      <c r="G49" s="440"/>
      <c r="H49" s="440"/>
      <c r="I49" s="440"/>
      <c r="J49" s="440"/>
      <c r="K49" s="440"/>
      <c r="L49" s="440"/>
      <c r="M49" s="440"/>
      <c r="N49" s="440"/>
      <c r="O49" s="440"/>
      <c r="P49" s="440"/>
      <c r="Q49" s="440"/>
      <c r="T49" s="183"/>
    </row>
    <row r="50" spans="1:20" ht="15">
      <c r="A50" s="56" t="s">
        <v>201</v>
      </c>
      <c r="C50" s="440"/>
      <c r="D50" s="440"/>
      <c r="E50" s="440"/>
      <c r="F50" s="440"/>
      <c r="G50" s="440"/>
      <c r="H50" s="440"/>
      <c r="I50" s="440"/>
      <c r="J50" s="440"/>
      <c r="K50" s="440"/>
      <c r="L50" s="440"/>
      <c r="M50" s="440"/>
      <c r="N50" s="440"/>
      <c r="O50" s="440"/>
      <c r="P50" s="440"/>
      <c r="Q50" s="440"/>
      <c r="T50" s="183"/>
    </row>
    <row r="51" spans="1:20">
      <c r="A51" t="s">
        <v>19</v>
      </c>
      <c r="B51" t="s">
        <v>175</v>
      </c>
      <c r="C51" s="415"/>
      <c r="D51" s="415"/>
      <c r="E51" s="415"/>
      <c r="F51" s="415"/>
      <c r="G51" s="415"/>
      <c r="H51" s="415"/>
      <c r="I51" s="415"/>
      <c r="J51" s="415"/>
      <c r="K51" s="415"/>
      <c r="L51" s="415"/>
      <c r="M51" s="415"/>
      <c r="N51" s="415"/>
      <c r="O51" s="415"/>
      <c r="P51" s="415"/>
      <c r="Q51" s="415"/>
      <c r="R51" s="47">
        <f>SUM(C51:Q51)</f>
        <v>0</v>
      </c>
      <c r="T51" s="183">
        <f t="shared" si="0"/>
        <v>0</v>
      </c>
    </row>
    <row r="52" spans="1:20">
      <c r="A52" t="s">
        <v>176</v>
      </c>
      <c r="B52" t="s">
        <v>175</v>
      </c>
      <c r="C52" s="415"/>
      <c r="D52" s="415"/>
      <c r="E52" s="415"/>
      <c r="F52" s="415"/>
      <c r="G52" s="415"/>
      <c r="H52" s="415"/>
      <c r="I52" s="415"/>
      <c r="J52" s="415"/>
      <c r="K52" s="415"/>
      <c r="L52" s="415"/>
      <c r="M52" s="415"/>
      <c r="N52" s="415"/>
      <c r="O52" s="415"/>
      <c r="P52" s="415"/>
      <c r="Q52" s="415"/>
      <c r="R52" s="47">
        <f>SUM(C52:Q52)</f>
        <v>0</v>
      </c>
      <c r="T52" s="183">
        <f t="shared" si="0"/>
        <v>0</v>
      </c>
    </row>
    <row r="53" spans="1:20">
      <c r="C53" s="90"/>
      <c r="D53" s="90"/>
      <c r="E53" s="90"/>
      <c r="F53" s="90"/>
      <c r="G53" s="90"/>
      <c r="H53" s="90"/>
      <c r="I53" s="90"/>
      <c r="J53" s="90"/>
      <c r="K53" s="90"/>
      <c r="L53" s="90"/>
      <c r="M53" s="90"/>
      <c r="N53" s="90"/>
      <c r="O53" s="90"/>
      <c r="P53" s="90"/>
      <c r="Q53" s="90"/>
      <c r="T53" s="183"/>
    </row>
    <row r="54" spans="1:20" ht="15">
      <c r="A54" s="56" t="s">
        <v>202</v>
      </c>
      <c r="C54" s="90"/>
      <c r="D54" s="90"/>
      <c r="E54" s="90"/>
      <c r="F54" s="90"/>
      <c r="G54" s="90"/>
      <c r="H54" s="90"/>
      <c r="I54" s="90"/>
      <c r="J54" s="90"/>
      <c r="K54" s="90"/>
      <c r="L54" s="90"/>
      <c r="M54" s="90"/>
      <c r="N54" s="90"/>
      <c r="O54" s="90"/>
      <c r="P54" s="90"/>
      <c r="Q54" s="90"/>
      <c r="T54" s="183"/>
    </row>
    <row r="55" spans="1:20">
      <c r="A55" t="s">
        <v>19</v>
      </c>
      <c r="B55" t="s">
        <v>175</v>
      </c>
      <c r="C55" s="415"/>
      <c r="D55" s="415"/>
      <c r="E55" s="415"/>
      <c r="F55" s="415"/>
      <c r="G55" s="415"/>
      <c r="H55" s="415"/>
      <c r="I55" s="415"/>
      <c r="J55" s="415"/>
      <c r="K55" s="415"/>
      <c r="L55" s="415"/>
      <c r="M55" s="415"/>
      <c r="N55" s="415"/>
      <c r="O55" s="415"/>
      <c r="P55" s="415"/>
      <c r="Q55" s="415"/>
      <c r="R55" s="47">
        <f>SUM(C55:Q55)</f>
        <v>0</v>
      </c>
      <c r="T55" s="183">
        <f t="shared" si="0"/>
        <v>0</v>
      </c>
    </row>
    <row r="56" spans="1:20">
      <c r="A56" t="s">
        <v>176</v>
      </c>
      <c r="B56" t="s">
        <v>175</v>
      </c>
      <c r="C56" s="415"/>
      <c r="D56" s="415"/>
      <c r="E56" s="415"/>
      <c r="F56" s="415"/>
      <c r="G56" s="415"/>
      <c r="H56" s="415"/>
      <c r="I56" s="415"/>
      <c r="J56" s="415"/>
      <c r="K56" s="415"/>
      <c r="L56" s="415"/>
      <c r="M56" s="415"/>
      <c r="N56" s="415"/>
      <c r="O56" s="415"/>
      <c r="P56" s="415"/>
      <c r="Q56" s="415"/>
      <c r="R56" s="47">
        <f>SUM(C56:Q56)</f>
        <v>0</v>
      </c>
      <c r="T56" s="183">
        <f t="shared" si="0"/>
        <v>0</v>
      </c>
    </row>
    <row r="57" spans="1:20">
      <c r="C57" s="90"/>
      <c r="D57" s="90"/>
      <c r="E57" s="90"/>
      <c r="F57" s="90"/>
      <c r="G57" s="90"/>
      <c r="H57" s="90"/>
      <c r="I57" s="90"/>
      <c r="J57" s="90"/>
      <c r="K57" s="90"/>
      <c r="L57" s="90"/>
      <c r="M57" s="90"/>
      <c r="N57" s="90"/>
      <c r="O57" s="90"/>
      <c r="P57" s="90"/>
      <c r="Q57" s="90"/>
      <c r="T57" s="183"/>
    </row>
    <row r="58" spans="1:20" ht="15">
      <c r="A58" s="56" t="s">
        <v>188</v>
      </c>
      <c r="C58" s="90"/>
      <c r="D58" s="90"/>
      <c r="E58" s="90"/>
      <c r="F58" s="90"/>
      <c r="G58" s="90"/>
      <c r="H58" s="90"/>
      <c r="I58" s="90"/>
      <c r="J58" s="90"/>
      <c r="K58" s="90"/>
      <c r="L58" s="90"/>
      <c r="M58" s="90"/>
      <c r="N58" s="90"/>
      <c r="O58" s="90"/>
      <c r="P58" s="90"/>
      <c r="Q58" s="90"/>
      <c r="T58" s="183"/>
    </row>
    <row r="59" spans="1:20">
      <c r="A59" t="s">
        <v>19</v>
      </c>
      <c r="B59" t="s">
        <v>175</v>
      </c>
      <c r="C59" s="90"/>
      <c r="D59" s="90"/>
      <c r="E59" s="90"/>
      <c r="F59" s="90"/>
      <c r="G59" s="90"/>
      <c r="H59" s="90"/>
      <c r="I59" s="90"/>
      <c r="J59" s="90"/>
      <c r="K59" s="90"/>
      <c r="L59" s="90"/>
      <c r="M59" s="90"/>
      <c r="N59" s="90"/>
      <c r="O59" s="90"/>
      <c r="P59" s="415"/>
      <c r="Q59" s="90"/>
      <c r="R59" s="47">
        <f>SUM(C59:Q59)</f>
        <v>0</v>
      </c>
      <c r="T59" s="183">
        <f t="shared" si="0"/>
        <v>0</v>
      </c>
    </row>
    <row r="60" spans="1:20">
      <c r="A60" t="s">
        <v>176</v>
      </c>
      <c r="B60" t="s">
        <v>175</v>
      </c>
      <c r="C60" s="90"/>
      <c r="D60" s="90"/>
      <c r="E60" s="90"/>
      <c r="F60" s="90"/>
      <c r="G60" s="90"/>
      <c r="H60" s="90"/>
      <c r="I60" s="90"/>
      <c r="J60" s="90"/>
      <c r="K60" s="90"/>
      <c r="L60" s="90"/>
      <c r="M60" s="90"/>
      <c r="N60" s="90"/>
      <c r="O60" s="90"/>
      <c r="P60" s="90"/>
      <c r="Q60" s="90"/>
      <c r="R60" s="47">
        <f>SUM(C60:Q60)</f>
        <v>0</v>
      </c>
      <c r="T60" s="183">
        <f t="shared" si="0"/>
        <v>0</v>
      </c>
    </row>
    <row r="61" spans="1:20">
      <c r="C61" s="90"/>
      <c r="D61" s="90"/>
      <c r="E61" s="90"/>
      <c r="F61" s="90"/>
      <c r="G61" s="90"/>
      <c r="H61" s="90"/>
      <c r="I61" s="90"/>
      <c r="J61" s="90"/>
      <c r="K61" s="90"/>
      <c r="L61" s="90"/>
      <c r="M61" s="90"/>
      <c r="N61" s="90"/>
      <c r="O61" s="90"/>
      <c r="P61" s="90"/>
      <c r="Q61" s="90"/>
      <c r="T61" s="183"/>
    </row>
    <row r="62" spans="1:20" ht="15">
      <c r="A62" s="56" t="s">
        <v>203</v>
      </c>
      <c r="C62" s="90"/>
      <c r="D62" s="90"/>
      <c r="E62" s="90"/>
      <c r="F62" s="90"/>
      <c r="G62" s="90"/>
      <c r="H62" s="90"/>
      <c r="I62" s="90"/>
      <c r="J62" s="90"/>
      <c r="K62" s="90"/>
      <c r="L62" s="90"/>
      <c r="M62" s="90"/>
      <c r="N62" s="90"/>
      <c r="O62" s="90"/>
      <c r="P62" s="90"/>
      <c r="Q62" s="90"/>
      <c r="T62" s="183"/>
    </row>
    <row r="63" spans="1:20">
      <c r="A63" t="s">
        <v>19</v>
      </c>
      <c r="B63" t="s">
        <v>175</v>
      </c>
      <c r="C63" s="90"/>
      <c r="D63" s="90"/>
      <c r="E63" s="90"/>
      <c r="F63" s="90"/>
      <c r="G63" s="90"/>
      <c r="H63" s="90"/>
      <c r="I63" s="90"/>
      <c r="J63" s="90"/>
      <c r="K63" s="90"/>
      <c r="L63" s="90"/>
      <c r="M63" s="90"/>
      <c r="N63" s="90"/>
      <c r="O63" s="90"/>
      <c r="P63" s="415"/>
      <c r="Q63" s="90"/>
      <c r="R63" s="47">
        <f>SUM(C63:Q63)</f>
        <v>0</v>
      </c>
      <c r="T63" s="183">
        <f t="shared" si="0"/>
        <v>0</v>
      </c>
    </row>
    <row r="64" spans="1:20">
      <c r="A64" t="s">
        <v>176</v>
      </c>
      <c r="B64" t="s">
        <v>175</v>
      </c>
      <c r="C64" s="90"/>
      <c r="D64" s="90"/>
      <c r="E64" s="90"/>
      <c r="F64" s="90"/>
      <c r="G64" s="90"/>
      <c r="H64" s="90"/>
      <c r="I64" s="90"/>
      <c r="J64" s="90"/>
      <c r="K64" s="90"/>
      <c r="L64" s="90"/>
      <c r="M64" s="90"/>
      <c r="N64" s="90"/>
      <c r="O64" s="90"/>
      <c r="P64" s="90"/>
      <c r="Q64" s="90"/>
      <c r="R64" s="47">
        <f>SUM(C64:Q64)</f>
        <v>0</v>
      </c>
      <c r="T64" s="183">
        <f t="shared" si="0"/>
        <v>0</v>
      </c>
    </row>
    <row r="65" spans="1:20">
      <c r="C65" s="90"/>
      <c r="D65" s="90"/>
      <c r="E65" s="90"/>
      <c r="F65" s="90"/>
      <c r="G65" s="90"/>
      <c r="H65" s="90"/>
      <c r="I65" s="90"/>
      <c r="J65" s="90"/>
      <c r="K65" s="90"/>
      <c r="L65" s="90"/>
      <c r="M65" s="90"/>
      <c r="N65" s="90"/>
      <c r="O65" s="90"/>
      <c r="P65" s="90"/>
      <c r="Q65" s="90"/>
      <c r="T65" s="183"/>
    </row>
    <row r="66" spans="1:20" ht="15">
      <c r="A66" s="56" t="s">
        <v>204</v>
      </c>
      <c r="C66" s="90"/>
      <c r="D66" s="90"/>
      <c r="E66" s="90"/>
      <c r="F66" s="90"/>
      <c r="G66" s="90"/>
      <c r="H66" s="90"/>
      <c r="I66" s="90"/>
      <c r="J66" s="90"/>
      <c r="K66" s="90"/>
      <c r="L66" s="90"/>
      <c r="M66" s="90"/>
      <c r="N66" s="90"/>
      <c r="O66" s="90"/>
      <c r="P66" s="90"/>
      <c r="Q66" s="90"/>
      <c r="T66" s="183"/>
    </row>
    <row r="67" spans="1:20">
      <c r="A67" t="s">
        <v>19</v>
      </c>
      <c r="B67" t="s">
        <v>175</v>
      </c>
      <c r="C67" s="90"/>
      <c r="D67" s="90"/>
      <c r="E67" s="90"/>
      <c r="F67" s="90"/>
      <c r="G67" s="90"/>
      <c r="H67" s="90"/>
      <c r="I67" s="90"/>
      <c r="J67" s="90"/>
      <c r="K67" s="90"/>
      <c r="L67" s="90"/>
      <c r="M67" s="90"/>
      <c r="N67" s="90"/>
      <c r="O67" s="90"/>
      <c r="P67" s="415"/>
      <c r="Q67" s="90"/>
      <c r="R67" s="47">
        <f>SUM(C67:Q67)</f>
        <v>0</v>
      </c>
      <c r="T67" s="183">
        <f t="shared" si="0"/>
        <v>0</v>
      </c>
    </row>
    <row r="68" spans="1:20">
      <c r="A68" t="s">
        <v>176</v>
      </c>
      <c r="B68" t="s">
        <v>175</v>
      </c>
      <c r="C68" s="90"/>
      <c r="D68" s="90"/>
      <c r="E68" s="90"/>
      <c r="F68" s="415"/>
      <c r="G68" s="90"/>
      <c r="H68" s="90"/>
      <c r="I68" s="90"/>
      <c r="J68" s="90"/>
      <c r="K68" s="90"/>
      <c r="L68" s="90"/>
      <c r="M68" s="90"/>
      <c r="N68" s="90"/>
      <c r="O68" s="90"/>
      <c r="P68" s="90"/>
      <c r="Q68" s="90"/>
      <c r="R68" s="47">
        <f>SUM(C68:Q68)</f>
        <v>0</v>
      </c>
      <c r="T68" s="183">
        <f t="shared" si="0"/>
        <v>0</v>
      </c>
    </row>
    <row r="69" spans="1:20">
      <c r="C69" s="90"/>
      <c r="D69" s="90"/>
      <c r="E69" s="90"/>
      <c r="F69" s="90"/>
      <c r="G69" s="90"/>
      <c r="H69" s="90"/>
      <c r="I69" s="90"/>
      <c r="J69" s="90"/>
      <c r="K69" s="90"/>
      <c r="L69" s="90"/>
      <c r="M69" s="90"/>
      <c r="N69" s="90"/>
      <c r="O69" s="90"/>
      <c r="P69" s="90"/>
      <c r="Q69" s="90"/>
      <c r="T69" s="183"/>
    </row>
    <row r="70" spans="1:20" ht="15">
      <c r="A70" s="56" t="s">
        <v>191</v>
      </c>
      <c r="C70" s="90"/>
      <c r="D70" s="90"/>
      <c r="E70" s="90"/>
      <c r="F70" s="90"/>
      <c r="G70" s="90"/>
      <c r="H70" s="90"/>
      <c r="I70" s="90"/>
      <c r="J70" s="90"/>
      <c r="K70" s="90"/>
      <c r="L70" s="90"/>
      <c r="M70" s="90"/>
      <c r="N70" s="90"/>
      <c r="O70" s="90"/>
      <c r="P70" s="90"/>
      <c r="Q70" s="90"/>
      <c r="T70" s="183"/>
    </row>
    <row r="71" spans="1:20">
      <c r="A71" t="s">
        <v>19</v>
      </c>
      <c r="B71" t="s">
        <v>175</v>
      </c>
      <c r="C71" s="90"/>
      <c r="D71" s="90"/>
      <c r="E71" s="90"/>
      <c r="F71" s="90"/>
      <c r="G71" s="90"/>
      <c r="H71" s="90"/>
      <c r="I71" s="90"/>
      <c r="J71" s="90"/>
      <c r="K71" s="90"/>
      <c r="L71" s="90"/>
      <c r="M71" s="90"/>
      <c r="N71" s="90"/>
      <c r="O71" s="90"/>
      <c r="P71" s="415"/>
      <c r="Q71" s="90"/>
      <c r="R71" s="47">
        <f>SUM(C71:Q71)</f>
        <v>0</v>
      </c>
      <c r="T71" s="183">
        <f t="shared" ref="T71:T96" si="1">+Q71+P71+I71+F71+E71+D71</f>
        <v>0</v>
      </c>
    </row>
    <row r="72" spans="1:20">
      <c r="A72" t="s">
        <v>176</v>
      </c>
      <c r="B72" t="s">
        <v>175</v>
      </c>
      <c r="C72" s="90"/>
      <c r="D72" s="90"/>
      <c r="E72" s="90"/>
      <c r="F72" s="90"/>
      <c r="G72" s="90"/>
      <c r="H72" s="90"/>
      <c r="I72" s="90"/>
      <c r="J72" s="90"/>
      <c r="K72" s="90"/>
      <c r="L72" s="90"/>
      <c r="M72" s="90"/>
      <c r="N72" s="90"/>
      <c r="O72" s="90"/>
      <c r="P72" s="90"/>
      <c r="Q72" s="90"/>
      <c r="R72" s="47">
        <f>SUM(C72:Q72)</f>
        <v>0</v>
      </c>
      <c r="T72" s="183">
        <f t="shared" si="1"/>
        <v>0</v>
      </c>
    </row>
    <row r="73" spans="1:20">
      <c r="C73" s="90"/>
      <c r="D73" s="90"/>
      <c r="E73" s="90"/>
      <c r="F73" s="90"/>
      <c r="G73" s="90"/>
      <c r="H73" s="90"/>
      <c r="I73" s="90"/>
      <c r="J73" s="90"/>
      <c r="K73" s="90"/>
      <c r="L73" s="90"/>
      <c r="M73" s="90"/>
      <c r="N73" s="90"/>
      <c r="O73" s="90"/>
      <c r="P73" s="90"/>
      <c r="Q73" s="90"/>
      <c r="T73" s="183"/>
    </row>
    <row r="74" spans="1:20" ht="15">
      <c r="A74" s="56" t="s">
        <v>192</v>
      </c>
      <c r="C74" s="90"/>
      <c r="D74" s="90"/>
      <c r="E74" s="90"/>
      <c r="F74" s="90"/>
      <c r="G74" s="90"/>
      <c r="H74" s="90"/>
      <c r="I74" s="90"/>
      <c r="J74" s="90"/>
      <c r="K74" s="90"/>
      <c r="L74" s="90"/>
      <c r="M74" s="90"/>
      <c r="N74" s="90"/>
      <c r="O74" s="90"/>
      <c r="P74" s="90"/>
      <c r="Q74" s="90"/>
      <c r="T74" s="183"/>
    </row>
    <row r="75" spans="1:20">
      <c r="A75" t="s">
        <v>19</v>
      </c>
      <c r="B75" t="s">
        <v>175</v>
      </c>
      <c r="C75" s="415"/>
      <c r="D75" s="415"/>
      <c r="E75" s="415"/>
      <c r="F75" s="415"/>
      <c r="G75" s="415"/>
      <c r="H75" s="415"/>
      <c r="I75" s="415"/>
      <c r="J75" s="415"/>
      <c r="K75" s="415"/>
      <c r="L75" s="415"/>
      <c r="M75" s="415"/>
      <c r="N75" s="415"/>
      <c r="O75" s="415"/>
      <c r="P75" s="415"/>
      <c r="Q75" s="415"/>
      <c r="R75" s="47">
        <f>SUM(C75:Q75)</f>
        <v>0</v>
      </c>
      <c r="T75" s="183">
        <f t="shared" si="1"/>
        <v>0</v>
      </c>
    </row>
    <row r="76" spans="1:20">
      <c r="A76" t="s">
        <v>176</v>
      </c>
      <c r="B76" t="s">
        <v>175</v>
      </c>
      <c r="C76" s="415"/>
      <c r="D76" s="415"/>
      <c r="E76" s="415"/>
      <c r="F76" s="415"/>
      <c r="G76" s="415"/>
      <c r="H76" s="415"/>
      <c r="I76" s="415"/>
      <c r="J76" s="415"/>
      <c r="K76" s="415"/>
      <c r="L76" s="415"/>
      <c r="M76" s="415"/>
      <c r="N76" s="415"/>
      <c r="O76" s="415"/>
      <c r="P76" s="415"/>
      <c r="Q76" s="415"/>
      <c r="R76" s="47">
        <f>SUM(C76:Q76)</f>
        <v>0</v>
      </c>
      <c r="T76" s="183">
        <f t="shared" si="1"/>
        <v>0</v>
      </c>
    </row>
    <row r="77" spans="1:20">
      <c r="C77" s="90"/>
      <c r="D77" s="90"/>
      <c r="E77" s="90"/>
      <c r="F77" s="90"/>
      <c r="G77" s="90"/>
      <c r="H77" s="90"/>
      <c r="I77" s="90"/>
      <c r="J77" s="90"/>
      <c r="K77" s="90"/>
      <c r="L77" s="90"/>
      <c r="M77" s="90"/>
      <c r="N77" s="90"/>
      <c r="O77" s="90"/>
      <c r="P77" s="90"/>
      <c r="Q77" s="90"/>
      <c r="T77" s="183"/>
    </row>
    <row r="78" spans="1:20" ht="15">
      <c r="A78" s="56" t="s">
        <v>52</v>
      </c>
      <c r="C78" s="90"/>
      <c r="D78" s="90"/>
      <c r="E78" s="90"/>
      <c r="F78" s="90"/>
      <c r="G78" s="90"/>
      <c r="H78" s="90"/>
      <c r="I78" s="90"/>
      <c r="J78" s="90"/>
      <c r="K78" s="90"/>
      <c r="L78" s="90"/>
      <c r="M78" s="90"/>
      <c r="N78" s="90"/>
      <c r="O78" s="90"/>
      <c r="P78" s="90"/>
      <c r="Q78" s="90"/>
      <c r="T78" s="183"/>
    </row>
    <row r="79" spans="1:20">
      <c r="A79" t="s">
        <v>19</v>
      </c>
      <c r="B79" t="s">
        <v>175</v>
      </c>
      <c r="C79" s="415"/>
      <c r="D79" s="415"/>
      <c r="E79" s="415"/>
      <c r="F79" s="415"/>
      <c r="G79" s="415"/>
      <c r="H79" s="415"/>
      <c r="I79" s="415"/>
      <c r="J79" s="415"/>
      <c r="K79" s="415"/>
      <c r="L79" s="415"/>
      <c r="M79" s="415"/>
      <c r="N79" s="415"/>
      <c r="O79" s="415"/>
      <c r="P79" s="415"/>
      <c r="Q79" s="415"/>
      <c r="R79" s="47">
        <f>SUM(C79:Q79)</f>
        <v>0</v>
      </c>
      <c r="T79" s="183">
        <f t="shared" si="1"/>
        <v>0</v>
      </c>
    </row>
    <row r="80" spans="1:20">
      <c r="A80" t="s">
        <v>176</v>
      </c>
      <c r="B80" t="s">
        <v>175</v>
      </c>
      <c r="C80" s="415"/>
      <c r="D80" s="415"/>
      <c r="E80" s="415"/>
      <c r="F80" s="415"/>
      <c r="G80" s="415"/>
      <c r="H80" s="415"/>
      <c r="I80" s="415"/>
      <c r="J80" s="415"/>
      <c r="K80" s="415"/>
      <c r="L80" s="415"/>
      <c r="M80" s="415"/>
      <c r="N80" s="415"/>
      <c r="O80" s="415"/>
      <c r="P80" s="415"/>
      <c r="Q80" s="415"/>
      <c r="R80" s="47">
        <f>SUM(C80:Q80)</f>
        <v>0</v>
      </c>
      <c r="T80" s="183">
        <f t="shared" si="1"/>
        <v>0</v>
      </c>
    </row>
    <row r="81" spans="1:20">
      <c r="C81" s="90"/>
      <c r="D81" s="90"/>
      <c r="E81" s="90"/>
      <c r="F81" s="90"/>
      <c r="G81" s="90"/>
      <c r="H81" s="90"/>
      <c r="I81" s="90"/>
      <c r="J81" s="90"/>
      <c r="K81" s="90"/>
      <c r="L81" s="90"/>
      <c r="M81" s="90"/>
      <c r="N81" s="90"/>
      <c r="O81" s="90"/>
      <c r="P81" s="90"/>
      <c r="Q81" s="90"/>
      <c r="T81" s="183"/>
    </row>
    <row r="82" spans="1:20" ht="15">
      <c r="A82" s="56" t="s">
        <v>197</v>
      </c>
      <c r="C82" s="90"/>
      <c r="D82" s="90"/>
      <c r="E82" s="90"/>
      <c r="F82" s="90"/>
      <c r="G82" s="90"/>
      <c r="H82" s="90"/>
      <c r="I82" s="90"/>
      <c r="J82" s="90"/>
      <c r="K82" s="90"/>
      <c r="L82" s="90"/>
      <c r="M82" s="90"/>
      <c r="N82" s="90"/>
      <c r="O82" s="90"/>
      <c r="P82" s="90"/>
      <c r="Q82" s="90"/>
      <c r="T82" s="183"/>
    </row>
    <row r="83" spans="1:20">
      <c r="A83" t="s">
        <v>19</v>
      </c>
      <c r="B83" t="s">
        <v>175</v>
      </c>
      <c r="C83" s="415"/>
      <c r="D83" s="415"/>
      <c r="E83" s="415"/>
      <c r="F83" s="415"/>
      <c r="G83" s="415"/>
      <c r="H83" s="415"/>
      <c r="I83" s="415"/>
      <c r="J83" s="415"/>
      <c r="K83" s="415"/>
      <c r="L83" s="415"/>
      <c r="M83" s="415"/>
      <c r="N83" s="415"/>
      <c r="O83" s="415"/>
      <c r="P83" s="415"/>
      <c r="Q83" s="415"/>
      <c r="R83" s="47">
        <f>SUM(C83:Q83)</f>
        <v>0</v>
      </c>
      <c r="T83" s="183">
        <f t="shared" si="1"/>
        <v>0</v>
      </c>
    </row>
    <row r="84" spans="1:20">
      <c r="A84" t="s">
        <v>176</v>
      </c>
      <c r="B84" t="s">
        <v>175</v>
      </c>
      <c r="C84" s="415"/>
      <c r="D84" s="415"/>
      <c r="E84" s="415"/>
      <c r="F84" s="415"/>
      <c r="G84" s="415"/>
      <c r="H84" s="415"/>
      <c r="I84" s="415"/>
      <c r="J84" s="415"/>
      <c r="K84" s="415"/>
      <c r="L84" s="415"/>
      <c r="M84" s="415"/>
      <c r="N84" s="415"/>
      <c r="O84" s="415"/>
      <c r="P84" s="415"/>
      <c r="Q84" s="415"/>
      <c r="R84" s="47">
        <f>SUM(C84:Q84)</f>
        <v>0</v>
      </c>
      <c r="T84" s="183">
        <f t="shared" si="1"/>
        <v>0</v>
      </c>
    </row>
    <row r="85" spans="1:20">
      <c r="C85" s="90"/>
      <c r="D85" s="90"/>
      <c r="E85" s="90"/>
      <c r="F85" s="90"/>
      <c r="G85" s="90"/>
      <c r="H85" s="90"/>
      <c r="I85" s="90"/>
      <c r="J85" s="90"/>
      <c r="K85" s="90"/>
      <c r="L85" s="90"/>
      <c r="M85" s="90"/>
      <c r="N85" s="90"/>
      <c r="O85" s="90"/>
      <c r="P85" s="90"/>
      <c r="Q85" s="90"/>
      <c r="T85" s="183"/>
    </row>
    <row r="86" spans="1:20" ht="15">
      <c r="A86" s="56" t="s">
        <v>198</v>
      </c>
      <c r="C86" s="90"/>
      <c r="D86" s="90"/>
      <c r="E86" s="90"/>
      <c r="F86" s="90"/>
      <c r="G86" s="90"/>
      <c r="H86" s="90"/>
      <c r="I86" s="90"/>
      <c r="J86" s="90"/>
      <c r="K86" s="90"/>
      <c r="L86" s="90"/>
      <c r="M86" s="90"/>
      <c r="N86" s="90"/>
      <c r="O86" s="90"/>
      <c r="P86" s="90"/>
      <c r="Q86" s="90"/>
      <c r="T86" s="183"/>
    </row>
    <row r="87" spans="1:20">
      <c r="A87" t="s">
        <v>19</v>
      </c>
      <c r="B87" t="s">
        <v>175</v>
      </c>
      <c r="C87" s="415"/>
      <c r="D87" s="415"/>
      <c r="E87" s="415"/>
      <c r="F87" s="415"/>
      <c r="G87" s="415"/>
      <c r="H87" s="415"/>
      <c r="I87" s="415"/>
      <c r="J87" s="415"/>
      <c r="K87" s="415"/>
      <c r="L87" s="415"/>
      <c r="M87" s="415"/>
      <c r="N87" s="415"/>
      <c r="O87" s="415"/>
      <c r="P87" s="415"/>
      <c r="Q87" s="415"/>
      <c r="R87" s="47">
        <f>SUM(C87:Q87)</f>
        <v>0</v>
      </c>
      <c r="T87" s="183">
        <f t="shared" si="1"/>
        <v>0</v>
      </c>
    </row>
    <row r="88" spans="1:20">
      <c r="A88" t="s">
        <v>176</v>
      </c>
      <c r="B88" t="s">
        <v>175</v>
      </c>
      <c r="C88" s="415"/>
      <c r="D88" s="415"/>
      <c r="E88" s="415"/>
      <c r="F88" s="415"/>
      <c r="G88" s="415"/>
      <c r="H88" s="415"/>
      <c r="I88" s="415"/>
      <c r="J88" s="415"/>
      <c r="K88" s="415"/>
      <c r="L88" s="415"/>
      <c r="M88" s="415"/>
      <c r="N88" s="415"/>
      <c r="O88" s="415"/>
      <c r="P88" s="415"/>
      <c r="Q88" s="415"/>
      <c r="R88" s="47">
        <f>SUM(C88:Q88)</f>
        <v>0</v>
      </c>
      <c r="T88" s="183">
        <f t="shared" si="1"/>
        <v>0</v>
      </c>
    </row>
    <row r="89" spans="1:20">
      <c r="C89" s="90"/>
      <c r="D89" s="90"/>
      <c r="E89" s="90"/>
      <c r="F89" s="90"/>
      <c r="G89" s="90"/>
      <c r="H89" s="90"/>
      <c r="I89" s="90"/>
      <c r="J89" s="90"/>
      <c r="K89" s="90"/>
      <c r="L89" s="90"/>
      <c r="M89" s="90"/>
      <c r="N89" s="90"/>
      <c r="O89" s="90"/>
      <c r="P89" s="90"/>
      <c r="Q89" s="90"/>
      <c r="T89" s="183"/>
    </row>
    <row r="90" spans="1:20" ht="15">
      <c r="A90" s="56" t="s">
        <v>199</v>
      </c>
      <c r="C90" s="90"/>
      <c r="D90" s="90"/>
      <c r="E90" s="90"/>
      <c r="F90" s="90"/>
      <c r="G90" s="90"/>
      <c r="H90" s="90"/>
      <c r="I90" s="90"/>
      <c r="J90" s="90"/>
      <c r="K90" s="90"/>
      <c r="L90" s="90"/>
      <c r="M90" s="90"/>
      <c r="N90" s="90"/>
      <c r="O90" s="90"/>
      <c r="P90" s="90"/>
      <c r="Q90" s="90"/>
      <c r="T90" s="183"/>
    </row>
    <row r="91" spans="1:20">
      <c r="A91" t="s">
        <v>19</v>
      </c>
      <c r="B91" t="s">
        <v>175</v>
      </c>
      <c r="C91" s="415"/>
      <c r="D91" s="415"/>
      <c r="E91" s="415"/>
      <c r="F91" s="415"/>
      <c r="G91" s="415"/>
      <c r="H91" s="415"/>
      <c r="I91" s="415"/>
      <c r="J91" s="415"/>
      <c r="K91" s="415"/>
      <c r="L91" s="415"/>
      <c r="M91" s="415"/>
      <c r="N91" s="415"/>
      <c r="O91" s="415"/>
      <c r="P91" s="415"/>
      <c r="Q91" s="415"/>
      <c r="R91" s="47">
        <f>SUM(C91:Q91)</f>
        <v>0</v>
      </c>
      <c r="T91" s="183">
        <f t="shared" si="1"/>
        <v>0</v>
      </c>
    </row>
    <row r="92" spans="1:20">
      <c r="A92" t="s">
        <v>176</v>
      </c>
      <c r="B92" t="s">
        <v>175</v>
      </c>
      <c r="C92" s="415"/>
      <c r="D92" s="415"/>
      <c r="E92" s="415"/>
      <c r="F92" s="415"/>
      <c r="G92" s="415"/>
      <c r="H92" s="415"/>
      <c r="I92" s="415"/>
      <c r="J92" s="415"/>
      <c r="K92" s="415"/>
      <c r="L92" s="415"/>
      <c r="M92" s="415"/>
      <c r="N92" s="415"/>
      <c r="O92" s="415"/>
      <c r="P92" s="415"/>
      <c r="Q92" s="415"/>
      <c r="R92" s="47">
        <f>SUM(C92:Q92)</f>
        <v>0</v>
      </c>
      <c r="T92" s="183">
        <f t="shared" si="1"/>
        <v>0</v>
      </c>
    </row>
    <row r="93" spans="1:20">
      <c r="C93" s="90"/>
      <c r="D93" s="90"/>
      <c r="E93" s="90"/>
      <c r="F93" s="90"/>
      <c r="G93" s="90"/>
      <c r="H93" s="90"/>
      <c r="I93" s="90"/>
      <c r="J93" s="90"/>
      <c r="K93" s="90"/>
      <c r="L93" s="90"/>
      <c r="M93" s="90"/>
      <c r="N93" s="90"/>
      <c r="O93" s="90"/>
      <c r="P93" s="90"/>
      <c r="Q93" s="90"/>
      <c r="T93" s="183"/>
    </row>
    <row r="94" spans="1:20" ht="15">
      <c r="A94" s="56" t="s">
        <v>252</v>
      </c>
      <c r="C94" s="90"/>
      <c r="D94" s="90"/>
      <c r="E94" s="90"/>
      <c r="F94" s="90"/>
      <c r="G94" s="90"/>
      <c r="H94" s="90"/>
      <c r="I94" s="90"/>
      <c r="J94" s="90"/>
      <c r="K94" s="90"/>
      <c r="L94" s="90"/>
      <c r="M94" s="90"/>
      <c r="N94" s="90"/>
      <c r="O94" s="90"/>
      <c r="P94" s="90"/>
      <c r="Q94" s="90"/>
      <c r="T94" s="183"/>
    </row>
    <row r="95" spans="1:20">
      <c r="A95" t="s">
        <v>19</v>
      </c>
      <c r="B95" t="s">
        <v>175</v>
      </c>
      <c r="C95" s="415"/>
      <c r="D95" s="415"/>
      <c r="E95" s="415"/>
      <c r="F95" s="415"/>
      <c r="G95" s="415"/>
      <c r="H95" s="415"/>
      <c r="I95" s="415"/>
      <c r="J95" s="415"/>
      <c r="K95" s="415"/>
      <c r="L95" s="415"/>
      <c r="M95" s="415"/>
      <c r="N95" s="415"/>
      <c r="O95" s="415"/>
      <c r="P95" s="415"/>
      <c r="Q95" s="415"/>
      <c r="R95" s="47">
        <f>SUM(C95:Q95)</f>
        <v>0</v>
      </c>
      <c r="T95" s="183">
        <f t="shared" si="1"/>
        <v>0</v>
      </c>
    </row>
    <row r="96" spans="1:20">
      <c r="A96" t="s">
        <v>176</v>
      </c>
      <c r="B96" t="s">
        <v>175</v>
      </c>
      <c r="C96" s="415"/>
      <c r="D96" s="415"/>
      <c r="E96" s="415"/>
      <c r="F96" s="415"/>
      <c r="G96" s="415"/>
      <c r="H96" s="415"/>
      <c r="I96" s="415"/>
      <c r="J96" s="415"/>
      <c r="K96" s="415"/>
      <c r="L96" s="415"/>
      <c r="M96" s="415"/>
      <c r="N96" s="415"/>
      <c r="O96" s="415"/>
      <c r="P96" s="415"/>
      <c r="Q96" s="415"/>
      <c r="R96" s="47">
        <f>SUM(C96:Q96)</f>
        <v>0</v>
      </c>
      <c r="T96" s="183">
        <f t="shared" si="1"/>
        <v>0</v>
      </c>
    </row>
    <row r="97" spans="3:17">
      <c r="C97" s="90"/>
      <c r="D97" s="90"/>
      <c r="E97" s="90"/>
      <c r="F97" s="90"/>
      <c r="G97" s="90"/>
      <c r="H97" s="90"/>
      <c r="I97" s="90"/>
      <c r="J97" s="90"/>
      <c r="K97" s="90"/>
      <c r="L97" s="90"/>
      <c r="M97" s="90"/>
      <c r="N97" s="90"/>
      <c r="O97" s="90"/>
      <c r="P97" s="90"/>
      <c r="Q97" s="90"/>
    </row>
    <row r="98" spans="3:17">
      <c r="C98" s="90"/>
      <c r="D98" s="90"/>
      <c r="E98" s="90"/>
      <c r="F98" s="90"/>
      <c r="G98" s="90"/>
      <c r="H98" s="90"/>
      <c r="I98" s="90"/>
      <c r="J98" s="90"/>
      <c r="K98" s="90"/>
      <c r="L98" s="90"/>
      <c r="M98" s="90"/>
      <c r="N98" s="90"/>
      <c r="O98" s="90"/>
      <c r="P98" s="90"/>
      <c r="Q98" s="90"/>
    </row>
    <row r="99" spans="3:17">
      <c r="C99" s="90"/>
      <c r="D99" s="90"/>
      <c r="E99" s="90"/>
      <c r="F99" s="90"/>
      <c r="G99" s="90"/>
      <c r="H99" s="90"/>
      <c r="I99" s="90"/>
      <c r="J99" s="90"/>
      <c r="K99" s="90"/>
      <c r="L99" s="90"/>
      <c r="M99" s="90"/>
      <c r="N99" s="90"/>
      <c r="O99" s="90"/>
      <c r="P99" s="90"/>
      <c r="Q99" s="90"/>
    </row>
    <row r="100" spans="3:17">
      <c r="C100" s="90"/>
      <c r="D100" s="90"/>
      <c r="E100" s="90"/>
      <c r="F100" s="90"/>
      <c r="G100" s="90"/>
      <c r="H100" s="90"/>
      <c r="I100" s="90"/>
      <c r="J100" s="90"/>
      <c r="K100" s="90"/>
      <c r="L100" s="90"/>
      <c r="M100" s="90"/>
      <c r="N100" s="90"/>
      <c r="O100" s="90"/>
      <c r="P100" s="90"/>
      <c r="Q100" s="9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48"/>
  <sheetViews>
    <sheetView workbookViewId="0">
      <pane xSplit="1" ySplit="5" topLeftCell="B6" activePane="bottomRight" state="frozen"/>
      <selection pane="topRight" activeCell="B1" sqref="B1"/>
      <selection pane="bottomLeft" activeCell="A6" sqref="A6"/>
      <selection pane="bottomRight" activeCell="A17" sqref="A17"/>
    </sheetView>
  </sheetViews>
  <sheetFormatPr defaultRowHeight="12.75"/>
  <cols>
    <col min="1" max="1" width="18.28515625" customWidth="1"/>
    <col min="2" max="4" width="9.28515625" bestFit="1" customWidth="1"/>
    <col min="5" max="5" width="4.42578125" customWidth="1"/>
    <col min="6" max="6" width="12.140625" bestFit="1" customWidth="1"/>
    <col min="7" max="7" width="10.140625" bestFit="1" customWidth="1"/>
    <col min="8" max="8" width="10.28515625" bestFit="1" customWidth="1"/>
    <col min="9" max="9" width="10.7109375" bestFit="1" customWidth="1"/>
    <col min="10" max="10" width="1.140625" customWidth="1"/>
    <col min="11" max="11" width="11.7109375" bestFit="1" customWidth="1"/>
    <col min="12" max="12" width="3.5703125" customWidth="1"/>
    <col min="13" max="14" width="9.28515625" bestFit="1" customWidth="1"/>
    <col min="15" max="15" width="10.42578125" bestFit="1" customWidth="1"/>
    <col min="16" max="16" width="2.7109375" customWidth="1"/>
    <col min="17" max="17" width="10.42578125" bestFit="1" customWidth="1"/>
    <col min="18" max="18" width="10.140625" bestFit="1" customWidth="1"/>
    <col min="19" max="19" width="14.5703125" bestFit="1" customWidth="1"/>
    <col min="20" max="20" width="10.42578125" bestFit="1" customWidth="1"/>
    <col min="21" max="21" width="4" customWidth="1"/>
    <col min="22" max="22" width="10.42578125" bestFit="1" customWidth="1"/>
    <col min="23" max="23" width="4" customWidth="1"/>
    <col min="24" max="26" width="11.5703125" bestFit="1" customWidth="1"/>
    <col min="27" max="27" width="5.140625" customWidth="1"/>
    <col min="28" max="28" width="18" bestFit="1" customWidth="1"/>
    <col min="32" max="32" width="9.28515625" style="57" bestFit="1" customWidth="1"/>
  </cols>
  <sheetData>
    <row r="1" spans="1:32" s="11" customFormat="1">
      <c r="AF1" s="57"/>
    </row>
    <row r="2" spans="1:32" s="11" customFormat="1">
      <c r="AF2" s="57"/>
    </row>
    <row r="3" spans="1:32" s="11" customFormat="1">
      <c r="B3" s="474" t="s">
        <v>65</v>
      </c>
      <c r="C3" s="474"/>
      <c r="D3" s="474"/>
      <c r="E3" s="474"/>
      <c r="F3" s="474"/>
      <c r="G3" s="474"/>
      <c r="H3" s="474"/>
      <c r="I3" s="474"/>
      <c r="J3" s="180"/>
      <c r="K3" s="180"/>
      <c r="M3" s="474" t="s">
        <v>66</v>
      </c>
      <c r="N3" s="474"/>
      <c r="O3" s="474"/>
      <c r="P3" s="474"/>
      <c r="Q3" s="474"/>
      <c r="R3" s="474"/>
      <c r="S3" s="474"/>
      <c r="T3" s="474"/>
      <c r="AF3" s="57"/>
    </row>
    <row r="4" spans="1:32" s="11" customFormat="1">
      <c r="B4" s="471" t="s">
        <v>67</v>
      </c>
      <c r="C4" s="471"/>
      <c r="D4" s="471"/>
      <c r="E4" s="58"/>
      <c r="F4" s="471" t="s">
        <v>95</v>
      </c>
      <c r="G4" s="471"/>
      <c r="H4" s="471"/>
      <c r="I4" s="471"/>
      <c r="J4" s="58"/>
      <c r="K4" s="58"/>
      <c r="M4" s="471" t="s">
        <v>67</v>
      </c>
      <c r="N4" s="471"/>
      <c r="O4" s="471"/>
      <c r="P4" s="58"/>
      <c r="Q4" s="471" t="s">
        <v>95</v>
      </c>
      <c r="R4" s="471"/>
      <c r="S4" s="471"/>
      <c r="T4" s="471"/>
      <c r="V4" s="160" t="s">
        <v>68</v>
      </c>
      <c r="AF4" s="57"/>
    </row>
    <row r="5" spans="1:32" s="11" customFormat="1" ht="15">
      <c r="A5" s="166" t="s">
        <v>36</v>
      </c>
      <c r="B5" s="59" t="s">
        <v>69</v>
      </c>
      <c r="C5" s="60" t="s">
        <v>70</v>
      </c>
      <c r="D5" s="60" t="s">
        <v>71</v>
      </c>
      <c r="E5" s="60"/>
      <c r="F5" s="60" t="s">
        <v>97</v>
      </c>
      <c r="G5" s="60" t="s">
        <v>98</v>
      </c>
      <c r="H5" s="60" t="s">
        <v>72</v>
      </c>
      <c r="I5" s="60" t="s">
        <v>71</v>
      </c>
      <c r="J5" s="60"/>
      <c r="K5" s="60" t="s">
        <v>103</v>
      </c>
      <c r="M5" s="59" t="s">
        <v>69</v>
      </c>
      <c r="N5" s="60" t="s">
        <v>70</v>
      </c>
      <c r="O5" s="60" t="s">
        <v>71</v>
      </c>
      <c r="P5" s="60"/>
      <c r="Q5" s="60" t="s">
        <v>97</v>
      </c>
      <c r="R5" s="60" t="s">
        <v>98</v>
      </c>
      <c r="S5" s="60" t="s">
        <v>72</v>
      </c>
      <c r="T5" s="60" t="s">
        <v>71</v>
      </c>
      <c r="V5" s="60" t="s">
        <v>71</v>
      </c>
      <c r="X5" s="60" t="s">
        <v>65</v>
      </c>
      <c r="Y5" s="166" t="s">
        <v>73</v>
      </c>
      <c r="Z5" s="166" t="s">
        <v>71</v>
      </c>
      <c r="AF5" s="61" t="s">
        <v>74</v>
      </c>
    </row>
    <row r="6" spans="1:32" s="11" customFormat="1">
      <c r="A6" s="286" t="s">
        <v>270</v>
      </c>
      <c r="B6" s="408">
        <f>7144+1</f>
        <v>7145</v>
      </c>
      <c r="C6" s="408">
        <v>11446</v>
      </c>
      <c r="D6" s="170">
        <f t="shared" ref="D6:D29" si="0">SUM(B6:C6)</f>
        <v>18591</v>
      </c>
      <c r="E6" s="170"/>
      <c r="F6" s="408">
        <f>18510+3045</f>
        <v>21555</v>
      </c>
      <c r="G6" s="408">
        <f>59852+4007+1860+147+1913</f>
        <v>67779</v>
      </c>
      <c r="H6" s="408">
        <f>31308+1+34</f>
        <v>31343</v>
      </c>
      <c r="I6" s="170">
        <f t="shared" ref="I6:I29" si="1">SUM(F6:H6)</f>
        <v>120677</v>
      </c>
      <c r="J6" s="170"/>
      <c r="K6" s="170">
        <f>+I6+D6</f>
        <v>139268</v>
      </c>
      <c r="L6" s="170"/>
      <c r="M6" s="408">
        <f>46748-7145</f>
        <v>39603</v>
      </c>
      <c r="N6" s="408">
        <f>20088-11446</f>
        <v>8642</v>
      </c>
      <c r="O6" s="170">
        <f t="shared" ref="O6:O29" si="2">SUM(M6:N6)</f>
        <v>48245</v>
      </c>
      <c r="P6" s="170"/>
      <c r="Q6" s="408">
        <f>2583+22647+13232+20+4335</f>
        <v>42817</v>
      </c>
      <c r="R6" s="408">
        <f>5514+5310+5437</f>
        <v>16261</v>
      </c>
      <c r="S6" s="408">
        <f>4802+1145+10039+13138</f>
        <v>29124</v>
      </c>
      <c r="T6" s="170">
        <f t="shared" ref="T6:T29" si="3">SUM(Q6:S6)</f>
        <v>88202</v>
      </c>
      <c r="V6" s="132">
        <f t="shared" ref="V6:V29" si="4">+T6+O6+I6+D6</f>
        <v>275715</v>
      </c>
      <c r="X6" s="132">
        <f>+I6+D6</f>
        <v>139268</v>
      </c>
      <c r="Y6" s="132">
        <f t="shared" ref="Y6:Y28" si="5">+T6+O6</f>
        <v>136447</v>
      </c>
      <c r="Z6" s="132">
        <f t="shared" ref="Z6:Z28" si="6">+Y6+X6</f>
        <v>275715</v>
      </c>
      <c r="AB6" s="132"/>
      <c r="AF6" s="62">
        <v>1665</v>
      </c>
    </row>
    <row r="7" spans="1:32" s="11" customFormat="1">
      <c r="A7" s="11" t="s">
        <v>47</v>
      </c>
      <c r="B7" s="408">
        <v>7155</v>
      </c>
      <c r="C7" s="408">
        <v>11427</v>
      </c>
      <c r="D7" s="170">
        <f t="shared" si="0"/>
        <v>18582</v>
      </c>
      <c r="E7" s="170"/>
      <c r="F7" s="408">
        <f>18492+3046</f>
        <v>21538</v>
      </c>
      <c r="G7" s="408">
        <f>59840+1920+148+1875+4021</f>
        <v>67804</v>
      </c>
      <c r="H7" s="408">
        <f>31279+33+1</f>
        <v>31313</v>
      </c>
      <c r="I7" s="170">
        <f t="shared" si="1"/>
        <v>120655</v>
      </c>
      <c r="J7" s="170"/>
      <c r="K7" s="170">
        <f t="shared" ref="K7:K29" si="7">+I7+D7</f>
        <v>139237</v>
      </c>
      <c r="L7" s="170"/>
      <c r="M7" s="408">
        <f>46919-7155</f>
        <v>39764</v>
      </c>
      <c r="N7" s="408">
        <f>20078-11427</f>
        <v>8651</v>
      </c>
      <c r="O7" s="170">
        <f t="shared" si="2"/>
        <v>48415</v>
      </c>
      <c r="P7" s="170"/>
      <c r="Q7" s="408">
        <f>21+4338+13233+22644+2591</f>
        <v>42827</v>
      </c>
      <c r="R7" s="408">
        <f>5408+5331+5505</f>
        <v>16244</v>
      </c>
      <c r="S7" s="408">
        <f>60487-31313</f>
        <v>29174</v>
      </c>
      <c r="T7" s="170">
        <f t="shared" si="3"/>
        <v>88245</v>
      </c>
      <c r="V7" s="132">
        <f t="shared" si="4"/>
        <v>275897</v>
      </c>
      <c r="X7" s="132">
        <f t="shared" ref="X7:X28" si="8">+I7+D7</f>
        <v>139237</v>
      </c>
      <c r="Y7" s="132">
        <f t="shared" si="5"/>
        <v>136660</v>
      </c>
      <c r="Z7" s="132">
        <f t="shared" si="6"/>
        <v>275897</v>
      </c>
      <c r="AC7" s="130"/>
      <c r="AD7" s="99"/>
      <c r="AF7" s="62">
        <v>1656</v>
      </c>
    </row>
    <row r="8" spans="1:32" s="11" customFormat="1">
      <c r="A8" s="11" t="s">
        <v>64</v>
      </c>
      <c r="B8" s="408">
        <v>7174</v>
      </c>
      <c r="C8" s="408">
        <v>11438</v>
      </c>
      <c r="D8" s="170">
        <f t="shared" si="0"/>
        <v>18612</v>
      </c>
      <c r="E8" s="170"/>
      <c r="F8" s="408">
        <f>18497+3055</f>
        <v>21552</v>
      </c>
      <c r="G8" s="408">
        <f>59906+1919+148+1898+4046</f>
        <v>67917</v>
      </c>
      <c r="H8" s="408">
        <f>24603+25</f>
        <v>24628</v>
      </c>
      <c r="I8" s="170">
        <f t="shared" si="1"/>
        <v>114097</v>
      </c>
      <c r="J8" s="170"/>
      <c r="K8" s="170">
        <f t="shared" si="7"/>
        <v>132709</v>
      </c>
      <c r="L8" s="170"/>
      <c r="M8" s="408">
        <f>46912-7174</f>
        <v>39738</v>
      </c>
      <c r="N8" s="408">
        <f>20085-11438</f>
        <v>8647</v>
      </c>
      <c r="O8" s="170">
        <f t="shared" si="2"/>
        <v>48385</v>
      </c>
      <c r="P8" s="170"/>
      <c r="Q8" s="408">
        <f>21+13224+22663+2585+4348</f>
        <v>42841</v>
      </c>
      <c r="R8" s="408">
        <f>5515+5350+5401</f>
        <v>16266</v>
      </c>
      <c r="S8" s="408">
        <f>61343-24628</f>
        <v>36715</v>
      </c>
      <c r="T8" s="170">
        <f t="shared" si="3"/>
        <v>95822</v>
      </c>
      <c r="V8" s="132">
        <f t="shared" si="4"/>
        <v>276916</v>
      </c>
      <c r="X8" s="132">
        <f t="shared" si="8"/>
        <v>132709</v>
      </c>
      <c r="Y8" s="132">
        <f t="shared" si="5"/>
        <v>144207</v>
      </c>
      <c r="Z8" s="132">
        <f t="shared" si="6"/>
        <v>276916</v>
      </c>
      <c r="AC8" s="167"/>
      <c r="AD8" s="168"/>
      <c r="AF8" s="62">
        <v>1647</v>
      </c>
    </row>
    <row r="9" spans="1:32" s="11" customFormat="1">
      <c r="A9" s="286" t="s">
        <v>271</v>
      </c>
      <c r="B9" s="408">
        <v>7164</v>
      </c>
      <c r="C9" s="408">
        <v>11423</v>
      </c>
      <c r="D9" s="170">
        <f t="shared" si="0"/>
        <v>18587</v>
      </c>
      <c r="E9" s="170"/>
      <c r="F9" s="408">
        <f>18468+3049</f>
        <v>21517</v>
      </c>
      <c r="G9" s="408">
        <f>59882+1914+148+1904+4058</f>
        <v>67906</v>
      </c>
      <c r="H9" s="408">
        <f>24524+25</f>
        <v>24549</v>
      </c>
      <c r="I9" s="170">
        <f t="shared" si="1"/>
        <v>113972</v>
      </c>
      <c r="J9" s="170"/>
      <c r="K9" s="170">
        <f t="shared" si="7"/>
        <v>132559</v>
      </c>
      <c r="L9" s="170"/>
      <c r="M9" s="408">
        <f>46915-7164</f>
        <v>39751</v>
      </c>
      <c r="N9" s="408">
        <f>20084-11423</f>
        <v>8661</v>
      </c>
      <c r="O9" s="170">
        <f t="shared" si="2"/>
        <v>48412</v>
      </c>
      <c r="P9" s="170"/>
      <c r="Q9" s="408">
        <f>2+2595+22646+13221+21+4356</f>
        <v>42841</v>
      </c>
      <c r="R9" s="408">
        <f>5392+5355+5514</f>
        <v>16261</v>
      </c>
      <c r="S9" s="408">
        <f>61363-24549</f>
        <v>36814</v>
      </c>
      <c r="T9" s="170">
        <f t="shared" si="3"/>
        <v>95916</v>
      </c>
      <c r="V9" s="132">
        <f t="shared" si="4"/>
        <v>276887</v>
      </c>
      <c r="X9" s="132">
        <f t="shared" si="8"/>
        <v>132559</v>
      </c>
      <c r="Y9" s="132">
        <f t="shared" si="5"/>
        <v>144328</v>
      </c>
      <c r="Z9" s="132">
        <f t="shared" si="6"/>
        <v>276887</v>
      </c>
      <c r="AC9" s="168"/>
      <c r="AD9" s="168"/>
      <c r="AF9" s="62">
        <v>1647</v>
      </c>
    </row>
    <row r="10" spans="1:32" s="11" customFormat="1">
      <c r="A10" s="11" t="s">
        <v>75</v>
      </c>
      <c r="B10" s="408">
        <v>7178</v>
      </c>
      <c r="C10" s="408">
        <v>11467</v>
      </c>
      <c r="D10" s="170">
        <f t="shared" si="0"/>
        <v>18645</v>
      </c>
      <c r="E10" s="170"/>
      <c r="F10" s="408">
        <f>3059+18501</f>
        <v>21560</v>
      </c>
      <c r="G10" s="408">
        <f>60046+1910+149+1939+1+4089</f>
        <v>68134</v>
      </c>
      <c r="H10" s="408">
        <v>24629</v>
      </c>
      <c r="I10" s="170">
        <f t="shared" si="1"/>
        <v>114323</v>
      </c>
      <c r="J10" s="170"/>
      <c r="K10" s="170">
        <f t="shared" si="7"/>
        <v>132968</v>
      </c>
      <c r="L10" s="170"/>
      <c r="M10" s="408">
        <f>46989-7178</f>
        <v>39811</v>
      </c>
      <c r="N10" s="408">
        <f>20145-11467</f>
        <v>8678</v>
      </c>
      <c r="O10" s="170">
        <f t="shared" si="2"/>
        <v>48489</v>
      </c>
      <c r="P10" s="170"/>
      <c r="Q10" s="408">
        <f>4358+21+13242+22647+2600</f>
        <v>42868</v>
      </c>
      <c r="R10" s="408">
        <f>5505+5353+5390</f>
        <v>16248</v>
      </c>
      <c r="S10" s="408">
        <f>61520-24629</f>
        <v>36891</v>
      </c>
      <c r="T10" s="170">
        <f t="shared" si="3"/>
        <v>96007</v>
      </c>
      <c r="V10" s="132">
        <f t="shared" si="4"/>
        <v>277464</v>
      </c>
      <c r="X10" s="132">
        <f t="shared" si="8"/>
        <v>132968</v>
      </c>
      <c r="Y10" s="132">
        <f t="shared" si="5"/>
        <v>144496</v>
      </c>
      <c r="Z10" s="132">
        <f t="shared" si="6"/>
        <v>277464</v>
      </c>
      <c r="AC10" s="168"/>
      <c r="AD10" s="168"/>
      <c r="AF10" s="62">
        <v>1644</v>
      </c>
    </row>
    <row r="11" spans="1:32" s="11" customFormat="1">
      <c r="A11" s="11" t="s">
        <v>76</v>
      </c>
      <c r="B11" s="408">
        <v>7184</v>
      </c>
      <c r="C11" s="408">
        <v>11458</v>
      </c>
      <c r="D11" s="170">
        <f t="shared" si="0"/>
        <v>18642</v>
      </c>
      <c r="E11" s="170"/>
      <c r="F11" s="408">
        <f>3052+18485</f>
        <v>21537</v>
      </c>
      <c r="G11" s="408">
        <f>60048+1913+150+1979+4122</f>
        <v>68212</v>
      </c>
      <c r="H11" s="408">
        <f>24650+26</f>
        <v>24676</v>
      </c>
      <c r="I11" s="170">
        <f t="shared" si="1"/>
        <v>114425</v>
      </c>
      <c r="J11" s="170"/>
      <c r="K11" s="170">
        <f t="shared" si="7"/>
        <v>133067</v>
      </c>
      <c r="L11" s="170"/>
      <c r="M11" s="408">
        <f>46989-7184</f>
        <v>39805</v>
      </c>
      <c r="N11" s="408">
        <f>20144-11458</f>
        <v>8686</v>
      </c>
      <c r="O11" s="170">
        <f t="shared" si="2"/>
        <v>48491</v>
      </c>
      <c r="P11" s="170"/>
      <c r="Q11" s="408">
        <f>2614+22639+13219+21+4366</f>
        <v>42859</v>
      </c>
      <c r="R11" s="408">
        <f>5503+5371+5402</f>
        <v>16276</v>
      </c>
      <c r="S11" s="408">
        <f>61630-24676</f>
        <v>36954</v>
      </c>
      <c r="T11" s="170">
        <f t="shared" si="3"/>
        <v>96089</v>
      </c>
      <c r="V11" s="132">
        <f t="shared" si="4"/>
        <v>277647</v>
      </c>
      <c r="X11" s="132">
        <f t="shared" si="8"/>
        <v>133067</v>
      </c>
      <c r="Y11" s="132">
        <f t="shared" si="5"/>
        <v>144580</v>
      </c>
      <c r="Z11" s="132">
        <f t="shared" si="6"/>
        <v>277647</v>
      </c>
      <c r="AC11" s="168"/>
      <c r="AD11" s="167"/>
      <c r="AF11" s="62">
        <v>1650</v>
      </c>
    </row>
    <row r="12" spans="1:32" s="11" customFormat="1">
      <c r="A12" s="11" t="s">
        <v>77</v>
      </c>
      <c r="B12" s="408">
        <v>7191</v>
      </c>
      <c r="C12" s="408">
        <v>11398</v>
      </c>
      <c r="D12" s="170">
        <f t="shared" si="0"/>
        <v>18589</v>
      </c>
      <c r="E12" s="170"/>
      <c r="F12" s="408">
        <f>18507+3050</f>
        <v>21557</v>
      </c>
      <c r="G12" s="408">
        <f>59924+1914+153+2008+4150</f>
        <v>68149</v>
      </c>
      <c r="H12" s="408">
        <f>24613+27</f>
        <v>24640</v>
      </c>
      <c r="I12" s="170">
        <f t="shared" si="1"/>
        <v>114346</v>
      </c>
      <c r="J12" s="170"/>
      <c r="K12" s="170">
        <f t="shared" si="7"/>
        <v>132935</v>
      </c>
      <c r="L12" s="170"/>
      <c r="M12" s="408">
        <f>47002-7191</f>
        <v>39811</v>
      </c>
      <c r="N12" s="408">
        <f>20056-11398</f>
        <v>8658</v>
      </c>
      <c r="O12" s="170">
        <f t="shared" si="2"/>
        <v>48469</v>
      </c>
      <c r="P12" s="170"/>
      <c r="Q12" s="408">
        <f>2623+22662+13232+4341</f>
        <v>42858</v>
      </c>
      <c r="R12" s="408">
        <f>5509+5380+5430</f>
        <v>16319</v>
      </c>
      <c r="S12" s="408">
        <f>61684-24640</f>
        <v>37044</v>
      </c>
      <c r="T12" s="170">
        <f t="shared" si="3"/>
        <v>96221</v>
      </c>
      <c r="V12" s="132">
        <f t="shared" si="4"/>
        <v>277625</v>
      </c>
      <c r="X12" s="132">
        <f t="shared" si="8"/>
        <v>132935</v>
      </c>
      <c r="Y12" s="132">
        <f t="shared" si="5"/>
        <v>144690</v>
      </c>
      <c r="Z12" s="132">
        <f t="shared" si="6"/>
        <v>277625</v>
      </c>
      <c r="AC12" s="168"/>
      <c r="AD12" s="167"/>
      <c r="AF12" s="62">
        <v>1650</v>
      </c>
    </row>
    <row r="13" spans="1:32" s="11" customFormat="1">
      <c r="A13" s="11" t="s">
        <v>52</v>
      </c>
      <c r="B13" s="408">
        <v>7228</v>
      </c>
      <c r="C13" s="408">
        <v>11469</v>
      </c>
      <c r="D13" s="170">
        <f t="shared" si="0"/>
        <v>18697</v>
      </c>
      <c r="E13" s="170"/>
      <c r="F13" s="408">
        <f>3048+18531</f>
        <v>21579</v>
      </c>
      <c r="G13" s="408">
        <f>59934+1916+157+2044+4183</f>
        <v>68234</v>
      </c>
      <c r="H13" s="408">
        <v>24720</v>
      </c>
      <c r="I13" s="170">
        <f t="shared" si="1"/>
        <v>114533</v>
      </c>
      <c r="J13" s="170"/>
      <c r="K13" s="170">
        <f t="shared" si="7"/>
        <v>133230</v>
      </c>
      <c r="L13" s="170"/>
      <c r="M13" s="408">
        <f>47097-7228</f>
        <v>39869</v>
      </c>
      <c r="N13" s="408">
        <f>20146-11469</f>
        <v>8677</v>
      </c>
      <c r="O13" s="170">
        <f t="shared" si="2"/>
        <v>48546</v>
      </c>
      <c r="P13" s="170"/>
      <c r="Q13" s="408">
        <f>22680+13206+4342+2637</f>
        <v>42865</v>
      </c>
      <c r="R13" s="408">
        <f>5510+5377+5452</f>
        <v>16339</v>
      </c>
      <c r="S13" s="408">
        <v>37136</v>
      </c>
      <c r="T13" s="170">
        <f t="shared" si="3"/>
        <v>96340</v>
      </c>
      <c r="V13" s="132">
        <f t="shared" si="4"/>
        <v>278116</v>
      </c>
      <c r="X13" s="132">
        <f t="shared" si="8"/>
        <v>133230</v>
      </c>
      <c r="Y13" s="132">
        <f t="shared" si="5"/>
        <v>144886</v>
      </c>
      <c r="Z13" s="132">
        <f t="shared" si="6"/>
        <v>278116</v>
      </c>
      <c r="AC13" s="168"/>
      <c r="AD13" s="168"/>
      <c r="AF13" s="62">
        <v>1664</v>
      </c>
    </row>
    <row r="14" spans="1:32" s="11" customFormat="1">
      <c r="A14" s="11" t="s">
        <v>59</v>
      </c>
      <c r="B14" s="408">
        <v>7259</v>
      </c>
      <c r="C14" s="408">
        <v>11458</v>
      </c>
      <c r="D14" s="170">
        <f t="shared" si="0"/>
        <v>18717</v>
      </c>
      <c r="E14" s="170"/>
      <c r="F14" s="408">
        <f>18569+3047</f>
        <v>21616</v>
      </c>
      <c r="G14" s="408">
        <f>1913+159+2098+4220+59863</f>
        <v>68253</v>
      </c>
      <c r="H14" s="408">
        <v>24751</v>
      </c>
      <c r="I14" s="170">
        <f>SUM(F14:H14)</f>
        <v>114620</v>
      </c>
      <c r="J14" s="170"/>
      <c r="K14" s="170">
        <f>+I14+D14</f>
        <v>133337</v>
      </c>
      <c r="L14" s="170"/>
      <c r="M14" s="408">
        <f>47142-7259</f>
        <v>39883</v>
      </c>
      <c r="N14" s="408">
        <f>20121-11458</f>
        <v>8663</v>
      </c>
      <c r="O14" s="170">
        <f t="shared" si="2"/>
        <v>48546</v>
      </c>
      <c r="P14" s="170"/>
      <c r="Q14" s="408">
        <f>22689+13180+4340+2636</f>
        <v>42845</v>
      </c>
      <c r="R14" s="408">
        <f>5513+5366+5454</f>
        <v>16333</v>
      </c>
      <c r="S14" s="408">
        <f>61863-24751</f>
        <v>37112</v>
      </c>
      <c r="T14" s="170">
        <f t="shared" si="3"/>
        <v>96290</v>
      </c>
      <c r="V14" s="132">
        <f>+T14+O14+I14+D14</f>
        <v>278173</v>
      </c>
      <c r="X14" s="132">
        <f>+I14+D14</f>
        <v>133337</v>
      </c>
      <c r="Y14" s="132">
        <f t="shared" si="5"/>
        <v>144836</v>
      </c>
      <c r="Z14" s="132">
        <f t="shared" si="6"/>
        <v>278173</v>
      </c>
      <c r="AF14" s="62">
        <v>1661</v>
      </c>
    </row>
    <row r="15" spans="1:32" s="11" customFormat="1">
      <c r="A15" s="11" t="s">
        <v>60</v>
      </c>
      <c r="B15" s="408">
        <v>7286</v>
      </c>
      <c r="C15" s="408">
        <v>11479</v>
      </c>
      <c r="D15" s="170">
        <f t="shared" si="0"/>
        <v>18765</v>
      </c>
      <c r="E15" s="170"/>
      <c r="F15" s="408">
        <f>3047+18608</f>
        <v>21655</v>
      </c>
      <c r="G15" s="408">
        <f>1912+162+2132+59845+4259</f>
        <v>68310</v>
      </c>
      <c r="H15" s="408">
        <v>24824</v>
      </c>
      <c r="I15" s="170">
        <f t="shared" si="1"/>
        <v>114789</v>
      </c>
      <c r="J15" s="170"/>
      <c r="K15" s="170">
        <f t="shared" si="7"/>
        <v>133554</v>
      </c>
      <c r="L15" s="170"/>
      <c r="M15" s="408">
        <f>47149-7286</f>
        <v>39863</v>
      </c>
      <c r="N15" s="408">
        <f>20153-11479</f>
        <v>8674</v>
      </c>
      <c r="O15" s="170">
        <f t="shared" si="2"/>
        <v>48537</v>
      </c>
      <c r="P15" s="170"/>
      <c r="Q15" s="408">
        <f>22691+13179+4345+2658</f>
        <v>42873</v>
      </c>
      <c r="R15" s="408">
        <f>5506+5368+5462</f>
        <v>16336</v>
      </c>
      <c r="S15" s="408">
        <f>61966-24824</f>
        <v>37142</v>
      </c>
      <c r="T15" s="170">
        <f t="shared" si="3"/>
        <v>96351</v>
      </c>
      <c r="V15" s="132">
        <f t="shared" si="4"/>
        <v>278442</v>
      </c>
      <c r="X15" s="132">
        <f t="shared" si="8"/>
        <v>133554</v>
      </c>
      <c r="Y15" s="132">
        <f t="shared" si="5"/>
        <v>144888</v>
      </c>
      <c r="Z15" s="132">
        <f t="shared" si="6"/>
        <v>278442</v>
      </c>
      <c r="AF15" s="62">
        <v>1667</v>
      </c>
    </row>
    <row r="16" spans="1:32" s="11" customFormat="1">
      <c r="A16" s="11" t="s">
        <v>61</v>
      </c>
      <c r="B16" s="408">
        <v>7291</v>
      </c>
      <c r="C16" s="408">
        <v>11491</v>
      </c>
      <c r="D16" s="170">
        <f t="shared" si="0"/>
        <v>18782</v>
      </c>
      <c r="E16" s="170"/>
      <c r="F16" s="408">
        <f>3040+18621</f>
        <v>21661</v>
      </c>
      <c r="G16" s="408">
        <f>1913+164+2174+4302+59891</f>
        <v>68444</v>
      </c>
      <c r="H16" s="408">
        <f>24833+31</f>
        <v>24864</v>
      </c>
      <c r="I16" s="170">
        <f t="shared" si="1"/>
        <v>114969</v>
      </c>
      <c r="J16" s="170"/>
      <c r="K16" s="170">
        <f t="shared" si="7"/>
        <v>133751</v>
      </c>
      <c r="L16" s="170"/>
      <c r="M16" s="408">
        <f>47278-7291</f>
        <v>39987</v>
      </c>
      <c r="N16" s="408">
        <f>20168-11491</f>
        <v>8677</v>
      </c>
      <c r="O16" s="170">
        <f t="shared" si="2"/>
        <v>48664</v>
      </c>
      <c r="P16" s="170"/>
      <c r="Q16" s="408">
        <f>22690+13194+2654+4348</f>
        <v>42886</v>
      </c>
      <c r="R16" s="408">
        <f>5503+5632+5454</f>
        <v>16589</v>
      </c>
      <c r="S16" s="408">
        <f>62010-24864</f>
        <v>37146</v>
      </c>
      <c r="T16" s="170">
        <f t="shared" si="3"/>
        <v>96621</v>
      </c>
      <c r="V16" s="132">
        <f t="shared" si="4"/>
        <v>279036</v>
      </c>
      <c r="X16" s="132">
        <f t="shared" si="8"/>
        <v>133751</v>
      </c>
      <c r="Y16" s="132">
        <f t="shared" si="5"/>
        <v>145285</v>
      </c>
      <c r="Z16" s="132">
        <f t="shared" si="6"/>
        <v>279036</v>
      </c>
      <c r="AF16" s="62">
        <v>1659</v>
      </c>
    </row>
    <row r="17" spans="1:32" s="134" customFormat="1">
      <c r="A17" s="134" t="s">
        <v>62</v>
      </c>
      <c r="B17" s="409">
        <v>7301</v>
      </c>
      <c r="C17" s="409">
        <v>11509</v>
      </c>
      <c r="D17" s="181">
        <f t="shared" si="0"/>
        <v>18810</v>
      </c>
      <c r="E17" s="181"/>
      <c r="F17" s="409">
        <f>3042+18627</f>
        <v>21669</v>
      </c>
      <c r="G17" s="409">
        <f>1915+173+2190+4349+59934</f>
        <v>68561</v>
      </c>
      <c r="H17" s="409">
        <f>32+24811</f>
        <v>24843</v>
      </c>
      <c r="I17" s="181">
        <f t="shared" si="1"/>
        <v>115073</v>
      </c>
      <c r="J17" s="181"/>
      <c r="K17" s="181">
        <f t="shared" si="7"/>
        <v>133883</v>
      </c>
      <c r="L17" s="181"/>
      <c r="M17" s="409">
        <f>47245-7301</f>
        <v>39944</v>
      </c>
      <c r="N17" s="409">
        <f>20185-11509</f>
        <v>8676</v>
      </c>
      <c r="O17" s="285">
        <f t="shared" si="2"/>
        <v>48620</v>
      </c>
      <c r="P17" s="285"/>
      <c r="Q17" s="409">
        <f>2668+22688+13225+21+4344</f>
        <v>42946</v>
      </c>
      <c r="R17" s="409">
        <f>5510+5360+5455</f>
        <v>16325</v>
      </c>
      <c r="S17" s="409">
        <f>61987-24843</f>
        <v>37144</v>
      </c>
      <c r="T17" s="181">
        <f t="shared" si="3"/>
        <v>96415</v>
      </c>
      <c r="V17" s="137">
        <f t="shared" si="4"/>
        <v>278918</v>
      </c>
      <c r="X17" s="137">
        <f t="shared" si="8"/>
        <v>133883</v>
      </c>
      <c r="Y17" s="137">
        <f t="shared" si="5"/>
        <v>145035</v>
      </c>
      <c r="Z17" s="137">
        <f t="shared" si="6"/>
        <v>278918</v>
      </c>
      <c r="AF17" s="182">
        <v>1660</v>
      </c>
    </row>
    <row r="18" spans="1:32" s="11" customFormat="1">
      <c r="A18" s="11" t="s">
        <v>46</v>
      </c>
      <c r="B18" s="408"/>
      <c r="C18" s="408"/>
      <c r="D18" s="170">
        <f t="shared" si="0"/>
        <v>0</v>
      </c>
      <c r="E18" s="170"/>
      <c r="F18" s="408"/>
      <c r="G18" s="408"/>
      <c r="H18" s="409"/>
      <c r="I18" s="170">
        <f t="shared" si="1"/>
        <v>0</v>
      </c>
      <c r="J18" s="170"/>
      <c r="K18" s="181">
        <f t="shared" si="7"/>
        <v>0</v>
      </c>
      <c r="L18" s="170"/>
      <c r="M18" s="408"/>
      <c r="N18" s="408"/>
      <c r="O18" s="170">
        <f t="shared" si="2"/>
        <v>0</v>
      </c>
      <c r="P18" s="170"/>
      <c r="Q18" s="408"/>
      <c r="R18" s="408"/>
      <c r="S18" s="409"/>
      <c r="T18" s="170">
        <f t="shared" si="3"/>
        <v>0</v>
      </c>
      <c r="V18" s="132">
        <f t="shared" si="4"/>
        <v>0</v>
      </c>
      <c r="X18" s="132">
        <f t="shared" si="8"/>
        <v>0</v>
      </c>
      <c r="Y18" s="132">
        <f t="shared" si="5"/>
        <v>0</v>
      </c>
      <c r="Z18" s="132">
        <f t="shared" si="6"/>
        <v>0</v>
      </c>
      <c r="AF18" s="62"/>
    </row>
    <row r="19" spans="1:32" s="11" customFormat="1">
      <c r="A19" s="11" t="s">
        <v>47</v>
      </c>
      <c r="B19" s="408"/>
      <c r="C19" s="408"/>
      <c r="D19" s="170">
        <f t="shared" si="0"/>
        <v>0</v>
      </c>
      <c r="E19" s="170"/>
      <c r="F19" s="408"/>
      <c r="G19" s="408"/>
      <c r="H19" s="409"/>
      <c r="I19" s="170">
        <f t="shared" si="1"/>
        <v>0</v>
      </c>
      <c r="J19" s="170"/>
      <c r="K19" s="181">
        <f t="shared" si="7"/>
        <v>0</v>
      </c>
      <c r="L19" s="170"/>
      <c r="M19" s="408"/>
      <c r="N19" s="408"/>
      <c r="O19" s="170">
        <f t="shared" si="2"/>
        <v>0</v>
      </c>
      <c r="P19" s="170"/>
      <c r="Q19" s="408"/>
      <c r="R19" s="408"/>
      <c r="S19" s="409"/>
      <c r="T19" s="170">
        <f t="shared" si="3"/>
        <v>0</v>
      </c>
      <c r="V19" s="132">
        <f t="shared" si="4"/>
        <v>0</v>
      </c>
      <c r="X19" s="132">
        <f t="shared" si="8"/>
        <v>0</v>
      </c>
      <c r="Y19" s="132">
        <f t="shared" si="5"/>
        <v>0</v>
      </c>
      <c r="Z19" s="132">
        <f t="shared" si="6"/>
        <v>0</v>
      </c>
      <c r="AF19" s="62"/>
    </row>
    <row r="20" spans="1:32" s="11" customFormat="1" ht="15">
      <c r="A20" s="11" t="s">
        <v>64</v>
      </c>
      <c r="B20" s="408"/>
      <c r="C20" s="408"/>
      <c r="D20" s="170">
        <f t="shared" si="0"/>
        <v>0</v>
      </c>
      <c r="E20" s="171"/>
      <c r="F20" s="408"/>
      <c r="G20" s="408"/>
      <c r="H20" s="408"/>
      <c r="I20" s="170">
        <f t="shared" si="1"/>
        <v>0</v>
      </c>
      <c r="J20" s="170"/>
      <c r="K20" s="181">
        <f t="shared" si="7"/>
        <v>0</v>
      </c>
      <c r="L20" s="171"/>
      <c r="M20" s="408"/>
      <c r="N20" s="408"/>
      <c r="O20" s="170">
        <f t="shared" si="2"/>
        <v>0</v>
      </c>
      <c r="P20" s="170"/>
      <c r="Q20" s="408"/>
      <c r="R20" s="408"/>
      <c r="S20" s="408"/>
      <c r="T20" s="170">
        <f t="shared" si="3"/>
        <v>0</v>
      </c>
      <c r="U20" s="140"/>
      <c r="V20" s="132">
        <f t="shared" si="4"/>
        <v>0</v>
      </c>
      <c r="X20" s="132">
        <f t="shared" si="8"/>
        <v>0</v>
      </c>
      <c r="Y20" s="132">
        <f t="shared" si="5"/>
        <v>0</v>
      </c>
      <c r="Z20" s="132">
        <f t="shared" si="6"/>
        <v>0</v>
      </c>
      <c r="AF20" s="62"/>
    </row>
    <row r="21" spans="1:32" s="11" customFormat="1" ht="15">
      <c r="A21" s="286" t="s">
        <v>272</v>
      </c>
      <c r="B21" s="408"/>
      <c r="C21" s="408"/>
      <c r="D21" s="170">
        <f t="shared" si="0"/>
        <v>0</v>
      </c>
      <c r="E21" s="171"/>
      <c r="F21" s="408"/>
      <c r="G21" s="408"/>
      <c r="H21" s="408"/>
      <c r="I21" s="170">
        <f t="shared" si="1"/>
        <v>0</v>
      </c>
      <c r="J21" s="170"/>
      <c r="K21" s="181">
        <f t="shared" si="7"/>
        <v>0</v>
      </c>
      <c r="L21" s="171"/>
      <c r="M21" s="408"/>
      <c r="N21" s="408"/>
      <c r="O21" s="170">
        <f t="shared" si="2"/>
        <v>0</v>
      </c>
      <c r="P21" s="170"/>
      <c r="Q21" s="408"/>
      <c r="R21" s="408"/>
      <c r="S21" s="408"/>
      <c r="T21" s="170">
        <f t="shared" si="3"/>
        <v>0</v>
      </c>
      <c r="U21" s="140"/>
      <c r="V21" s="132">
        <f t="shared" si="4"/>
        <v>0</v>
      </c>
      <c r="X21" s="132">
        <f t="shared" si="8"/>
        <v>0</v>
      </c>
      <c r="Y21" s="132">
        <f t="shared" si="5"/>
        <v>0</v>
      </c>
      <c r="Z21" s="132">
        <f t="shared" si="6"/>
        <v>0</v>
      </c>
      <c r="AF21" s="62"/>
    </row>
    <row r="22" spans="1:32" s="11" customFormat="1" ht="15">
      <c r="A22" s="11" t="s">
        <v>75</v>
      </c>
      <c r="B22" s="408"/>
      <c r="C22" s="408"/>
      <c r="D22" s="170">
        <f t="shared" si="0"/>
        <v>0</v>
      </c>
      <c r="E22" s="171"/>
      <c r="F22" s="408"/>
      <c r="G22" s="408"/>
      <c r="H22" s="408"/>
      <c r="I22" s="170">
        <f t="shared" si="1"/>
        <v>0</v>
      </c>
      <c r="J22" s="170"/>
      <c r="K22" s="181">
        <f t="shared" si="7"/>
        <v>0</v>
      </c>
      <c r="L22" s="171"/>
      <c r="M22" s="408"/>
      <c r="N22" s="408"/>
      <c r="O22" s="170">
        <f t="shared" si="2"/>
        <v>0</v>
      </c>
      <c r="P22" s="170"/>
      <c r="Q22" s="408"/>
      <c r="R22" s="408"/>
      <c r="S22" s="408"/>
      <c r="T22" s="170">
        <f t="shared" si="3"/>
        <v>0</v>
      </c>
      <c r="U22" s="140"/>
      <c r="V22" s="132">
        <f t="shared" si="4"/>
        <v>0</v>
      </c>
      <c r="X22" s="132">
        <f t="shared" si="8"/>
        <v>0</v>
      </c>
      <c r="Y22" s="132">
        <f t="shared" si="5"/>
        <v>0</v>
      </c>
      <c r="Z22" s="132">
        <f t="shared" si="6"/>
        <v>0</v>
      </c>
      <c r="AF22" s="62"/>
    </row>
    <row r="23" spans="1:32" s="11" customFormat="1">
      <c r="A23" s="11" t="s">
        <v>76</v>
      </c>
      <c r="B23" s="408"/>
      <c r="C23" s="408"/>
      <c r="D23" s="170">
        <f t="shared" si="0"/>
        <v>0</v>
      </c>
      <c r="E23" s="170"/>
      <c r="F23" s="408"/>
      <c r="G23" s="408"/>
      <c r="H23" s="408"/>
      <c r="I23" s="170">
        <f t="shared" si="1"/>
        <v>0</v>
      </c>
      <c r="J23" s="170"/>
      <c r="K23" s="181">
        <f t="shared" si="7"/>
        <v>0</v>
      </c>
      <c r="L23" s="170"/>
      <c r="M23" s="408"/>
      <c r="N23" s="408"/>
      <c r="O23" s="170">
        <f t="shared" si="2"/>
        <v>0</v>
      </c>
      <c r="P23" s="170"/>
      <c r="Q23" s="408"/>
      <c r="R23" s="408"/>
      <c r="S23" s="408"/>
      <c r="T23" s="170">
        <f t="shared" si="3"/>
        <v>0</v>
      </c>
      <c r="V23" s="132">
        <f t="shared" si="4"/>
        <v>0</v>
      </c>
      <c r="X23" s="132">
        <f t="shared" si="8"/>
        <v>0</v>
      </c>
      <c r="Y23" s="132">
        <f t="shared" si="5"/>
        <v>0</v>
      </c>
      <c r="Z23" s="132">
        <f t="shared" si="6"/>
        <v>0</v>
      </c>
      <c r="AF23" s="62"/>
    </row>
    <row r="24" spans="1:32" s="11" customFormat="1">
      <c r="A24" s="11" t="s">
        <v>77</v>
      </c>
      <c r="B24" s="408"/>
      <c r="C24" s="408"/>
      <c r="D24" s="170">
        <f t="shared" si="0"/>
        <v>0</v>
      </c>
      <c r="E24" s="170"/>
      <c r="F24" s="408"/>
      <c r="G24" s="408"/>
      <c r="H24" s="408"/>
      <c r="I24" s="170">
        <f t="shared" si="1"/>
        <v>0</v>
      </c>
      <c r="J24" s="170"/>
      <c r="K24" s="181">
        <f t="shared" si="7"/>
        <v>0</v>
      </c>
      <c r="L24" s="170"/>
      <c r="M24" s="408"/>
      <c r="N24" s="408"/>
      <c r="O24" s="170">
        <f t="shared" si="2"/>
        <v>0</v>
      </c>
      <c r="P24" s="170"/>
      <c r="Q24" s="408"/>
      <c r="R24" s="408"/>
      <c r="S24" s="408"/>
      <c r="T24" s="170">
        <f t="shared" si="3"/>
        <v>0</v>
      </c>
      <c r="V24" s="132">
        <f t="shared" si="4"/>
        <v>0</v>
      </c>
      <c r="X24" s="132">
        <f t="shared" si="8"/>
        <v>0</v>
      </c>
      <c r="Y24" s="132">
        <f t="shared" si="5"/>
        <v>0</v>
      </c>
      <c r="Z24" s="132">
        <f t="shared" si="6"/>
        <v>0</v>
      </c>
      <c r="AF24" s="62"/>
    </row>
    <row r="25" spans="1:32" s="11" customFormat="1">
      <c r="A25" s="11" t="s">
        <v>52</v>
      </c>
      <c r="B25" s="408"/>
      <c r="C25" s="408"/>
      <c r="D25" s="170">
        <f t="shared" si="0"/>
        <v>0</v>
      </c>
      <c r="E25" s="170"/>
      <c r="F25" s="408"/>
      <c r="G25" s="408"/>
      <c r="H25" s="408"/>
      <c r="I25" s="170">
        <f t="shared" si="1"/>
        <v>0</v>
      </c>
      <c r="J25" s="170"/>
      <c r="K25" s="181">
        <f t="shared" si="7"/>
        <v>0</v>
      </c>
      <c r="L25" s="170"/>
      <c r="M25" s="408"/>
      <c r="N25" s="408"/>
      <c r="O25" s="170">
        <f t="shared" si="2"/>
        <v>0</v>
      </c>
      <c r="P25" s="170"/>
      <c r="Q25" s="408"/>
      <c r="R25" s="408"/>
      <c r="S25" s="408"/>
      <c r="T25" s="170">
        <f t="shared" si="3"/>
        <v>0</v>
      </c>
      <c r="V25" s="132">
        <f t="shared" si="4"/>
        <v>0</v>
      </c>
      <c r="X25" s="132">
        <f t="shared" si="8"/>
        <v>0</v>
      </c>
      <c r="Y25" s="132">
        <f t="shared" si="5"/>
        <v>0</v>
      </c>
      <c r="Z25" s="132">
        <f t="shared" si="6"/>
        <v>0</v>
      </c>
      <c r="AF25" s="62"/>
    </row>
    <row r="26" spans="1:32" s="11" customFormat="1">
      <c r="A26" s="11" t="s">
        <v>59</v>
      </c>
      <c r="B26" s="408"/>
      <c r="C26" s="408"/>
      <c r="D26" s="170">
        <f t="shared" si="0"/>
        <v>0</v>
      </c>
      <c r="E26" s="170"/>
      <c r="F26" s="408"/>
      <c r="G26" s="408"/>
      <c r="H26" s="408"/>
      <c r="I26" s="170">
        <f t="shared" si="1"/>
        <v>0</v>
      </c>
      <c r="J26" s="170"/>
      <c r="K26" s="181">
        <f t="shared" si="7"/>
        <v>0</v>
      </c>
      <c r="L26" s="170"/>
      <c r="M26" s="408"/>
      <c r="N26" s="408"/>
      <c r="O26" s="170">
        <f t="shared" si="2"/>
        <v>0</v>
      </c>
      <c r="P26" s="170"/>
      <c r="Q26" s="408"/>
      <c r="R26" s="408"/>
      <c r="S26" s="408"/>
      <c r="T26" s="170">
        <f t="shared" si="3"/>
        <v>0</v>
      </c>
      <c r="V26" s="132">
        <f t="shared" si="4"/>
        <v>0</v>
      </c>
      <c r="X26" s="132">
        <f t="shared" si="8"/>
        <v>0</v>
      </c>
      <c r="Y26" s="132">
        <f t="shared" si="5"/>
        <v>0</v>
      </c>
      <c r="Z26" s="132">
        <f t="shared" si="6"/>
        <v>0</v>
      </c>
      <c r="AF26" s="62"/>
    </row>
    <row r="27" spans="1:32" s="11" customFormat="1">
      <c r="A27" s="11" t="s">
        <v>60</v>
      </c>
      <c r="B27" s="408"/>
      <c r="C27" s="408"/>
      <c r="D27" s="170">
        <f t="shared" si="0"/>
        <v>0</v>
      </c>
      <c r="E27" s="170"/>
      <c r="F27" s="408"/>
      <c r="G27" s="408"/>
      <c r="H27" s="408"/>
      <c r="I27" s="170">
        <f t="shared" si="1"/>
        <v>0</v>
      </c>
      <c r="J27" s="170"/>
      <c r="K27" s="181">
        <f t="shared" si="7"/>
        <v>0</v>
      </c>
      <c r="L27" s="170"/>
      <c r="M27" s="408"/>
      <c r="N27" s="408"/>
      <c r="O27" s="170">
        <f t="shared" si="2"/>
        <v>0</v>
      </c>
      <c r="P27" s="170"/>
      <c r="Q27" s="408"/>
      <c r="R27" s="408"/>
      <c r="S27" s="408"/>
      <c r="T27" s="170">
        <f t="shared" si="3"/>
        <v>0</v>
      </c>
      <c r="V27" s="132">
        <f t="shared" si="4"/>
        <v>0</v>
      </c>
      <c r="X27" s="132">
        <f t="shared" si="8"/>
        <v>0</v>
      </c>
      <c r="Y27" s="132">
        <f t="shared" si="5"/>
        <v>0</v>
      </c>
      <c r="Z27" s="132">
        <f t="shared" si="6"/>
        <v>0</v>
      </c>
      <c r="AF27" s="62"/>
    </row>
    <row r="28" spans="1:32" s="11" customFormat="1">
      <c r="A28" s="11" t="s">
        <v>61</v>
      </c>
      <c r="B28" s="408"/>
      <c r="C28" s="408"/>
      <c r="D28" s="170">
        <f t="shared" si="0"/>
        <v>0</v>
      </c>
      <c r="E28" s="170"/>
      <c r="F28" s="408"/>
      <c r="G28" s="408"/>
      <c r="H28" s="408"/>
      <c r="I28" s="170">
        <f t="shared" si="1"/>
        <v>0</v>
      </c>
      <c r="J28" s="170"/>
      <c r="K28" s="181">
        <f t="shared" si="7"/>
        <v>0</v>
      </c>
      <c r="L28" s="170"/>
      <c r="M28" s="408"/>
      <c r="N28" s="408"/>
      <c r="O28" s="170">
        <f t="shared" si="2"/>
        <v>0</v>
      </c>
      <c r="P28" s="170"/>
      <c r="Q28" s="408"/>
      <c r="R28" s="408"/>
      <c r="S28" s="408"/>
      <c r="T28" s="170">
        <f t="shared" si="3"/>
        <v>0</v>
      </c>
      <c r="V28" s="132">
        <f t="shared" si="4"/>
        <v>0</v>
      </c>
      <c r="X28" s="132">
        <f t="shared" si="8"/>
        <v>0</v>
      </c>
      <c r="Y28" s="132">
        <f t="shared" si="5"/>
        <v>0</v>
      </c>
      <c r="Z28" s="132">
        <f t="shared" si="6"/>
        <v>0</v>
      </c>
      <c r="AF28" s="62"/>
    </row>
    <row r="29" spans="1:32" s="90" customFormat="1" ht="15">
      <c r="A29" s="11" t="s">
        <v>62</v>
      </c>
      <c r="B29" s="172"/>
      <c r="C29" s="172"/>
      <c r="D29" s="171">
        <f t="shared" si="0"/>
        <v>0</v>
      </c>
      <c r="E29" s="172"/>
      <c r="F29" s="172"/>
      <c r="G29" s="172"/>
      <c r="H29" s="172"/>
      <c r="I29" s="171">
        <f t="shared" si="1"/>
        <v>0</v>
      </c>
      <c r="J29" s="171"/>
      <c r="K29" s="188">
        <f t="shared" si="7"/>
        <v>0</v>
      </c>
      <c r="L29" s="172"/>
      <c r="M29" s="172"/>
      <c r="N29" s="172"/>
      <c r="O29" s="171">
        <f t="shared" si="2"/>
        <v>0</v>
      </c>
      <c r="P29" s="172"/>
      <c r="Q29" s="172"/>
      <c r="R29" s="172"/>
      <c r="S29" s="172"/>
      <c r="T29" s="171">
        <f t="shared" si="3"/>
        <v>0</v>
      </c>
      <c r="U29" s="173"/>
      <c r="V29" s="174">
        <f t="shared" si="4"/>
        <v>0</v>
      </c>
      <c r="X29" s="174">
        <f>+I29+D29</f>
        <v>0</v>
      </c>
      <c r="Y29" s="174">
        <f>+T29+O29</f>
        <v>0</v>
      </c>
      <c r="Z29" s="174">
        <f>+Y29+X29</f>
        <v>0</v>
      </c>
      <c r="AF29" s="63"/>
    </row>
    <row r="30" spans="1:32" s="11" customFormat="1" ht="15">
      <c r="A30" s="64"/>
      <c r="B30" s="65">
        <f>SUM(B6:B29)</f>
        <v>86556</v>
      </c>
      <c r="C30" s="65">
        <f t="shared" ref="C30:V30" si="9">SUM(C6:C29)</f>
        <v>137463</v>
      </c>
      <c r="D30" s="65">
        <f t="shared" si="9"/>
        <v>224019</v>
      </c>
      <c r="E30" s="65"/>
      <c r="F30" s="65">
        <f t="shared" si="9"/>
        <v>258996</v>
      </c>
      <c r="G30" s="65">
        <f t="shared" si="9"/>
        <v>817703</v>
      </c>
      <c r="H30" s="65">
        <f t="shared" si="9"/>
        <v>309780</v>
      </c>
      <c r="I30" s="65">
        <f t="shared" si="9"/>
        <v>1386479</v>
      </c>
      <c r="J30" s="65"/>
      <c r="K30" s="65">
        <f t="shared" si="9"/>
        <v>1610498</v>
      </c>
      <c r="L30" s="65"/>
      <c r="M30" s="65">
        <f t="shared" si="9"/>
        <v>477829</v>
      </c>
      <c r="N30" s="65">
        <f t="shared" si="9"/>
        <v>103990</v>
      </c>
      <c r="O30" s="65">
        <f t="shared" si="9"/>
        <v>581819</v>
      </c>
      <c r="P30" s="65"/>
      <c r="Q30" s="65">
        <f t="shared" si="9"/>
        <v>514326</v>
      </c>
      <c r="R30" s="65">
        <f t="shared" si="9"/>
        <v>195797</v>
      </c>
      <c r="S30" s="65">
        <f t="shared" si="9"/>
        <v>428396</v>
      </c>
      <c r="T30" s="65">
        <f t="shared" si="9"/>
        <v>1138519</v>
      </c>
      <c r="U30" s="65"/>
      <c r="V30" s="65">
        <f t="shared" si="9"/>
        <v>3330836</v>
      </c>
      <c r="X30" s="148">
        <f>SUM(X6:X29)</f>
        <v>1610498</v>
      </c>
      <c r="Y30" s="148">
        <f>SUM(Y6:Y29)</f>
        <v>1720338</v>
      </c>
      <c r="Z30" s="148">
        <f>SUM(Z6:Z29)</f>
        <v>3330836</v>
      </c>
      <c r="AF30" s="57"/>
    </row>
    <row r="31" spans="1:32" s="11" customFormat="1">
      <c r="AF31" s="57"/>
    </row>
    <row r="32" spans="1:32" s="11" customFormat="1" ht="15">
      <c r="A32" s="1" t="s">
        <v>43</v>
      </c>
      <c r="B32" s="148">
        <f>AVERAGE(B6:B29)</f>
        <v>7213</v>
      </c>
      <c r="C32" s="148">
        <f t="shared" ref="C32:S32" si="10">AVERAGE(C6:C29)</f>
        <v>11455.25</v>
      </c>
      <c r="D32" s="148">
        <f>+C32+B32</f>
        <v>18668.25</v>
      </c>
      <c r="E32" s="148"/>
      <c r="F32" s="148">
        <f t="shared" si="10"/>
        <v>21583</v>
      </c>
      <c r="G32" s="148">
        <f t="shared" si="10"/>
        <v>68141.916666666672</v>
      </c>
      <c r="H32" s="148">
        <f t="shared" si="10"/>
        <v>25815</v>
      </c>
      <c r="I32" s="148">
        <f>+H32+G32+F32</f>
        <v>115539.91666666667</v>
      </c>
      <c r="J32" s="148"/>
      <c r="K32" s="148">
        <f t="shared" si="10"/>
        <v>67104.083333333328</v>
      </c>
      <c r="L32" s="148"/>
      <c r="M32" s="148">
        <f t="shared" si="10"/>
        <v>39819.083333333336</v>
      </c>
      <c r="N32" s="148">
        <f t="shared" si="10"/>
        <v>8665.8333333333339</v>
      </c>
      <c r="O32" s="148">
        <f>+N32+M32</f>
        <v>48484.916666666672</v>
      </c>
      <c r="P32" s="148"/>
      <c r="Q32" s="148">
        <f t="shared" si="10"/>
        <v>42860.5</v>
      </c>
      <c r="R32" s="148">
        <f t="shared" si="10"/>
        <v>16316.416666666666</v>
      </c>
      <c r="S32" s="148">
        <f t="shared" si="10"/>
        <v>35699.666666666664</v>
      </c>
      <c r="T32" s="148">
        <f>+S32+R32+Q32</f>
        <v>94876.583333333328</v>
      </c>
      <c r="U32" s="148"/>
      <c r="V32" s="77">
        <f>+T32+O32+I32+D32</f>
        <v>277569.66666666669</v>
      </c>
      <c r="X32" s="77">
        <f>+I32+D32</f>
        <v>134208.16666666669</v>
      </c>
      <c r="Y32" s="77">
        <f>+T32+O32</f>
        <v>143361.5</v>
      </c>
      <c r="Z32" s="77">
        <f>+Y32+X32</f>
        <v>277569.66666666669</v>
      </c>
      <c r="AF32" s="57"/>
    </row>
    <row r="33" spans="1:32" s="11" customFormat="1">
      <c r="B33" s="135">
        <f>+B32/$I$36</f>
        <v>0.38637794115677687</v>
      </c>
      <c r="C33" s="135">
        <f>+C32/$I$36</f>
        <v>0.61362205884322307</v>
      </c>
      <c r="D33" s="135">
        <f>+D32/$I$36</f>
        <v>1</v>
      </c>
      <c r="E33" s="135"/>
      <c r="F33" s="135"/>
      <c r="AF33" s="57"/>
    </row>
    <row r="34" spans="1:32" s="11" customFormat="1">
      <c r="B34" s="135"/>
      <c r="F34" s="175"/>
      <c r="AF34" s="57"/>
    </row>
    <row r="35" spans="1:32" s="11" customFormat="1">
      <c r="A35" s="91" t="s">
        <v>78</v>
      </c>
      <c r="AF35" s="57"/>
    </row>
    <row r="36" spans="1:32" s="11" customFormat="1">
      <c r="A36" s="81" t="s">
        <v>253</v>
      </c>
      <c r="G36" s="132"/>
      <c r="H36" s="132"/>
      <c r="I36" s="176">
        <f>+D32</f>
        <v>18668.25</v>
      </c>
      <c r="J36" s="176"/>
      <c r="K36" s="394">
        <f>+I36/$I$39</f>
        <v>0.13909921030637726</v>
      </c>
      <c r="AF36" s="57"/>
    </row>
    <row r="37" spans="1:32" s="11" customFormat="1">
      <c r="A37" s="81" t="s">
        <v>254</v>
      </c>
      <c r="G37" s="132"/>
      <c r="H37" s="132"/>
      <c r="I37" s="176">
        <f>+F32</f>
        <v>21583</v>
      </c>
      <c r="J37" s="176"/>
      <c r="K37" s="394">
        <f t="shared" ref="K37:K39" si="11">+I37/$I$39</f>
        <v>0.1608173372459947</v>
      </c>
      <c r="AF37" s="57"/>
    </row>
    <row r="38" spans="1:32" s="11" customFormat="1" ht="15">
      <c r="A38" s="81" t="s">
        <v>79</v>
      </c>
      <c r="I38" s="177">
        <f>+G32+H32</f>
        <v>93956.916666666672</v>
      </c>
      <c r="J38" s="177"/>
      <c r="K38" s="395">
        <f t="shared" si="11"/>
        <v>0.70008345244762793</v>
      </c>
      <c r="AF38" s="57"/>
    </row>
    <row r="39" spans="1:32" s="11" customFormat="1" ht="15">
      <c r="A39" s="81"/>
      <c r="I39" s="148">
        <f>SUM(I36:I38)</f>
        <v>134208.16666666669</v>
      </c>
      <c r="J39" s="148"/>
      <c r="K39" s="164">
        <f t="shared" si="11"/>
        <v>1</v>
      </c>
      <c r="AF39" s="57"/>
    </row>
    <row r="40" spans="1:32" s="11" customFormat="1">
      <c r="A40" s="91"/>
      <c r="AF40" s="57"/>
    </row>
    <row r="41" spans="1:32" s="11" customFormat="1">
      <c r="A41" s="81"/>
      <c r="I41" s="178"/>
      <c r="J41" s="178"/>
      <c r="K41" s="178"/>
      <c r="AF41" s="57"/>
    </row>
    <row r="42" spans="1:32" s="11" customFormat="1" ht="15">
      <c r="A42" s="91"/>
      <c r="I42" s="179"/>
      <c r="J42" s="179"/>
      <c r="K42" s="179"/>
      <c r="AF42" s="57"/>
    </row>
    <row r="43" spans="1:32" s="11" customFormat="1" ht="15">
      <c r="A43" s="81"/>
      <c r="I43" s="176"/>
      <c r="J43" s="148"/>
      <c r="K43" s="394"/>
      <c r="N43" s="169"/>
      <c r="AF43" s="57"/>
    </row>
    <row r="44" spans="1:32">
      <c r="A44" s="81"/>
      <c r="I44" s="396"/>
      <c r="K44" s="394"/>
      <c r="N44" s="95"/>
      <c r="Q44" s="94"/>
      <c r="R44" s="94"/>
      <c r="S44" s="94"/>
    </row>
    <row r="45" spans="1:32" ht="15">
      <c r="A45" s="81"/>
      <c r="I45" s="382"/>
      <c r="K45" s="395"/>
      <c r="N45" s="95"/>
      <c r="Q45" s="94"/>
      <c r="R45" s="94"/>
      <c r="S45" s="94"/>
    </row>
    <row r="46" spans="1:32" ht="15">
      <c r="I46" s="148"/>
      <c r="J46" s="148"/>
      <c r="K46" s="164"/>
      <c r="N46" s="95"/>
      <c r="Q46" s="94"/>
      <c r="R46" s="94"/>
      <c r="S46" s="94"/>
    </row>
    <row r="47" spans="1:32">
      <c r="N47" s="95"/>
      <c r="Q47" s="94"/>
      <c r="R47" s="94"/>
      <c r="S47" s="94"/>
    </row>
    <row r="48" spans="1:32">
      <c r="N48" s="96"/>
      <c r="Q48" s="94"/>
      <c r="R48" s="94"/>
      <c r="S48" s="94"/>
    </row>
  </sheetData>
  <mergeCells count="6">
    <mergeCell ref="B3:I3"/>
    <mergeCell ref="M3:T3"/>
    <mergeCell ref="B4:D4"/>
    <mergeCell ref="F4:I4"/>
    <mergeCell ref="M4:O4"/>
    <mergeCell ref="Q4:T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264"/>
  <sheetViews>
    <sheetView workbookViewId="0">
      <pane xSplit="2" ySplit="5" topLeftCell="C192" activePane="bottomRight" state="frozen"/>
      <selection pane="topRight" activeCell="C1" sqref="C1"/>
      <selection pane="bottomLeft" activeCell="A4" sqref="A4"/>
      <selection pane="bottomRight" activeCell="D74" sqref="D74:L74"/>
    </sheetView>
  </sheetViews>
  <sheetFormatPr defaultRowHeight="12.75"/>
  <cols>
    <col min="1" max="1" width="5.5703125" style="11" customWidth="1"/>
    <col min="2" max="2" width="11.7109375" style="11" customWidth="1"/>
    <col min="3" max="3" width="11.42578125" style="11" customWidth="1"/>
    <col min="4" max="5" width="12.85546875" style="11" bestFit="1" customWidth="1"/>
    <col min="6" max="6" width="10.85546875" style="11" bestFit="1" customWidth="1"/>
    <col min="7" max="7" width="11.28515625" style="11" bestFit="1" customWidth="1"/>
    <col min="8" max="8" width="10.85546875" style="11" bestFit="1" customWidth="1"/>
    <col min="9" max="9" width="10.28515625" style="11" bestFit="1" customWidth="1"/>
    <col min="10" max="10" width="10.85546875" style="11" customWidth="1"/>
    <col min="11" max="11" width="10.28515625" style="11" bestFit="1" customWidth="1"/>
    <col min="12" max="12" width="12.5703125" style="11" customWidth="1"/>
    <col min="13" max="13" width="13.28515625" style="11" bestFit="1" customWidth="1"/>
    <col min="14" max="14" width="9.140625" style="11"/>
    <col min="15" max="15" width="9.28515625" style="11" bestFit="1" customWidth="1"/>
    <col min="16" max="25" width="12.140625" style="11" customWidth="1"/>
    <col min="26" max="16384" width="9.140625" style="11"/>
  </cols>
  <sheetData>
    <row r="1" spans="2:14" ht="18">
      <c r="B1" s="475" t="s">
        <v>105</v>
      </c>
      <c r="C1" s="475"/>
      <c r="D1" s="475"/>
      <c r="E1" s="475"/>
      <c r="F1" s="475"/>
      <c r="G1" s="475"/>
      <c r="H1" s="475"/>
      <c r="I1" s="475"/>
      <c r="J1" s="475"/>
      <c r="K1" s="475"/>
      <c r="L1" s="475"/>
    </row>
    <row r="3" spans="2:14">
      <c r="B3" s="82"/>
      <c r="C3" s="476" t="s">
        <v>32</v>
      </c>
      <c r="D3" s="477"/>
      <c r="E3" s="477"/>
      <c r="F3" s="477"/>
      <c r="G3" s="477"/>
      <c r="H3" s="477"/>
      <c r="I3" s="477"/>
      <c r="J3" s="477"/>
      <c r="K3" s="477"/>
      <c r="L3" s="478"/>
      <c r="M3" s="83"/>
    </row>
    <row r="4" spans="2:14">
      <c r="B4" s="48"/>
      <c r="C4" s="49"/>
      <c r="D4" s="84"/>
      <c r="E4" s="84"/>
      <c r="F4" s="50"/>
      <c r="G4" s="84"/>
      <c r="H4" s="84"/>
      <c r="I4" s="84"/>
      <c r="J4" s="50" t="s">
        <v>33</v>
      </c>
      <c r="K4" s="50" t="s">
        <v>34</v>
      </c>
      <c r="L4" s="50" t="s">
        <v>35</v>
      </c>
      <c r="M4" s="83"/>
    </row>
    <row r="5" spans="2:14">
      <c r="B5" s="48" t="s">
        <v>36</v>
      </c>
      <c r="C5" s="51" t="s">
        <v>37</v>
      </c>
      <c r="D5" s="51" t="s">
        <v>38</v>
      </c>
      <c r="E5" s="51" t="s">
        <v>1</v>
      </c>
      <c r="F5" s="51" t="s">
        <v>39</v>
      </c>
      <c r="G5" s="51" t="s">
        <v>40</v>
      </c>
      <c r="H5" s="51" t="s">
        <v>2</v>
      </c>
      <c r="I5" s="51" t="s">
        <v>8</v>
      </c>
      <c r="J5" s="51" t="s">
        <v>41</v>
      </c>
      <c r="K5" s="51" t="s">
        <v>41</v>
      </c>
      <c r="L5" s="50" t="s">
        <v>42</v>
      </c>
      <c r="M5" s="83"/>
    </row>
    <row r="6" spans="2:14">
      <c r="B6" s="85"/>
      <c r="C6" s="52"/>
      <c r="D6" s="85"/>
      <c r="E6" s="85"/>
      <c r="F6" s="85"/>
      <c r="G6" s="85"/>
      <c r="H6" s="85"/>
      <c r="I6" s="85"/>
      <c r="J6" s="85"/>
      <c r="K6" s="85"/>
      <c r="L6" s="85"/>
      <c r="M6" s="83"/>
    </row>
    <row r="7" spans="2:14">
      <c r="B7" s="53">
        <v>44470</v>
      </c>
      <c r="C7" s="410">
        <v>0</v>
      </c>
      <c r="D7" s="410">
        <v>113.54</v>
      </c>
      <c r="E7" s="410">
        <v>201.7</v>
      </c>
      <c r="F7" s="410">
        <v>1658.86</v>
      </c>
      <c r="G7" s="410">
        <v>210.39</v>
      </c>
      <c r="H7" s="410">
        <v>-63.5</v>
      </c>
      <c r="I7" s="410">
        <v>247.32</v>
      </c>
      <c r="J7" s="410">
        <v>2020</v>
      </c>
      <c r="K7" s="410">
        <v>1010</v>
      </c>
      <c r="L7" s="410">
        <v>-187.5</v>
      </c>
      <c r="M7" s="83"/>
    </row>
    <row r="8" spans="2:14">
      <c r="B8" s="53">
        <v>44501</v>
      </c>
      <c r="C8" s="410">
        <v>0</v>
      </c>
      <c r="D8" s="410">
        <v>97.71</v>
      </c>
      <c r="E8" s="410">
        <v>181.58</v>
      </c>
      <c r="F8" s="410">
        <v>1468.37</v>
      </c>
      <c r="G8" s="410">
        <v>239.37</v>
      </c>
      <c r="H8" s="410">
        <v>-63.5</v>
      </c>
      <c r="I8" s="410">
        <v>250</v>
      </c>
      <c r="J8" s="410">
        <v>1680</v>
      </c>
      <c r="K8" s="410">
        <v>706</v>
      </c>
      <c r="L8" s="410">
        <v>-187.5</v>
      </c>
      <c r="M8" s="83"/>
      <c r="N8" s="79"/>
    </row>
    <row r="9" spans="2:14">
      <c r="B9" s="53">
        <v>44531</v>
      </c>
      <c r="C9" s="410">
        <v>0</v>
      </c>
      <c r="D9" s="410">
        <v>65.930000000000007</v>
      </c>
      <c r="E9" s="410">
        <v>166.64</v>
      </c>
      <c r="F9" s="410">
        <v>1618.61</v>
      </c>
      <c r="G9" s="410">
        <v>231.04</v>
      </c>
      <c r="H9" s="410">
        <v>-63.5</v>
      </c>
      <c r="I9" s="410">
        <v>259.08999999999997</v>
      </c>
      <c r="J9" s="410">
        <v>1100</v>
      </c>
      <c r="K9" s="410">
        <v>460</v>
      </c>
      <c r="L9" s="410">
        <v>-187.5</v>
      </c>
      <c r="M9" s="83"/>
    </row>
    <row r="10" spans="2:14">
      <c r="B10" s="53">
        <v>44562</v>
      </c>
      <c r="C10" s="410">
        <v>0</v>
      </c>
      <c r="D10" s="410">
        <v>61.69</v>
      </c>
      <c r="E10" s="410">
        <v>149.91</v>
      </c>
      <c r="F10" s="410">
        <v>1925.91</v>
      </c>
      <c r="G10" s="410">
        <v>204.83</v>
      </c>
      <c r="H10" s="410">
        <v>-63.5</v>
      </c>
      <c r="I10" s="410">
        <v>240</v>
      </c>
      <c r="J10" s="410">
        <v>900</v>
      </c>
      <c r="K10" s="410">
        <v>320</v>
      </c>
      <c r="L10" s="410">
        <v>-187.5</v>
      </c>
      <c r="M10" s="83"/>
    </row>
    <row r="11" spans="2:14">
      <c r="B11" s="53">
        <v>44593</v>
      </c>
      <c r="C11" s="410">
        <v>0</v>
      </c>
      <c r="D11" s="410">
        <v>51.13</v>
      </c>
      <c r="E11" s="410">
        <v>158.74</v>
      </c>
      <c r="F11" s="410">
        <v>2136.09</v>
      </c>
      <c r="G11" s="410">
        <v>202.94</v>
      </c>
      <c r="H11" s="410">
        <v>-63.5</v>
      </c>
      <c r="I11" s="410">
        <v>271.64</v>
      </c>
      <c r="J11" s="410">
        <v>900</v>
      </c>
      <c r="K11" s="411">
        <v>280</v>
      </c>
      <c r="L11" s="410">
        <v>-187.5</v>
      </c>
      <c r="M11" s="83"/>
    </row>
    <row r="12" spans="2:14">
      <c r="B12" s="53">
        <v>44621</v>
      </c>
      <c r="C12" s="410">
        <v>0</v>
      </c>
      <c r="D12" s="410">
        <v>51.12</v>
      </c>
      <c r="E12" s="410">
        <v>160.58000000000001</v>
      </c>
      <c r="F12" s="410">
        <v>2373.21</v>
      </c>
      <c r="G12" s="410">
        <v>239.66</v>
      </c>
      <c r="H12" s="410">
        <v>-63.5</v>
      </c>
      <c r="I12" s="410">
        <v>324.11</v>
      </c>
      <c r="J12" s="410">
        <v>820</v>
      </c>
      <c r="K12" s="411">
        <v>390</v>
      </c>
      <c r="L12" s="410">
        <v>-187.5</v>
      </c>
      <c r="M12" s="86"/>
    </row>
    <row r="13" spans="2:14">
      <c r="B13" s="53">
        <v>44652</v>
      </c>
      <c r="C13" s="410">
        <v>0</v>
      </c>
      <c r="D13" s="410">
        <v>49.12</v>
      </c>
      <c r="E13" s="410">
        <v>155.36000000000001</v>
      </c>
      <c r="F13" s="410">
        <v>2237.41</v>
      </c>
      <c r="G13" s="410">
        <v>273.82</v>
      </c>
      <c r="H13" s="410">
        <v>-63.5</v>
      </c>
      <c r="I13" s="410">
        <v>507.18</v>
      </c>
      <c r="J13" s="410">
        <v>860</v>
      </c>
      <c r="K13" s="410">
        <v>460</v>
      </c>
      <c r="L13" s="410">
        <v>-187.5</v>
      </c>
      <c r="M13" s="86"/>
    </row>
    <row r="14" spans="2:14">
      <c r="B14" s="53">
        <v>44682</v>
      </c>
      <c r="C14" s="410">
        <v>0</v>
      </c>
      <c r="D14" s="417">
        <v>35.01</v>
      </c>
      <c r="E14" s="417">
        <v>155.07</v>
      </c>
      <c r="F14" s="417">
        <v>1852.38</v>
      </c>
      <c r="G14" s="417">
        <v>251.94</v>
      </c>
      <c r="H14" s="410">
        <v>-63.5</v>
      </c>
      <c r="I14" s="410">
        <v>630.21</v>
      </c>
      <c r="J14" s="410">
        <v>1080</v>
      </c>
      <c r="K14" s="410">
        <v>480</v>
      </c>
      <c r="L14" s="410">
        <v>-187.5</v>
      </c>
      <c r="M14" s="86"/>
    </row>
    <row r="15" spans="2:14">
      <c r="B15" s="53">
        <v>44713</v>
      </c>
      <c r="C15" s="410">
        <v>0</v>
      </c>
      <c r="D15" s="410">
        <v>47.16</v>
      </c>
      <c r="E15" s="410">
        <v>147.5</v>
      </c>
      <c r="F15" s="410">
        <v>1660.34</v>
      </c>
      <c r="G15" s="410">
        <v>210.52</v>
      </c>
      <c r="H15" s="410">
        <v>-63.5</v>
      </c>
      <c r="I15" s="410">
        <v>586.92999999999995</v>
      </c>
      <c r="J15" s="410">
        <v>1145</v>
      </c>
      <c r="K15" s="410">
        <v>480</v>
      </c>
      <c r="L15" s="410">
        <v>-187.5</v>
      </c>
      <c r="M15" s="86"/>
    </row>
    <row r="16" spans="2:14">
      <c r="B16" s="53">
        <v>44743</v>
      </c>
      <c r="C16" s="412">
        <v>0</v>
      </c>
      <c r="D16" s="412">
        <v>50.07</v>
      </c>
      <c r="E16" s="412">
        <v>159.46</v>
      </c>
      <c r="F16" s="412">
        <v>1512.68</v>
      </c>
      <c r="G16" s="412">
        <v>168.11</v>
      </c>
      <c r="H16" s="410">
        <v>-63.5</v>
      </c>
      <c r="I16" s="412">
        <v>280</v>
      </c>
      <c r="J16" s="412">
        <v>860</v>
      </c>
      <c r="K16" s="412">
        <v>340</v>
      </c>
      <c r="L16" s="410">
        <v>-187.5</v>
      </c>
      <c r="M16" s="86"/>
    </row>
    <row r="17" spans="2:27">
      <c r="B17" s="53">
        <v>44774</v>
      </c>
      <c r="C17" s="412">
        <v>0</v>
      </c>
      <c r="D17" s="412">
        <v>31.27</v>
      </c>
      <c r="E17" s="412">
        <v>116.81</v>
      </c>
      <c r="F17" s="412">
        <v>1330.22</v>
      </c>
      <c r="G17" s="412">
        <v>154.78</v>
      </c>
      <c r="H17" s="410">
        <v>-63.5</v>
      </c>
      <c r="I17" s="410">
        <v>72.25</v>
      </c>
      <c r="J17" s="410">
        <v>780</v>
      </c>
      <c r="K17" s="410">
        <v>300</v>
      </c>
      <c r="L17" s="410">
        <v>-187.5</v>
      </c>
      <c r="M17" s="86"/>
    </row>
    <row r="18" spans="2:27">
      <c r="B18" s="53">
        <v>44805</v>
      </c>
      <c r="C18" s="412">
        <f>+C17</f>
        <v>0</v>
      </c>
      <c r="D18" s="412">
        <v>5.46</v>
      </c>
      <c r="E18" s="412">
        <v>82.65</v>
      </c>
      <c r="F18" s="412">
        <v>1220.1099999999999</v>
      </c>
      <c r="G18" s="412">
        <v>147.94999999999999</v>
      </c>
      <c r="H18" s="412">
        <f t="shared" ref="H18:L18" si="0">+H17</f>
        <v>-63.5</v>
      </c>
      <c r="I18" s="412">
        <v>80</v>
      </c>
      <c r="J18" s="412">
        <v>467.94</v>
      </c>
      <c r="K18" s="412">
        <v>110</v>
      </c>
      <c r="L18" s="412">
        <f t="shared" si="0"/>
        <v>-187.5</v>
      </c>
      <c r="M18" s="86"/>
    </row>
    <row r="19" spans="2:27">
      <c r="B19" s="53">
        <v>44835</v>
      </c>
      <c r="C19" s="410"/>
      <c r="D19" s="410"/>
      <c r="E19" s="410"/>
      <c r="F19" s="410"/>
      <c r="G19" s="410"/>
      <c r="H19" s="410"/>
      <c r="I19" s="410"/>
      <c r="J19" s="410"/>
      <c r="K19" s="410"/>
      <c r="L19" s="410"/>
      <c r="M19" s="86"/>
    </row>
    <row r="20" spans="2:27">
      <c r="B20" s="53">
        <v>44866</v>
      </c>
      <c r="C20" s="410"/>
      <c r="D20" s="410"/>
      <c r="E20" s="410"/>
      <c r="F20" s="410"/>
      <c r="G20" s="410"/>
      <c r="H20" s="410"/>
      <c r="I20" s="410"/>
      <c r="J20" s="410"/>
      <c r="K20" s="410"/>
      <c r="L20" s="410"/>
      <c r="M20" s="86"/>
    </row>
    <row r="21" spans="2:27">
      <c r="B21" s="53">
        <v>44896</v>
      </c>
      <c r="C21" s="410"/>
      <c r="D21" s="410"/>
      <c r="E21" s="410"/>
      <c r="F21" s="410"/>
      <c r="G21" s="410"/>
      <c r="H21" s="410"/>
      <c r="I21" s="410"/>
      <c r="J21" s="410"/>
      <c r="K21" s="410"/>
      <c r="L21" s="410"/>
      <c r="M21" s="86"/>
    </row>
    <row r="22" spans="2:27">
      <c r="B22" s="53">
        <v>44927</v>
      </c>
      <c r="C22" s="410"/>
      <c r="D22" s="410"/>
      <c r="E22" s="410"/>
      <c r="F22" s="410"/>
      <c r="G22" s="410"/>
      <c r="H22" s="410"/>
      <c r="I22" s="410"/>
      <c r="J22" s="410"/>
      <c r="K22" s="410"/>
      <c r="L22" s="410"/>
    </row>
    <row r="23" spans="2:27">
      <c r="B23" s="53">
        <v>44958</v>
      </c>
      <c r="C23" s="410"/>
      <c r="D23" s="410"/>
      <c r="E23" s="410"/>
      <c r="F23" s="410"/>
      <c r="G23" s="410"/>
      <c r="H23" s="410"/>
      <c r="I23" s="410"/>
      <c r="J23" s="410"/>
      <c r="K23" s="410"/>
      <c r="L23" s="410"/>
      <c r="M23" s="86"/>
    </row>
    <row r="24" spans="2:27">
      <c r="B24" s="53">
        <v>44986</v>
      </c>
      <c r="C24" s="410"/>
      <c r="D24" s="410"/>
      <c r="E24" s="410"/>
      <c r="F24" s="410"/>
      <c r="G24" s="410"/>
      <c r="H24" s="410"/>
      <c r="I24" s="410"/>
      <c r="J24" s="410"/>
      <c r="K24" s="410"/>
      <c r="L24" s="410"/>
      <c r="M24" s="86"/>
    </row>
    <row r="25" spans="2:27">
      <c r="B25" s="53">
        <v>45017</v>
      </c>
      <c r="C25" s="410"/>
      <c r="D25" s="410"/>
      <c r="E25" s="410"/>
      <c r="F25" s="410"/>
      <c r="G25" s="410"/>
      <c r="H25" s="410"/>
      <c r="I25" s="413"/>
      <c r="J25" s="410"/>
      <c r="K25" s="410"/>
      <c r="L25" s="410"/>
      <c r="M25" s="86"/>
    </row>
    <row r="26" spans="2:27">
      <c r="B26" s="53">
        <v>45047</v>
      </c>
      <c r="C26" s="413"/>
      <c r="D26" s="413"/>
      <c r="E26" s="413"/>
      <c r="F26" s="413"/>
      <c r="G26" s="413"/>
      <c r="H26" s="410"/>
      <c r="I26" s="413"/>
      <c r="J26" s="413"/>
      <c r="K26" s="414"/>
      <c r="L26" s="410"/>
      <c r="M26" s="86"/>
    </row>
    <row r="27" spans="2:27">
      <c r="B27" s="53">
        <v>45078</v>
      </c>
      <c r="C27" s="413"/>
      <c r="D27" s="413"/>
      <c r="E27" s="413"/>
      <c r="F27" s="413"/>
      <c r="G27" s="413"/>
      <c r="H27" s="410"/>
      <c r="I27" s="413"/>
      <c r="J27" s="413"/>
      <c r="K27" s="414"/>
      <c r="L27" s="413"/>
      <c r="M27" s="86"/>
    </row>
    <row r="28" spans="2:27">
      <c r="B28" s="53">
        <v>45108</v>
      </c>
      <c r="C28" s="413"/>
      <c r="D28" s="413"/>
      <c r="E28" s="413"/>
      <c r="F28" s="413"/>
      <c r="G28" s="413"/>
      <c r="H28" s="410"/>
      <c r="I28" s="413"/>
      <c r="J28" s="413"/>
      <c r="K28" s="414"/>
      <c r="L28" s="413"/>
      <c r="M28" s="86"/>
    </row>
    <row r="29" spans="2:27">
      <c r="B29" s="53">
        <v>45139</v>
      </c>
      <c r="C29" s="413"/>
      <c r="D29" s="413"/>
      <c r="E29" s="413"/>
      <c r="F29" s="413"/>
      <c r="G29" s="413"/>
      <c r="H29" s="413"/>
      <c r="I29" s="413"/>
      <c r="J29" s="413"/>
      <c r="K29" s="413"/>
      <c r="L29" s="413"/>
      <c r="M29" s="86"/>
    </row>
    <row r="30" spans="2:27" s="90" customFormat="1">
      <c r="B30" s="53">
        <v>45170</v>
      </c>
      <c r="C30" s="413"/>
      <c r="D30" s="413"/>
      <c r="E30" s="413"/>
      <c r="F30" s="413"/>
      <c r="G30" s="413"/>
      <c r="H30" s="413"/>
      <c r="I30" s="413"/>
      <c r="J30" s="413"/>
      <c r="K30" s="413"/>
      <c r="L30" s="413"/>
      <c r="M30" s="89"/>
      <c r="AA30" s="11"/>
    </row>
    <row r="31" spans="2:27" s="81" customFormat="1" ht="15">
      <c r="B31" s="81" t="s">
        <v>43</v>
      </c>
      <c r="C31" s="80">
        <f>AVERAGE(C7:C30)</f>
        <v>0</v>
      </c>
      <c r="D31" s="80">
        <f t="shared" ref="D31:L31" si="1">AVERAGE(D7:D30)</f>
        <v>54.93416666666667</v>
      </c>
      <c r="E31" s="80">
        <f t="shared" si="1"/>
        <v>153</v>
      </c>
      <c r="F31" s="80">
        <f t="shared" si="1"/>
        <v>1749.5158333333336</v>
      </c>
      <c r="G31" s="80">
        <f t="shared" si="1"/>
        <v>211.2791666666667</v>
      </c>
      <c r="H31" s="80">
        <f t="shared" si="1"/>
        <v>-63.5</v>
      </c>
      <c r="I31" s="80">
        <f t="shared" si="1"/>
        <v>312.39416666666665</v>
      </c>
      <c r="J31" s="80">
        <f t="shared" si="1"/>
        <v>1051.0783333333334</v>
      </c>
      <c r="K31" s="80">
        <f t="shared" si="1"/>
        <v>444.66666666666669</v>
      </c>
      <c r="L31" s="80">
        <f t="shared" si="1"/>
        <v>-187.5</v>
      </c>
    </row>
    <row r="32" spans="2:27" ht="15">
      <c r="I32" s="80">
        <f>AVERAGE(I31:L31)</f>
        <v>405.15979166666671</v>
      </c>
      <c r="J32" s="81" t="s">
        <v>44</v>
      </c>
    </row>
    <row r="33" spans="2:23" ht="15">
      <c r="I33" s="80"/>
      <c r="J33" s="81"/>
      <c r="V33" s="80"/>
      <c r="W33" s="81"/>
    </row>
    <row r="34" spans="2:23" ht="15">
      <c r="I34" s="80"/>
      <c r="J34" s="81"/>
      <c r="V34" s="80"/>
      <c r="W34" s="81"/>
    </row>
    <row r="35" spans="2:23" ht="19.5">
      <c r="B35" s="475" t="s">
        <v>106</v>
      </c>
      <c r="C35" s="475"/>
      <c r="D35" s="475"/>
      <c r="E35" s="475"/>
      <c r="F35" s="475"/>
      <c r="G35" s="475"/>
      <c r="H35" s="475"/>
      <c r="I35" s="475"/>
      <c r="J35" s="475"/>
      <c r="K35" s="475"/>
      <c r="L35" s="475"/>
      <c r="V35" s="80"/>
      <c r="W35" s="81"/>
    </row>
    <row r="36" spans="2:23" ht="15">
      <c r="V36" s="80"/>
      <c r="W36" s="81"/>
    </row>
    <row r="37" spans="2:23" ht="15">
      <c r="B37" s="82"/>
      <c r="C37" s="476" t="s">
        <v>32</v>
      </c>
      <c r="D37" s="477"/>
      <c r="E37" s="477"/>
      <c r="F37" s="477"/>
      <c r="G37" s="477"/>
      <c r="H37" s="477"/>
      <c r="I37" s="477"/>
      <c r="J37" s="477"/>
      <c r="K37" s="477"/>
      <c r="L37" s="478"/>
      <c r="V37" s="80"/>
      <c r="W37" s="81"/>
    </row>
    <row r="38" spans="2:23" ht="15">
      <c r="B38" s="48"/>
      <c r="C38" s="49"/>
      <c r="D38" s="84"/>
      <c r="E38" s="84"/>
      <c r="F38" s="50"/>
      <c r="G38" s="84"/>
      <c r="H38" s="84"/>
      <c r="I38" s="84"/>
      <c r="J38" s="50" t="s">
        <v>33</v>
      </c>
      <c r="K38" s="50" t="s">
        <v>34</v>
      </c>
      <c r="L38" s="50" t="s">
        <v>35</v>
      </c>
      <c r="V38" s="80"/>
      <c r="W38" s="81"/>
    </row>
    <row r="39" spans="2:23" ht="15">
      <c r="B39" s="48" t="s">
        <v>36</v>
      </c>
      <c r="C39" s="51" t="s">
        <v>37</v>
      </c>
      <c r="D39" s="51" t="s">
        <v>38</v>
      </c>
      <c r="E39" s="51" t="s">
        <v>1</v>
      </c>
      <c r="F39" s="51" t="s">
        <v>39</v>
      </c>
      <c r="G39" s="51" t="s">
        <v>40</v>
      </c>
      <c r="H39" s="51" t="s">
        <v>2</v>
      </c>
      <c r="I39" s="51" t="s">
        <v>8</v>
      </c>
      <c r="J39" s="51" t="s">
        <v>41</v>
      </c>
      <c r="K39" s="51" t="s">
        <v>41</v>
      </c>
      <c r="L39" s="50" t="s">
        <v>42</v>
      </c>
      <c r="V39" s="80"/>
      <c r="W39" s="81"/>
    </row>
    <row r="40" spans="2:23" ht="15">
      <c r="B40" s="85"/>
      <c r="C40" s="52"/>
      <c r="D40" s="85"/>
      <c r="E40" s="85"/>
      <c r="F40" s="85"/>
      <c r="G40" s="85"/>
      <c r="H40" s="85"/>
      <c r="I40" s="85"/>
      <c r="J40" s="85"/>
      <c r="K40" s="85"/>
      <c r="L40" s="85"/>
      <c r="V40" s="80"/>
      <c r="W40" s="81"/>
    </row>
    <row r="41" spans="2:23" ht="15">
      <c r="B41" s="53">
        <v>44470</v>
      </c>
      <c r="C41" s="410">
        <v>0</v>
      </c>
      <c r="D41" s="410">
        <v>135.9</v>
      </c>
      <c r="E41" s="410">
        <v>178.83</v>
      </c>
      <c r="F41" s="410">
        <v>1887.9</v>
      </c>
      <c r="G41" s="410">
        <v>240.32</v>
      </c>
      <c r="H41" s="410">
        <v>-63.5</v>
      </c>
      <c r="I41" s="410">
        <v>290</v>
      </c>
      <c r="J41" s="410">
        <v>2047.22</v>
      </c>
      <c r="K41" s="410">
        <v>1010</v>
      </c>
      <c r="L41" s="410">
        <v>-187.5</v>
      </c>
      <c r="V41" s="80"/>
      <c r="W41" s="81"/>
    </row>
    <row r="42" spans="2:23" ht="15">
      <c r="B42" s="53">
        <v>44501</v>
      </c>
      <c r="C42" s="410">
        <v>0</v>
      </c>
      <c r="D42" s="410">
        <v>111.59</v>
      </c>
      <c r="E42" s="410">
        <v>168.5</v>
      </c>
      <c r="F42" s="410">
        <v>1452.83</v>
      </c>
      <c r="G42" s="410">
        <v>266.35000000000002</v>
      </c>
      <c r="H42" s="410">
        <v>-63.5</v>
      </c>
      <c r="I42" s="410">
        <v>295.89</v>
      </c>
      <c r="J42" s="410">
        <v>1764.75</v>
      </c>
      <c r="K42" s="410">
        <v>706</v>
      </c>
      <c r="L42" s="410">
        <v>-187.5</v>
      </c>
      <c r="V42" s="80"/>
      <c r="W42" s="81"/>
    </row>
    <row r="43" spans="2:23" ht="15">
      <c r="B43" s="53">
        <v>44531</v>
      </c>
      <c r="C43" s="410">
        <v>0</v>
      </c>
      <c r="D43" s="410">
        <v>88.51</v>
      </c>
      <c r="E43" s="410">
        <v>151.12</v>
      </c>
      <c r="F43" s="410">
        <v>1659.73</v>
      </c>
      <c r="G43" s="410">
        <v>257.77</v>
      </c>
      <c r="H43" s="410">
        <v>-63.5</v>
      </c>
      <c r="I43" s="410">
        <v>264.66000000000003</v>
      </c>
      <c r="J43" s="410">
        <v>1100</v>
      </c>
      <c r="K43" s="410">
        <v>460</v>
      </c>
      <c r="L43" s="410">
        <v>-187.5</v>
      </c>
      <c r="V43" s="80"/>
      <c r="W43" s="81"/>
    </row>
    <row r="44" spans="2:23" ht="15">
      <c r="B44" s="53">
        <v>44562</v>
      </c>
      <c r="C44" s="410">
        <v>0</v>
      </c>
      <c r="D44" s="410">
        <v>78.650000000000006</v>
      </c>
      <c r="E44" s="410">
        <v>133.91999999999999</v>
      </c>
      <c r="F44" s="410">
        <v>1911.58</v>
      </c>
      <c r="G44" s="410">
        <v>235.99</v>
      </c>
      <c r="H44" s="410">
        <v>-63.5</v>
      </c>
      <c r="I44" s="410">
        <v>240</v>
      </c>
      <c r="J44" s="410">
        <v>900</v>
      </c>
      <c r="K44" s="410">
        <v>320</v>
      </c>
      <c r="L44" s="410">
        <v>-187.5</v>
      </c>
      <c r="V44" s="80"/>
      <c r="W44" s="81"/>
    </row>
    <row r="45" spans="2:23" ht="15">
      <c r="B45" s="53">
        <v>44593</v>
      </c>
      <c r="C45" s="410">
        <v>0</v>
      </c>
      <c r="D45" s="410">
        <v>67.56</v>
      </c>
      <c r="E45" s="410">
        <v>145.6</v>
      </c>
      <c r="F45" s="410">
        <v>2130.17</v>
      </c>
      <c r="G45" s="410">
        <v>230.47</v>
      </c>
      <c r="H45" s="410">
        <v>-63.5</v>
      </c>
      <c r="I45" s="410">
        <v>292.88</v>
      </c>
      <c r="J45" s="410">
        <v>855.13</v>
      </c>
      <c r="K45" s="410">
        <v>280</v>
      </c>
      <c r="L45" s="410">
        <v>-187.5</v>
      </c>
      <c r="V45" s="80"/>
      <c r="W45" s="81"/>
    </row>
    <row r="46" spans="2:23" ht="15">
      <c r="B46" s="53">
        <v>44621</v>
      </c>
      <c r="C46" s="410">
        <v>0</v>
      </c>
      <c r="D46" s="410">
        <v>63.82</v>
      </c>
      <c r="E46" s="410">
        <v>162.55000000000001</v>
      </c>
      <c r="F46" s="410">
        <v>2375.17</v>
      </c>
      <c r="G46" s="410">
        <v>290.5</v>
      </c>
      <c r="H46" s="410">
        <v>-63.5</v>
      </c>
      <c r="I46" s="410">
        <v>310.58999999999997</v>
      </c>
      <c r="J46" s="410">
        <v>820</v>
      </c>
      <c r="K46" s="410">
        <v>390</v>
      </c>
      <c r="L46" s="410">
        <v>-187.5</v>
      </c>
      <c r="V46" s="80"/>
      <c r="W46" s="81"/>
    </row>
    <row r="47" spans="2:23" ht="15">
      <c r="B47" s="53">
        <v>44652</v>
      </c>
      <c r="C47" s="410">
        <v>0</v>
      </c>
      <c r="D47" s="410">
        <v>69.14</v>
      </c>
      <c r="E47" s="410">
        <v>151.55000000000001</v>
      </c>
      <c r="F47" s="410">
        <v>2188.0100000000002</v>
      </c>
      <c r="G47" s="410">
        <v>320.61</v>
      </c>
      <c r="H47" s="410">
        <v>-63.5</v>
      </c>
      <c r="I47" s="410">
        <v>450.86</v>
      </c>
      <c r="J47" s="410">
        <v>860</v>
      </c>
      <c r="K47" s="410">
        <v>460</v>
      </c>
      <c r="L47" s="410">
        <v>-187.5</v>
      </c>
      <c r="V47" s="80"/>
      <c r="W47" s="81"/>
    </row>
    <row r="48" spans="2:23" ht="15">
      <c r="B48" s="53">
        <v>44682</v>
      </c>
      <c r="C48" s="410">
        <v>0</v>
      </c>
      <c r="D48" s="410">
        <v>64.47</v>
      </c>
      <c r="E48" s="410">
        <v>159.02000000000001</v>
      </c>
      <c r="F48" s="410">
        <v>1866.56</v>
      </c>
      <c r="G48" s="410">
        <v>271.06</v>
      </c>
      <c r="H48" s="410">
        <v>-63.5</v>
      </c>
      <c r="I48" s="410">
        <v>627.91</v>
      </c>
      <c r="J48" s="410">
        <v>1080</v>
      </c>
      <c r="K48" s="410">
        <v>480</v>
      </c>
      <c r="L48" s="410">
        <v>-187.5</v>
      </c>
      <c r="V48" s="80"/>
      <c r="W48" s="81"/>
    </row>
    <row r="49" spans="2:23" ht="15">
      <c r="B49" s="53">
        <v>44713</v>
      </c>
      <c r="C49" s="410">
        <v>0</v>
      </c>
      <c r="D49" s="410">
        <v>59.91</v>
      </c>
      <c r="E49" s="410">
        <v>153.07</v>
      </c>
      <c r="F49" s="410">
        <v>1795.67</v>
      </c>
      <c r="G49" s="410">
        <v>224.4</v>
      </c>
      <c r="H49" s="410">
        <v>-63.5</v>
      </c>
      <c r="I49" s="410">
        <v>561.79999999999995</v>
      </c>
      <c r="J49" s="410">
        <v>1145</v>
      </c>
      <c r="K49" s="410">
        <v>480</v>
      </c>
      <c r="L49" s="410">
        <v>-187.5</v>
      </c>
      <c r="V49" s="80"/>
      <c r="W49" s="81"/>
    </row>
    <row r="50" spans="2:23" ht="15">
      <c r="B50" s="53">
        <v>44743</v>
      </c>
      <c r="C50" s="410">
        <v>0</v>
      </c>
      <c r="D50" s="410">
        <v>62.47</v>
      </c>
      <c r="E50" s="410">
        <v>159.84</v>
      </c>
      <c r="F50" s="410">
        <v>1517.11</v>
      </c>
      <c r="G50" s="410">
        <v>182.36</v>
      </c>
      <c r="H50" s="410">
        <v>-63.5</v>
      </c>
      <c r="I50" s="410">
        <v>210.6</v>
      </c>
      <c r="J50" s="410">
        <v>846.53</v>
      </c>
      <c r="K50" s="410">
        <v>340</v>
      </c>
      <c r="L50" s="410">
        <v>-187.5</v>
      </c>
      <c r="V50" s="80"/>
      <c r="W50" s="81"/>
    </row>
    <row r="51" spans="2:23" ht="15">
      <c r="B51" s="53">
        <v>44774</v>
      </c>
      <c r="C51" s="410">
        <v>0</v>
      </c>
      <c r="D51" s="410">
        <v>39.68</v>
      </c>
      <c r="E51" s="410">
        <v>145.16</v>
      </c>
      <c r="F51" s="410">
        <v>1463.95</v>
      </c>
      <c r="G51" s="410">
        <v>171.36</v>
      </c>
      <c r="H51" s="410">
        <v>-63.5</v>
      </c>
      <c r="I51" s="410">
        <v>76.099999999999994</v>
      </c>
      <c r="J51" s="410">
        <v>594.02</v>
      </c>
      <c r="K51" s="410">
        <v>200</v>
      </c>
      <c r="L51" s="410">
        <v>-187.5</v>
      </c>
      <c r="V51" s="80"/>
      <c r="W51" s="81"/>
    </row>
    <row r="52" spans="2:23" ht="15">
      <c r="B52" s="53">
        <v>44805</v>
      </c>
      <c r="C52" s="410">
        <f>+C51</f>
        <v>0</v>
      </c>
      <c r="D52" s="410">
        <v>7.29</v>
      </c>
      <c r="E52" s="410">
        <v>92.43</v>
      </c>
      <c r="F52" s="410">
        <v>1328.12</v>
      </c>
      <c r="G52" s="410">
        <v>173.73</v>
      </c>
      <c r="H52" s="410">
        <f t="shared" ref="H52:L52" si="2">+H51</f>
        <v>-63.5</v>
      </c>
      <c r="I52" s="410">
        <v>80</v>
      </c>
      <c r="J52" s="410">
        <v>680</v>
      </c>
      <c r="K52" s="410">
        <v>110</v>
      </c>
      <c r="L52" s="410">
        <f t="shared" si="2"/>
        <v>-187.5</v>
      </c>
      <c r="V52" s="80"/>
      <c r="W52" s="81"/>
    </row>
    <row r="53" spans="2:23" ht="15">
      <c r="B53" s="53">
        <v>44835</v>
      </c>
      <c r="C53" s="410"/>
      <c r="D53" s="410"/>
      <c r="E53" s="410"/>
      <c r="F53" s="410"/>
      <c r="G53" s="410"/>
      <c r="H53" s="410"/>
      <c r="I53" s="410"/>
      <c r="J53" s="410"/>
      <c r="K53" s="410"/>
      <c r="L53" s="410"/>
      <c r="V53" s="80"/>
      <c r="W53" s="81"/>
    </row>
    <row r="54" spans="2:23" ht="15">
      <c r="B54" s="53">
        <v>44866</v>
      </c>
      <c r="C54" s="410"/>
      <c r="D54" s="410"/>
      <c r="E54" s="410"/>
      <c r="F54" s="410"/>
      <c r="G54" s="410"/>
      <c r="H54" s="410"/>
      <c r="I54" s="410"/>
      <c r="J54" s="410"/>
      <c r="K54" s="410"/>
      <c r="L54" s="410"/>
      <c r="V54" s="80"/>
      <c r="W54" s="81"/>
    </row>
    <row r="55" spans="2:23" ht="15">
      <c r="B55" s="53">
        <v>44896</v>
      </c>
      <c r="C55" s="410"/>
      <c r="D55" s="410"/>
      <c r="E55" s="410"/>
      <c r="F55" s="410"/>
      <c r="G55" s="410"/>
      <c r="H55" s="410"/>
      <c r="I55" s="410"/>
      <c r="J55" s="410"/>
      <c r="K55" s="410"/>
      <c r="L55" s="410"/>
      <c r="V55" s="80"/>
      <c r="W55" s="81"/>
    </row>
    <row r="56" spans="2:23" ht="15">
      <c r="B56" s="53">
        <v>44927</v>
      </c>
      <c r="C56" s="410"/>
      <c r="D56" s="410"/>
      <c r="E56" s="410"/>
      <c r="F56" s="410"/>
      <c r="G56" s="410"/>
      <c r="H56" s="410"/>
      <c r="I56" s="410"/>
      <c r="J56" s="410"/>
      <c r="K56" s="410"/>
      <c r="L56" s="410"/>
      <c r="V56" s="80"/>
      <c r="W56" s="81"/>
    </row>
    <row r="57" spans="2:23" ht="15">
      <c r="B57" s="53">
        <v>44958</v>
      </c>
      <c r="C57" s="410"/>
      <c r="D57" s="410"/>
      <c r="E57" s="410"/>
      <c r="F57" s="410"/>
      <c r="G57" s="410"/>
      <c r="H57" s="410"/>
      <c r="I57" s="410"/>
      <c r="J57" s="410"/>
      <c r="K57" s="410"/>
      <c r="L57" s="410"/>
      <c r="V57" s="80"/>
      <c r="W57" s="81"/>
    </row>
    <row r="58" spans="2:23" ht="15">
      <c r="B58" s="53">
        <v>44986</v>
      </c>
      <c r="C58" s="410"/>
      <c r="D58" s="410"/>
      <c r="E58" s="410"/>
      <c r="F58" s="410"/>
      <c r="G58" s="410"/>
      <c r="H58" s="410"/>
      <c r="I58" s="410"/>
      <c r="J58" s="410"/>
      <c r="K58" s="410"/>
      <c r="L58" s="410"/>
      <c r="V58" s="80"/>
      <c r="W58" s="81"/>
    </row>
    <row r="59" spans="2:23" ht="15">
      <c r="B59" s="53">
        <v>45017</v>
      </c>
      <c r="C59" s="413"/>
      <c r="D59" s="413"/>
      <c r="E59" s="413"/>
      <c r="F59" s="413"/>
      <c r="G59" s="413"/>
      <c r="H59" s="410"/>
      <c r="I59" s="413"/>
      <c r="J59" s="410"/>
      <c r="K59" s="410"/>
      <c r="L59" s="410"/>
      <c r="V59" s="80"/>
      <c r="W59" s="81"/>
    </row>
    <row r="60" spans="2:23" ht="15">
      <c r="B60" s="53">
        <v>45047</v>
      </c>
      <c r="C60" s="413"/>
      <c r="D60" s="413"/>
      <c r="E60" s="413"/>
      <c r="F60" s="413"/>
      <c r="G60" s="413"/>
      <c r="H60" s="410"/>
      <c r="I60" s="413"/>
      <c r="J60" s="413"/>
      <c r="K60" s="414"/>
      <c r="L60" s="410"/>
      <c r="V60" s="80"/>
      <c r="W60" s="81"/>
    </row>
    <row r="61" spans="2:23" ht="15">
      <c r="B61" s="53">
        <v>45078</v>
      </c>
      <c r="C61" s="413"/>
      <c r="D61" s="413"/>
      <c r="E61" s="413"/>
      <c r="F61" s="413"/>
      <c r="G61" s="413"/>
      <c r="H61" s="410"/>
      <c r="I61" s="413"/>
      <c r="J61" s="413"/>
      <c r="K61" s="414"/>
      <c r="L61" s="413"/>
      <c r="V61" s="80"/>
      <c r="W61" s="81"/>
    </row>
    <row r="62" spans="2:23" ht="15">
      <c r="B62" s="53">
        <v>45108</v>
      </c>
      <c r="C62" s="413"/>
      <c r="D62" s="413"/>
      <c r="E62" s="413"/>
      <c r="F62" s="413"/>
      <c r="G62" s="413"/>
      <c r="H62" s="410"/>
      <c r="I62" s="413"/>
      <c r="J62" s="413"/>
      <c r="K62" s="414"/>
      <c r="L62" s="413"/>
      <c r="V62" s="80"/>
      <c r="W62" s="81"/>
    </row>
    <row r="63" spans="2:23" ht="15">
      <c r="B63" s="53">
        <v>45139</v>
      </c>
      <c r="C63" s="413"/>
      <c r="D63" s="413"/>
      <c r="E63" s="413"/>
      <c r="F63" s="413"/>
      <c r="G63" s="413"/>
      <c r="H63" s="413"/>
      <c r="I63" s="413"/>
      <c r="J63" s="413"/>
      <c r="K63" s="413"/>
      <c r="L63" s="413"/>
      <c r="V63" s="80"/>
      <c r="W63" s="81"/>
    </row>
    <row r="64" spans="2:23" ht="15">
      <c r="B64" s="53">
        <v>45170</v>
      </c>
      <c r="C64" s="413"/>
      <c r="D64" s="413"/>
      <c r="E64" s="413"/>
      <c r="F64" s="413"/>
      <c r="G64" s="413"/>
      <c r="H64" s="413"/>
      <c r="I64" s="413"/>
      <c r="J64" s="413"/>
      <c r="K64" s="413"/>
      <c r="L64" s="413"/>
      <c r="V64" s="80"/>
      <c r="W64" s="81"/>
    </row>
    <row r="65" spans="1:23" ht="15">
      <c r="B65" s="81" t="s">
        <v>43</v>
      </c>
      <c r="C65" s="80">
        <f>AVERAGE(C41:C64)</f>
        <v>0</v>
      </c>
      <c r="D65" s="80">
        <f t="shared" ref="D65:L65" si="3">AVERAGE(D41:D64)</f>
        <v>70.749166666666653</v>
      </c>
      <c r="E65" s="80">
        <f t="shared" si="3"/>
        <v>150.13249999999999</v>
      </c>
      <c r="F65" s="80">
        <f t="shared" si="3"/>
        <v>1798.0666666666666</v>
      </c>
      <c r="G65" s="80">
        <f t="shared" si="3"/>
        <v>238.74333333333337</v>
      </c>
      <c r="H65" s="80">
        <f t="shared" si="3"/>
        <v>-63.5</v>
      </c>
      <c r="I65" s="80">
        <f t="shared" si="3"/>
        <v>308.44083333333327</v>
      </c>
      <c r="J65" s="80">
        <f t="shared" si="3"/>
        <v>1057.7208333333335</v>
      </c>
      <c r="K65" s="80">
        <f t="shared" si="3"/>
        <v>436.33333333333331</v>
      </c>
      <c r="L65" s="80">
        <f t="shared" si="3"/>
        <v>-187.5</v>
      </c>
      <c r="V65" s="80"/>
      <c r="W65" s="81"/>
    </row>
    <row r="66" spans="1:23" ht="15">
      <c r="I66" s="80">
        <f>AVERAGE(I65:L65)</f>
        <v>403.74875000000003</v>
      </c>
      <c r="J66" s="81" t="s">
        <v>44</v>
      </c>
      <c r="V66" s="80"/>
      <c r="W66" s="81"/>
    </row>
    <row r="67" spans="1:23" ht="15">
      <c r="I67" s="80"/>
      <c r="J67" s="81"/>
      <c r="V67" s="80"/>
      <c r="W67" s="81"/>
    </row>
    <row r="68" spans="1:23">
      <c r="A68" s="1" t="s">
        <v>193</v>
      </c>
      <c r="B68" s="1"/>
      <c r="C68" s="271">
        <f>+'Customer Counts - Enspire'!K37+'Customer Counts - Enspire'!K38</f>
        <v>0.8609007896936226</v>
      </c>
      <c r="D68" s="79"/>
      <c r="E68" s="79"/>
      <c r="F68" s="79"/>
      <c r="G68" s="79"/>
      <c r="H68" s="79"/>
      <c r="I68" s="79"/>
      <c r="J68" s="79"/>
      <c r="K68" s="79"/>
      <c r="L68" s="79"/>
      <c r="M68" s="79"/>
    </row>
    <row r="69" spans="1:23">
      <c r="A69" s="1" t="s">
        <v>194</v>
      </c>
      <c r="B69" s="1"/>
      <c r="C69" s="271">
        <f>1-C68</f>
        <v>0.1390992103063774</v>
      </c>
      <c r="D69" s="79"/>
      <c r="E69" s="79"/>
      <c r="F69" s="79"/>
      <c r="G69" s="79"/>
      <c r="H69" s="79"/>
      <c r="I69" s="79"/>
      <c r="J69" s="79"/>
      <c r="K69" s="79"/>
      <c r="L69" s="79"/>
      <c r="M69" s="79"/>
    </row>
    <row r="70" spans="1:23">
      <c r="A70" s="1"/>
      <c r="B70" s="1"/>
      <c r="C70" s="271"/>
      <c r="D70" s="79"/>
      <c r="E70" s="79"/>
      <c r="F70" s="79"/>
      <c r="G70" s="79"/>
      <c r="H70" s="79"/>
      <c r="I70" s="79"/>
      <c r="J70" s="79"/>
      <c r="K70" s="79"/>
      <c r="L70" s="79"/>
      <c r="M70" s="79"/>
    </row>
    <row r="71" spans="1:23">
      <c r="A71" s="286"/>
      <c r="C71" s="79"/>
      <c r="D71" s="79"/>
      <c r="E71" s="79"/>
      <c r="F71" s="79"/>
      <c r="G71" s="79"/>
      <c r="H71" s="79"/>
      <c r="I71" s="79"/>
      <c r="J71" s="79"/>
      <c r="K71" s="79"/>
      <c r="L71" s="79"/>
      <c r="M71" s="79"/>
    </row>
    <row r="72" spans="1:23">
      <c r="B72" s="91" t="s">
        <v>45</v>
      </c>
    </row>
    <row r="73" spans="1:23">
      <c r="B73" s="286" t="s">
        <v>280</v>
      </c>
      <c r="C73" s="92"/>
      <c r="D73" s="92">
        <f t="shared" ref="D73:L73" si="4">+D170</f>
        <v>0.34451473439966246</v>
      </c>
      <c r="E73" s="92">
        <f t="shared" si="4"/>
        <v>0.19061939503231459</v>
      </c>
      <c r="F73" s="92">
        <f t="shared" si="4"/>
        <v>5.9803659933584117E-3</v>
      </c>
      <c r="G73" s="92">
        <f t="shared" si="4"/>
        <v>9.4698167033580045E-3</v>
      </c>
      <c r="H73" s="92">
        <f t="shared" si="4"/>
        <v>0.21112917662969571</v>
      </c>
      <c r="I73" s="92">
        <f t="shared" si="4"/>
        <v>6.9692890107884292E-3</v>
      </c>
      <c r="J73" s="92">
        <f t="shared" si="4"/>
        <v>1.0015985456419092E-2</v>
      </c>
      <c r="K73" s="92">
        <f t="shared" si="4"/>
        <v>1.3894825065715588E-3</v>
      </c>
      <c r="L73" s="92">
        <f t="shared" si="4"/>
        <v>2.1307048216271259E-3</v>
      </c>
      <c r="M73" s="87">
        <f>SUM(C73:L73)</f>
        <v>0.78221895055379542</v>
      </c>
      <c r="N73" s="101"/>
    </row>
    <row r="74" spans="1:23">
      <c r="C74" s="93">
        <f t="shared" ref="C74:L74" si="5">+C73*$M74</f>
        <v>0</v>
      </c>
      <c r="D74" s="93">
        <f t="shared" si="5"/>
        <v>1267.5351656558939</v>
      </c>
      <c r="E74" s="93">
        <f t="shared" si="5"/>
        <v>701.32497200894147</v>
      </c>
      <c r="F74" s="93">
        <f t="shared" si="5"/>
        <v>22.002902759104334</v>
      </c>
      <c r="G74" s="93">
        <f t="shared" si="5"/>
        <v>34.841254916827729</v>
      </c>
      <c r="H74" s="93">
        <f t="shared" si="5"/>
        <v>776.78435536421011</v>
      </c>
      <c r="I74" s="93">
        <f t="shared" si="5"/>
        <v>25.641338435602677</v>
      </c>
      <c r="J74" s="93">
        <f t="shared" si="5"/>
        <v>36.850713531402555</v>
      </c>
      <c r="K74" s="93">
        <f t="shared" si="5"/>
        <v>5.1121701433530129</v>
      </c>
      <c r="L74" s="93">
        <f t="shared" si="5"/>
        <v>7.8392678726823046</v>
      </c>
      <c r="M74" s="88">
        <f>+'2021-2022 Recy. Tons &amp; Revenue'!$C$7</f>
        <v>3679.1899999999996</v>
      </c>
      <c r="N74" s="101"/>
      <c r="O74" s="88"/>
      <c r="P74" s="88"/>
    </row>
    <row r="75" spans="1:23">
      <c r="C75" s="57"/>
      <c r="D75" s="57">
        <f>+$C$68*D74*D7+D74*D41*$C$69</f>
        <v>147858.30453190094</v>
      </c>
      <c r="E75" s="57">
        <f t="shared" ref="E75:L75" si="6">+$C$68*E74*E7+E74*E41*$C$69</f>
        <v>139226.19259685872</v>
      </c>
      <c r="F75" s="57">
        <f t="shared" si="6"/>
        <v>37200.73197962057</v>
      </c>
      <c r="G75" s="57">
        <f t="shared" si="6"/>
        <v>7475.3041059286516</v>
      </c>
      <c r="H75" s="57">
        <f t="shared" si="6"/>
        <v>-49325.806565627339</v>
      </c>
      <c r="I75" s="57">
        <f t="shared" si="6"/>
        <v>6493.8421480028337</v>
      </c>
      <c r="J75" s="57">
        <f t="shared" si="6"/>
        <v>74577.968471655491</v>
      </c>
      <c r="K75" s="57">
        <f t="shared" si="6"/>
        <v>5163.2918447865432</v>
      </c>
      <c r="L75" s="57">
        <f t="shared" si="6"/>
        <v>-1469.8627261279321</v>
      </c>
      <c r="M75" s="88">
        <f>SUM(C75:L75)</f>
        <v>367199.96638699848</v>
      </c>
      <c r="N75" s="101"/>
    </row>
    <row r="76" spans="1:23">
      <c r="C76" s="92"/>
      <c r="D76" s="138"/>
      <c r="E76" s="92"/>
      <c r="F76" s="92"/>
      <c r="G76" s="92"/>
      <c r="H76" s="92"/>
      <c r="I76" s="92"/>
      <c r="J76" s="92"/>
      <c r="K76" s="92"/>
      <c r="L76" s="92"/>
      <c r="N76" s="101"/>
    </row>
    <row r="77" spans="1:23">
      <c r="B77" s="11" t="s">
        <v>47</v>
      </c>
      <c r="C77" s="92"/>
      <c r="D77" s="92">
        <f t="shared" ref="D77:L77" si="7">+D174</f>
        <v>0.38993981205758893</v>
      </c>
      <c r="E77" s="92">
        <f t="shared" si="7"/>
        <v>0.17698939384752213</v>
      </c>
      <c r="F77" s="92">
        <f t="shared" si="7"/>
        <v>5.7995084347954671E-3</v>
      </c>
      <c r="G77" s="92">
        <f t="shared" si="7"/>
        <v>8.7703846475307903E-3</v>
      </c>
      <c r="H77" s="92">
        <f t="shared" si="7"/>
        <v>0.22449791936539026</v>
      </c>
      <c r="I77" s="92">
        <f t="shared" si="7"/>
        <v>2.5408891223468614E-4</v>
      </c>
      <c r="J77" s="92">
        <f t="shared" si="7"/>
        <v>1.4600988848837468E-2</v>
      </c>
      <c r="K77" s="92">
        <f t="shared" si="7"/>
        <v>5.1716594346182731E-4</v>
      </c>
      <c r="L77" s="92">
        <f t="shared" si="7"/>
        <v>4.1848321335904359E-3</v>
      </c>
      <c r="M77" s="87">
        <f>SUM(C77:L77)</f>
        <v>0.82555409419095194</v>
      </c>
      <c r="N77" s="101"/>
    </row>
    <row r="78" spans="1:23">
      <c r="C78" s="93">
        <f t="shared" ref="C78:L78" si="8">+C77*$M78</f>
        <v>0</v>
      </c>
      <c r="D78" s="93">
        <f t="shared" si="8"/>
        <v>1699.3031093732848</v>
      </c>
      <c r="E78" s="93">
        <f t="shared" si="8"/>
        <v>771.29499987236295</v>
      </c>
      <c r="F78" s="93">
        <f t="shared" si="8"/>
        <v>25.273445827657778</v>
      </c>
      <c r="G78" s="93">
        <f t="shared" si="8"/>
        <v>38.220108440088538</v>
      </c>
      <c r="H78" s="93">
        <f t="shared" si="8"/>
        <v>978.33050288565971</v>
      </c>
      <c r="I78" s="93">
        <f t="shared" si="8"/>
        <v>1.1072839070710494</v>
      </c>
      <c r="J78" s="93">
        <f t="shared" si="8"/>
        <v>63.629065264794853</v>
      </c>
      <c r="K78" s="93">
        <f t="shared" si="8"/>
        <v>2.253736778374559</v>
      </c>
      <c r="L78" s="93">
        <f t="shared" si="8"/>
        <v>18.23691256168842</v>
      </c>
      <c r="M78" s="88">
        <f>+'2021-2022 Recy. Tons &amp; Revenue'!$C$8</f>
        <v>4357.8600000000006</v>
      </c>
      <c r="N78" s="101"/>
      <c r="O78" s="88"/>
      <c r="P78" s="88"/>
    </row>
    <row r="79" spans="1:23">
      <c r="C79" s="57"/>
      <c r="D79" s="57">
        <f t="shared" ref="D79:L79" si="9">+$C$68*D78*D8+D78*D42*$C$69</f>
        <v>169319.7462985834</v>
      </c>
      <c r="E79" s="57">
        <f t="shared" si="9"/>
        <v>138648.43832465049</v>
      </c>
      <c r="F79" s="57">
        <f t="shared" si="9"/>
        <v>37056.138525780203</v>
      </c>
      <c r="G79" s="57">
        <f t="shared" si="9"/>
        <v>9292.1834759156482</v>
      </c>
      <c r="H79" s="57">
        <f t="shared" si="9"/>
        <v>-62123.986933239386</v>
      </c>
      <c r="I79" s="57">
        <f t="shared" si="9"/>
        <v>283.88906089757887</v>
      </c>
      <c r="J79" s="57">
        <f t="shared" si="9"/>
        <v>107646.93093879624</v>
      </c>
      <c r="K79" s="57">
        <f t="shared" si="9"/>
        <v>1591.1381655324385</v>
      </c>
      <c r="L79" s="57">
        <f t="shared" si="9"/>
        <v>-3419.4211053165791</v>
      </c>
      <c r="M79" s="88">
        <f>SUM(C79:L79)</f>
        <v>398295.05675159994</v>
      </c>
      <c r="N79" s="101"/>
    </row>
    <row r="80" spans="1:23">
      <c r="N80" s="101"/>
    </row>
    <row r="81" spans="2:16">
      <c r="B81" s="11" t="s">
        <v>48</v>
      </c>
      <c r="C81" s="92"/>
      <c r="D81" s="92">
        <f t="shared" ref="D81:L81" si="10">+D178</f>
        <v>0.37140199789171413</v>
      </c>
      <c r="E81" s="92">
        <f t="shared" si="10"/>
        <v>0.19763744831626137</v>
      </c>
      <c r="F81" s="92">
        <f t="shared" si="10"/>
        <v>5.9831560127837514E-3</v>
      </c>
      <c r="G81" s="92">
        <f t="shared" si="10"/>
        <v>1.0757445754263024E-2</v>
      </c>
      <c r="H81" s="92">
        <f t="shared" si="10"/>
        <v>0.24965387401783901</v>
      </c>
      <c r="I81" s="92">
        <f t="shared" si="10"/>
        <v>1.4759852609654881E-3</v>
      </c>
      <c r="J81" s="92">
        <f t="shared" si="10"/>
        <v>1.2306440588051543E-2</v>
      </c>
      <c r="K81" s="92">
        <f t="shared" si="10"/>
        <v>3.272373833169167E-4</v>
      </c>
      <c r="L81" s="92">
        <f t="shared" si="10"/>
        <v>4.0985195148939791E-3</v>
      </c>
      <c r="M81" s="87">
        <f>SUM(C81:L81)</f>
        <v>0.85364210474008928</v>
      </c>
      <c r="N81" s="101"/>
    </row>
    <row r="82" spans="2:16">
      <c r="C82" s="93">
        <f t="shared" ref="C82:L82" si="11">+C81*$M82</f>
        <v>0</v>
      </c>
      <c r="D82" s="93">
        <f t="shared" si="11"/>
        <v>1334.8002103229262</v>
      </c>
      <c r="E82" s="93">
        <f t="shared" si="11"/>
        <v>710.29910737622765</v>
      </c>
      <c r="F82" s="93">
        <f t="shared" si="11"/>
        <v>21.503163552144169</v>
      </c>
      <c r="G82" s="93">
        <f t="shared" si="11"/>
        <v>38.661722168533608</v>
      </c>
      <c r="H82" s="93">
        <f t="shared" si="11"/>
        <v>897.24354052641263</v>
      </c>
      <c r="I82" s="93">
        <f t="shared" si="11"/>
        <v>5.3046172286469169</v>
      </c>
      <c r="J82" s="93">
        <f t="shared" si="11"/>
        <v>44.228732151427856</v>
      </c>
      <c r="K82" s="93">
        <f t="shared" si="11"/>
        <v>1.176074793771833</v>
      </c>
      <c r="L82" s="93">
        <f t="shared" si="11"/>
        <v>14.72987421055322</v>
      </c>
      <c r="M82" s="88">
        <f>+'2021-2022 Recy. Tons &amp; Revenue'!$C$9</f>
        <v>3593.9500000000007</v>
      </c>
      <c r="N82" s="101"/>
      <c r="O82" s="88"/>
      <c r="P82" s="88"/>
    </row>
    <row r="83" spans="2:16">
      <c r="C83" s="57"/>
      <c r="D83" s="57">
        <f>+$C$68*D82*D9+D82*D43*$C$69</f>
        <v>92195.798680390231</v>
      </c>
      <c r="E83" s="57">
        <f t="shared" ref="E83:L83" si="12">+$C$68*E82*E9+E82*E43*$C$69</f>
        <v>116830.83551605718</v>
      </c>
      <c r="F83" s="57">
        <f t="shared" si="12"/>
        <v>34928.228481741258</v>
      </c>
      <c r="G83" s="57">
        <f t="shared" si="12"/>
        <v>9076.1532853755125</v>
      </c>
      <c r="H83" s="57">
        <f t="shared" si="12"/>
        <v>-56974.964823427203</v>
      </c>
      <c r="I83" s="57">
        <f t="shared" si="12"/>
        <v>1378.4832029060067</v>
      </c>
      <c r="J83" s="57">
        <f t="shared" si="12"/>
        <v>48651.605366570642</v>
      </c>
      <c r="K83" s="57">
        <f t="shared" si="12"/>
        <v>540.99440513504317</v>
      </c>
      <c r="L83" s="57">
        <f t="shared" si="12"/>
        <v>-2761.8514144787287</v>
      </c>
      <c r="M83" s="88">
        <f>SUM(C83:L83)</f>
        <v>243865.28270026992</v>
      </c>
      <c r="N83" s="101"/>
    </row>
    <row r="84" spans="2:16">
      <c r="N84" s="101"/>
    </row>
    <row r="85" spans="2:16">
      <c r="B85" s="286" t="s">
        <v>281</v>
      </c>
      <c r="C85" s="92"/>
      <c r="D85" s="92">
        <f t="shared" ref="D85:L85" si="13">+D182</f>
        <v>0.39301886674384967</v>
      </c>
      <c r="E85" s="92">
        <f t="shared" si="13"/>
        <v>0.19288530693299835</v>
      </c>
      <c r="F85" s="92">
        <f t="shared" si="13"/>
        <v>5.1630132467083987E-3</v>
      </c>
      <c r="G85" s="92">
        <f t="shared" si="13"/>
        <v>1.0110991806111747E-2</v>
      </c>
      <c r="H85" s="92">
        <f t="shared" si="13"/>
        <v>0.2212600097029204</v>
      </c>
      <c r="I85" s="92">
        <f t="shared" si="13"/>
        <v>3.5002955571066317E-3</v>
      </c>
      <c r="J85" s="92">
        <f t="shared" si="13"/>
        <v>1.2321057188454798E-2</v>
      </c>
      <c r="K85" s="92">
        <f t="shared" si="13"/>
        <v>4.2492663877160023E-4</v>
      </c>
      <c r="L85" s="92">
        <f t="shared" si="13"/>
        <v>3.4973939979399218E-3</v>
      </c>
      <c r="M85" s="87">
        <f>SUM(C85:L85)</f>
        <v>0.84218186181486143</v>
      </c>
      <c r="N85" s="101"/>
    </row>
    <row r="86" spans="2:16">
      <c r="C86" s="93">
        <f t="shared" ref="C86:L86" si="14">+C85*$M86</f>
        <v>0</v>
      </c>
      <c r="D86" s="93">
        <f t="shared" si="14"/>
        <v>1873.041454750504</v>
      </c>
      <c r="E86" s="93">
        <f t="shared" si="14"/>
        <v>919.24893807514502</v>
      </c>
      <c r="F86" s="93">
        <f t="shared" si="14"/>
        <v>24.605785270897954</v>
      </c>
      <c r="G86" s="93">
        <f t="shared" si="14"/>
        <v>48.186762529731247</v>
      </c>
      <c r="H86" s="93">
        <f t="shared" si="14"/>
        <v>1054.4765290419841</v>
      </c>
      <c r="I86" s="93">
        <f t="shared" si="14"/>
        <v>16.681638560147647</v>
      </c>
      <c r="J86" s="93">
        <f t="shared" si="14"/>
        <v>58.719447927594118</v>
      </c>
      <c r="K86" s="93">
        <f t="shared" si="14"/>
        <v>2.0251068765249172</v>
      </c>
      <c r="L86" s="93">
        <f t="shared" si="14"/>
        <v>16.667810367502124</v>
      </c>
      <c r="M86" s="88">
        <f>+'2021-2022 Recy. Tons &amp; Revenue'!C10</f>
        <v>4765.7800000000007</v>
      </c>
      <c r="N86" s="101"/>
      <c r="O86" s="88"/>
      <c r="P86" s="88"/>
    </row>
    <row r="87" spans="2:16">
      <c r="C87" s="57"/>
      <c r="D87" s="57">
        <f t="shared" ref="D87:L87" si="15">+$C$68*D86*D10+D86*D44*$C$69</f>
        <v>119966.66178292687</v>
      </c>
      <c r="E87" s="57">
        <f t="shared" si="15"/>
        <v>135760.01815307894</v>
      </c>
      <c r="F87" s="57">
        <f t="shared" si="15"/>
        <v>47339.481403923928</v>
      </c>
      <c r="G87" s="57">
        <f t="shared" si="15"/>
        <v>10078.951966531571</v>
      </c>
      <c r="H87" s="57">
        <f t="shared" si="15"/>
        <v>-66959.259594165997</v>
      </c>
      <c r="I87" s="57">
        <f t="shared" si="15"/>
        <v>4003.593254435435</v>
      </c>
      <c r="J87" s="57">
        <f t="shared" si="15"/>
        <v>52847.503134834704</v>
      </c>
      <c r="K87" s="57">
        <f t="shared" si="15"/>
        <v>648.03420048797341</v>
      </c>
      <c r="L87" s="57">
        <f t="shared" si="15"/>
        <v>-3125.2144439066483</v>
      </c>
      <c r="M87" s="88">
        <f>SUM(C87:L87)</f>
        <v>300559.76985814673</v>
      </c>
      <c r="N87" s="101"/>
    </row>
    <row r="88" spans="2:16">
      <c r="C88" s="92"/>
      <c r="D88" s="92"/>
      <c r="E88" s="92"/>
      <c r="F88" s="92"/>
      <c r="G88" s="92"/>
      <c r="H88" s="92"/>
      <c r="I88" s="92"/>
      <c r="J88" s="92"/>
      <c r="K88" s="92"/>
      <c r="L88" s="92"/>
      <c r="N88" s="101"/>
    </row>
    <row r="89" spans="2:16">
      <c r="B89" s="11" t="s">
        <v>49</v>
      </c>
      <c r="C89" s="92"/>
      <c r="D89" s="92">
        <f t="shared" ref="D89:L89" si="16">+D186</f>
        <v>0.37329750017776259</v>
      </c>
      <c r="E89" s="92">
        <f t="shared" si="16"/>
        <v>0.22658534958973167</v>
      </c>
      <c r="F89" s="92">
        <f t="shared" si="16"/>
        <v>6.752226522682675E-3</v>
      </c>
      <c r="G89" s="92">
        <f t="shared" si="16"/>
        <v>1.0684261597059671E-2</v>
      </c>
      <c r="H89" s="92">
        <f t="shared" si="16"/>
        <v>0.22229960153608702</v>
      </c>
      <c r="I89" s="92">
        <f t="shared" si="16"/>
        <v>6.2479502347632257E-3</v>
      </c>
      <c r="J89" s="92">
        <f t="shared" si="16"/>
        <v>1.0861543345892035E-2</v>
      </c>
      <c r="K89" s="92">
        <f t="shared" si="16"/>
        <v>5.9247095817473118E-4</v>
      </c>
      <c r="L89" s="92">
        <f t="shared" si="16"/>
        <v>1.0342282598841821E-2</v>
      </c>
      <c r="M89" s="87">
        <f>SUM(C89:L89)</f>
        <v>0.86766318656099561</v>
      </c>
      <c r="N89" s="101"/>
    </row>
    <row r="90" spans="2:16">
      <c r="C90" s="93">
        <f t="shared" ref="C90:L90" si="17">+C89*$M90</f>
        <v>0</v>
      </c>
      <c r="D90" s="93">
        <f t="shared" si="17"/>
        <v>1328.5658031326573</v>
      </c>
      <c r="E90" s="93">
        <f t="shared" si="17"/>
        <v>806.41725918985514</v>
      </c>
      <c r="F90" s="93">
        <f t="shared" si="17"/>
        <v>24.031174194227642</v>
      </c>
      <c r="G90" s="93">
        <f t="shared" si="17"/>
        <v>38.025287023935377</v>
      </c>
      <c r="H90" s="93">
        <f t="shared" si="17"/>
        <v>791.16428186693383</v>
      </c>
      <c r="I90" s="93">
        <f t="shared" si="17"/>
        <v>22.236454885522324</v>
      </c>
      <c r="J90" s="93">
        <f t="shared" si="17"/>
        <v>38.65623276802976</v>
      </c>
      <c r="K90" s="93">
        <f t="shared" si="17"/>
        <v>2.1086041401438687</v>
      </c>
      <c r="L90" s="93">
        <f t="shared" si="17"/>
        <v>36.808183769278045</v>
      </c>
      <c r="M90" s="88">
        <f>+'2021-2022 Recy. Tons &amp; Revenue'!C11</f>
        <v>3559.0000000000005</v>
      </c>
      <c r="N90" s="101"/>
      <c r="O90" s="88"/>
      <c r="P90" s="88"/>
    </row>
    <row r="91" spans="2:16">
      <c r="C91" s="57"/>
      <c r="D91" s="57">
        <f t="shared" ref="D91:L91" si="18">+$C$68*D90*D11+D90*D45*$C$69</f>
        <v>70965.87383430975</v>
      </c>
      <c r="E91" s="57">
        <f t="shared" si="18"/>
        <v>126536.73559214767</v>
      </c>
      <c r="F91" s="57">
        <f t="shared" si="18"/>
        <v>51312.961997817067</v>
      </c>
      <c r="G91" s="57">
        <f t="shared" si="18"/>
        <v>7862.4658306686724</v>
      </c>
      <c r="H91" s="57">
        <f t="shared" si="18"/>
        <v>-50238.931898550298</v>
      </c>
      <c r="I91" s="57">
        <f t="shared" si="18"/>
        <v>6106.0074823051655</v>
      </c>
      <c r="J91" s="57">
        <f t="shared" si="18"/>
        <v>34549.341192600114</v>
      </c>
      <c r="K91" s="57">
        <f t="shared" si="18"/>
        <v>590.4091592402832</v>
      </c>
      <c r="L91" s="57">
        <f t="shared" si="18"/>
        <v>-6901.5344567396342</v>
      </c>
      <c r="M91" s="88">
        <f>SUM(C91:L91)</f>
        <v>240783.32873379879</v>
      </c>
      <c r="N91" s="101"/>
    </row>
    <row r="92" spans="2:16">
      <c r="N92" s="101"/>
    </row>
    <row r="93" spans="2:16">
      <c r="B93" s="11" t="s">
        <v>50</v>
      </c>
      <c r="C93" s="92"/>
      <c r="D93" s="92">
        <f t="shared" ref="D93:L93" si="19">+D190</f>
        <v>0.41003541068917587</v>
      </c>
      <c r="E93" s="92">
        <f t="shared" si="19"/>
        <v>0.180445094319683</v>
      </c>
      <c r="F93" s="92">
        <f t="shared" si="19"/>
        <v>4.9297948595097649E-3</v>
      </c>
      <c r="G93" s="92">
        <f t="shared" si="19"/>
        <v>6.5517014813198243E-3</v>
      </c>
      <c r="H93" s="92">
        <f t="shared" si="19"/>
        <v>0.21240877162020805</v>
      </c>
      <c r="I93" s="92">
        <f t="shared" si="19"/>
        <v>4.4010579296255821E-3</v>
      </c>
      <c r="J93" s="92">
        <f t="shared" si="19"/>
        <v>1.5948294494911436E-2</v>
      </c>
      <c r="K93" s="92">
        <f t="shared" si="19"/>
        <v>2.8226687988120343E-3</v>
      </c>
      <c r="L93" s="92">
        <f t="shared" si="19"/>
        <v>5.118199066450474E-3</v>
      </c>
      <c r="M93" s="87">
        <f>SUM(C93:L93)</f>
        <v>0.84266099325969579</v>
      </c>
      <c r="N93" s="101"/>
    </row>
    <row r="94" spans="2:16">
      <c r="C94" s="93">
        <f t="shared" ref="C94:L94" si="20">+C93*$M94</f>
        <v>0</v>
      </c>
      <c r="D94" s="93">
        <f t="shared" si="20"/>
        <v>1699.8550996153683</v>
      </c>
      <c r="E94" s="93">
        <f t="shared" si="20"/>
        <v>748.05859636450748</v>
      </c>
      <c r="F94" s="93">
        <f t="shared" si="20"/>
        <v>20.437105463429468</v>
      </c>
      <c r="G94" s="93">
        <f t="shared" si="20"/>
        <v>27.160930212003905</v>
      </c>
      <c r="H94" s="93">
        <f t="shared" si="20"/>
        <v>880.56817589188313</v>
      </c>
      <c r="I94" s="93">
        <f t="shared" si="20"/>
        <v>18.245157784793701</v>
      </c>
      <c r="J94" s="93">
        <f t="shared" si="20"/>
        <v>66.115728106939699</v>
      </c>
      <c r="K94" s="93">
        <f t="shared" si="20"/>
        <v>11.701740452419134</v>
      </c>
      <c r="L94" s="93">
        <f t="shared" si="20"/>
        <v>21.21815959584908</v>
      </c>
      <c r="M94" s="88">
        <f>+'2021-2022 Recy. Tons &amp; Revenue'!C12</f>
        <v>4145.63</v>
      </c>
      <c r="N94" s="101"/>
      <c r="O94" s="88"/>
      <c r="P94" s="88"/>
    </row>
    <row r="95" spans="2:16">
      <c r="C95" s="57"/>
      <c r="D95" s="57">
        <f t="shared" ref="D95:L95" si="21">+$C$68*D94*D12+D94*D46*$C$69</f>
        <v>89899.48866763305</v>
      </c>
      <c r="E95" s="57">
        <f t="shared" si="21"/>
        <v>120328.23649344651</v>
      </c>
      <c r="F95" s="57">
        <f t="shared" si="21"/>
        <v>48507.114915918035</v>
      </c>
      <c r="G95" s="57">
        <f t="shared" si="21"/>
        <v>6701.4653055053623</v>
      </c>
      <c r="H95" s="57">
        <f t="shared" si="21"/>
        <v>-55916.07916913458</v>
      </c>
      <c r="I95" s="57">
        <f t="shared" si="21"/>
        <v>5879.1258568516596</v>
      </c>
      <c r="J95" s="57">
        <f t="shared" si="21"/>
        <v>54214.897047690552</v>
      </c>
      <c r="K95" s="57">
        <f t="shared" si="21"/>
        <v>4563.6787764434621</v>
      </c>
      <c r="L95" s="57">
        <f t="shared" si="21"/>
        <v>-3978.4049242217025</v>
      </c>
      <c r="M95" s="88">
        <f>SUM(C95:L95)</f>
        <v>270199.52297013241</v>
      </c>
      <c r="N95" s="101"/>
    </row>
    <row r="96" spans="2:16">
      <c r="N96" s="101"/>
    </row>
    <row r="97" spans="2:16">
      <c r="B97" s="11" t="s">
        <v>51</v>
      </c>
      <c r="C97" s="92">
        <f>+C194</f>
        <v>0</v>
      </c>
      <c r="D97" s="92">
        <f t="shared" ref="D97:L97" si="22">+D194</f>
        <v>0.42369203654325316</v>
      </c>
      <c r="E97" s="92">
        <f t="shared" si="22"/>
        <v>0.20471746696021817</v>
      </c>
      <c r="F97" s="92">
        <f t="shared" si="22"/>
        <v>4.4582556313537769E-3</v>
      </c>
      <c r="G97" s="92">
        <f t="shared" si="22"/>
        <v>4.9692266455568955E-3</v>
      </c>
      <c r="H97" s="92">
        <f t="shared" si="22"/>
        <v>0.19807368670938816</v>
      </c>
      <c r="I97" s="92">
        <f t="shared" si="22"/>
        <v>7.4789701730690614E-3</v>
      </c>
      <c r="J97" s="92">
        <f t="shared" si="22"/>
        <v>1.0942393629644023E-2</v>
      </c>
      <c r="K97" s="92">
        <f t="shared" si="22"/>
        <v>1.1473890852125642E-3</v>
      </c>
      <c r="L97" s="92">
        <f t="shared" si="22"/>
        <v>2.5535478776841807E-3</v>
      </c>
      <c r="M97" s="87">
        <f>SUM(C97:L97)</f>
        <v>0.85803297325538008</v>
      </c>
      <c r="N97" s="101"/>
    </row>
    <row r="98" spans="2:16">
      <c r="C98" s="93">
        <f>+C97*$M98</f>
        <v>0</v>
      </c>
      <c r="D98" s="93">
        <f>+D97*$M98</f>
        <v>1486.3286118751937</v>
      </c>
      <c r="E98" s="93">
        <f>+E97*$M98</f>
        <v>718.15706279512369</v>
      </c>
      <c r="F98" s="93">
        <f>+F97*$M98</f>
        <v>15.639739085014302</v>
      </c>
      <c r="G98" s="93">
        <f t="shared" ref="G98:L98" si="23">+G97*$M98</f>
        <v>17.432245841679411</v>
      </c>
      <c r="H98" s="93">
        <f t="shared" si="23"/>
        <v>694.85041592400194</v>
      </c>
      <c r="I98" s="93">
        <f t="shared" si="23"/>
        <v>26.236526525933186</v>
      </c>
      <c r="J98" s="93">
        <f t="shared" si="23"/>
        <v>38.38635454853641</v>
      </c>
      <c r="K98" s="93">
        <f t="shared" si="23"/>
        <v>4.0250868064890835</v>
      </c>
      <c r="L98" s="93">
        <f t="shared" si="23"/>
        <v>8.9579480968312115</v>
      </c>
      <c r="M98" s="88">
        <f>+'2021-2022 Recy. Tons &amp; Revenue'!C13</f>
        <v>3508.0399999999995</v>
      </c>
      <c r="N98" s="101"/>
      <c r="O98" s="88"/>
      <c r="P98" s="88"/>
    </row>
    <row r="99" spans="2:16">
      <c r="C99" s="57"/>
      <c r="D99" s="57">
        <f t="shared" ref="D99:L99" si="24">+$C$68*D98*D13+D98*D47*$C$69</f>
        <v>77147.539081385141</v>
      </c>
      <c r="E99" s="57">
        <f t="shared" si="24"/>
        <v>111192.28101986647</v>
      </c>
      <c r="F99" s="57">
        <f t="shared" si="24"/>
        <v>34885.04014360936</v>
      </c>
      <c r="G99" s="57">
        <f t="shared" si="24"/>
        <v>4886.7544925571419</v>
      </c>
      <c r="H99" s="57">
        <f t="shared" si="24"/>
        <v>-44123.001411174126</v>
      </c>
      <c r="I99" s="57">
        <f t="shared" si="24"/>
        <v>13101.102803011474</v>
      </c>
      <c r="J99" s="57">
        <f t="shared" si="24"/>
        <v>33012.264911741309</v>
      </c>
      <c r="K99" s="57">
        <f t="shared" si="24"/>
        <v>1851.5399309849784</v>
      </c>
      <c r="L99" s="57">
        <f t="shared" si="24"/>
        <v>-1679.6152681558522</v>
      </c>
      <c r="M99" s="88">
        <f>SUM(C99:L99)</f>
        <v>230273.90570382591</v>
      </c>
      <c r="N99" s="101"/>
    </row>
    <row r="100" spans="2:16">
      <c r="N100" s="101"/>
    </row>
    <row r="101" spans="2:16">
      <c r="B101" s="11" t="s">
        <v>52</v>
      </c>
      <c r="C101" s="92"/>
      <c r="D101" s="92">
        <f t="shared" ref="D101:L101" si="25">+D198</f>
        <v>0.48051031095582108</v>
      </c>
      <c r="E101" s="92">
        <f t="shared" si="25"/>
        <v>0.16755061895505494</v>
      </c>
      <c r="F101" s="92">
        <f t="shared" si="25"/>
        <v>4.2942582017795735E-3</v>
      </c>
      <c r="G101" s="92">
        <f t="shared" si="25"/>
        <v>5.8181517238117238E-3</v>
      </c>
      <c r="H101" s="92">
        <f t="shared" si="25"/>
        <v>0.20051502492818421</v>
      </c>
      <c r="I101" s="92">
        <f t="shared" si="25"/>
        <v>6.6758077713021504E-3</v>
      </c>
      <c r="J101" s="92">
        <f t="shared" si="25"/>
        <v>1.1926686134958502E-2</v>
      </c>
      <c r="K101" s="92">
        <f t="shared" si="25"/>
        <v>1.6738140773935818E-3</v>
      </c>
      <c r="L101" s="92">
        <f t="shared" si="25"/>
        <v>7.7464747705162612E-4</v>
      </c>
      <c r="M101" s="87">
        <f>SUM(C101:L101)</f>
        <v>0.87973932022535728</v>
      </c>
      <c r="N101" s="101"/>
    </row>
    <row r="102" spans="2:16">
      <c r="C102" s="93">
        <f>+C101*$M102</f>
        <v>0</v>
      </c>
      <c r="D102" s="93">
        <f>+D101*$M102</f>
        <v>1880.8038489370556</v>
      </c>
      <c r="E102" s="93">
        <f>+E101*$M102</f>
        <v>655.82328170149685</v>
      </c>
      <c r="F102" s="93">
        <f>+F101*$M102</f>
        <v>16.808499568241569</v>
      </c>
      <c r="G102" s="93">
        <f t="shared" ref="G102:L102" si="26">+G101*$M102</f>
        <v>22.773293114309368</v>
      </c>
      <c r="H102" s="93">
        <f t="shared" si="26"/>
        <v>784.85190027339991</v>
      </c>
      <c r="I102" s="93">
        <f t="shared" si="26"/>
        <v>26.130313262275447</v>
      </c>
      <c r="J102" s="93">
        <f t="shared" si="26"/>
        <v>46.683196335731857</v>
      </c>
      <c r="K102" s="93">
        <f t="shared" si="26"/>
        <v>6.5516095854524092</v>
      </c>
      <c r="L102" s="93">
        <f t="shared" si="26"/>
        <v>3.0321096617259333</v>
      </c>
      <c r="M102" s="88">
        <f>+'2021-2022 Recy. Tons &amp; Revenue'!C14</f>
        <v>3914.1799999999994</v>
      </c>
      <c r="N102" s="101"/>
      <c r="O102" s="88"/>
      <c r="P102" s="88"/>
    </row>
    <row r="103" spans="2:16">
      <c r="C103" s="57"/>
      <c r="D103" s="57">
        <f t="shared" ref="D103:L103" si="27">+$C$68*D102*D14+D102*D48*$C$69</f>
        <v>73554.218756867194</v>
      </c>
      <c r="E103" s="57">
        <f t="shared" si="27"/>
        <v>102058.85307076272</v>
      </c>
      <c r="F103" s="57">
        <f t="shared" si="27"/>
        <v>31168.881965271554</v>
      </c>
      <c r="G103" s="57">
        <f t="shared" si="27"/>
        <v>5798.0707915469411</v>
      </c>
      <c r="H103" s="57">
        <f t="shared" si="27"/>
        <v>-49838.095667360896</v>
      </c>
      <c r="I103" s="57">
        <f t="shared" si="27"/>
        <v>16459.224897356977</v>
      </c>
      <c r="J103" s="57">
        <f t="shared" si="27"/>
        <v>50417.852042590406</v>
      </c>
      <c r="K103" s="57">
        <f t="shared" si="27"/>
        <v>3144.7726010171564</v>
      </c>
      <c r="L103" s="57">
        <f t="shared" si="27"/>
        <v>-568.52056157361255</v>
      </c>
      <c r="M103" s="88">
        <f>SUM(C103:L103)</f>
        <v>232195.25789647843</v>
      </c>
      <c r="N103" s="101"/>
    </row>
    <row r="104" spans="2:16">
      <c r="N104" s="101"/>
    </row>
    <row r="105" spans="2:16">
      <c r="B105" s="11" t="s">
        <v>53</v>
      </c>
      <c r="C105" s="92"/>
      <c r="D105" s="92">
        <f t="shared" ref="D105:L105" si="28">+D202</f>
        <v>0.42148185091608609</v>
      </c>
      <c r="E105" s="92">
        <f t="shared" si="28"/>
        <v>0.19934396939619972</v>
      </c>
      <c r="F105" s="92">
        <f t="shared" si="28"/>
        <v>5.7341020820887746E-3</v>
      </c>
      <c r="G105" s="92">
        <f t="shared" si="28"/>
        <v>2.9677574933821469E-3</v>
      </c>
      <c r="H105" s="92">
        <f t="shared" si="28"/>
        <v>0.24610601717627326</v>
      </c>
      <c r="I105" s="92">
        <f t="shared" si="28"/>
        <v>2.3539276886567536E-3</v>
      </c>
      <c r="J105" s="92">
        <f t="shared" si="28"/>
        <v>1.6859767292736527E-2</v>
      </c>
      <c r="K105" s="92">
        <f t="shared" si="28"/>
        <v>9.8651218616581057E-5</v>
      </c>
      <c r="L105" s="92">
        <f t="shared" si="28"/>
        <v>4.6379774307934293E-3</v>
      </c>
      <c r="M105" s="87">
        <f>SUM(C105:L105)</f>
        <v>0.89958402069483334</v>
      </c>
      <c r="N105" s="101"/>
    </row>
    <row r="106" spans="2:16">
      <c r="C106" s="93">
        <f>+C105*$M106</f>
        <v>0</v>
      </c>
      <c r="D106" s="93">
        <f>+D105*$M106</f>
        <v>1692.0726090507007</v>
      </c>
      <c r="E106" s="93">
        <f>+E105*$M106</f>
        <v>800.28231265859552</v>
      </c>
      <c r="F106" s="93">
        <f>+F105*$M106</f>
        <v>23.020011536711952</v>
      </c>
      <c r="G106" s="93">
        <f t="shared" ref="G106:L106" si="29">+G105*$M106</f>
        <v>11.914299877782099</v>
      </c>
      <c r="H106" s="93">
        <f t="shared" si="29"/>
        <v>988.01229443552302</v>
      </c>
      <c r="I106" s="93">
        <f t="shared" si="29"/>
        <v>9.4500310203276303</v>
      </c>
      <c r="J106" s="93">
        <f t="shared" si="29"/>
        <v>67.684884578074204</v>
      </c>
      <c r="K106" s="93">
        <f t="shared" si="29"/>
        <v>0.39604320923375397</v>
      </c>
      <c r="L106" s="93">
        <f t="shared" si="29"/>
        <v>18.619531434114684</v>
      </c>
      <c r="M106" s="88">
        <f>+'2021-2022 Recy. Tons &amp; Revenue'!C15</f>
        <v>4014.58</v>
      </c>
      <c r="N106" s="101"/>
      <c r="O106" s="88"/>
      <c r="P106" s="88"/>
    </row>
    <row r="107" spans="2:16">
      <c r="C107" s="57"/>
      <c r="D107" s="57">
        <f t="shared" ref="D107:L107" si="30">+$C$68*D106*D15+D106*D49*$C$69</f>
        <v>82799.060280006088</v>
      </c>
      <c r="E107" s="57">
        <f t="shared" si="30"/>
        <v>118661.68592920408</v>
      </c>
      <c r="F107" s="57">
        <f t="shared" si="30"/>
        <v>38654.381468964944</v>
      </c>
      <c r="G107" s="57">
        <f t="shared" si="30"/>
        <v>2531.2013137671056</v>
      </c>
      <c r="H107" s="57">
        <f t="shared" si="30"/>
        <v>-62738.780696655711</v>
      </c>
      <c r="I107" s="57">
        <f t="shared" si="30"/>
        <v>5513.4735265126392</v>
      </c>
      <c r="J107" s="57">
        <f t="shared" si="30"/>
        <v>77499.192841894968</v>
      </c>
      <c r="K107" s="57">
        <f t="shared" si="30"/>
        <v>190.10074043220192</v>
      </c>
      <c r="L107" s="57">
        <f t="shared" si="30"/>
        <v>-3491.162143896503</v>
      </c>
      <c r="M107" s="88">
        <f>SUM(C107:L107)</f>
        <v>259619.15326022985</v>
      </c>
      <c r="N107" s="101"/>
    </row>
    <row r="108" spans="2:16">
      <c r="N108" s="101"/>
    </row>
    <row r="109" spans="2:16">
      <c r="B109" s="11" t="s">
        <v>54</v>
      </c>
      <c r="C109" s="92"/>
      <c r="D109" s="92">
        <f t="shared" ref="D109:L109" si="31">+D206</f>
        <v>0.35023837510677608</v>
      </c>
      <c r="E109" s="92">
        <f t="shared" si="31"/>
        <v>0.29998758843241902</v>
      </c>
      <c r="F109" s="92">
        <f t="shared" si="31"/>
        <v>9.2327460958319049E-3</v>
      </c>
      <c r="G109" s="92">
        <f t="shared" si="31"/>
        <v>7.6586672896786882E-3</v>
      </c>
      <c r="H109" s="92">
        <f t="shared" si="31"/>
        <v>0.20667742335857023</v>
      </c>
      <c r="I109" s="92">
        <f t="shared" si="31"/>
        <v>1.296935802991918E-2</v>
      </c>
      <c r="J109" s="92">
        <f t="shared" si="31"/>
        <v>1.2161876044944479E-2</v>
      </c>
      <c r="K109" s="92">
        <f t="shared" si="31"/>
        <v>1.1915104877746061E-3</v>
      </c>
      <c r="L109" s="92">
        <f t="shared" si="31"/>
        <v>2.2997904635355449E-3</v>
      </c>
      <c r="M109" s="87">
        <f>SUM(C109:L109)</f>
        <v>0.90241733530944979</v>
      </c>
      <c r="N109" s="101"/>
    </row>
    <row r="110" spans="2:16">
      <c r="C110" s="93">
        <f>+C109*$M110</f>
        <v>0</v>
      </c>
      <c r="D110" s="93">
        <f>+D109*$M110</f>
        <v>1246.5824342150415</v>
      </c>
      <c r="E110" s="93">
        <f>+E109*$M110</f>
        <v>1067.7278242522029</v>
      </c>
      <c r="F110" s="93">
        <f>+F109*$M110</f>
        <v>32.861559214128746</v>
      </c>
      <c r="G110" s="93">
        <f t="shared" ref="G110:L110" si="32">+G109*$M110</f>
        <v>27.259034964115973</v>
      </c>
      <c r="H110" s="93">
        <f t="shared" si="32"/>
        <v>735.61455231475747</v>
      </c>
      <c r="I110" s="93">
        <f t="shared" si="32"/>
        <v>46.161057874409543</v>
      </c>
      <c r="J110" s="93">
        <f t="shared" si="32"/>
        <v>43.287035694208186</v>
      </c>
      <c r="K110" s="93">
        <f t="shared" si="32"/>
        <v>4.2408717885068885</v>
      </c>
      <c r="L110" s="93">
        <f t="shared" si="32"/>
        <v>8.1855062094342532</v>
      </c>
      <c r="M110" s="88">
        <f>+'2021-2022 Recy. Tons &amp; Revenue'!C16</f>
        <v>3559.24</v>
      </c>
      <c r="N110" s="101"/>
      <c r="O110" s="88"/>
      <c r="P110" s="88"/>
    </row>
    <row r="111" spans="2:16">
      <c r="C111" s="57"/>
      <c r="D111" s="57">
        <f t="shared" ref="D111:L111" si="33">+$C$68*D110*D16+D110*D50*$C$69</f>
        <v>64566.525520192939</v>
      </c>
      <c r="E111" s="57">
        <f t="shared" si="33"/>
        <v>170316.31649218305</v>
      </c>
      <c r="F111" s="57">
        <f t="shared" si="33"/>
        <v>49729.27299705529</v>
      </c>
      <c r="G111" s="57">
        <f t="shared" si="33"/>
        <v>4636.5482386979565</v>
      </c>
      <c r="H111" s="57">
        <f t="shared" si="33"/>
        <v>-46711.524071987093</v>
      </c>
      <c r="I111" s="57">
        <f t="shared" si="33"/>
        <v>12479.4811160464</v>
      </c>
      <c r="J111" s="57">
        <f t="shared" si="33"/>
        <v>37145.745234292313</v>
      </c>
      <c r="K111" s="57">
        <f t="shared" si="33"/>
        <v>1441.896408092342</v>
      </c>
      <c r="L111" s="57">
        <f t="shared" si="33"/>
        <v>-1534.7824142689224</v>
      </c>
      <c r="M111" s="88">
        <f>SUM(C111:L111)</f>
        <v>292069.47952030424</v>
      </c>
      <c r="N111" s="101"/>
    </row>
    <row r="112" spans="2:16">
      <c r="C112" s="57"/>
      <c r="D112" s="57"/>
      <c r="E112" s="57"/>
      <c r="F112" s="57"/>
      <c r="G112" s="57"/>
      <c r="H112" s="57"/>
      <c r="I112" s="57"/>
      <c r="J112" s="57"/>
      <c r="K112" s="57"/>
      <c r="L112" s="57"/>
      <c r="M112" s="88"/>
      <c r="N112" s="101"/>
    </row>
    <row r="113" spans="2:16">
      <c r="B113" s="11" t="s">
        <v>55</v>
      </c>
      <c r="C113" s="92"/>
      <c r="D113" s="92">
        <f t="shared" ref="D113:L113" si="34">+D210</f>
        <v>0.31733506205052459</v>
      </c>
      <c r="E113" s="92">
        <f t="shared" si="34"/>
        <v>0.30845337315492688</v>
      </c>
      <c r="F113" s="92">
        <f t="shared" si="34"/>
        <v>1.0268526205699376E-2</v>
      </c>
      <c r="G113" s="92">
        <f t="shared" si="34"/>
        <v>5.2238886432984357E-3</v>
      </c>
      <c r="H113" s="92">
        <f t="shared" si="34"/>
        <v>0.21255404487476684</v>
      </c>
      <c r="I113" s="92">
        <f t="shared" si="34"/>
        <v>1.0504382891090817E-2</v>
      </c>
      <c r="J113" s="92">
        <f t="shared" si="34"/>
        <v>1.298424746892083E-2</v>
      </c>
      <c r="K113" s="92">
        <f t="shared" si="34"/>
        <v>4.1376001380098547E-4</v>
      </c>
      <c r="L113" s="92">
        <f t="shared" si="34"/>
        <v>1.0647244654813634E-4</v>
      </c>
      <c r="M113" s="87">
        <f>SUM(C113:L113)</f>
        <v>0.8778437577495769</v>
      </c>
      <c r="N113" s="101"/>
    </row>
    <row r="114" spans="2:16">
      <c r="C114" s="93">
        <f>+C113*$M114</f>
        <v>0</v>
      </c>
      <c r="D114" s="93">
        <f>+D113*$M114</f>
        <v>1229.8383796780493</v>
      </c>
      <c r="E114" s="93">
        <f>+E113*$M114</f>
        <v>1195.4172167293823</v>
      </c>
      <c r="F114" s="93">
        <f>+F113*$M114</f>
        <v>39.79587868071205</v>
      </c>
      <c r="G114" s="93">
        <f t="shared" ref="G114:L114" si="35">+G113*$M114</f>
        <v>20.245284914875956</v>
      </c>
      <c r="H114" s="93">
        <f t="shared" si="35"/>
        <v>823.75745199305652</v>
      </c>
      <c r="I114" s="93">
        <f t="shared" si="35"/>
        <v>40.709945982080285</v>
      </c>
      <c r="J114" s="93">
        <f t="shared" si="35"/>
        <v>50.320710750752063</v>
      </c>
      <c r="K114" s="93">
        <f t="shared" si="35"/>
        <v>1.6035352086859953</v>
      </c>
      <c r="L114" s="93">
        <f t="shared" si="35"/>
        <v>0.41263609604623341</v>
      </c>
      <c r="M114" s="88">
        <f>+'2021-2022 Recy. Tons &amp; Revenue'!C17</f>
        <v>3875.5200000000004</v>
      </c>
      <c r="N114" s="101"/>
      <c r="O114" s="88"/>
      <c r="P114" s="88"/>
    </row>
    <row r="115" spans="2:16">
      <c r="C115" s="57"/>
      <c r="D115" s="57">
        <f t="shared" ref="D115:L115" si="36">+$C$68*D114*D17+D114*D51*$C$69</f>
        <v>39895.74102631538</v>
      </c>
      <c r="E115" s="57">
        <f t="shared" si="36"/>
        <v>144350.76818629465</v>
      </c>
      <c r="F115" s="57">
        <f t="shared" si="36"/>
        <v>53677.546223249694</v>
      </c>
      <c r="G115" s="57">
        <f t="shared" si="36"/>
        <v>3180.2561892534609</v>
      </c>
      <c r="H115" s="57">
        <f t="shared" si="36"/>
        <v>-52308.598201559093</v>
      </c>
      <c r="I115" s="57">
        <f t="shared" si="36"/>
        <v>2963.0950743555327</v>
      </c>
      <c r="J115" s="57">
        <f t="shared" si="36"/>
        <v>37948.374147296898</v>
      </c>
      <c r="K115" s="57">
        <f t="shared" si="36"/>
        <v>458.75551448312922</v>
      </c>
      <c r="L115" s="57">
        <f t="shared" si="36"/>
        <v>-77.369268008668769</v>
      </c>
      <c r="M115" s="88">
        <f>SUM(C115:L115)</f>
        <v>230088.56889168097</v>
      </c>
      <c r="N115" s="101"/>
    </row>
    <row r="116" spans="2:16">
      <c r="C116" s="57"/>
      <c r="D116" s="57"/>
      <c r="E116" s="57"/>
      <c r="F116" s="57"/>
      <c r="G116" s="57"/>
      <c r="H116" s="57"/>
      <c r="I116" s="57"/>
      <c r="J116" s="57"/>
      <c r="K116" s="57"/>
      <c r="L116" s="57"/>
      <c r="M116" s="88"/>
      <c r="N116" s="101"/>
    </row>
    <row r="117" spans="2:16">
      <c r="B117" s="11" t="s">
        <v>56</v>
      </c>
      <c r="C117" s="92"/>
      <c r="D117" s="92">
        <f t="shared" ref="D117:L117" si="37">+D214</f>
        <v>0.36558295163577381</v>
      </c>
      <c r="E117" s="92">
        <f t="shared" si="37"/>
        <v>0.26118314341967008</v>
      </c>
      <c r="F117" s="92">
        <f t="shared" si="37"/>
        <v>9.2336076503703787E-3</v>
      </c>
      <c r="G117" s="92">
        <f t="shared" si="37"/>
        <v>7.6684412020594905E-3</v>
      </c>
      <c r="H117" s="92">
        <f t="shared" si="37"/>
        <v>0.18265084400944928</v>
      </c>
      <c r="I117" s="92">
        <f t="shared" si="37"/>
        <v>1.2423690849022645E-2</v>
      </c>
      <c r="J117" s="92">
        <f t="shared" si="37"/>
        <v>7.7602526417648778E-3</v>
      </c>
      <c r="K117" s="92">
        <f t="shared" si="37"/>
        <v>2.4949394408829055E-3</v>
      </c>
      <c r="L117" s="92">
        <f t="shared" si="37"/>
        <v>2.0796019755490104E-3</v>
      </c>
      <c r="M117" s="87">
        <f>SUM(C117:L117)</f>
        <v>0.85107747282454238</v>
      </c>
      <c r="N117" s="101"/>
    </row>
    <row r="118" spans="2:16">
      <c r="C118" s="93">
        <f>+C117*$M118</f>
        <v>0</v>
      </c>
      <c r="D118" s="93">
        <f>+D117*$M118</f>
        <v>1345.9850321850101</v>
      </c>
      <c r="E118" s="93">
        <f>+E117*$M118</f>
        <v>961.61103828537034</v>
      </c>
      <c r="F118" s="93">
        <f>+F117*$M118</f>
        <v>33.99583496675114</v>
      </c>
      <c r="G118" s="93">
        <f t="shared" ref="G118:L118" si="38">+G117*$M118</f>
        <v>28.23328339568253</v>
      </c>
      <c r="H118" s="93">
        <f t="shared" si="38"/>
        <v>672.47474493178993</v>
      </c>
      <c r="I118" s="93">
        <f t="shared" si="38"/>
        <v>45.740923783389121</v>
      </c>
      <c r="J118" s="93">
        <f t="shared" si="38"/>
        <v>28.571310163817838</v>
      </c>
      <c r="K118" s="93">
        <f t="shared" si="38"/>
        <v>9.1857432864706379</v>
      </c>
      <c r="L118" s="93">
        <f t="shared" si="38"/>
        <v>7.6565745734775694</v>
      </c>
      <c r="M118" s="88">
        <f>+'2021-2022 Recy. Tons &amp; Revenue'!C18</f>
        <v>3681.75</v>
      </c>
      <c r="N118" s="101"/>
      <c r="O118" s="88"/>
      <c r="P118" s="88"/>
    </row>
    <row r="119" spans="2:16">
      <c r="C119" s="57"/>
      <c r="D119" s="57">
        <f t="shared" ref="D119:L119" si="39">+$C$68*D118*D18+D118*D52*$C$69</f>
        <v>7691.7008584920395</v>
      </c>
      <c r="E119" s="57">
        <f t="shared" si="39"/>
        <v>80785.318620829348</v>
      </c>
      <c r="F119" s="57">
        <f t="shared" si="39"/>
        <v>41989.415219359456</v>
      </c>
      <c r="G119" s="57">
        <f t="shared" si="39"/>
        <v>4278.3582013998821</v>
      </c>
      <c r="H119" s="57">
        <f t="shared" si="39"/>
        <v>-42702.146303168658</v>
      </c>
      <c r="I119" s="57">
        <f t="shared" si="39"/>
        <v>3659.2739026711297</v>
      </c>
      <c r="J119" s="57">
        <f t="shared" si="39"/>
        <v>14212.437629273387</v>
      </c>
      <c r="K119" s="57">
        <f t="shared" si="39"/>
        <v>1010.4317615117701</v>
      </c>
      <c r="L119" s="57">
        <f t="shared" si="39"/>
        <v>-1435.6077325270444</v>
      </c>
      <c r="M119" s="88">
        <f>SUM(C119:L119)</f>
        <v>109489.18215784134</v>
      </c>
      <c r="N119" s="101"/>
    </row>
    <row r="120" spans="2:16">
      <c r="C120" s="57"/>
      <c r="D120" s="57"/>
      <c r="E120" s="57"/>
      <c r="F120" s="57"/>
      <c r="G120" s="57"/>
      <c r="H120" s="57"/>
      <c r="I120" s="57"/>
      <c r="J120" s="57"/>
      <c r="K120" s="57"/>
      <c r="L120" s="57"/>
      <c r="M120" s="88"/>
      <c r="N120" s="101"/>
    </row>
    <row r="121" spans="2:16">
      <c r="B121" s="11" t="s">
        <v>57</v>
      </c>
      <c r="C121" s="92"/>
      <c r="D121" s="92" t="e">
        <f t="shared" ref="D121:L121" si="40">+D218</f>
        <v>#DIV/0!</v>
      </c>
      <c r="E121" s="92" t="e">
        <f t="shared" si="40"/>
        <v>#DIV/0!</v>
      </c>
      <c r="F121" s="92" t="e">
        <f t="shared" si="40"/>
        <v>#DIV/0!</v>
      </c>
      <c r="G121" s="92" t="e">
        <f t="shared" si="40"/>
        <v>#DIV/0!</v>
      </c>
      <c r="H121" s="92" t="e">
        <f t="shared" si="40"/>
        <v>#DIV/0!</v>
      </c>
      <c r="I121" s="92" t="e">
        <f t="shared" si="40"/>
        <v>#DIV/0!</v>
      </c>
      <c r="J121" s="92" t="e">
        <f t="shared" si="40"/>
        <v>#DIV/0!</v>
      </c>
      <c r="K121" s="92" t="e">
        <f t="shared" si="40"/>
        <v>#DIV/0!</v>
      </c>
      <c r="L121" s="92" t="e">
        <f t="shared" si="40"/>
        <v>#DIV/0!</v>
      </c>
      <c r="M121" s="87" t="e">
        <f>SUM(C121:L121)</f>
        <v>#DIV/0!</v>
      </c>
      <c r="N121" s="101"/>
    </row>
    <row r="122" spans="2:16">
      <c r="C122" s="93">
        <f>+C121*$M122</f>
        <v>0</v>
      </c>
      <c r="D122" s="93" t="e">
        <f>+D121*$M122</f>
        <v>#DIV/0!</v>
      </c>
      <c r="E122" s="93" t="e">
        <f>+E121*$M122</f>
        <v>#DIV/0!</v>
      </c>
      <c r="F122" s="93" t="e">
        <f>+F121*$M122</f>
        <v>#DIV/0!</v>
      </c>
      <c r="G122" s="93" t="e">
        <f t="shared" ref="G122:L122" si="41">+G121*$M122</f>
        <v>#DIV/0!</v>
      </c>
      <c r="H122" s="93" t="e">
        <f t="shared" si="41"/>
        <v>#DIV/0!</v>
      </c>
      <c r="I122" s="93" t="e">
        <f t="shared" si="41"/>
        <v>#DIV/0!</v>
      </c>
      <c r="J122" s="93" t="e">
        <f t="shared" si="41"/>
        <v>#DIV/0!</v>
      </c>
      <c r="K122" s="93" t="e">
        <f t="shared" si="41"/>
        <v>#DIV/0!</v>
      </c>
      <c r="L122" s="93" t="e">
        <f t="shared" si="41"/>
        <v>#DIV/0!</v>
      </c>
      <c r="M122" s="88">
        <f>+'2021-2022 Recy. Tons &amp; Revenue'!C19</f>
        <v>0</v>
      </c>
      <c r="N122" s="101"/>
      <c r="O122" s="88"/>
      <c r="P122" s="88"/>
    </row>
    <row r="123" spans="2:16">
      <c r="C123" s="57"/>
      <c r="D123" s="57" t="e">
        <f t="shared" ref="D123:L123" si="42">+$C$68*D122*D19+D122*D53*$C$69</f>
        <v>#DIV/0!</v>
      </c>
      <c r="E123" s="57" t="e">
        <f t="shared" si="42"/>
        <v>#DIV/0!</v>
      </c>
      <c r="F123" s="57" t="e">
        <f t="shared" si="42"/>
        <v>#DIV/0!</v>
      </c>
      <c r="G123" s="57" t="e">
        <f t="shared" si="42"/>
        <v>#DIV/0!</v>
      </c>
      <c r="H123" s="57" t="e">
        <f t="shared" si="42"/>
        <v>#DIV/0!</v>
      </c>
      <c r="I123" s="57" t="e">
        <f t="shared" si="42"/>
        <v>#DIV/0!</v>
      </c>
      <c r="J123" s="57" t="e">
        <f t="shared" si="42"/>
        <v>#DIV/0!</v>
      </c>
      <c r="K123" s="57" t="e">
        <f t="shared" si="42"/>
        <v>#DIV/0!</v>
      </c>
      <c r="L123" s="57" t="e">
        <f t="shared" si="42"/>
        <v>#DIV/0!</v>
      </c>
      <c r="M123" s="88" t="e">
        <f>SUM(C123:L123)</f>
        <v>#DIV/0!</v>
      </c>
      <c r="N123" s="101"/>
    </row>
    <row r="124" spans="2:16">
      <c r="C124" s="57"/>
      <c r="D124" s="57"/>
      <c r="E124" s="57"/>
      <c r="F124" s="57"/>
      <c r="G124" s="57"/>
      <c r="H124" s="57"/>
      <c r="I124" s="57"/>
      <c r="J124" s="57"/>
      <c r="K124" s="57"/>
      <c r="L124" s="57"/>
      <c r="M124" s="88"/>
      <c r="N124" s="101"/>
    </row>
    <row r="125" spans="2:16">
      <c r="B125" s="11" t="s">
        <v>58</v>
      </c>
      <c r="C125" s="92"/>
      <c r="D125" s="92" t="e">
        <f t="shared" ref="D125:L125" si="43">+D222</f>
        <v>#DIV/0!</v>
      </c>
      <c r="E125" s="92" t="e">
        <f t="shared" si="43"/>
        <v>#DIV/0!</v>
      </c>
      <c r="F125" s="92" t="e">
        <f t="shared" si="43"/>
        <v>#DIV/0!</v>
      </c>
      <c r="G125" s="92" t="e">
        <f t="shared" si="43"/>
        <v>#DIV/0!</v>
      </c>
      <c r="H125" s="92" t="e">
        <f t="shared" si="43"/>
        <v>#DIV/0!</v>
      </c>
      <c r="I125" s="92" t="e">
        <f t="shared" si="43"/>
        <v>#DIV/0!</v>
      </c>
      <c r="J125" s="92" t="e">
        <f t="shared" si="43"/>
        <v>#DIV/0!</v>
      </c>
      <c r="K125" s="92" t="e">
        <f t="shared" si="43"/>
        <v>#DIV/0!</v>
      </c>
      <c r="L125" s="92" t="e">
        <f t="shared" si="43"/>
        <v>#DIV/0!</v>
      </c>
      <c r="M125" s="87" t="e">
        <f>SUM(C125:L125)</f>
        <v>#DIV/0!</v>
      </c>
      <c r="N125" s="101"/>
    </row>
    <row r="126" spans="2:16">
      <c r="C126" s="93">
        <f>+C125*$M126</f>
        <v>0</v>
      </c>
      <c r="D126" s="93" t="e">
        <f>+D125*$M126</f>
        <v>#DIV/0!</v>
      </c>
      <c r="E126" s="93" t="e">
        <f>+E125*$M126</f>
        <v>#DIV/0!</v>
      </c>
      <c r="F126" s="93" t="e">
        <f>+F125*$M126</f>
        <v>#DIV/0!</v>
      </c>
      <c r="G126" s="93" t="e">
        <f t="shared" ref="G126:L126" si="44">+G125*$M126</f>
        <v>#DIV/0!</v>
      </c>
      <c r="H126" s="93" t="e">
        <f t="shared" si="44"/>
        <v>#DIV/0!</v>
      </c>
      <c r="I126" s="93" t="e">
        <f t="shared" si="44"/>
        <v>#DIV/0!</v>
      </c>
      <c r="J126" s="93" t="e">
        <f t="shared" si="44"/>
        <v>#DIV/0!</v>
      </c>
      <c r="K126" s="93" t="e">
        <f t="shared" si="44"/>
        <v>#DIV/0!</v>
      </c>
      <c r="L126" s="93" t="e">
        <f t="shared" si="44"/>
        <v>#DIV/0!</v>
      </c>
      <c r="M126" s="88">
        <f>+'2021-2022 Recy. Tons &amp; Revenue'!C20</f>
        <v>0</v>
      </c>
      <c r="N126" s="101"/>
      <c r="O126" s="88"/>
      <c r="P126" s="88"/>
    </row>
    <row r="127" spans="2:16">
      <c r="C127" s="57"/>
      <c r="D127" s="57" t="e">
        <f t="shared" ref="D127:L127" si="45">+$C$68*D126*D20+D126*D54*$C$69</f>
        <v>#DIV/0!</v>
      </c>
      <c r="E127" s="57" t="e">
        <f t="shared" si="45"/>
        <v>#DIV/0!</v>
      </c>
      <c r="F127" s="57" t="e">
        <f t="shared" si="45"/>
        <v>#DIV/0!</v>
      </c>
      <c r="G127" s="57" t="e">
        <f t="shared" si="45"/>
        <v>#DIV/0!</v>
      </c>
      <c r="H127" s="57" t="e">
        <f t="shared" si="45"/>
        <v>#DIV/0!</v>
      </c>
      <c r="I127" s="57" t="e">
        <f t="shared" si="45"/>
        <v>#DIV/0!</v>
      </c>
      <c r="J127" s="57" t="e">
        <f t="shared" si="45"/>
        <v>#DIV/0!</v>
      </c>
      <c r="K127" s="57" t="e">
        <f t="shared" si="45"/>
        <v>#DIV/0!</v>
      </c>
      <c r="L127" s="57" t="e">
        <f t="shared" si="45"/>
        <v>#DIV/0!</v>
      </c>
      <c r="M127" s="88" t="e">
        <f>SUM(C127:L127)</f>
        <v>#DIV/0!</v>
      </c>
      <c r="N127" s="101"/>
    </row>
    <row r="128" spans="2:16">
      <c r="C128" s="57"/>
      <c r="D128" s="57"/>
      <c r="E128" s="57"/>
      <c r="F128" s="57"/>
      <c r="G128" s="57"/>
      <c r="H128" s="57"/>
      <c r="I128" s="57"/>
      <c r="J128" s="57"/>
      <c r="K128" s="57"/>
      <c r="L128" s="57"/>
      <c r="M128" s="88"/>
      <c r="N128" s="101"/>
    </row>
    <row r="129" spans="2:16">
      <c r="B129" s="11" t="s">
        <v>48</v>
      </c>
      <c r="C129" s="92"/>
      <c r="D129" s="92" t="e">
        <f t="shared" ref="D129:L129" si="46">+D226</f>
        <v>#DIV/0!</v>
      </c>
      <c r="E129" s="92" t="e">
        <f t="shared" si="46"/>
        <v>#DIV/0!</v>
      </c>
      <c r="F129" s="92" t="e">
        <f t="shared" si="46"/>
        <v>#DIV/0!</v>
      </c>
      <c r="G129" s="92" t="e">
        <f t="shared" si="46"/>
        <v>#DIV/0!</v>
      </c>
      <c r="H129" s="92" t="e">
        <f t="shared" si="46"/>
        <v>#DIV/0!</v>
      </c>
      <c r="I129" s="92" t="e">
        <f t="shared" si="46"/>
        <v>#DIV/0!</v>
      </c>
      <c r="J129" s="92" t="e">
        <f t="shared" si="46"/>
        <v>#DIV/0!</v>
      </c>
      <c r="K129" s="92" t="e">
        <f t="shared" si="46"/>
        <v>#DIV/0!</v>
      </c>
      <c r="L129" s="92" t="e">
        <f t="shared" si="46"/>
        <v>#DIV/0!</v>
      </c>
      <c r="M129" s="87" t="e">
        <f>SUM(C129:L129)</f>
        <v>#DIV/0!</v>
      </c>
      <c r="N129" s="101"/>
    </row>
    <row r="130" spans="2:16">
      <c r="C130" s="93">
        <f>+C129*$M130</f>
        <v>0</v>
      </c>
      <c r="D130" s="93" t="e">
        <f>+D129*$M130</f>
        <v>#DIV/0!</v>
      </c>
      <c r="E130" s="93" t="e">
        <f>+E129*$M130</f>
        <v>#DIV/0!</v>
      </c>
      <c r="F130" s="93" t="e">
        <f>+F129*$M130</f>
        <v>#DIV/0!</v>
      </c>
      <c r="G130" s="93" t="e">
        <f t="shared" ref="G130:L130" si="47">+G129*$M130</f>
        <v>#DIV/0!</v>
      </c>
      <c r="H130" s="93" t="e">
        <f t="shared" si="47"/>
        <v>#DIV/0!</v>
      </c>
      <c r="I130" s="93" t="e">
        <f t="shared" si="47"/>
        <v>#DIV/0!</v>
      </c>
      <c r="J130" s="93" t="e">
        <f t="shared" si="47"/>
        <v>#DIV/0!</v>
      </c>
      <c r="K130" s="93" t="e">
        <f t="shared" si="47"/>
        <v>#DIV/0!</v>
      </c>
      <c r="L130" s="93" t="e">
        <f t="shared" si="47"/>
        <v>#DIV/0!</v>
      </c>
      <c r="M130" s="88">
        <f>+'2021-2022 Recy. Tons &amp; Revenue'!C21</f>
        <v>0</v>
      </c>
      <c r="N130" s="101"/>
      <c r="O130" s="88"/>
      <c r="P130" s="88"/>
    </row>
    <row r="131" spans="2:16">
      <c r="C131" s="57"/>
      <c r="D131" s="57" t="e">
        <f t="shared" ref="D131:L131" si="48">+$C$68*D130*D21+D130*D55*$C$69</f>
        <v>#DIV/0!</v>
      </c>
      <c r="E131" s="57" t="e">
        <f t="shared" si="48"/>
        <v>#DIV/0!</v>
      </c>
      <c r="F131" s="57" t="e">
        <f t="shared" si="48"/>
        <v>#DIV/0!</v>
      </c>
      <c r="G131" s="57" t="e">
        <f t="shared" si="48"/>
        <v>#DIV/0!</v>
      </c>
      <c r="H131" s="57" t="e">
        <f t="shared" si="48"/>
        <v>#DIV/0!</v>
      </c>
      <c r="I131" s="57" t="e">
        <f t="shared" si="48"/>
        <v>#DIV/0!</v>
      </c>
      <c r="J131" s="57" t="e">
        <f t="shared" si="48"/>
        <v>#DIV/0!</v>
      </c>
      <c r="K131" s="57" t="e">
        <f t="shared" si="48"/>
        <v>#DIV/0!</v>
      </c>
      <c r="L131" s="57" t="e">
        <f t="shared" si="48"/>
        <v>#DIV/0!</v>
      </c>
      <c r="M131" s="88" t="e">
        <f>SUM(C131:L131)</f>
        <v>#DIV/0!</v>
      </c>
      <c r="N131" s="101"/>
    </row>
    <row r="132" spans="2:16">
      <c r="C132" s="57"/>
      <c r="D132" s="57"/>
      <c r="E132" s="57"/>
      <c r="F132" s="57"/>
      <c r="G132" s="57"/>
      <c r="H132" s="57"/>
      <c r="I132" s="57"/>
      <c r="J132" s="57"/>
      <c r="K132" s="57"/>
      <c r="L132" s="57"/>
      <c r="M132" s="88"/>
      <c r="N132" s="101"/>
    </row>
    <row r="133" spans="2:16">
      <c r="B133" s="286" t="s">
        <v>282</v>
      </c>
      <c r="C133" s="92"/>
      <c r="D133" s="92" t="e">
        <f t="shared" ref="D133:L133" si="49">+D230</f>
        <v>#DIV/0!</v>
      </c>
      <c r="E133" s="92" t="e">
        <f t="shared" si="49"/>
        <v>#DIV/0!</v>
      </c>
      <c r="F133" s="92" t="e">
        <f t="shared" si="49"/>
        <v>#DIV/0!</v>
      </c>
      <c r="G133" s="92" t="e">
        <f t="shared" si="49"/>
        <v>#DIV/0!</v>
      </c>
      <c r="H133" s="92" t="e">
        <f t="shared" si="49"/>
        <v>#DIV/0!</v>
      </c>
      <c r="I133" s="92" t="e">
        <f t="shared" si="49"/>
        <v>#DIV/0!</v>
      </c>
      <c r="J133" s="92" t="e">
        <f t="shared" si="49"/>
        <v>#DIV/0!</v>
      </c>
      <c r="K133" s="92" t="e">
        <f t="shared" si="49"/>
        <v>#DIV/0!</v>
      </c>
      <c r="L133" s="92" t="e">
        <f t="shared" si="49"/>
        <v>#DIV/0!</v>
      </c>
      <c r="M133" s="87" t="e">
        <f>SUM(C133:L133)</f>
        <v>#DIV/0!</v>
      </c>
      <c r="N133" s="101"/>
    </row>
    <row r="134" spans="2:16">
      <c r="C134" s="93">
        <f t="shared" ref="C134:L134" si="50">+C133*$M134</f>
        <v>0</v>
      </c>
      <c r="D134" s="93" t="e">
        <f t="shared" si="50"/>
        <v>#DIV/0!</v>
      </c>
      <c r="E134" s="93" t="e">
        <f t="shared" si="50"/>
        <v>#DIV/0!</v>
      </c>
      <c r="F134" s="93" t="e">
        <f t="shared" si="50"/>
        <v>#DIV/0!</v>
      </c>
      <c r="G134" s="93" t="e">
        <f t="shared" si="50"/>
        <v>#DIV/0!</v>
      </c>
      <c r="H134" s="93" t="e">
        <f t="shared" si="50"/>
        <v>#DIV/0!</v>
      </c>
      <c r="I134" s="93" t="e">
        <f t="shared" si="50"/>
        <v>#DIV/0!</v>
      </c>
      <c r="J134" s="93" t="e">
        <f t="shared" si="50"/>
        <v>#DIV/0!</v>
      </c>
      <c r="K134" s="93" t="e">
        <f t="shared" si="50"/>
        <v>#DIV/0!</v>
      </c>
      <c r="L134" s="93" t="e">
        <f t="shared" si="50"/>
        <v>#DIV/0!</v>
      </c>
      <c r="M134" s="88">
        <f>+'2021-2022 Recy. Tons &amp; Revenue'!C22</f>
        <v>0</v>
      </c>
      <c r="N134" s="101"/>
      <c r="O134" s="88"/>
      <c r="P134" s="88"/>
    </row>
    <row r="135" spans="2:16">
      <c r="C135" s="57"/>
      <c r="D135" s="57" t="e">
        <f t="shared" ref="D135:L135" si="51">+$C$68*D134*D22+D134*D56*$C$69</f>
        <v>#DIV/0!</v>
      </c>
      <c r="E135" s="57" t="e">
        <f t="shared" si="51"/>
        <v>#DIV/0!</v>
      </c>
      <c r="F135" s="57" t="e">
        <f t="shared" si="51"/>
        <v>#DIV/0!</v>
      </c>
      <c r="G135" s="57" t="e">
        <f t="shared" si="51"/>
        <v>#DIV/0!</v>
      </c>
      <c r="H135" s="57" t="e">
        <f t="shared" si="51"/>
        <v>#DIV/0!</v>
      </c>
      <c r="I135" s="57" t="e">
        <f t="shared" si="51"/>
        <v>#DIV/0!</v>
      </c>
      <c r="J135" s="57" t="e">
        <f t="shared" si="51"/>
        <v>#DIV/0!</v>
      </c>
      <c r="K135" s="57" t="e">
        <f t="shared" si="51"/>
        <v>#DIV/0!</v>
      </c>
      <c r="L135" s="57" t="e">
        <f t="shared" si="51"/>
        <v>#DIV/0!</v>
      </c>
      <c r="M135" s="88" t="e">
        <f>SUM(C135:L135)</f>
        <v>#DIV/0!</v>
      </c>
      <c r="N135" s="101"/>
    </row>
    <row r="136" spans="2:16">
      <c r="C136" s="92"/>
      <c r="D136" s="92"/>
      <c r="E136" s="92"/>
      <c r="F136" s="92"/>
      <c r="G136" s="92"/>
      <c r="H136" s="92"/>
      <c r="I136" s="92"/>
      <c r="J136" s="92"/>
      <c r="K136" s="92"/>
      <c r="L136" s="92"/>
      <c r="N136" s="101"/>
    </row>
    <row r="137" spans="2:16">
      <c r="B137" s="11" t="s">
        <v>49</v>
      </c>
      <c r="C137" s="92"/>
      <c r="D137" s="92" t="e">
        <f t="shared" ref="D137:L137" si="52">+D234</f>
        <v>#DIV/0!</v>
      </c>
      <c r="E137" s="92" t="e">
        <f t="shared" si="52"/>
        <v>#DIV/0!</v>
      </c>
      <c r="F137" s="92" t="e">
        <f t="shared" si="52"/>
        <v>#DIV/0!</v>
      </c>
      <c r="G137" s="92" t="e">
        <f t="shared" si="52"/>
        <v>#DIV/0!</v>
      </c>
      <c r="H137" s="92" t="e">
        <f t="shared" si="52"/>
        <v>#DIV/0!</v>
      </c>
      <c r="I137" s="92" t="e">
        <f t="shared" si="52"/>
        <v>#DIV/0!</v>
      </c>
      <c r="J137" s="92" t="e">
        <f t="shared" si="52"/>
        <v>#DIV/0!</v>
      </c>
      <c r="K137" s="92" t="e">
        <f t="shared" si="52"/>
        <v>#DIV/0!</v>
      </c>
      <c r="L137" s="92" t="e">
        <f t="shared" si="52"/>
        <v>#DIV/0!</v>
      </c>
      <c r="M137" s="87" t="e">
        <f>SUM(C137:L137)</f>
        <v>#DIV/0!</v>
      </c>
      <c r="N137" s="101"/>
    </row>
    <row r="138" spans="2:16">
      <c r="C138" s="93">
        <f t="shared" ref="C138:L138" si="53">+C137*$M138</f>
        <v>0</v>
      </c>
      <c r="D138" s="93" t="e">
        <f t="shared" si="53"/>
        <v>#DIV/0!</v>
      </c>
      <c r="E138" s="93" t="e">
        <f t="shared" si="53"/>
        <v>#DIV/0!</v>
      </c>
      <c r="F138" s="93" t="e">
        <f t="shared" si="53"/>
        <v>#DIV/0!</v>
      </c>
      <c r="G138" s="93" t="e">
        <f t="shared" si="53"/>
        <v>#DIV/0!</v>
      </c>
      <c r="H138" s="93" t="e">
        <f t="shared" si="53"/>
        <v>#DIV/0!</v>
      </c>
      <c r="I138" s="93" t="e">
        <f t="shared" si="53"/>
        <v>#DIV/0!</v>
      </c>
      <c r="J138" s="93" t="e">
        <f t="shared" si="53"/>
        <v>#DIV/0!</v>
      </c>
      <c r="K138" s="93" t="e">
        <f t="shared" si="53"/>
        <v>#DIV/0!</v>
      </c>
      <c r="L138" s="93" t="e">
        <f t="shared" si="53"/>
        <v>#DIV/0!</v>
      </c>
      <c r="M138" s="88">
        <f>+'2021-2022 Recy. Tons &amp; Revenue'!C23</f>
        <v>0</v>
      </c>
      <c r="N138" s="101"/>
      <c r="O138" s="88"/>
      <c r="P138" s="88"/>
    </row>
    <row r="139" spans="2:16">
      <c r="C139" s="57"/>
      <c r="D139" s="57" t="e">
        <f t="shared" ref="D139:L139" si="54">+$C$68*D138*D23+D138*D57*$C$69</f>
        <v>#DIV/0!</v>
      </c>
      <c r="E139" s="57" t="e">
        <f t="shared" si="54"/>
        <v>#DIV/0!</v>
      </c>
      <c r="F139" s="57" t="e">
        <f t="shared" si="54"/>
        <v>#DIV/0!</v>
      </c>
      <c r="G139" s="57" t="e">
        <f t="shared" si="54"/>
        <v>#DIV/0!</v>
      </c>
      <c r="H139" s="57" t="e">
        <f t="shared" si="54"/>
        <v>#DIV/0!</v>
      </c>
      <c r="I139" s="57" t="e">
        <f t="shared" si="54"/>
        <v>#DIV/0!</v>
      </c>
      <c r="J139" s="57" t="e">
        <f t="shared" si="54"/>
        <v>#DIV/0!</v>
      </c>
      <c r="K139" s="57" t="e">
        <f t="shared" si="54"/>
        <v>#DIV/0!</v>
      </c>
      <c r="L139" s="57" t="e">
        <f t="shared" si="54"/>
        <v>#DIV/0!</v>
      </c>
      <c r="M139" s="88" t="e">
        <f>SUM(C139:L139)</f>
        <v>#DIV/0!</v>
      </c>
      <c r="N139" s="101"/>
    </row>
    <row r="140" spans="2:16">
      <c r="N140" s="101"/>
    </row>
    <row r="141" spans="2:16">
      <c r="B141" s="11" t="s">
        <v>50</v>
      </c>
      <c r="C141" s="92"/>
      <c r="D141" s="92" t="e">
        <f t="shared" ref="D141:L141" si="55">+D238</f>
        <v>#DIV/0!</v>
      </c>
      <c r="E141" s="92" t="e">
        <f t="shared" si="55"/>
        <v>#DIV/0!</v>
      </c>
      <c r="F141" s="92" t="e">
        <f t="shared" si="55"/>
        <v>#DIV/0!</v>
      </c>
      <c r="G141" s="92" t="e">
        <f t="shared" si="55"/>
        <v>#DIV/0!</v>
      </c>
      <c r="H141" s="92" t="e">
        <f t="shared" si="55"/>
        <v>#DIV/0!</v>
      </c>
      <c r="I141" s="92" t="e">
        <f t="shared" si="55"/>
        <v>#DIV/0!</v>
      </c>
      <c r="J141" s="92" t="e">
        <f t="shared" si="55"/>
        <v>#DIV/0!</v>
      </c>
      <c r="K141" s="92" t="e">
        <f t="shared" si="55"/>
        <v>#DIV/0!</v>
      </c>
      <c r="L141" s="92" t="e">
        <f t="shared" si="55"/>
        <v>#DIV/0!</v>
      </c>
      <c r="M141" s="87" t="e">
        <f>SUM(C141:L141)</f>
        <v>#DIV/0!</v>
      </c>
      <c r="N141" s="101"/>
    </row>
    <row r="142" spans="2:16">
      <c r="C142" s="93"/>
      <c r="D142" s="93" t="e">
        <f t="shared" ref="D142:L142" si="56">+D141*$M142</f>
        <v>#DIV/0!</v>
      </c>
      <c r="E142" s="93" t="e">
        <f t="shared" si="56"/>
        <v>#DIV/0!</v>
      </c>
      <c r="F142" s="93" t="e">
        <f t="shared" si="56"/>
        <v>#DIV/0!</v>
      </c>
      <c r="G142" s="93" t="e">
        <f t="shared" si="56"/>
        <v>#DIV/0!</v>
      </c>
      <c r="H142" s="93" t="e">
        <f t="shared" si="56"/>
        <v>#DIV/0!</v>
      </c>
      <c r="I142" s="93" t="e">
        <f t="shared" si="56"/>
        <v>#DIV/0!</v>
      </c>
      <c r="J142" s="93" t="e">
        <f t="shared" si="56"/>
        <v>#DIV/0!</v>
      </c>
      <c r="K142" s="93" t="e">
        <f t="shared" si="56"/>
        <v>#DIV/0!</v>
      </c>
      <c r="L142" s="93" t="e">
        <f t="shared" si="56"/>
        <v>#DIV/0!</v>
      </c>
      <c r="M142" s="88">
        <f>+'2021-2022 Recy. Tons &amp; Revenue'!C24</f>
        <v>0</v>
      </c>
      <c r="N142" s="101"/>
      <c r="O142" s="88"/>
      <c r="P142" s="88"/>
    </row>
    <row r="143" spans="2:16">
      <c r="C143" s="57"/>
      <c r="D143" s="57" t="e">
        <f t="shared" ref="D143:L143" si="57">+$C$68*D142*D24+D142*D58*$C$69</f>
        <v>#DIV/0!</v>
      </c>
      <c r="E143" s="57" t="e">
        <f t="shared" si="57"/>
        <v>#DIV/0!</v>
      </c>
      <c r="F143" s="57" t="e">
        <f t="shared" si="57"/>
        <v>#DIV/0!</v>
      </c>
      <c r="G143" s="57" t="e">
        <f t="shared" si="57"/>
        <v>#DIV/0!</v>
      </c>
      <c r="H143" s="57" t="e">
        <f t="shared" si="57"/>
        <v>#DIV/0!</v>
      </c>
      <c r="I143" s="57" t="e">
        <f t="shared" si="57"/>
        <v>#DIV/0!</v>
      </c>
      <c r="J143" s="57" t="e">
        <f t="shared" si="57"/>
        <v>#DIV/0!</v>
      </c>
      <c r="K143" s="57" t="e">
        <f t="shared" si="57"/>
        <v>#DIV/0!</v>
      </c>
      <c r="L143" s="57" t="e">
        <f t="shared" si="57"/>
        <v>#DIV/0!</v>
      </c>
      <c r="M143" s="88" t="e">
        <f>SUM(C143:L143)</f>
        <v>#DIV/0!</v>
      </c>
      <c r="N143" s="101"/>
    </row>
    <row r="144" spans="2:16">
      <c r="C144" s="57"/>
      <c r="D144" s="57"/>
      <c r="E144" s="57"/>
      <c r="F144" s="57"/>
      <c r="G144" s="57"/>
      <c r="H144" s="57"/>
      <c r="I144" s="57"/>
      <c r="J144" s="57"/>
      <c r="K144" s="57"/>
      <c r="L144" s="57"/>
      <c r="M144" s="88"/>
      <c r="N144" s="101"/>
    </row>
    <row r="145" spans="2:17">
      <c r="B145" s="11" t="s">
        <v>51</v>
      </c>
      <c r="C145" s="92"/>
      <c r="D145" s="92" t="e">
        <f>+D242</f>
        <v>#DIV/0!</v>
      </c>
      <c r="E145" s="92" t="e">
        <f t="shared" ref="E145:L145" si="58">+E242</f>
        <v>#DIV/0!</v>
      </c>
      <c r="F145" s="92" t="e">
        <f t="shared" si="58"/>
        <v>#DIV/0!</v>
      </c>
      <c r="G145" s="92" t="e">
        <f t="shared" si="58"/>
        <v>#DIV/0!</v>
      </c>
      <c r="H145" s="92" t="e">
        <f t="shared" si="58"/>
        <v>#DIV/0!</v>
      </c>
      <c r="I145" s="92" t="e">
        <f t="shared" si="58"/>
        <v>#DIV/0!</v>
      </c>
      <c r="J145" s="92" t="e">
        <f t="shared" si="58"/>
        <v>#DIV/0!</v>
      </c>
      <c r="K145" s="92" t="e">
        <f t="shared" si="58"/>
        <v>#DIV/0!</v>
      </c>
      <c r="L145" s="92" t="e">
        <f t="shared" si="58"/>
        <v>#DIV/0!</v>
      </c>
      <c r="M145" s="87" t="e">
        <f>SUM(C145:L145)</f>
        <v>#DIV/0!</v>
      </c>
      <c r="N145" s="101"/>
    </row>
    <row r="146" spans="2:17">
      <c r="C146" s="93"/>
      <c r="D146" s="93" t="e">
        <f t="shared" ref="D146:L146" si="59">+D145*$M146</f>
        <v>#DIV/0!</v>
      </c>
      <c r="E146" s="93" t="e">
        <f t="shared" si="59"/>
        <v>#DIV/0!</v>
      </c>
      <c r="F146" s="93" t="e">
        <f t="shared" si="59"/>
        <v>#DIV/0!</v>
      </c>
      <c r="G146" s="93" t="e">
        <f t="shared" si="59"/>
        <v>#DIV/0!</v>
      </c>
      <c r="H146" s="93" t="e">
        <f t="shared" si="59"/>
        <v>#DIV/0!</v>
      </c>
      <c r="I146" s="93" t="e">
        <f t="shared" si="59"/>
        <v>#DIV/0!</v>
      </c>
      <c r="J146" s="93" t="e">
        <f t="shared" si="59"/>
        <v>#DIV/0!</v>
      </c>
      <c r="K146" s="93" t="e">
        <f t="shared" si="59"/>
        <v>#DIV/0!</v>
      </c>
      <c r="L146" s="93" t="e">
        <f t="shared" si="59"/>
        <v>#DIV/0!</v>
      </c>
      <c r="M146" s="88">
        <f>+'2021-2022 Recy. Tons &amp; Revenue'!C25</f>
        <v>0</v>
      </c>
      <c r="N146" s="101"/>
      <c r="O146" s="88"/>
      <c r="P146" s="88"/>
    </row>
    <row r="147" spans="2:17">
      <c r="C147" s="57"/>
      <c r="D147" s="57" t="e">
        <f t="shared" ref="D147:L147" si="60">+$C$68*D146*D25+D146*D59*$C$69</f>
        <v>#DIV/0!</v>
      </c>
      <c r="E147" s="57" t="e">
        <f t="shared" si="60"/>
        <v>#DIV/0!</v>
      </c>
      <c r="F147" s="57" t="e">
        <f t="shared" si="60"/>
        <v>#DIV/0!</v>
      </c>
      <c r="G147" s="57" t="e">
        <f t="shared" si="60"/>
        <v>#DIV/0!</v>
      </c>
      <c r="H147" s="57" t="e">
        <f t="shared" si="60"/>
        <v>#DIV/0!</v>
      </c>
      <c r="I147" s="57" t="e">
        <f t="shared" si="60"/>
        <v>#DIV/0!</v>
      </c>
      <c r="J147" s="57" t="e">
        <f t="shared" si="60"/>
        <v>#DIV/0!</v>
      </c>
      <c r="K147" s="57" t="e">
        <f t="shared" si="60"/>
        <v>#DIV/0!</v>
      </c>
      <c r="L147" s="57" t="e">
        <f t="shared" si="60"/>
        <v>#DIV/0!</v>
      </c>
      <c r="M147" s="88" t="e">
        <f>SUM(C147:L147)</f>
        <v>#DIV/0!</v>
      </c>
      <c r="N147" s="101"/>
    </row>
    <row r="148" spans="2:17">
      <c r="C148" s="57"/>
      <c r="D148" s="57"/>
      <c r="E148" s="57"/>
      <c r="F148" s="57"/>
      <c r="G148" s="57"/>
      <c r="H148" s="57"/>
      <c r="I148" s="57"/>
      <c r="J148" s="57"/>
      <c r="K148" s="57"/>
      <c r="L148" s="57"/>
      <c r="M148" s="88"/>
      <c r="N148" s="101"/>
    </row>
    <row r="149" spans="2:17">
      <c r="B149" s="11" t="s">
        <v>52</v>
      </c>
      <c r="C149" s="92"/>
      <c r="D149" s="92" t="e">
        <f t="shared" ref="D149:L149" si="61">+D246</f>
        <v>#DIV/0!</v>
      </c>
      <c r="E149" s="92" t="e">
        <f t="shared" si="61"/>
        <v>#DIV/0!</v>
      </c>
      <c r="F149" s="92" t="e">
        <f t="shared" si="61"/>
        <v>#DIV/0!</v>
      </c>
      <c r="G149" s="92" t="e">
        <f t="shared" si="61"/>
        <v>#DIV/0!</v>
      </c>
      <c r="H149" s="92" t="e">
        <f t="shared" si="61"/>
        <v>#DIV/0!</v>
      </c>
      <c r="I149" s="92" t="e">
        <f t="shared" si="61"/>
        <v>#DIV/0!</v>
      </c>
      <c r="J149" s="92" t="e">
        <f t="shared" si="61"/>
        <v>#DIV/0!</v>
      </c>
      <c r="K149" s="92" t="e">
        <f t="shared" si="61"/>
        <v>#DIV/0!</v>
      </c>
      <c r="L149" s="92" t="e">
        <f t="shared" si="61"/>
        <v>#DIV/0!</v>
      </c>
      <c r="M149" s="87" t="e">
        <f>SUM(C149:L149)</f>
        <v>#DIV/0!</v>
      </c>
      <c r="N149" s="101"/>
    </row>
    <row r="150" spans="2:17">
      <c r="C150" s="93"/>
      <c r="D150" s="93" t="e">
        <f t="shared" ref="D150:L150" si="62">+D149*$M150</f>
        <v>#DIV/0!</v>
      </c>
      <c r="E150" s="93" t="e">
        <f t="shared" si="62"/>
        <v>#DIV/0!</v>
      </c>
      <c r="F150" s="93" t="e">
        <f t="shared" si="62"/>
        <v>#DIV/0!</v>
      </c>
      <c r="G150" s="93" t="e">
        <f t="shared" si="62"/>
        <v>#DIV/0!</v>
      </c>
      <c r="H150" s="93" t="e">
        <f t="shared" si="62"/>
        <v>#DIV/0!</v>
      </c>
      <c r="I150" s="93" t="e">
        <f t="shared" si="62"/>
        <v>#DIV/0!</v>
      </c>
      <c r="J150" s="93" t="e">
        <f t="shared" si="62"/>
        <v>#DIV/0!</v>
      </c>
      <c r="K150" s="93" t="e">
        <f t="shared" si="62"/>
        <v>#DIV/0!</v>
      </c>
      <c r="L150" s="93" t="e">
        <f t="shared" si="62"/>
        <v>#DIV/0!</v>
      </c>
      <c r="M150" s="88">
        <f>+'2021-2022 Recy. Tons &amp; Revenue'!C26</f>
        <v>0</v>
      </c>
      <c r="N150" s="101"/>
      <c r="O150" s="88"/>
      <c r="P150" s="88"/>
    </row>
    <row r="151" spans="2:17">
      <c r="C151" s="57"/>
      <c r="D151" s="57" t="e">
        <f t="shared" ref="D151:L151" si="63">+$C$68*D150*D26+D150*D60*$C$69</f>
        <v>#DIV/0!</v>
      </c>
      <c r="E151" s="57" t="e">
        <f t="shared" si="63"/>
        <v>#DIV/0!</v>
      </c>
      <c r="F151" s="57" t="e">
        <f t="shared" si="63"/>
        <v>#DIV/0!</v>
      </c>
      <c r="G151" s="57" t="e">
        <f t="shared" si="63"/>
        <v>#DIV/0!</v>
      </c>
      <c r="H151" s="57" t="e">
        <f t="shared" si="63"/>
        <v>#DIV/0!</v>
      </c>
      <c r="I151" s="57" t="e">
        <f t="shared" si="63"/>
        <v>#DIV/0!</v>
      </c>
      <c r="J151" s="57" t="e">
        <f t="shared" si="63"/>
        <v>#DIV/0!</v>
      </c>
      <c r="K151" s="57" t="e">
        <f t="shared" si="63"/>
        <v>#DIV/0!</v>
      </c>
      <c r="L151" s="57" t="e">
        <f t="shared" si="63"/>
        <v>#DIV/0!</v>
      </c>
      <c r="M151" s="88" t="e">
        <f>SUM(C151:L151)</f>
        <v>#DIV/0!</v>
      </c>
      <c r="N151" s="101"/>
    </row>
    <row r="152" spans="2:17">
      <c r="C152" s="57"/>
      <c r="D152" s="57"/>
      <c r="E152" s="57"/>
      <c r="F152" s="57"/>
      <c r="G152" s="57"/>
      <c r="H152" s="57"/>
      <c r="I152" s="57"/>
      <c r="J152" s="57"/>
      <c r="K152" s="57"/>
      <c r="L152" s="57"/>
      <c r="M152" s="88"/>
      <c r="N152" s="101"/>
    </row>
    <row r="153" spans="2:17">
      <c r="B153" s="11" t="s">
        <v>59</v>
      </c>
      <c r="C153" s="92"/>
      <c r="D153" s="92" t="e">
        <f t="shared" ref="D153:L153" si="64">+D250</f>
        <v>#DIV/0!</v>
      </c>
      <c r="E153" s="92" t="e">
        <f t="shared" si="64"/>
        <v>#DIV/0!</v>
      </c>
      <c r="F153" s="92" t="e">
        <f t="shared" si="64"/>
        <v>#DIV/0!</v>
      </c>
      <c r="G153" s="92" t="e">
        <f t="shared" si="64"/>
        <v>#DIV/0!</v>
      </c>
      <c r="H153" s="92" t="e">
        <f t="shared" si="64"/>
        <v>#DIV/0!</v>
      </c>
      <c r="I153" s="92" t="e">
        <f t="shared" si="64"/>
        <v>#DIV/0!</v>
      </c>
      <c r="J153" s="92" t="e">
        <f t="shared" si="64"/>
        <v>#DIV/0!</v>
      </c>
      <c r="K153" s="92" t="e">
        <f t="shared" si="64"/>
        <v>#DIV/0!</v>
      </c>
      <c r="L153" s="92" t="e">
        <f t="shared" si="64"/>
        <v>#DIV/0!</v>
      </c>
      <c r="M153" s="87" t="e">
        <f>SUM(C153:L153)</f>
        <v>#DIV/0!</v>
      </c>
      <c r="N153" s="101"/>
    </row>
    <row r="154" spans="2:17">
      <c r="C154" s="93"/>
      <c r="D154" s="93" t="e">
        <f t="shared" ref="D154:L154" si="65">+D153*$M154</f>
        <v>#DIV/0!</v>
      </c>
      <c r="E154" s="93" t="e">
        <f t="shared" si="65"/>
        <v>#DIV/0!</v>
      </c>
      <c r="F154" s="93" t="e">
        <f t="shared" si="65"/>
        <v>#DIV/0!</v>
      </c>
      <c r="G154" s="93" t="e">
        <f t="shared" si="65"/>
        <v>#DIV/0!</v>
      </c>
      <c r="H154" s="93" t="e">
        <f t="shared" si="65"/>
        <v>#DIV/0!</v>
      </c>
      <c r="I154" s="93" t="e">
        <f t="shared" si="65"/>
        <v>#DIV/0!</v>
      </c>
      <c r="J154" s="93" t="e">
        <f t="shared" si="65"/>
        <v>#DIV/0!</v>
      </c>
      <c r="K154" s="93" t="e">
        <f t="shared" si="65"/>
        <v>#DIV/0!</v>
      </c>
      <c r="L154" s="93" t="e">
        <f t="shared" si="65"/>
        <v>#DIV/0!</v>
      </c>
      <c r="M154" s="88">
        <f>+'2021-2022 Recy. Tons &amp; Revenue'!C27</f>
        <v>0</v>
      </c>
      <c r="N154" s="101"/>
      <c r="O154" s="88"/>
      <c r="P154" s="88"/>
    </row>
    <row r="155" spans="2:17">
      <c r="C155" s="57"/>
      <c r="D155" s="57" t="e">
        <f t="shared" ref="D155:L155" si="66">+$C$68*D154*D27+D154*D61*$C$69</f>
        <v>#DIV/0!</v>
      </c>
      <c r="E155" s="57" t="e">
        <f t="shared" si="66"/>
        <v>#DIV/0!</v>
      </c>
      <c r="F155" s="57" t="e">
        <f t="shared" si="66"/>
        <v>#DIV/0!</v>
      </c>
      <c r="G155" s="57" t="e">
        <f t="shared" si="66"/>
        <v>#DIV/0!</v>
      </c>
      <c r="H155" s="57" t="e">
        <f t="shared" si="66"/>
        <v>#DIV/0!</v>
      </c>
      <c r="I155" s="57" t="e">
        <f t="shared" si="66"/>
        <v>#DIV/0!</v>
      </c>
      <c r="J155" s="57" t="e">
        <f t="shared" si="66"/>
        <v>#DIV/0!</v>
      </c>
      <c r="K155" s="57" t="e">
        <f t="shared" si="66"/>
        <v>#DIV/0!</v>
      </c>
      <c r="L155" s="57" t="e">
        <f t="shared" si="66"/>
        <v>#DIV/0!</v>
      </c>
      <c r="M155" s="88" t="e">
        <f>SUM(C155:L155)</f>
        <v>#DIV/0!</v>
      </c>
      <c r="N155" s="101"/>
    </row>
    <row r="156" spans="2:17">
      <c r="C156" s="93"/>
      <c r="D156" s="93"/>
      <c r="E156" s="93"/>
      <c r="F156" s="93"/>
      <c r="G156" s="93"/>
      <c r="H156" s="93"/>
      <c r="I156" s="93"/>
      <c r="J156" s="93"/>
      <c r="K156" s="93"/>
      <c r="L156" s="93"/>
      <c r="M156" s="88"/>
      <c r="N156" s="101"/>
    </row>
    <row r="157" spans="2:17">
      <c r="B157" s="11" t="s">
        <v>60</v>
      </c>
      <c r="C157" s="92"/>
      <c r="D157" s="92" t="e">
        <f t="shared" ref="D157:L157" si="67">+D254</f>
        <v>#DIV/0!</v>
      </c>
      <c r="E157" s="92" t="e">
        <f t="shared" si="67"/>
        <v>#DIV/0!</v>
      </c>
      <c r="F157" s="92" t="e">
        <f t="shared" si="67"/>
        <v>#DIV/0!</v>
      </c>
      <c r="G157" s="92" t="e">
        <f t="shared" si="67"/>
        <v>#DIV/0!</v>
      </c>
      <c r="H157" s="92" t="e">
        <f t="shared" si="67"/>
        <v>#DIV/0!</v>
      </c>
      <c r="I157" s="92" t="e">
        <f t="shared" si="67"/>
        <v>#DIV/0!</v>
      </c>
      <c r="J157" s="92" t="e">
        <f t="shared" si="67"/>
        <v>#DIV/0!</v>
      </c>
      <c r="K157" s="92" t="e">
        <f t="shared" si="67"/>
        <v>#DIV/0!</v>
      </c>
      <c r="L157" s="92" t="e">
        <f t="shared" si="67"/>
        <v>#DIV/0!</v>
      </c>
      <c r="M157" s="87" t="e">
        <f>SUM(C157:L157)</f>
        <v>#DIV/0!</v>
      </c>
      <c r="N157" s="101"/>
    </row>
    <row r="158" spans="2:17">
      <c r="C158" s="93"/>
      <c r="D158" s="93" t="e">
        <f t="shared" ref="D158:L158" si="68">+D157*$M158</f>
        <v>#DIV/0!</v>
      </c>
      <c r="E158" s="93" t="e">
        <f t="shared" si="68"/>
        <v>#DIV/0!</v>
      </c>
      <c r="F158" s="93" t="e">
        <f t="shared" si="68"/>
        <v>#DIV/0!</v>
      </c>
      <c r="G158" s="93" t="e">
        <f t="shared" si="68"/>
        <v>#DIV/0!</v>
      </c>
      <c r="H158" s="93" t="e">
        <f t="shared" si="68"/>
        <v>#DIV/0!</v>
      </c>
      <c r="I158" s="93" t="e">
        <f t="shared" si="68"/>
        <v>#DIV/0!</v>
      </c>
      <c r="J158" s="93" t="e">
        <f t="shared" si="68"/>
        <v>#DIV/0!</v>
      </c>
      <c r="K158" s="93" t="e">
        <f t="shared" si="68"/>
        <v>#DIV/0!</v>
      </c>
      <c r="L158" s="93" t="e">
        <f t="shared" si="68"/>
        <v>#DIV/0!</v>
      </c>
      <c r="M158" s="88">
        <f>+'2021-2022 Recy. Tons &amp; Revenue'!C28</f>
        <v>0</v>
      </c>
      <c r="N158" s="101"/>
      <c r="O158" s="88"/>
      <c r="P158" s="88"/>
    </row>
    <row r="159" spans="2:17">
      <c r="C159" s="57"/>
      <c r="D159" s="57" t="e">
        <f t="shared" ref="D159:L159" si="69">+$C$68*D158*D28+D158*D62*$C$69</f>
        <v>#DIV/0!</v>
      </c>
      <c r="E159" s="57" t="e">
        <f t="shared" si="69"/>
        <v>#DIV/0!</v>
      </c>
      <c r="F159" s="57" t="e">
        <f t="shared" si="69"/>
        <v>#DIV/0!</v>
      </c>
      <c r="G159" s="57" t="e">
        <f t="shared" si="69"/>
        <v>#DIV/0!</v>
      </c>
      <c r="H159" s="57" t="e">
        <f t="shared" si="69"/>
        <v>#DIV/0!</v>
      </c>
      <c r="I159" s="57" t="e">
        <f t="shared" si="69"/>
        <v>#DIV/0!</v>
      </c>
      <c r="J159" s="57" t="e">
        <f t="shared" si="69"/>
        <v>#DIV/0!</v>
      </c>
      <c r="K159" s="57" t="e">
        <f t="shared" si="69"/>
        <v>#DIV/0!</v>
      </c>
      <c r="L159" s="57" t="e">
        <f t="shared" si="69"/>
        <v>#DIV/0!</v>
      </c>
      <c r="M159" s="132" t="e">
        <f>SUM(C159:L159)</f>
        <v>#DIV/0!</v>
      </c>
      <c r="N159" s="101"/>
      <c r="Q159" s="101"/>
    </row>
    <row r="160" spans="2:17">
      <c r="C160" s="93"/>
      <c r="D160" s="93"/>
      <c r="E160" s="93"/>
      <c r="F160" s="93"/>
      <c r="G160" s="93"/>
      <c r="H160" s="93"/>
      <c r="I160" s="93"/>
      <c r="J160" s="93"/>
      <c r="K160" s="93"/>
      <c r="L160" s="93"/>
      <c r="M160" s="88"/>
    </row>
    <row r="161" spans="2:16">
      <c r="B161" s="11" t="s">
        <v>61</v>
      </c>
      <c r="C161" s="92"/>
      <c r="D161" s="92" t="e">
        <f t="shared" ref="D161:L161" si="70">+D258</f>
        <v>#DIV/0!</v>
      </c>
      <c r="E161" s="92" t="e">
        <f t="shared" si="70"/>
        <v>#DIV/0!</v>
      </c>
      <c r="F161" s="92" t="e">
        <f t="shared" si="70"/>
        <v>#DIV/0!</v>
      </c>
      <c r="G161" s="92" t="e">
        <f t="shared" si="70"/>
        <v>#DIV/0!</v>
      </c>
      <c r="H161" s="92" t="e">
        <f t="shared" si="70"/>
        <v>#DIV/0!</v>
      </c>
      <c r="I161" s="92" t="e">
        <f t="shared" si="70"/>
        <v>#DIV/0!</v>
      </c>
      <c r="J161" s="92" t="e">
        <f t="shared" si="70"/>
        <v>#DIV/0!</v>
      </c>
      <c r="K161" s="92" t="e">
        <f t="shared" si="70"/>
        <v>#DIV/0!</v>
      </c>
      <c r="L161" s="92" t="e">
        <f t="shared" si="70"/>
        <v>#DIV/0!</v>
      </c>
      <c r="M161" s="87" t="e">
        <f>SUM(C161:L161)</f>
        <v>#DIV/0!</v>
      </c>
    </row>
    <row r="162" spans="2:16">
      <c r="C162" s="93"/>
      <c r="D162" s="93" t="e">
        <f t="shared" ref="D162:L162" si="71">+D161*$M162</f>
        <v>#DIV/0!</v>
      </c>
      <c r="E162" s="93" t="e">
        <f t="shared" si="71"/>
        <v>#DIV/0!</v>
      </c>
      <c r="F162" s="93" t="e">
        <f t="shared" si="71"/>
        <v>#DIV/0!</v>
      </c>
      <c r="G162" s="93" t="e">
        <f t="shared" si="71"/>
        <v>#DIV/0!</v>
      </c>
      <c r="H162" s="93" t="e">
        <f t="shared" si="71"/>
        <v>#DIV/0!</v>
      </c>
      <c r="I162" s="93" t="e">
        <f t="shared" si="71"/>
        <v>#DIV/0!</v>
      </c>
      <c r="J162" s="93" t="e">
        <f t="shared" si="71"/>
        <v>#DIV/0!</v>
      </c>
      <c r="K162" s="93" t="e">
        <f t="shared" si="71"/>
        <v>#DIV/0!</v>
      </c>
      <c r="L162" s="93" t="e">
        <f t="shared" si="71"/>
        <v>#DIV/0!</v>
      </c>
      <c r="M162" s="88">
        <f>+'2021-2022 Recy. Tons &amp; Revenue'!C29</f>
        <v>0</v>
      </c>
      <c r="O162" s="88"/>
      <c r="P162" s="88"/>
    </row>
    <row r="163" spans="2:16">
      <c r="C163" s="187"/>
      <c r="D163" s="57" t="e">
        <f t="shared" ref="D163:L163" si="72">+$C$68*D162*D29+D162*D63*$C$69</f>
        <v>#DIV/0!</v>
      </c>
      <c r="E163" s="57" t="e">
        <f t="shared" si="72"/>
        <v>#DIV/0!</v>
      </c>
      <c r="F163" s="57" t="e">
        <f t="shared" si="72"/>
        <v>#DIV/0!</v>
      </c>
      <c r="G163" s="57" t="e">
        <f t="shared" si="72"/>
        <v>#DIV/0!</v>
      </c>
      <c r="H163" s="57" t="e">
        <f t="shared" si="72"/>
        <v>#DIV/0!</v>
      </c>
      <c r="I163" s="57" t="e">
        <f t="shared" si="72"/>
        <v>#DIV/0!</v>
      </c>
      <c r="J163" s="57" t="e">
        <f t="shared" si="72"/>
        <v>#DIV/0!</v>
      </c>
      <c r="K163" s="57" t="e">
        <f t="shared" si="72"/>
        <v>#DIV/0!</v>
      </c>
      <c r="L163" s="57" t="e">
        <f t="shared" si="72"/>
        <v>#DIV/0!</v>
      </c>
      <c r="M163" s="132" t="e">
        <f>SUM(C163:L163)</f>
        <v>#DIV/0!</v>
      </c>
    </row>
    <row r="164" spans="2:16">
      <c r="C164" s="57"/>
      <c r="D164" s="57"/>
      <c r="E164" s="57"/>
      <c r="F164" s="57"/>
      <c r="G164" s="57"/>
      <c r="H164" s="57"/>
      <c r="I164" s="57"/>
      <c r="J164" s="57"/>
      <c r="K164" s="57"/>
      <c r="L164" s="57"/>
      <c r="M164" s="88"/>
    </row>
    <row r="165" spans="2:16">
      <c r="B165" s="11" t="s">
        <v>62</v>
      </c>
      <c r="C165" s="92"/>
      <c r="D165" s="92" t="e">
        <f t="shared" ref="D165:L165" si="73">+D262</f>
        <v>#DIV/0!</v>
      </c>
      <c r="E165" s="92" t="e">
        <f t="shared" si="73"/>
        <v>#DIV/0!</v>
      </c>
      <c r="F165" s="92" t="e">
        <f t="shared" si="73"/>
        <v>#DIV/0!</v>
      </c>
      <c r="G165" s="92" t="e">
        <f t="shared" si="73"/>
        <v>#DIV/0!</v>
      </c>
      <c r="H165" s="92" t="e">
        <f t="shared" si="73"/>
        <v>#DIV/0!</v>
      </c>
      <c r="I165" s="92" t="e">
        <f t="shared" si="73"/>
        <v>#DIV/0!</v>
      </c>
      <c r="J165" s="92" t="e">
        <f t="shared" si="73"/>
        <v>#DIV/0!</v>
      </c>
      <c r="K165" s="92" t="e">
        <f t="shared" si="73"/>
        <v>#DIV/0!</v>
      </c>
      <c r="L165" s="92" t="e">
        <f t="shared" si="73"/>
        <v>#DIV/0!</v>
      </c>
      <c r="M165" s="87" t="e">
        <f>SUM(C165:L165)</f>
        <v>#DIV/0!</v>
      </c>
    </row>
    <row r="166" spans="2:16">
      <c r="C166" s="93">
        <f t="shared" ref="C166:L166" si="74">+C165*$M166</f>
        <v>0</v>
      </c>
      <c r="D166" s="93" t="e">
        <f t="shared" si="74"/>
        <v>#DIV/0!</v>
      </c>
      <c r="E166" s="93" t="e">
        <f t="shared" si="74"/>
        <v>#DIV/0!</v>
      </c>
      <c r="F166" s="93" t="e">
        <f t="shared" si="74"/>
        <v>#DIV/0!</v>
      </c>
      <c r="G166" s="93" t="e">
        <f t="shared" si="74"/>
        <v>#DIV/0!</v>
      </c>
      <c r="H166" s="93" t="e">
        <f t="shared" si="74"/>
        <v>#DIV/0!</v>
      </c>
      <c r="I166" s="93" t="e">
        <f t="shared" si="74"/>
        <v>#DIV/0!</v>
      </c>
      <c r="J166" s="93" t="e">
        <f t="shared" si="74"/>
        <v>#DIV/0!</v>
      </c>
      <c r="K166" s="93" t="e">
        <f t="shared" si="74"/>
        <v>#DIV/0!</v>
      </c>
      <c r="L166" s="93" t="e">
        <f t="shared" si="74"/>
        <v>#DIV/0!</v>
      </c>
      <c r="M166" s="88">
        <f>+'2021-2022 Recy. Tons &amp; Revenue'!C30</f>
        <v>0</v>
      </c>
      <c r="O166" s="88"/>
      <c r="P166" s="88"/>
    </row>
    <row r="167" spans="2:16">
      <c r="C167" s="186"/>
      <c r="D167" s="57" t="e">
        <f t="shared" ref="D167:L167" si="75">+$C$68*D166*D30+D166*D64*$C$69</f>
        <v>#DIV/0!</v>
      </c>
      <c r="E167" s="57" t="e">
        <f t="shared" si="75"/>
        <v>#DIV/0!</v>
      </c>
      <c r="F167" s="57" t="e">
        <f t="shared" si="75"/>
        <v>#DIV/0!</v>
      </c>
      <c r="G167" s="57" t="e">
        <f t="shared" si="75"/>
        <v>#DIV/0!</v>
      </c>
      <c r="H167" s="57" t="e">
        <f t="shared" si="75"/>
        <v>#DIV/0!</v>
      </c>
      <c r="I167" s="57" t="e">
        <f t="shared" si="75"/>
        <v>#DIV/0!</v>
      </c>
      <c r="J167" s="57" t="e">
        <f t="shared" si="75"/>
        <v>#DIV/0!</v>
      </c>
      <c r="K167" s="57" t="e">
        <f t="shared" si="75"/>
        <v>#DIV/0!</v>
      </c>
      <c r="L167" s="57" t="e">
        <f t="shared" si="75"/>
        <v>#DIV/0!</v>
      </c>
      <c r="M167" s="88" t="e">
        <f>SUM(C167:L167)</f>
        <v>#DIV/0!</v>
      </c>
    </row>
    <row r="169" spans="2:16">
      <c r="B169" s="91" t="s">
        <v>63</v>
      </c>
    </row>
    <row r="170" spans="2:16">
      <c r="B170" s="11" t="str">
        <f>+B73</f>
        <v>Oct; '21</v>
      </c>
      <c r="C170" s="92"/>
      <c r="D170" s="92">
        <f>+'Composition-Rec. Acct. Analysis'!$D$7</f>
        <v>0.34451473439966246</v>
      </c>
      <c r="E170" s="92">
        <f>+'Composition-Rec. Acct. Analysis'!$D$8</f>
        <v>0.19061939503231459</v>
      </c>
      <c r="F170" s="92">
        <f>+'Composition-Rec. Acct. Analysis'!$D$9</f>
        <v>5.9803659933584117E-3</v>
      </c>
      <c r="G170" s="92">
        <f>+'Composition-Rec. Acct. Analysis'!$D$10</f>
        <v>9.4698167033580045E-3</v>
      </c>
      <c r="H170" s="92">
        <f>+'Composition-Rec. Acct. Analysis'!$D$11</f>
        <v>0.21112917662969571</v>
      </c>
      <c r="I170" s="92">
        <f>+'Composition-Rec. Acct. Analysis'!$D$12</f>
        <v>6.9692890107884292E-3</v>
      </c>
      <c r="J170" s="92">
        <f>+'Composition-Rec. Acct. Analysis'!$D$13</f>
        <v>1.0015985456419092E-2</v>
      </c>
      <c r="K170" s="92">
        <f>+'Composition-Rec. Acct. Analysis'!$D$14</f>
        <v>1.3894825065715588E-3</v>
      </c>
      <c r="L170" s="92">
        <f>+'Composition-Rec. Acct. Analysis'!$D$15</f>
        <v>2.1307048216271259E-3</v>
      </c>
      <c r="M170" s="92">
        <f>+M73</f>
        <v>0.78221895055379542</v>
      </c>
    </row>
    <row r="171" spans="2:16">
      <c r="C171" s="93">
        <f t="shared" ref="C171:L171" si="76">+C170*$M171</f>
        <v>0</v>
      </c>
      <c r="D171" s="93">
        <f t="shared" si="76"/>
        <v>1179.842385161804</v>
      </c>
      <c r="E171" s="93">
        <f t="shared" si="76"/>
        <v>652.80471119741617</v>
      </c>
      <c r="F171" s="93">
        <f t="shared" si="76"/>
        <v>20.480660399154885</v>
      </c>
      <c r="G171" s="93">
        <f t="shared" si="76"/>
        <v>32.430807773154989</v>
      </c>
      <c r="H171" s="93">
        <f t="shared" si="76"/>
        <v>723.04353474488744</v>
      </c>
      <c r="I171" s="93">
        <f t="shared" si="76"/>
        <v>23.867375610796596</v>
      </c>
      <c r="J171" s="93">
        <f t="shared" si="76"/>
        <v>34.301244593325642</v>
      </c>
      <c r="K171" s="93">
        <f t="shared" si="76"/>
        <v>4.7584912661302887</v>
      </c>
      <c r="L171" s="93">
        <f t="shared" si="76"/>
        <v>7.2969182673853368</v>
      </c>
      <c r="M171" s="88">
        <f>+'2021-2022 Recy. Tons &amp; Revenue'!$D$7</f>
        <v>3424.65</v>
      </c>
      <c r="N171" s="93"/>
    </row>
    <row r="172" spans="2:16">
      <c r="C172" s="57">
        <f t="shared" ref="C172:L172" si="77">+C171*C7</f>
        <v>0</v>
      </c>
      <c r="D172" s="57">
        <f t="shared" si="77"/>
        <v>133959.30441127124</v>
      </c>
      <c r="E172" s="57">
        <f t="shared" si="77"/>
        <v>131670.71024851882</v>
      </c>
      <c r="F172" s="57">
        <f t="shared" si="77"/>
        <v>33974.548309742073</v>
      </c>
      <c r="G172" s="57">
        <f t="shared" si="77"/>
        <v>6823.1176473940777</v>
      </c>
      <c r="H172" s="57">
        <f t="shared" si="77"/>
        <v>-45913.264456300356</v>
      </c>
      <c r="I172" s="57">
        <f t="shared" si="77"/>
        <v>5902.879336062214</v>
      </c>
      <c r="J172" s="57">
        <f t="shared" si="77"/>
        <v>69288.514078517794</v>
      </c>
      <c r="K172" s="57">
        <f t="shared" si="77"/>
        <v>4806.0761787915917</v>
      </c>
      <c r="L172" s="57">
        <f t="shared" si="77"/>
        <v>-1368.1721751347507</v>
      </c>
      <c r="M172" s="88">
        <f>SUM(C172:L172)</f>
        <v>339143.71357886272</v>
      </c>
      <c r="N172" s="101"/>
    </row>
    <row r="173" spans="2:16">
      <c r="C173" s="92"/>
      <c r="D173" s="92"/>
      <c r="E173" s="92"/>
      <c r="F173" s="92"/>
      <c r="G173" s="92"/>
      <c r="H173" s="92"/>
      <c r="I173" s="92"/>
      <c r="J173" s="92"/>
      <c r="K173" s="92"/>
      <c r="L173" s="92"/>
      <c r="N173" s="101"/>
    </row>
    <row r="174" spans="2:16">
      <c r="B174" s="11" t="s">
        <v>47</v>
      </c>
      <c r="C174" s="92"/>
      <c r="D174" s="92">
        <f>+'Composition-Rec. Acct. Analysis'!$F$7</f>
        <v>0.38993981205758893</v>
      </c>
      <c r="E174" s="92">
        <f>+'Composition-Rec. Acct. Analysis'!$F$8</f>
        <v>0.17698939384752213</v>
      </c>
      <c r="F174" s="92">
        <f>+'Composition-Rec. Acct. Analysis'!$F$9</f>
        <v>5.7995084347954671E-3</v>
      </c>
      <c r="G174" s="92">
        <f>+'Composition-Rec. Acct. Analysis'!$F$10</f>
        <v>8.7703846475307903E-3</v>
      </c>
      <c r="H174" s="92">
        <f>+'Composition-Rec. Acct. Analysis'!$F$11</f>
        <v>0.22449791936539026</v>
      </c>
      <c r="I174" s="92">
        <f>+'Composition-Rec. Acct. Analysis'!$F$12</f>
        <v>2.5408891223468614E-4</v>
      </c>
      <c r="J174" s="92">
        <f>+'Composition-Rec. Acct. Analysis'!$F$13</f>
        <v>1.4600988848837468E-2</v>
      </c>
      <c r="K174" s="92">
        <f>+'Composition-Rec. Acct. Analysis'!$F$14</f>
        <v>5.1716594346182731E-4</v>
      </c>
      <c r="L174" s="92">
        <f>+'Composition-Rec. Acct. Analysis'!$F$15</f>
        <v>4.1848321335904359E-3</v>
      </c>
      <c r="M174" s="92">
        <f>+M77</f>
        <v>0.82555409419095194</v>
      </c>
      <c r="N174" s="101"/>
    </row>
    <row r="175" spans="2:16">
      <c r="C175" s="93">
        <f t="shared" ref="C175:L175" si="78">+C174*$M175</f>
        <v>0</v>
      </c>
      <c r="D175" s="93">
        <f t="shared" si="78"/>
        <v>1553.2316557765116</v>
      </c>
      <c r="E175" s="93">
        <f t="shared" si="78"/>
        <v>704.99477293708094</v>
      </c>
      <c r="F175" s="93">
        <f t="shared" si="78"/>
        <v>23.100949967983389</v>
      </c>
      <c r="G175" s="93">
        <f t="shared" si="78"/>
        <v>34.93472235112349</v>
      </c>
      <c r="H175" s="93">
        <f t="shared" si="78"/>
        <v>894.23358229138432</v>
      </c>
      <c r="I175" s="93">
        <f t="shared" si="78"/>
        <v>1.0121022005479359</v>
      </c>
      <c r="J175" s="93">
        <f t="shared" si="78"/>
        <v>58.159534842020328</v>
      </c>
      <c r="K175" s="93">
        <f t="shared" si="78"/>
        <v>2.0600064159537581</v>
      </c>
      <c r="L175" s="93">
        <f t="shared" si="78"/>
        <v>16.669274444445438</v>
      </c>
      <c r="M175" s="88">
        <f>+'2021-2022 Recy. Tons &amp; Revenue'!$D$8</f>
        <v>3983.2599999999998</v>
      </c>
      <c r="N175" s="101"/>
    </row>
    <row r="176" spans="2:16">
      <c r="C176" s="57">
        <f t="shared" ref="C176:L176" si="79">+C175*C8</f>
        <v>0</v>
      </c>
      <c r="D176" s="57">
        <f t="shared" si="79"/>
        <v>151766.26508592293</v>
      </c>
      <c r="E176" s="57">
        <f t="shared" si="79"/>
        <v>128012.95086991516</v>
      </c>
      <c r="F176" s="57">
        <f t="shared" si="79"/>
        <v>33920.741904487768</v>
      </c>
      <c r="G176" s="57">
        <f t="shared" si="79"/>
        <v>8362.3244891884297</v>
      </c>
      <c r="H176" s="57">
        <f t="shared" si="79"/>
        <v>-56783.832475502903</v>
      </c>
      <c r="I176" s="57">
        <f t="shared" si="79"/>
        <v>253.02555013698398</v>
      </c>
      <c r="J176" s="57">
        <f t="shared" si="79"/>
        <v>97708.018534594157</v>
      </c>
      <c r="K176" s="57">
        <f t="shared" si="79"/>
        <v>1454.3645296633533</v>
      </c>
      <c r="L176" s="57">
        <f t="shared" si="79"/>
        <v>-3125.4889583335198</v>
      </c>
      <c r="M176" s="88">
        <f>SUM(C176:L176)</f>
        <v>361568.36953007238</v>
      </c>
      <c r="N176" s="101"/>
    </row>
    <row r="177" spans="2:14">
      <c r="N177" s="101"/>
    </row>
    <row r="178" spans="2:14">
      <c r="B178" s="11" t="s">
        <v>64</v>
      </c>
      <c r="C178" s="92"/>
      <c r="D178" s="92">
        <f>+'Composition-Rec. Acct. Analysis'!$H$7</f>
        <v>0.37140199789171413</v>
      </c>
      <c r="E178" s="92">
        <f>+'Composition-Rec. Acct. Analysis'!$H$8</f>
        <v>0.19763744831626137</v>
      </c>
      <c r="F178" s="92">
        <f>+'Composition-Rec. Acct. Analysis'!$H$9</f>
        <v>5.9831560127837514E-3</v>
      </c>
      <c r="G178" s="92">
        <f>+'Composition-Rec. Acct. Analysis'!$H$10</f>
        <v>1.0757445754263024E-2</v>
      </c>
      <c r="H178" s="92">
        <f>+'Composition-Rec. Acct. Analysis'!$H$11</f>
        <v>0.24965387401783901</v>
      </c>
      <c r="I178" s="92">
        <f>+'Composition-Rec. Acct. Analysis'!$H12</f>
        <v>1.4759852609654881E-3</v>
      </c>
      <c r="J178" s="92">
        <f>+'Composition-Rec. Acct. Analysis'!$H$13</f>
        <v>1.2306440588051543E-2</v>
      </c>
      <c r="K178" s="92">
        <f>+'Composition-Rec. Acct. Analysis'!$H$14</f>
        <v>3.272373833169167E-4</v>
      </c>
      <c r="L178" s="92">
        <f>+'Composition-Rec. Acct. Analysis'!$H$15</f>
        <v>4.0985195148939791E-3</v>
      </c>
      <c r="M178" s="92">
        <f>+M81</f>
        <v>0.85364210474008928</v>
      </c>
      <c r="N178" s="101"/>
    </row>
    <row r="179" spans="2:14">
      <c r="C179" s="93">
        <f t="shared" ref="C179:L179" si="80">+C178*$M179</f>
        <v>0</v>
      </c>
      <c r="D179" s="93">
        <f t="shared" si="80"/>
        <v>1158.1762762055423</v>
      </c>
      <c r="E179" s="93">
        <f t="shared" si="80"/>
        <v>616.31064245494622</v>
      </c>
      <c r="F179" s="93">
        <f t="shared" si="80"/>
        <v>18.657813878704722</v>
      </c>
      <c r="G179" s="93">
        <f t="shared" si="80"/>
        <v>33.545911265636271</v>
      </c>
      <c r="H179" s="93">
        <f t="shared" si="80"/>
        <v>778.51814419848893</v>
      </c>
      <c r="I179" s="93">
        <f t="shared" si="80"/>
        <v>4.6026976779421682</v>
      </c>
      <c r="J179" s="93">
        <f t="shared" si="80"/>
        <v>38.376281265374054</v>
      </c>
      <c r="K179" s="93">
        <f t="shared" si="80"/>
        <v>1.0204537837616399</v>
      </c>
      <c r="L179" s="93">
        <f t="shared" si="80"/>
        <v>12.780782270050235</v>
      </c>
      <c r="M179" s="88">
        <f>+'2021-2022 Recy. Tons &amp; Revenue'!$D$9</f>
        <v>3118.39</v>
      </c>
      <c r="N179" s="101"/>
    </row>
    <row r="180" spans="2:14">
      <c r="C180" s="57">
        <f t="shared" ref="C180:L180" si="81">+C179*C9</f>
        <v>0</v>
      </c>
      <c r="D180" s="57">
        <f t="shared" si="81"/>
        <v>76358.561890231416</v>
      </c>
      <c r="E180" s="57">
        <f t="shared" si="81"/>
        <v>102702.00545869223</v>
      </c>
      <c r="F180" s="57">
        <f t="shared" si="81"/>
        <v>30199.724122210249</v>
      </c>
      <c r="G180" s="57">
        <f t="shared" si="81"/>
        <v>7750.4473388126034</v>
      </c>
      <c r="H180" s="57">
        <f t="shared" si="81"/>
        <v>-49435.902156604046</v>
      </c>
      <c r="I180" s="57">
        <f t="shared" si="81"/>
        <v>1192.5129413780362</v>
      </c>
      <c r="J180" s="57">
        <f t="shared" si="81"/>
        <v>42213.90939191146</v>
      </c>
      <c r="K180" s="57">
        <f t="shared" si="81"/>
        <v>469.40874053035435</v>
      </c>
      <c r="L180" s="57">
        <f t="shared" si="81"/>
        <v>-2396.3966756344189</v>
      </c>
      <c r="M180" s="88">
        <f>SUM(C180:L180)</f>
        <v>209054.27105152787</v>
      </c>
      <c r="N180" s="101"/>
    </row>
    <row r="181" spans="2:14">
      <c r="N181" s="101"/>
    </row>
    <row r="182" spans="2:14">
      <c r="B182" s="11" t="str">
        <f>+B85</f>
        <v>Jan. '22</v>
      </c>
      <c r="C182" s="92"/>
      <c r="D182" s="92">
        <f>+'Composition-Rec. Acct. Analysis'!$J$7</f>
        <v>0.39301886674384967</v>
      </c>
      <c r="E182" s="92">
        <f>+'Composition-Rec. Acct. Analysis'!$J$8</f>
        <v>0.19288530693299835</v>
      </c>
      <c r="F182" s="92">
        <f>+'Composition-Rec. Acct. Analysis'!$J$9</f>
        <v>5.1630132467083987E-3</v>
      </c>
      <c r="G182" s="92">
        <f>+'Composition-Rec. Acct. Analysis'!$J$10</f>
        <v>1.0110991806111747E-2</v>
      </c>
      <c r="H182" s="92">
        <f>+'Composition-Rec. Acct. Analysis'!$J$11</f>
        <v>0.2212600097029204</v>
      </c>
      <c r="I182" s="92">
        <f>+'Composition-Rec. Acct. Analysis'!$J$12</f>
        <v>3.5002955571066317E-3</v>
      </c>
      <c r="J182" s="92">
        <f>+'Composition-Rec. Acct. Analysis'!$J$13</f>
        <v>1.2321057188454798E-2</v>
      </c>
      <c r="K182" s="92">
        <f>+'Composition-Rec. Acct. Analysis'!$J$14</f>
        <v>4.2492663877160023E-4</v>
      </c>
      <c r="L182" s="92">
        <f>+'Composition-Rec. Acct. Analysis'!$J$15</f>
        <v>3.4973939979399218E-3</v>
      </c>
      <c r="M182" s="87">
        <f>SUM(C182:L182)</f>
        <v>0.84218186181486143</v>
      </c>
      <c r="N182" s="101"/>
    </row>
    <row r="183" spans="2:14">
      <c r="C183" s="93">
        <f t="shared" ref="C183:L183" si="82">+C182*$M183</f>
        <v>0</v>
      </c>
      <c r="D183" s="93">
        <f t="shared" si="82"/>
        <v>1712.6150835343317</v>
      </c>
      <c r="E183" s="93">
        <f t="shared" si="82"/>
        <v>840.51508463816413</v>
      </c>
      <c r="F183" s="93">
        <f t="shared" si="82"/>
        <v>22.498294893724047</v>
      </c>
      <c r="G183" s="93">
        <f t="shared" si="82"/>
        <v>44.059556784394481</v>
      </c>
      <c r="H183" s="93">
        <f t="shared" si="82"/>
        <v>964.16040568134872</v>
      </c>
      <c r="I183" s="93">
        <f t="shared" si="82"/>
        <v>15.252852916692285</v>
      </c>
      <c r="J183" s="93">
        <f t="shared" si="82"/>
        <v>53.690115593838733</v>
      </c>
      <c r="K183" s="93">
        <f t="shared" si="82"/>
        <v>1.8516560718447372</v>
      </c>
      <c r="L183" s="93">
        <f t="shared" si="82"/>
        <v>15.24020911148302</v>
      </c>
      <c r="M183" s="88">
        <f>+'2021-2022 Recy. Tons &amp; Revenue'!D10</f>
        <v>4357.5899999999992</v>
      </c>
      <c r="N183" s="101"/>
    </row>
    <row r="184" spans="2:14">
      <c r="C184" s="57">
        <f t="shared" ref="C184:L184" si="83">+C183*C10</f>
        <v>0</v>
      </c>
      <c r="D184" s="57">
        <f t="shared" si="83"/>
        <v>105651.22450323292</v>
      </c>
      <c r="E184" s="57">
        <f t="shared" si="83"/>
        <v>126001.61633810718</v>
      </c>
      <c r="F184" s="57">
        <f t="shared" si="83"/>
        <v>43329.691118772083</v>
      </c>
      <c r="G184" s="57">
        <f t="shared" si="83"/>
        <v>9024.7190161475228</v>
      </c>
      <c r="H184" s="57">
        <f t="shared" si="83"/>
        <v>-61224.185760765642</v>
      </c>
      <c r="I184" s="57">
        <f t="shared" si="83"/>
        <v>3660.6847000061484</v>
      </c>
      <c r="J184" s="57">
        <f t="shared" si="83"/>
        <v>48321.10403445486</v>
      </c>
      <c r="K184" s="57">
        <f t="shared" si="83"/>
        <v>592.52994299031593</v>
      </c>
      <c r="L184" s="57">
        <f t="shared" si="83"/>
        <v>-2857.5392084030664</v>
      </c>
      <c r="M184" s="88">
        <f>SUM(C184:L184)</f>
        <v>272499.84468454233</v>
      </c>
      <c r="N184" s="101"/>
    </row>
    <row r="185" spans="2:14">
      <c r="C185" s="92"/>
      <c r="D185" s="92"/>
      <c r="E185" s="92"/>
      <c r="F185" s="92"/>
      <c r="G185" s="92"/>
      <c r="H185" s="92"/>
      <c r="I185" s="92"/>
      <c r="J185" s="92"/>
      <c r="K185" s="92"/>
      <c r="L185" s="92"/>
      <c r="N185" s="101"/>
    </row>
    <row r="186" spans="2:14">
      <c r="B186" s="11" t="s">
        <v>49</v>
      </c>
      <c r="C186" s="92"/>
      <c r="D186" s="92">
        <f>+'Composition-Rec. Acct. Analysis'!$L$7</f>
        <v>0.37329750017776259</v>
      </c>
      <c r="E186" s="92">
        <f>+'Composition-Rec. Acct. Analysis'!$L$8</f>
        <v>0.22658534958973167</v>
      </c>
      <c r="F186" s="92">
        <f>+'Composition-Rec. Acct. Analysis'!$L$9</f>
        <v>6.752226522682675E-3</v>
      </c>
      <c r="G186" s="92">
        <f>+'Composition-Rec. Acct. Analysis'!$L$10</f>
        <v>1.0684261597059671E-2</v>
      </c>
      <c r="H186" s="92">
        <f>+'Composition-Rec. Acct. Analysis'!$L$11</f>
        <v>0.22229960153608702</v>
      </c>
      <c r="I186" s="92">
        <f>+'Composition-Rec. Acct. Analysis'!$L$12</f>
        <v>6.2479502347632257E-3</v>
      </c>
      <c r="J186" s="92">
        <f>+'Composition-Rec. Acct. Analysis'!$L$13</f>
        <v>1.0861543345892035E-2</v>
      </c>
      <c r="K186" s="92">
        <f>+'Composition-Rec. Acct. Analysis'!$L$14</f>
        <v>5.9247095817473118E-4</v>
      </c>
      <c r="L186" s="92">
        <f>+'Composition-Rec. Acct. Analysis'!$L$15</f>
        <v>1.0342282598841821E-2</v>
      </c>
      <c r="M186" s="87">
        <f>SUM(C186:L186)</f>
        <v>0.86766318656099561</v>
      </c>
      <c r="N186" s="101"/>
    </row>
    <row r="187" spans="2:14">
      <c r="C187" s="93">
        <f t="shared" ref="C187:L187" si="84">+C186*$M187</f>
        <v>0</v>
      </c>
      <c r="D187" s="93">
        <f t="shared" si="84"/>
        <v>1224.2702145579919</v>
      </c>
      <c r="E187" s="93">
        <f t="shared" si="84"/>
        <v>743.11157836797986</v>
      </c>
      <c r="F187" s="93">
        <f t="shared" si="84"/>
        <v>22.144669626055329</v>
      </c>
      <c r="G187" s="93">
        <f t="shared" si="84"/>
        <v>35.040211176332868</v>
      </c>
      <c r="H187" s="93">
        <f t="shared" si="84"/>
        <v>729.05599619376642</v>
      </c>
      <c r="I187" s="93">
        <f t="shared" si="84"/>
        <v>20.490840069431822</v>
      </c>
      <c r="J187" s="93">
        <f t="shared" si="84"/>
        <v>35.621626172620978</v>
      </c>
      <c r="K187" s="93">
        <f t="shared" si="84"/>
        <v>1.9430736791394303</v>
      </c>
      <c r="L187" s="93">
        <f t="shared" si="84"/>
        <v>33.918653433987629</v>
      </c>
      <c r="M187" s="88">
        <f>+'2021-2022 Recy. Tons &amp; Revenue'!D11</f>
        <v>3279.61</v>
      </c>
      <c r="N187" s="101"/>
    </row>
    <row r="188" spans="2:14">
      <c r="C188" s="57">
        <f t="shared" ref="C188:L188" si="85">+C187*C11</f>
        <v>0</v>
      </c>
      <c r="D188" s="57">
        <f t="shared" si="85"/>
        <v>62596.93607035013</v>
      </c>
      <c r="E188" s="57">
        <f t="shared" si="85"/>
        <v>117961.53195013313</v>
      </c>
      <c r="F188" s="57">
        <f t="shared" si="85"/>
        <v>47303.007341520533</v>
      </c>
      <c r="G188" s="57">
        <f t="shared" si="85"/>
        <v>7111.060456124992</v>
      </c>
      <c r="H188" s="57">
        <f t="shared" si="85"/>
        <v>-46295.055758304166</v>
      </c>
      <c r="I188" s="57">
        <f t="shared" si="85"/>
        <v>5566.1317964604596</v>
      </c>
      <c r="J188" s="57">
        <f t="shared" si="85"/>
        <v>32059.463555358881</v>
      </c>
      <c r="K188" s="57">
        <f t="shared" si="85"/>
        <v>544.06063015904044</v>
      </c>
      <c r="L188" s="57">
        <f t="shared" si="85"/>
        <v>-6359.7475188726803</v>
      </c>
      <c r="M188" s="88">
        <f>SUM(C188:L188)</f>
        <v>220487.38852293033</v>
      </c>
      <c r="N188" s="101"/>
    </row>
    <row r="189" spans="2:14">
      <c r="N189" s="101"/>
    </row>
    <row r="190" spans="2:14">
      <c r="B190" s="11" t="s">
        <v>50</v>
      </c>
      <c r="C190" s="92"/>
      <c r="D190" s="92">
        <f>+'Composition-Rec. Acct. Analysis'!N$7</f>
        <v>0.41003541068917587</v>
      </c>
      <c r="E190" s="92">
        <f>+'Composition-Rec. Acct. Analysis'!N$8</f>
        <v>0.180445094319683</v>
      </c>
      <c r="F190" s="92">
        <f>+'Composition-Rec. Acct. Analysis'!N$9</f>
        <v>4.9297948595097649E-3</v>
      </c>
      <c r="G190" s="92">
        <f>+'Composition-Rec. Acct. Analysis'!N$10</f>
        <v>6.5517014813198243E-3</v>
      </c>
      <c r="H190" s="92">
        <f>+'Composition-Rec. Acct. Analysis'!N$11</f>
        <v>0.21240877162020805</v>
      </c>
      <c r="I190" s="92">
        <f>+'Composition-Rec. Acct. Analysis'!N$12</f>
        <v>4.4010579296255821E-3</v>
      </c>
      <c r="J190" s="92">
        <f>+'Composition-Rec. Acct. Analysis'!N$13</f>
        <v>1.5948294494911436E-2</v>
      </c>
      <c r="K190" s="92">
        <f>+'Composition-Rec. Acct. Analysis'!N$14</f>
        <v>2.8226687988120343E-3</v>
      </c>
      <c r="L190" s="92">
        <f>+'Composition-Rec. Acct. Analysis'!N$15</f>
        <v>5.118199066450474E-3</v>
      </c>
      <c r="M190" s="87">
        <f>SUM(C190:L190)</f>
        <v>0.84266099325969579</v>
      </c>
      <c r="N190" s="101"/>
    </row>
    <row r="191" spans="2:14">
      <c r="C191" s="93">
        <f t="shared" ref="C191:L191" si="86">+C190*$M191</f>
        <v>0</v>
      </c>
      <c r="D191" s="93">
        <f t="shared" si="86"/>
        <v>1546.4444510601197</v>
      </c>
      <c r="E191" s="93">
        <f t="shared" si="86"/>
        <v>680.54686877574125</v>
      </c>
      <c r="F191" s="93">
        <f t="shared" si="86"/>
        <v>18.592672014692482</v>
      </c>
      <c r="G191" s="93">
        <f t="shared" si="86"/>
        <v>24.709676619782904</v>
      </c>
      <c r="H191" s="93">
        <f t="shared" si="86"/>
        <v>801.09755807789838</v>
      </c>
      <c r="I191" s="93">
        <f t="shared" si="86"/>
        <v>16.598545971003585</v>
      </c>
      <c r="J191" s="93">
        <f t="shared" si="86"/>
        <v>60.148833204613531</v>
      </c>
      <c r="K191" s="93">
        <f t="shared" si="86"/>
        <v>10.645667148031599</v>
      </c>
      <c r="L191" s="93">
        <f t="shared" si="86"/>
        <v>19.303236597127295</v>
      </c>
      <c r="M191" s="88">
        <f>+'2021-2022 Recy. Tons &amp; Revenue'!D12</f>
        <v>3771.49</v>
      </c>
      <c r="N191" s="101"/>
    </row>
    <row r="192" spans="2:14">
      <c r="C192" s="57">
        <f t="shared" ref="C192:L192" si="87">+C191*C12</f>
        <v>0</v>
      </c>
      <c r="D192" s="57">
        <f t="shared" si="87"/>
        <v>79054.240338193311</v>
      </c>
      <c r="E192" s="57">
        <f t="shared" si="87"/>
        <v>109282.21618800853</v>
      </c>
      <c r="F192" s="57">
        <f t="shared" si="87"/>
        <v>44124.315151988347</v>
      </c>
      <c r="G192" s="57">
        <f t="shared" si="87"/>
        <v>5921.9210986971711</v>
      </c>
      <c r="H192" s="57">
        <f t="shared" si="87"/>
        <v>-50869.694937946544</v>
      </c>
      <c r="I192" s="57">
        <f t="shared" si="87"/>
        <v>5379.7547346619722</v>
      </c>
      <c r="J192" s="57">
        <f t="shared" si="87"/>
        <v>49322.043227783099</v>
      </c>
      <c r="K192" s="57">
        <f t="shared" si="87"/>
        <v>4151.8101877323234</v>
      </c>
      <c r="L192" s="57">
        <f t="shared" si="87"/>
        <v>-3619.3568619613679</v>
      </c>
      <c r="M192" s="88">
        <f>SUM(C192:L192)</f>
        <v>242747.24912715692</v>
      </c>
      <c r="N192" s="101"/>
    </row>
    <row r="193" spans="2:14">
      <c r="N193" s="101"/>
    </row>
    <row r="194" spans="2:14">
      <c r="B194" s="11" t="s">
        <v>51</v>
      </c>
      <c r="C194" s="92"/>
      <c r="D194" s="92">
        <f>+'Composition-Rec. Acct. Analysis'!P$7</f>
        <v>0.42369203654325316</v>
      </c>
      <c r="E194" s="92">
        <f>+'Composition-Rec. Acct. Analysis'!P$8</f>
        <v>0.20471746696021817</v>
      </c>
      <c r="F194" s="92">
        <f>+'Composition-Rec. Acct. Analysis'!P$9</f>
        <v>4.4582556313537769E-3</v>
      </c>
      <c r="G194" s="92">
        <f>+'Composition-Rec. Acct. Analysis'!P$10</f>
        <v>4.9692266455568955E-3</v>
      </c>
      <c r="H194" s="92">
        <f>+'Composition-Rec. Acct. Analysis'!P$11</f>
        <v>0.19807368670938816</v>
      </c>
      <c r="I194" s="92">
        <f>+'Composition-Rec. Acct. Analysis'!P$12</f>
        <v>7.4789701730690614E-3</v>
      </c>
      <c r="J194" s="92">
        <f>+'Composition-Rec. Acct. Analysis'!P$13</f>
        <v>1.0942393629644023E-2</v>
      </c>
      <c r="K194" s="92">
        <f>+'Composition-Rec. Acct. Analysis'!P$14</f>
        <v>1.1473890852125642E-3</v>
      </c>
      <c r="L194" s="92">
        <f>+'Composition-Rec. Acct. Analysis'!P$15</f>
        <v>2.5535478776841807E-3</v>
      </c>
      <c r="M194" s="92">
        <f>+M97</f>
        <v>0.85803297325538008</v>
      </c>
      <c r="N194" s="101"/>
    </row>
    <row r="195" spans="2:14">
      <c r="C195" s="93">
        <f>+C194*$M195</f>
        <v>0</v>
      </c>
      <c r="D195" s="93">
        <f>+D194*$M195</f>
        <v>1428.7107318256769</v>
      </c>
      <c r="E195" s="93">
        <f>+E194*$M195</f>
        <v>690.31753446320374</v>
      </c>
      <c r="F195" s="93">
        <f>+F194*$M195</f>
        <v>15.033460901706505</v>
      </c>
      <c r="G195" s="93">
        <f t="shared" ref="G195:L195" si="88">+G194*$M195</f>
        <v>16.756480710150129</v>
      </c>
      <c r="H195" s="93">
        <f t="shared" si="88"/>
        <v>667.9143752683924</v>
      </c>
      <c r="I195" s="93">
        <f t="shared" si="88"/>
        <v>25.21946137209753</v>
      </c>
      <c r="J195" s="93">
        <f t="shared" si="88"/>
        <v>36.898298438841131</v>
      </c>
      <c r="K195" s="93">
        <f t="shared" si="88"/>
        <v>3.8690533647910272</v>
      </c>
      <c r="L195" s="93">
        <f t="shared" si="88"/>
        <v>8.6106911209449422</v>
      </c>
      <c r="M195" s="88">
        <f>+'2021-2022 Recy. Tons &amp; Revenue'!D13</f>
        <v>3372.05</v>
      </c>
      <c r="N195" s="101"/>
    </row>
    <row r="196" spans="2:14">
      <c r="C196" s="57">
        <f t="shared" ref="C196:L196" si="89">+C195*C13</f>
        <v>0</v>
      </c>
      <c r="D196" s="57">
        <f t="shared" si="89"/>
        <v>70178.27114727725</v>
      </c>
      <c r="E196" s="57">
        <f t="shared" si="89"/>
        <v>107247.73215420335</v>
      </c>
      <c r="F196" s="57">
        <f t="shared" si="89"/>
        <v>33636.015756087152</v>
      </c>
      <c r="G196" s="57">
        <f t="shared" si="89"/>
        <v>4588.2595480533082</v>
      </c>
      <c r="H196" s="57">
        <f t="shared" si="89"/>
        <v>-42412.56282954292</v>
      </c>
      <c r="I196" s="57">
        <f t="shared" si="89"/>
        <v>12790.806418700426</v>
      </c>
      <c r="J196" s="57">
        <f t="shared" si="89"/>
        <v>31732.536657403372</v>
      </c>
      <c r="K196" s="57">
        <f t="shared" si="89"/>
        <v>1779.7645478038726</v>
      </c>
      <c r="L196" s="57">
        <f t="shared" si="89"/>
        <v>-1614.5045851771768</v>
      </c>
      <c r="M196" s="88">
        <f>SUM(C196:L196)</f>
        <v>217926.31881480868</v>
      </c>
      <c r="N196" s="101"/>
    </row>
    <row r="198" spans="2:14">
      <c r="B198" s="11" t="s">
        <v>52</v>
      </c>
      <c r="C198" s="92"/>
      <c r="D198" s="92">
        <f>+'Composition-Rec. Acct. Analysis'!R$7</f>
        <v>0.48051031095582108</v>
      </c>
      <c r="E198" s="92">
        <f>+'Composition-Rec. Acct. Analysis'!R$8</f>
        <v>0.16755061895505494</v>
      </c>
      <c r="F198" s="92">
        <f>+'Composition-Rec. Acct. Analysis'!R$9</f>
        <v>4.2942582017795735E-3</v>
      </c>
      <c r="G198" s="92">
        <f>+'Composition-Rec. Acct. Analysis'!R$10</f>
        <v>5.8181517238117238E-3</v>
      </c>
      <c r="H198" s="92">
        <f>+'Composition-Rec. Acct. Analysis'!R$11</f>
        <v>0.20051502492818421</v>
      </c>
      <c r="I198" s="92">
        <f>+'Composition-Rec. Acct. Analysis'!R$12</f>
        <v>6.6758077713021504E-3</v>
      </c>
      <c r="J198" s="92">
        <f>+'Composition-Rec. Acct. Analysis'!R$13</f>
        <v>1.1926686134958502E-2</v>
      </c>
      <c r="K198" s="92">
        <f>+'Composition-Rec. Acct. Analysis'!R$14</f>
        <v>1.6738140773935818E-3</v>
      </c>
      <c r="L198" s="92">
        <f>+'Composition-Rec. Acct. Analysis'!R$15</f>
        <v>7.7464747705162612E-4</v>
      </c>
      <c r="M198" s="92">
        <f>+M101</f>
        <v>0.87973932022535728</v>
      </c>
    </row>
    <row r="199" spans="2:14">
      <c r="C199" s="93">
        <f>+C198*$M199</f>
        <v>0</v>
      </c>
      <c r="D199" s="93">
        <f>+D198*$M199</f>
        <v>1824.5457017303484</v>
      </c>
      <c r="E199" s="93">
        <f>+E198*$M199</f>
        <v>636.20645523423912</v>
      </c>
      <c r="F199" s="93">
        <f>+F198*$M199</f>
        <v>16.305727817977221</v>
      </c>
      <c r="G199" s="93">
        <f t="shared" ref="G199:L199" si="90">+G198*$M199</f>
        <v>22.092103910485498</v>
      </c>
      <c r="H199" s="93">
        <f t="shared" si="90"/>
        <v>761.37560115480835</v>
      </c>
      <c r="I199" s="93">
        <f t="shared" si="90"/>
        <v>25.348709688411397</v>
      </c>
      <c r="J199" s="93">
        <f t="shared" si="90"/>
        <v>45.286819923050928</v>
      </c>
      <c r="K199" s="93">
        <f t="shared" si="90"/>
        <v>6.3556394332711701</v>
      </c>
      <c r="L199" s="93">
        <f t="shared" si="90"/>
        <v>2.9414139351127297</v>
      </c>
      <c r="M199" s="88">
        <f>+'2021-2022 Recy. Tons &amp; Revenue'!D14</f>
        <v>3797.1000000000004</v>
      </c>
    </row>
    <row r="200" spans="2:14">
      <c r="C200" s="57">
        <f t="shared" ref="C200:L200" si="91">+C199*C14</f>
        <v>0</v>
      </c>
      <c r="D200" s="57">
        <f t="shared" si="91"/>
        <v>63877.345017579493</v>
      </c>
      <c r="E200" s="57">
        <f t="shared" si="91"/>
        <v>98656.535013173459</v>
      </c>
      <c r="F200" s="57">
        <f t="shared" si="91"/>
        <v>30204.404095464648</v>
      </c>
      <c r="G200" s="57">
        <f t="shared" si="91"/>
        <v>5565.8846592077161</v>
      </c>
      <c r="H200" s="57">
        <f t="shared" si="91"/>
        <v>-48347.350673330329</v>
      </c>
      <c r="I200" s="57">
        <f t="shared" si="91"/>
        <v>15975.010332733747</v>
      </c>
      <c r="J200" s="57">
        <f t="shared" si="91"/>
        <v>48909.765516895</v>
      </c>
      <c r="K200" s="57">
        <f t="shared" si="91"/>
        <v>3050.7069279701618</v>
      </c>
      <c r="L200" s="57">
        <f t="shared" si="91"/>
        <v>-551.51511283363686</v>
      </c>
      <c r="M200" s="88">
        <f>SUM(C200:L200)</f>
        <v>217340.78577686026</v>
      </c>
    </row>
    <row r="202" spans="2:14">
      <c r="B202" s="11" t="s">
        <v>53</v>
      </c>
      <c r="C202" s="92"/>
      <c r="D202" s="92">
        <f>+'Composition-Rec. Acct. Analysis'!T$7</f>
        <v>0.42148185091608609</v>
      </c>
      <c r="E202" s="92">
        <f>+'Composition-Rec. Acct. Analysis'!T$8</f>
        <v>0.19934396939619972</v>
      </c>
      <c r="F202" s="92">
        <f>+'Composition-Rec. Acct. Analysis'!T$9</f>
        <v>5.7341020820887746E-3</v>
      </c>
      <c r="G202" s="92">
        <f>+'Composition-Rec. Acct. Analysis'!T$10</f>
        <v>2.9677574933821469E-3</v>
      </c>
      <c r="H202" s="92">
        <f>+'Composition-Rec. Acct. Analysis'!T$11</f>
        <v>0.24610601717627326</v>
      </c>
      <c r="I202" s="92">
        <f>+'Composition-Rec. Acct. Analysis'!T$12</f>
        <v>2.3539276886567536E-3</v>
      </c>
      <c r="J202" s="92">
        <f>+'Composition-Rec. Acct. Analysis'!T$13</f>
        <v>1.6859767292736527E-2</v>
      </c>
      <c r="K202" s="92">
        <f>+'Composition-Rec. Acct. Analysis'!T$14</f>
        <v>9.8651218616581057E-5</v>
      </c>
      <c r="L202" s="92">
        <f>+'Composition-Rec. Acct. Analysis'!T$15</f>
        <v>4.6379774307934293E-3</v>
      </c>
      <c r="M202" s="92">
        <f>+M105</f>
        <v>0.89958402069483334</v>
      </c>
    </row>
    <row r="203" spans="2:14">
      <c r="C203" s="93">
        <f>+C202*$M203</f>
        <v>0</v>
      </c>
      <c r="D203" s="93">
        <f>+D202*$M203</f>
        <v>1653.039174837362</v>
      </c>
      <c r="E203" s="93">
        <f>+E202*$M203</f>
        <v>781.82106765281333</v>
      </c>
      <c r="F203" s="93">
        <f>+F202*$M203</f>
        <v>22.48897634288971</v>
      </c>
      <c r="G203" s="93">
        <f t="shared" ref="G203:L203" si="92">+G202*$M203</f>
        <v>11.639455856319978</v>
      </c>
      <c r="H203" s="93">
        <f t="shared" si="92"/>
        <v>965.22041618482842</v>
      </c>
      <c r="I203" s="93">
        <f t="shared" si="92"/>
        <v>9.2320337770811278</v>
      </c>
      <c r="J203" s="93">
        <f t="shared" si="92"/>
        <v>66.123501529093872</v>
      </c>
      <c r="K203" s="93">
        <f t="shared" si="92"/>
        <v>0.3869071198776724</v>
      </c>
      <c r="L203" s="93">
        <f t="shared" si="92"/>
        <v>18.190008344248906</v>
      </c>
      <c r="M203" s="88">
        <f>+'2021-2022 Recy. Tons &amp; Revenue'!D15</f>
        <v>3921.97</v>
      </c>
    </row>
    <row r="204" spans="2:14">
      <c r="C204" s="57">
        <f t="shared" ref="C204:L204" si="93">+C203*C15</f>
        <v>0</v>
      </c>
      <c r="D204" s="57">
        <f t="shared" si="93"/>
        <v>77957.327485329981</v>
      </c>
      <c r="E204" s="57">
        <f t="shared" si="93"/>
        <v>115318.60747878997</v>
      </c>
      <c r="F204" s="57">
        <f t="shared" si="93"/>
        <v>37339.346981153503</v>
      </c>
      <c r="G204" s="57">
        <f t="shared" si="93"/>
        <v>2450.3382468724822</v>
      </c>
      <c r="H204" s="57">
        <f t="shared" si="93"/>
        <v>-61291.496427736602</v>
      </c>
      <c r="I204" s="57">
        <f t="shared" si="93"/>
        <v>5418.5575847822256</v>
      </c>
      <c r="J204" s="57">
        <f t="shared" si="93"/>
        <v>75711.409250812489</v>
      </c>
      <c r="K204" s="57">
        <f t="shared" si="93"/>
        <v>185.71541754128276</v>
      </c>
      <c r="L204" s="57">
        <f t="shared" si="93"/>
        <v>-3410.6265645466697</v>
      </c>
      <c r="M204" s="88">
        <f>SUM(C204:L204)</f>
        <v>249679.17945299865</v>
      </c>
    </row>
    <row r="206" spans="2:14">
      <c r="B206" s="11" t="s">
        <v>54</v>
      </c>
      <c r="C206" s="92"/>
      <c r="D206" s="92">
        <f>+'Composition-Rec. Acct. Analysis'!V$7</f>
        <v>0.35023837510677608</v>
      </c>
      <c r="E206" s="92">
        <f>+'Composition-Rec. Acct. Analysis'!V$8</f>
        <v>0.29998758843241902</v>
      </c>
      <c r="F206" s="92">
        <f>+'Composition-Rec. Acct. Analysis'!V$9</f>
        <v>9.2327460958319049E-3</v>
      </c>
      <c r="G206" s="92">
        <f>+'Composition-Rec. Acct. Analysis'!V$10</f>
        <v>7.6586672896786882E-3</v>
      </c>
      <c r="H206" s="92">
        <f>+'Composition-Rec. Acct. Analysis'!V$11</f>
        <v>0.20667742335857023</v>
      </c>
      <c r="I206" s="92">
        <f>+'Composition-Rec. Acct. Analysis'!V$12</f>
        <v>1.296935802991918E-2</v>
      </c>
      <c r="J206" s="92">
        <f>+'Composition-Rec. Acct. Analysis'!V$13</f>
        <v>1.2161876044944479E-2</v>
      </c>
      <c r="K206" s="92">
        <f>+'Composition-Rec. Acct. Analysis'!V$14</f>
        <v>1.1915104877746061E-3</v>
      </c>
      <c r="L206" s="92">
        <f>+'Composition-Rec. Acct. Analysis'!V$15</f>
        <v>2.2997904635355449E-3</v>
      </c>
      <c r="M206" s="92">
        <f>+M109</f>
        <v>0.90241733530944979</v>
      </c>
    </row>
    <row r="207" spans="2:14">
      <c r="C207" s="93">
        <f>+C206*$M207</f>
        <v>0</v>
      </c>
      <c r="D207" s="93">
        <f>+D206*$M207</f>
        <v>1164.4095066474899</v>
      </c>
      <c r="E207" s="93">
        <f>+E206*$M207</f>
        <v>997.344736254189</v>
      </c>
      <c r="F207" s="93">
        <f>+F206*$M207</f>
        <v>30.695372325124669</v>
      </c>
      <c r="G207" s="93">
        <f t="shared" ref="G207:L207" si="94">+G206*$M207</f>
        <v>25.462158444611564</v>
      </c>
      <c r="H207" s="93">
        <f t="shared" si="94"/>
        <v>687.12389524636978</v>
      </c>
      <c r="I207" s="93">
        <f t="shared" si="94"/>
        <v>43.11818709342991</v>
      </c>
      <c r="J207" s="93">
        <f t="shared" si="94"/>
        <v>40.433616336543317</v>
      </c>
      <c r="K207" s="93">
        <f t="shared" si="94"/>
        <v>3.9613195978652112</v>
      </c>
      <c r="L207" s="93">
        <f t="shared" si="94"/>
        <v>7.6459293708795437</v>
      </c>
      <c r="M207" s="88">
        <f>+'2021-2022 Recy. Tons &amp; Revenue'!D16</f>
        <v>3324.6200000000003</v>
      </c>
    </row>
    <row r="208" spans="2:14">
      <c r="C208" s="57">
        <f t="shared" ref="C208:L208" si="95">+C207*C16</f>
        <v>0</v>
      </c>
      <c r="D208" s="57">
        <f t="shared" si="95"/>
        <v>58301.983997839823</v>
      </c>
      <c r="E208" s="57">
        <f t="shared" si="95"/>
        <v>159036.59164309298</v>
      </c>
      <c r="F208" s="57">
        <f t="shared" si="95"/>
        <v>46432.275808769584</v>
      </c>
      <c r="G208" s="57">
        <f t="shared" si="95"/>
        <v>4280.4434561236503</v>
      </c>
      <c r="H208" s="57">
        <f t="shared" si="95"/>
        <v>-43632.367348144478</v>
      </c>
      <c r="I208" s="57">
        <f t="shared" si="95"/>
        <v>12073.092386160375</v>
      </c>
      <c r="J208" s="57">
        <f t="shared" si="95"/>
        <v>34772.91004942725</v>
      </c>
      <c r="K208" s="57">
        <f t="shared" si="95"/>
        <v>1346.8486632741717</v>
      </c>
      <c r="L208" s="57">
        <f t="shared" si="95"/>
        <v>-1433.6117570399144</v>
      </c>
      <c r="M208" s="88">
        <f>SUM(C208:L208)</f>
        <v>271178.1668995035</v>
      </c>
    </row>
    <row r="209" spans="2:13">
      <c r="C209" s="57"/>
      <c r="D209" s="57"/>
      <c r="E209" s="57"/>
      <c r="F209" s="57"/>
      <c r="G209" s="57"/>
      <c r="H209" s="57"/>
      <c r="I209" s="57"/>
      <c r="J209" s="57"/>
      <c r="K209" s="57"/>
      <c r="L209" s="57"/>
      <c r="M209" s="88"/>
    </row>
    <row r="210" spans="2:13">
      <c r="B210" s="11" t="s">
        <v>55</v>
      </c>
      <c r="C210" s="92"/>
      <c r="D210" s="92">
        <f>+'Composition-Rec. Acct. Analysis'!X$7</f>
        <v>0.31733506205052459</v>
      </c>
      <c r="E210" s="92">
        <f>+'Composition-Rec. Acct. Analysis'!X$8</f>
        <v>0.30845337315492688</v>
      </c>
      <c r="F210" s="92">
        <f>+'Composition-Rec. Acct. Analysis'!X$9</f>
        <v>1.0268526205699376E-2</v>
      </c>
      <c r="G210" s="92">
        <f>+'Composition-Rec. Acct. Analysis'!X$10</f>
        <v>5.2238886432984357E-3</v>
      </c>
      <c r="H210" s="92">
        <f>+'Composition-Rec. Acct. Analysis'!X$11</f>
        <v>0.21255404487476684</v>
      </c>
      <c r="I210" s="92">
        <f>+'Composition-Rec. Acct. Analysis'!X$12</f>
        <v>1.0504382891090817E-2</v>
      </c>
      <c r="J210" s="92">
        <f>+'Composition-Rec. Acct. Analysis'!X$13</f>
        <v>1.298424746892083E-2</v>
      </c>
      <c r="K210" s="92">
        <f>+'Composition-Rec. Acct. Analysis'!X$14</f>
        <v>4.1376001380098547E-4</v>
      </c>
      <c r="L210" s="92">
        <f>+'Composition-Rec. Acct. Analysis'!X$15</f>
        <v>1.0647244654813634E-4</v>
      </c>
      <c r="M210" s="92">
        <f>+M113</f>
        <v>0.8778437577495769</v>
      </c>
    </row>
    <row r="211" spans="2:13">
      <c r="C211" s="93">
        <f>+C210*$M211</f>
        <v>0</v>
      </c>
      <c r="D211" s="93">
        <f>+D210*$M211</f>
        <v>1147.4994511277994</v>
      </c>
      <c r="E211" s="93">
        <f>+E210*$M211</f>
        <v>1115.3828199968734</v>
      </c>
      <c r="F211" s="93">
        <f>+F210*$M211</f>
        <v>37.13150418611923</v>
      </c>
      <c r="G211" s="93">
        <f t="shared" ref="G211:L211" si="96">+G210*$M211</f>
        <v>18.88984252859931</v>
      </c>
      <c r="H211" s="93">
        <f t="shared" si="96"/>
        <v>768.6060539694007</v>
      </c>
      <c r="I211" s="93">
        <f t="shared" si="96"/>
        <v>37.984373753328953</v>
      </c>
      <c r="J211" s="93">
        <f t="shared" si="96"/>
        <v>46.95168805999117</v>
      </c>
      <c r="K211" s="93">
        <f t="shared" si="96"/>
        <v>1.4961768979050536</v>
      </c>
      <c r="L211" s="93">
        <f t="shared" si="96"/>
        <v>0.3850096903403884</v>
      </c>
      <c r="M211" s="88">
        <f>+'2021-2022 Recy. Tons &amp; Revenue'!D17</f>
        <v>3616.05</v>
      </c>
    </row>
    <row r="212" spans="2:13">
      <c r="C212" s="57">
        <f t="shared" ref="C212:L212" si="97">+C211*C17</f>
        <v>0</v>
      </c>
      <c r="D212" s="57">
        <f t="shared" si="97"/>
        <v>35882.307836766289</v>
      </c>
      <c r="E212" s="57">
        <f t="shared" si="97"/>
        <v>130287.86720383479</v>
      </c>
      <c r="F212" s="57">
        <f t="shared" si="97"/>
        <v>49393.069498459525</v>
      </c>
      <c r="G212" s="57">
        <f t="shared" si="97"/>
        <v>2923.7698265766012</v>
      </c>
      <c r="H212" s="57">
        <f t="shared" si="97"/>
        <v>-48806.484427056945</v>
      </c>
      <c r="I212" s="57">
        <f t="shared" si="97"/>
        <v>2744.3710036780167</v>
      </c>
      <c r="J212" s="57">
        <f t="shared" si="97"/>
        <v>36622.316686793114</v>
      </c>
      <c r="K212" s="57">
        <f t="shared" si="97"/>
        <v>448.85306937151609</v>
      </c>
      <c r="L212" s="57">
        <f t="shared" si="97"/>
        <v>-72.189316938822827</v>
      </c>
      <c r="M212" s="88">
        <f>SUM(C212:L212)</f>
        <v>209423.88138148407</v>
      </c>
    </row>
    <row r="214" spans="2:13">
      <c r="B214" s="11" t="s">
        <v>56</v>
      </c>
      <c r="C214" s="92"/>
      <c r="D214" s="92">
        <f>+'Composition-Rec. Acct. Analysis'!Z$7</f>
        <v>0.36558295163577381</v>
      </c>
      <c r="E214" s="92">
        <f>+'Composition-Rec. Acct. Analysis'!Z$8</f>
        <v>0.26118314341967008</v>
      </c>
      <c r="F214" s="92">
        <f>+'Composition-Rec. Acct. Analysis'!Z$9</f>
        <v>9.2336076503703787E-3</v>
      </c>
      <c r="G214" s="92">
        <f>+'Composition-Rec. Acct. Analysis'!Z$10</f>
        <v>7.6684412020594905E-3</v>
      </c>
      <c r="H214" s="92">
        <f>+'Composition-Rec. Acct. Analysis'!Z$11</f>
        <v>0.18265084400944928</v>
      </c>
      <c r="I214" s="92">
        <f>+'Composition-Rec. Acct. Analysis'!Z$12</f>
        <v>1.2423690849022645E-2</v>
      </c>
      <c r="J214" s="92">
        <f>+'Composition-Rec. Acct. Analysis'!Z$13</f>
        <v>7.7602526417648778E-3</v>
      </c>
      <c r="K214" s="92">
        <f>+'Composition-Rec. Acct. Analysis'!Z$14</f>
        <v>2.4949394408829055E-3</v>
      </c>
      <c r="L214" s="92">
        <f>+'Composition-Rec. Acct. Analysis'!Z$15</f>
        <v>2.0796019755490104E-3</v>
      </c>
      <c r="M214" s="92">
        <f>+M117</f>
        <v>0.85107747282454238</v>
      </c>
    </row>
    <row r="215" spans="2:13">
      <c r="C215" s="93">
        <f>+C214*$M215</f>
        <v>0</v>
      </c>
      <c r="D215" s="93">
        <f>+D214*$M215</f>
        <v>1235.3084494067959</v>
      </c>
      <c r="E215" s="93">
        <f>+E214*$M215</f>
        <v>882.54045344649933</v>
      </c>
      <c r="F215" s="93">
        <f>+F214*$M215</f>
        <v>31.200452586678011</v>
      </c>
      <c r="G215" s="93">
        <f t="shared" ref="G215:L215" si="98">+G214*$M215</f>
        <v>25.911739506171038</v>
      </c>
      <c r="H215" s="93">
        <f t="shared" si="98"/>
        <v>617.17902841636919</v>
      </c>
      <c r="I215" s="93">
        <f t="shared" si="98"/>
        <v>41.979775615756004</v>
      </c>
      <c r="J215" s="93">
        <f t="shared" si="98"/>
        <v>26.221971279049939</v>
      </c>
      <c r="K215" s="93">
        <f t="shared" si="98"/>
        <v>8.4304253201377453</v>
      </c>
      <c r="L215" s="93">
        <f t="shared" si="98"/>
        <v>7.026995871399861</v>
      </c>
      <c r="M215" s="88">
        <f>+'2021-2022 Recy. Tons &amp; Revenue'!D18</f>
        <v>3379.0099999999998</v>
      </c>
    </row>
    <row r="216" spans="2:13">
      <c r="C216" s="57">
        <f t="shared" ref="C216:L216" si="99">+C215*C18</f>
        <v>0</v>
      </c>
      <c r="D216" s="57">
        <f t="shared" si="99"/>
        <v>6744.7841337611062</v>
      </c>
      <c r="E216" s="57">
        <f t="shared" si="99"/>
        <v>72941.968477353177</v>
      </c>
      <c r="F216" s="57">
        <f t="shared" si="99"/>
        <v>38067.984205531706</v>
      </c>
      <c r="G216" s="57">
        <f t="shared" si="99"/>
        <v>3833.6418599380049</v>
      </c>
      <c r="H216" s="57">
        <f t="shared" si="99"/>
        <v>-39190.868304439442</v>
      </c>
      <c r="I216" s="57">
        <f t="shared" si="99"/>
        <v>3358.3820492604805</v>
      </c>
      <c r="J216" s="57">
        <f t="shared" si="99"/>
        <v>12270.309240318627</v>
      </c>
      <c r="K216" s="57">
        <f t="shared" si="99"/>
        <v>927.34678521515195</v>
      </c>
      <c r="L216" s="57">
        <f t="shared" si="99"/>
        <v>-1317.561725887474</v>
      </c>
      <c r="M216" s="88">
        <f>SUM(C216:L216)</f>
        <v>97635.986721051348</v>
      </c>
    </row>
    <row r="218" spans="2:13">
      <c r="B218" s="11" t="s">
        <v>57</v>
      </c>
      <c r="C218" s="92"/>
      <c r="D218" s="92" t="e">
        <f>+'Composition-Rec. Acct. Analysis'!AB$7</f>
        <v>#DIV/0!</v>
      </c>
      <c r="E218" s="92" t="e">
        <f>+'Composition-Rec. Acct. Analysis'!AB$8</f>
        <v>#DIV/0!</v>
      </c>
      <c r="F218" s="92" t="e">
        <f>+'Composition-Rec. Acct. Analysis'!AB$9</f>
        <v>#DIV/0!</v>
      </c>
      <c r="G218" s="92" t="e">
        <f>+'Composition-Rec. Acct. Analysis'!AB$10</f>
        <v>#DIV/0!</v>
      </c>
      <c r="H218" s="92" t="e">
        <f>+'Composition-Rec. Acct. Analysis'!AB$11</f>
        <v>#DIV/0!</v>
      </c>
      <c r="I218" s="92" t="e">
        <f>+'Composition-Rec. Acct. Analysis'!AB$12</f>
        <v>#DIV/0!</v>
      </c>
      <c r="J218" s="92" t="e">
        <f>+'Composition-Rec. Acct. Analysis'!AB$13</f>
        <v>#DIV/0!</v>
      </c>
      <c r="K218" s="92" t="e">
        <f>+'Composition-Rec. Acct. Analysis'!AB$14</f>
        <v>#DIV/0!</v>
      </c>
      <c r="L218" s="92" t="e">
        <f>+'Composition-Rec. Acct. Analysis'!AB$15</f>
        <v>#DIV/0!</v>
      </c>
      <c r="M218" s="92" t="e">
        <f>+M121</f>
        <v>#DIV/0!</v>
      </c>
    </row>
    <row r="219" spans="2:13">
      <c r="C219" s="93">
        <f>+C218*$M219</f>
        <v>0</v>
      </c>
      <c r="D219" s="93" t="e">
        <f>+D218*$M219</f>
        <v>#DIV/0!</v>
      </c>
      <c r="E219" s="93" t="e">
        <f>+E218*$M219</f>
        <v>#DIV/0!</v>
      </c>
      <c r="F219" s="93" t="e">
        <f>+F218*$M219</f>
        <v>#DIV/0!</v>
      </c>
      <c r="G219" s="93" t="e">
        <f t="shared" ref="G219:L219" si="100">+G218*$M219</f>
        <v>#DIV/0!</v>
      </c>
      <c r="H219" s="93" t="e">
        <f t="shared" si="100"/>
        <v>#DIV/0!</v>
      </c>
      <c r="I219" s="93" t="e">
        <f t="shared" si="100"/>
        <v>#DIV/0!</v>
      </c>
      <c r="J219" s="93" t="e">
        <f t="shared" si="100"/>
        <v>#DIV/0!</v>
      </c>
      <c r="K219" s="93" t="e">
        <f t="shared" si="100"/>
        <v>#DIV/0!</v>
      </c>
      <c r="L219" s="93" t="e">
        <f t="shared" si="100"/>
        <v>#DIV/0!</v>
      </c>
      <c r="M219" s="88">
        <f>+'2021-2022 Recy. Tons &amp; Revenue'!D19</f>
        <v>0</v>
      </c>
    </row>
    <row r="220" spans="2:13">
      <c r="C220" s="57">
        <f t="shared" ref="C220:L220" si="101">+C219*C19</f>
        <v>0</v>
      </c>
      <c r="D220" s="57" t="e">
        <f t="shared" si="101"/>
        <v>#DIV/0!</v>
      </c>
      <c r="E220" s="57" t="e">
        <f t="shared" si="101"/>
        <v>#DIV/0!</v>
      </c>
      <c r="F220" s="57" t="e">
        <f t="shared" si="101"/>
        <v>#DIV/0!</v>
      </c>
      <c r="G220" s="57" t="e">
        <f t="shared" si="101"/>
        <v>#DIV/0!</v>
      </c>
      <c r="H220" s="57" t="e">
        <f t="shared" si="101"/>
        <v>#DIV/0!</v>
      </c>
      <c r="I220" s="57" t="e">
        <f t="shared" si="101"/>
        <v>#DIV/0!</v>
      </c>
      <c r="J220" s="57" t="e">
        <f t="shared" si="101"/>
        <v>#DIV/0!</v>
      </c>
      <c r="K220" s="57" t="e">
        <f t="shared" si="101"/>
        <v>#DIV/0!</v>
      </c>
      <c r="L220" s="57" t="e">
        <f t="shared" si="101"/>
        <v>#DIV/0!</v>
      </c>
      <c r="M220" s="88" t="e">
        <f>SUM(C220:L220)</f>
        <v>#DIV/0!</v>
      </c>
    </row>
    <row r="221" spans="2:13">
      <c r="C221" s="57"/>
      <c r="D221" s="57"/>
      <c r="E221" s="57"/>
      <c r="F221" s="57"/>
      <c r="G221" s="57"/>
      <c r="H221" s="57"/>
      <c r="I221" s="57"/>
      <c r="J221" s="57"/>
      <c r="K221" s="57"/>
      <c r="L221" s="57"/>
      <c r="M221" s="88"/>
    </row>
    <row r="222" spans="2:13">
      <c r="B222" s="11" t="s">
        <v>58</v>
      </c>
      <c r="C222" s="92"/>
      <c r="D222" s="92" t="e">
        <f>+'Composition-Rec. Acct. Analysis'!AD$7</f>
        <v>#DIV/0!</v>
      </c>
      <c r="E222" s="92" t="e">
        <f>+'Composition-Rec. Acct. Analysis'!AD$8</f>
        <v>#DIV/0!</v>
      </c>
      <c r="F222" s="92" t="e">
        <f>+'Composition-Rec. Acct. Analysis'!AD$9</f>
        <v>#DIV/0!</v>
      </c>
      <c r="G222" s="92" t="e">
        <f>+'Composition-Rec. Acct. Analysis'!AD$10</f>
        <v>#DIV/0!</v>
      </c>
      <c r="H222" s="92" t="e">
        <f>+'Composition-Rec. Acct. Analysis'!AD$11</f>
        <v>#DIV/0!</v>
      </c>
      <c r="I222" s="92" t="e">
        <f>+'Composition-Rec. Acct. Analysis'!AD$12</f>
        <v>#DIV/0!</v>
      </c>
      <c r="J222" s="92" t="e">
        <f>+'Composition-Rec. Acct. Analysis'!AD$13</f>
        <v>#DIV/0!</v>
      </c>
      <c r="K222" s="92" t="e">
        <f>+'Composition-Rec. Acct. Analysis'!AD$14</f>
        <v>#DIV/0!</v>
      </c>
      <c r="L222" s="92" t="e">
        <f>+'Composition-Rec. Acct. Analysis'!AD$15</f>
        <v>#DIV/0!</v>
      </c>
      <c r="M222" s="92" t="e">
        <f>+M125</f>
        <v>#DIV/0!</v>
      </c>
    </row>
    <row r="223" spans="2:13">
      <c r="C223" s="93">
        <f>+C222*$M223</f>
        <v>0</v>
      </c>
      <c r="D223" s="93" t="e">
        <f>+D222*$M223</f>
        <v>#DIV/0!</v>
      </c>
      <c r="E223" s="93" t="e">
        <f>+E222*$M223</f>
        <v>#DIV/0!</v>
      </c>
      <c r="F223" s="93" t="e">
        <f>+F222*$M223</f>
        <v>#DIV/0!</v>
      </c>
      <c r="G223" s="93" t="e">
        <f t="shared" ref="G223:L223" si="102">+G222*$M223</f>
        <v>#DIV/0!</v>
      </c>
      <c r="H223" s="93" t="e">
        <f t="shared" si="102"/>
        <v>#DIV/0!</v>
      </c>
      <c r="I223" s="93" t="e">
        <f t="shared" si="102"/>
        <v>#DIV/0!</v>
      </c>
      <c r="J223" s="93" t="e">
        <f t="shared" si="102"/>
        <v>#DIV/0!</v>
      </c>
      <c r="K223" s="93" t="e">
        <f t="shared" si="102"/>
        <v>#DIV/0!</v>
      </c>
      <c r="L223" s="93" t="e">
        <f t="shared" si="102"/>
        <v>#DIV/0!</v>
      </c>
      <c r="M223" s="88">
        <f>+'2021-2022 Recy. Tons &amp; Revenue'!D20</f>
        <v>0</v>
      </c>
    </row>
    <row r="224" spans="2:13">
      <c r="C224" s="57">
        <f t="shared" ref="C224:L224" si="103">+C223*C20</f>
        <v>0</v>
      </c>
      <c r="D224" s="57" t="e">
        <f t="shared" si="103"/>
        <v>#DIV/0!</v>
      </c>
      <c r="E224" s="57" t="e">
        <f t="shared" si="103"/>
        <v>#DIV/0!</v>
      </c>
      <c r="F224" s="57" t="e">
        <f t="shared" si="103"/>
        <v>#DIV/0!</v>
      </c>
      <c r="G224" s="57" t="e">
        <f t="shared" si="103"/>
        <v>#DIV/0!</v>
      </c>
      <c r="H224" s="57" t="e">
        <f t="shared" si="103"/>
        <v>#DIV/0!</v>
      </c>
      <c r="I224" s="57" t="e">
        <f t="shared" si="103"/>
        <v>#DIV/0!</v>
      </c>
      <c r="J224" s="57" t="e">
        <f t="shared" si="103"/>
        <v>#DIV/0!</v>
      </c>
      <c r="K224" s="57" t="e">
        <f t="shared" si="103"/>
        <v>#DIV/0!</v>
      </c>
      <c r="L224" s="57" t="e">
        <f t="shared" si="103"/>
        <v>#DIV/0!</v>
      </c>
      <c r="M224" s="88" t="e">
        <f>SUM(C224:L224)</f>
        <v>#DIV/0!</v>
      </c>
    </row>
    <row r="226" spans="2:13">
      <c r="B226" s="11" t="s">
        <v>48</v>
      </c>
      <c r="C226" s="92"/>
      <c r="D226" s="92" t="e">
        <f>+'Composition-Rec. Acct. Analysis'!AF$7</f>
        <v>#DIV/0!</v>
      </c>
      <c r="E226" s="92" t="e">
        <f>+'Composition-Rec. Acct. Analysis'!AF$8</f>
        <v>#DIV/0!</v>
      </c>
      <c r="F226" s="92" t="e">
        <f>+'Composition-Rec. Acct. Analysis'!AF$9</f>
        <v>#DIV/0!</v>
      </c>
      <c r="G226" s="92" t="e">
        <f>+'Composition-Rec. Acct. Analysis'!AF$10</f>
        <v>#DIV/0!</v>
      </c>
      <c r="H226" s="92" t="e">
        <f>+'Composition-Rec. Acct. Analysis'!AF$11</f>
        <v>#DIV/0!</v>
      </c>
      <c r="I226" s="92" t="e">
        <f>+'Composition-Rec. Acct. Analysis'!AF$12</f>
        <v>#DIV/0!</v>
      </c>
      <c r="J226" s="92" t="e">
        <f>+'Composition-Rec. Acct. Analysis'!AF$13</f>
        <v>#DIV/0!</v>
      </c>
      <c r="K226" s="92" t="e">
        <f>+'Composition-Rec. Acct. Analysis'!AF$14</f>
        <v>#DIV/0!</v>
      </c>
      <c r="L226" s="92" t="e">
        <f>+'Composition-Rec. Acct. Analysis'!AF$15</f>
        <v>#DIV/0!</v>
      </c>
      <c r="M226" s="92" t="e">
        <f>+M129</f>
        <v>#DIV/0!</v>
      </c>
    </row>
    <row r="227" spans="2:13">
      <c r="C227" s="93">
        <f>+C226*$M227</f>
        <v>0</v>
      </c>
      <c r="D227" s="93" t="e">
        <f>+D226*$M227</f>
        <v>#DIV/0!</v>
      </c>
      <c r="E227" s="93" t="e">
        <f>+E226*$M227</f>
        <v>#DIV/0!</v>
      </c>
      <c r="F227" s="93" t="e">
        <f>+F226*$M227</f>
        <v>#DIV/0!</v>
      </c>
      <c r="G227" s="93" t="e">
        <f t="shared" ref="G227:L227" si="104">+G226*$M227</f>
        <v>#DIV/0!</v>
      </c>
      <c r="H227" s="93" t="e">
        <f t="shared" si="104"/>
        <v>#DIV/0!</v>
      </c>
      <c r="I227" s="93" t="e">
        <f t="shared" si="104"/>
        <v>#DIV/0!</v>
      </c>
      <c r="J227" s="93" t="e">
        <f t="shared" si="104"/>
        <v>#DIV/0!</v>
      </c>
      <c r="K227" s="93" t="e">
        <f t="shared" si="104"/>
        <v>#DIV/0!</v>
      </c>
      <c r="L227" s="93" t="e">
        <f t="shared" si="104"/>
        <v>#DIV/0!</v>
      </c>
      <c r="M227" s="88">
        <f>+'2021-2022 Recy. Tons &amp; Revenue'!D21</f>
        <v>0</v>
      </c>
    </row>
    <row r="228" spans="2:13">
      <c r="C228" s="57">
        <f t="shared" ref="C228:L228" si="105">+C227*C21</f>
        <v>0</v>
      </c>
      <c r="D228" s="57" t="e">
        <f t="shared" si="105"/>
        <v>#DIV/0!</v>
      </c>
      <c r="E228" s="57" t="e">
        <f t="shared" si="105"/>
        <v>#DIV/0!</v>
      </c>
      <c r="F228" s="57" t="e">
        <f t="shared" si="105"/>
        <v>#DIV/0!</v>
      </c>
      <c r="G228" s="57" t="e">
        <f t="shared" si="105"/>
        <v>#DIV/0!</v>
      </c>
      <c r="H228" s="57" t="e">
        <f t="shared" si="105"/>
        <v>#DIV/0!</v>
      </c>
      <c r="I228" s="57" t="e">
        <f t="shared" si="105"/>
        <v>#DIV/0!</v>
      </c>
      <c r="J228" s="57" t="e">
        <f t="shared" si="105"/>
        <v>#DIV/0!</v>
      </c>
      <c r="K228" s="57" t="e">
        <f t="shared" si="105"/>
        <v>#DIV/0!</v>
      </c>
      <c r="L228" s="57" t="e">
        <f t="shared" si="105"/>
        <v>#DIV/0!</v>
      </c>
      <c r="M228" s="88" t="e">
        <f>SUM(C228:L228)</f>
        <v>#DIV/0!</v>
      </c>
    </row>
    <row r="230" spans="2:13">
      <c r="B230" s="286" t="s">
        <v>282</v>
      </c>
      <c r="C230" s="92"/>
      <c r="D230" s="92" t="e">
        <f>+'Composition-Rec. Acct. Analysis'!AH$7</f>
        <v>#DIV/0!</v>
      </c>
      <c r="E230" s="92" t="e">
        <f>+'Composition-Rec. Acct. Analysis'!AH$8</f>
        <v>#DIV/0!</v>
      </c>
      <c r="F230" s="92" t="e">
        <f>+'Composition-Rec. Acct. Analysis'!AH$9</f>
        <v>#DIV/0!</v>
      </c>
      <c r="G230" s="92" t="e">
        <f>+'Composition-Rec. Acct. Analysis'!AH$10</f>
        <v>#DIV/0!</v>
      </c>
      <c r="H230" s="92" t="e">
        <f>+'Composition-Rec. Acct. Analysis'!AH$11</f>
        <v>#DIV/0!</v>
      </c>
      <c r="I230" s="92" t="e">
        <f>+'Composition-Rec. Acct. Analysis'!AH$12</f>
        <v>#DIV/0!</v>
      </c>
      <c r="J230" s="92" t="e">
        <f>+'Composition-Rec. Acct. Analysis'!AH$13</f>
        <v>#DIV/0!</v>
      </c>
      <c r="K230" s="92" t="e">
        <f>+'Composition-Rec. Acct. Analysis'!AH$14</f>
        <v>#DIV/0!</v>
      </c>
      <c r="L230" s="92" t="e">
        <f>+'Composition-Rec. Acct. Analysis'!AH$15</f>
        <v>#DIV/0!</v>
      </c>
      <c r="M230" s="87" t="e">
        <f>SUM(C230:L230)</f>
        <v>#DIV/0!</v>
      </c>
    </row>
    <row r="231" spans="2:13">
      <c r="C231" s="93">
        <f t="shared" ref="C231:L231" si="106">+C230*$M231</f>
        <v>0</v>
      </c>
      <c r="D231" s="93" t="e">
        <f t="shared" si="106"/>
        <v>#DIV/0!</v>
      </c>
      <c r="E231" s="93" t="e">
        <f t="shared" si="106"/>
        <v>#DIV/0!</v>
      </c>
      <c r="F231" s="93" t="e">
        <f t="shared" si="106"/>
        <v>#DIV/0!</v>
      </c>
      <c r="G231" s="93" t="e">
        <f t="shared" si="106"/>
        <v>#DIV/0!</v>
      </c>
      <c r="H231" s="93" t="e">
        <f t="shared" si="106"/>
        <v>#DIV/0!</v>
      </c>
      <c r="I231" s="93" t="e">
        <f t="shared" si="106"/>
        <v>#DIV/0!</v>
      </c>
      <c r="J231" s="93" t="e">
        <f t="shared" si="106"/>
        <v>#DIV/0!</v>
      </c>
      <c r="K231" s="93" t="e">
        <f t="shared" si="106"/>
        <v>#DIV/0!</v>
      </c>
      <c r="L231" s="93" t="e">
        <f t="shared" si="106"/>
        <v>#DIV/0!</v>
      </c>
      <c r="M231" s="88">
        <f>+'2021-2022 Recy. Tons &amp; Revenue'!D22</f>
        <v>0</v>
      </c>
    </row>
    <row r="232" spans="2:13">
      <c r="C232" s="57">
        <f t="shared" ref="C232:L232" si="107">+C231*C22</f>
        <v>0</v>
      </c>
      <c r="D232" s="57" t="e">
        <f t="shared" si="107"/>
        <v>#DIV/0!</v>
      </c>
      <c r="E232" s="57" t="e">
        <f t="shared" si="107"/>
        <v>#DIV/0!</v>
      </c>
      <c r="F232" s="57" t="e">
        <f t="shared" si="107"/>
        <v>#DIV/0!</v>
      </c>
      <c r="G232" s="57" t="e">
        <f t="shared" si="107"/>
        <v>#DIV/0!</v>
      </c>
      <c r="H232" s="57" t="e">
        <f t="shared" si="107"/>
        <v>#DIV/0!</v>
      </c>
      <c r="I232" s="57" t="e">
        <f t="shared" si="107"/>
        <v>#DIV/0!</v>
      </c>
      <c r="J232" s="57" t="e">
        <f t="shared" si="107"/>
        <v>#DIV/0!</v>
      </c>
      <c r="K232" s="57" t="e">
        <f t="shared" si="107"/>
        <v>#DIV/0!</v>
      </c>
      <c r="L232" s="57" t="e">
        <f t="shared" si="107"/>
        <v>#DIV/0!</v>
      </c>
      <c r="M232" s="88" t="e">
        <f>SUM(C232:L232)</f>
        <v>#DIV/0!</v>
      </c>
    </row>
    <row r="233" spans="2:13">
      <c r="C233" s="92"/>
      <c r="D233" s="92"/>
      <c r="E233" s="92"/>
      <c r="F233" s="92"/>
      <c r="G233" s="92"/>
      <c r="H233" s="92"/>
      <c r="I233" s="92"/>
      <c r="J233" s="92"/>
      <c r="K233" s="92"/>
      <c r="L233" s="92"/>
    </row>
    <row r="234" spans="2:13">
      <c r="B234" s="11" t="s">
        <v>49</v>
      </c>
      <c r="C234" s="92"/>
      <c r="D234" s="92" t="e">
        <f>+'Composition-Rec. Acct. Analysis'!AJ$7</f>
        <v>#DIV/0!</v>
      </c>
      <c r="E234" s="92" t="e">
        <f>+'Composition-Rec. Acct. Analysis'!AJ$8</f>
        <v>#DIV/0!</v>
      </c>
      <c r="F234" s="92" t="e">
        <f>+'Composition-Rec. Acct. Analysis'!AJ$9</f>
        <v>#DIV/0!</v>
      </c>
      <c r="G234" s="92" t="e">
        <f>+'Composition-Rec. Acct. Analysis'!AJ$10</f>
        <v>#DIV/0!</v>
      </c>
      <c r="H234" s="92" t="e">
        <f>+'Composition-Rec. Acct. Analysis'!AJ$11</f>
        <v>#DIV/0!</v>
      </c>
      <c r="I234" s="92" t="e">
        <f>+'Composition-Rec. Acct. Analysis'!AJ$12</f>
        <v>#DIV/0!</v>
      </c>
      <c r="J234" s="92" t="e">
        <f>+'Composition-Rec. Acct. Analysis'!AJ$13</f>
        <v>#DIV/0!</v>
      </c>
      <c r="K234" s="92" t="e">
        <f>+'Composition-Rec. Acct. Analysis'!AJ$14</f>
        <v>#DIV/0!</v>
      </c>
      <c r="L234" s="92" t="e">
        <f>+'Composition-Rec. Acct. Analysis'!AJ$15</f>
        <v>#DIV/0!</v>
      </c>
      <c r="M234" s="87" t="e">
        <f>SUM(C234:L234)</f>
        <v>#DIV/0!</v>
      </c>
    </row>
    <row r="235" spans="2:13">
      <c r="C235" s="93">
        <f t="shared" ref="C235:L235" si="108">+C234*$M235</f>
        <v>0</v>
      </c>
      <c r="D235" s="93" t="e">
        <f t="shared" si="108"/>
        <v>#DIV/0!</v>
      </c>
      <c r="E235" s="93" t="e">
        <f t="shared" si="108"/>
        <v>#DIV/0!</v>
      </c>
      <c r="F235" s="93" t="e">
        <f t="shared" si="108"/>
        <v>#DIV/0!</v>
      </c>
      <c r="G235" s="93" t="e">
        <f t="shared" si="108"/>
        <v>#DIV/0!</v>
      </c>
      <c r="H235" s="93" t="e">
        <f t="shared" si="108"/>
        <v>#DIV/0!</v>
      </c>
      <c r="I235" s="93" t="e">
        <f t="shared" si="108"/>
        <v>#DIV/0!</v>
      </c>
      <c r="J235" s="93" t="e">
        <f t="shared" si="108"/>
        <v>#DIV/0!</v>
      </c>
      <c r="K235" s="93" t="e">
        <f t="shared" si="108"/>
        <v>#DIV/0!</v>
      </c>
      <c r="L235" s="93" t="e">
        <f t="shared" si="108"/>
        <v>#DIV/0!</v>
      </c>
      <c r="M235" s="88">
        <f>+'2021-2022 Recy. Tons &amp; Revenue'!D23</f>
        <v>0</v>
      </c>
    </row>
    <row r="236" spans="2:13">
      <c r="C236" s="57">
        <f t="shared" ref="C236:L236" si="109">+C235*C23</f>
        <v>0</v>
      </c>
      <c r="D236" s="57" t="e">
        <f t="shared" si="109"/>
        <v>#DIV/0!</v>
      </c>
      <c r="E236" s="57" t="e">
        <f t="shared" si="109"/>
        <v>#DIV/0!</v>
      </c>
      <c r="F236" s="57" t="e">
        <f t="shared" si="109"/>
        <v>#DIV/0!</v>
      </c>
      <c r="G236" s="57" t="e">
        <f t="shared" si="109"/>
        <v>#DIV/0!</v>
      </c>
      <c r="H236" s="57" t="e">
        <f t="shared" si="109"/>
        <v>#DIV/0!</v>
      </c>
      <c r="I236" s="57" t="e">
        <f t="shared" si="109"/>
        <v>#DIV/0!</v>
      </c>
      <c r="J236" s="57" t="e">
        <f t="shared" si="109"/>
        <v>#DIV/0!</v>
      </c>
      <c r="K236" s="57" t="e">
        <f t="shared" si="109"/>
        <v>#DIV/0!</v>
      </c>
      <c r="L236" s="57" t="e">
        <f t="shared" si="109"/>
        <v>#DIV/0!</v>
      </c>
      <c r="M236" s="88" t="e">
        <f>SUM(C236:L236)</f>
        <v>#DIV/0!</v>
      </c>
    </row>
    <row r="238" spans="2:13">
      <c r="B238" s="11" t="s">
        <v>50</v>
      </c>
      <c r="C238" s="92"/>
      <c r="D238" s="92" t="e">
        <f>+'Composition-Rec. Acct. Analysis'!AL$7</f>
        <v>#DIV/0!</v>
      </c>
      <c r="E238" s="92" t="e">
        <f>+'Composition-Rec. Acct. Analysis'!AL$8</f>
        <v>#DIV/0!</v>
      </c>
      <c r="F238" s="92" t="e">
        <f>+'Composition-Rec. Acct. Analysis'!AL$9</f>
        <v>#DIV/0!</v>
      </c>
      <c r="G238" s="92" t="e">
        <f>+'Composition-Rec. Acct. Analysis'!AL$10</f>
        <v>#DIV/0!</v>
      </c>
      <c r="H238" s="92" t="e">
        <f>+'Composition-Rec. Acct. Analysis'!AL$11</f>
        <v>#DIV/0!</v>
      </c>
      <c r="I238" s="92" t="e">
        <f>+'Composition-Rec. Acct. Analysis'!AL$12</f>
        <v>#DIV/0!</v>
      </c>
      <c r="J238" s="92" t="e">
        <f>+'Composition-Rec. Acct. Analysis'!AL$13</f>
        <v>#DIV/0!</v>
      </c>
      <c r="K238" s="92" t="e">
        <f>+'Composition-Rec. Acct. Analysis'!AL$14</f>
        <v>#DIV/0!</v>
      </c>
      <c r="L238" s="92" t="e">
        <f>+'Composition-Rec. Acct. Analysis'!AL$15</f>
        <v>#DIV/0!</v>
      </c>
      <c r="M238" s="87" t="e">
        <f>SUM(C238:L238)</f>
        <v>#DIV/0!</v>
      </c>
    </row>
    <row r="239" spans="2:13">
      <c r="C239" s="93">
        <f t="shared" ref="C239:L239" si="110">+C238*$M239</f>
        <v>0</v>
      </c>
      <c r="D239" s="93" t="e">
        <f t="shared" si="110"/>
        <v>#DIV/0!</v>
      </c>
      <c r="E239" s="93" t="e">
        <f t="shared" si="110"/>
        <v>#DIV/0!</v>
      </c>
      <c r="F239" s="93" t="e">
        <f t="shared" si="110"/>
        <v>#DIV/0!</v>
      </c>
      <c r="G239" s="93" t="e">
        <f t="shared" si="110"/>
        <v>#DIV/0!</v>
      </c>
      <c r="H239" s="93" t="e">
        <f t="shared" si="110"/>
        <v>#DIV/0!</v>
      </c>
      <c r="I239" s="93" t="e">
        <f t="shared" si="110"/>
        <v>#DIV/0!</v>
      </c>
      <c r="J239" s="93" t="e">
        <f t="shared" si="110"/>
        <v>#DIV/0!</v>
      </c>
      <c r="K239" s="93" t="e">
        <f t="shared" si="110"/>
        <v>#DIV/0!</v>
      </c>
      <c r="L239" s="93" t="e">
        <f t="shared" si="110"/>
        <v>#DIV/0!</v>
      </c>
      <c r="M239" s="88">
        <f>+'2021-2022 Recy. Tons &amp; Revenue'!D24</f>
        <v>0</v>
      </c>
    </row>
    <row r="240" spans="2:13">
      <c r="C240" s="57">
        <f t="shared" ref="C240:L240" si="111">+C239*C24</f>
        <v>0</v>
      </c>
      <c r="D240" s="57" t="e">
        <f t="shared" si="111"/>
        <v>#DIV/0!</v>
      </c>
      <c r="E240" s="57" t="e">
        <f t="shared" si="111"/>
        <v>#DIV/0!</v>
      </c>
      <c r="F240" s="57" t="e">
        <f t="shared" si="111"/>
        <v>#DIV/0!</v>
      </c>
      <c r="G240" s="57" t="e">
        <f t="shared" si="111"/>
        <v>#DIV/0!</v>
      </c>
      <c r="H240" s="57" t="e">
        <f t="shared" si="111"/>
        <v>#DIV/0!</v>
      </c>
      <c r="I240" s="57" t="e">
        <f t="shared" si="111"/>
        <v>#DIV/0!</v>
      </c>
      <c r="J240" s="57" t="e">
        <f t="shared" si="111"/>
        <v>#DIV/0!</v>
      </c>
      <c r="K240" s="57" t="e">
        <f t="shared" si="111"/>
        <v>#DIV/0!</v>
      </c>
      <c r="L240" s="57" t="e">
        <f t="shared" si="111"/>
        <v>#DIV/0!</v>
      </c>
      <c r="M240" s="88" t="e">
        <f>SUM(C240:L240)</f>
        <v>#DIV/0!</v>
      </c>
    </row>
    <row r="242" spans="2:13">
      <c r="B242" s="11" t="s">
        <v>51</v>
      </c>
      <c r="C242" s="92"/>
      <c r="D242" s="92" t="e">
        <f>+'Composition-Rec. Acct. Analysis'!AN$7</f>
        <v>#DIV/0!</v>
      </c>
      <c r="E242" s="92" t="e">
        <f>+'Composition-Rec. Acct. Analysis'!AN$8</f>
        <v>#DIV/0!</v>
      </c>
      <c r="F242" s="92" t="e">
        <f>+'Composition-Rec. Acct. Analysis'!AN$9</f>
        <v>#DIV/0!</v>
      </c>
      <c r="G242" s="92" t="e">
        <f>+'Composition-Rec. Acct. Analysis'!AN$10</f>
        <v>#DIV/0!</v>
      </c>
      <c r="H242" s="92" t="e">
        <f>+'Composition-Rec. Acct. Analysis'!AN$11</f>
        <v>#DIV/0!</v>
      </c>
      <c r="I242" s="92" t="e">
        <f>+'Composition-Rec. Acct. Analysis'!AN$12</f>
        <v>#DIV/0!</v>
      </c>
      <c r="J242" s="92" t="e">
        <f>+'Composition-Rec. Acct. Analysis'!AN$13</f>
        <v>#DIV/0!</v>
      </c>
      <c r="K242" s="92" t="e">
        <f>+'Composition-Rec. Acct. Analysis'!AN$14</f>
        <v>#DIV/0!</v>
      </c>
      <c r="L242" s="92" t="e">
        <f>+'Composition-Rec. Acct. Analysis'!AN$15</f>
        <v>#DIV/0!</v>
      </c>
      <c r="M242" s="87" t="e">
        <f>SUM(C242:L242)</f>
        <v>#DIV/0!</v>
      </c>
    </row>
    <row r="243" spans="2:13">
      <c r="C243" s="93">
        <f t="shared" ref="C243:L243" si="112">+C242*$M243</f>
        <v>0</v>
      </c>
      <c r="D243" s="93" t="e">
        <f>+D242*$M243</f>
        <v>#DIV/0!</v>
      </c>
      <c r="E243" s="93" t="e">
        <f t="shared" si="112"/>
        <v>#DIV/0!</v>
      </c>
      <c r="F243" s="93" t="e">
        <f t="shared" si="112"/>
        <v>#DIV/0!</v>
      </c>
      <c r="G243" s="93" t="e">
        <f t="shared" si="112"/>
        <v>#DIV/0!</v>
      </c>
      <c r="H243" s="93" t="e">
        <f t="shared" si="112"/>
        <v>#DIV/0!</v>
      </c>
      <c r="I243" s="93" t="e">
        <f t="shared" si="112"/>
        <v>#DIV/0!</v>
      </c>
      <c r="J243" s="93" t="e">
        <f t="shared" si="112"/>
        <v>#DIV/0!</v>
      </c>
      <c r="K243" s="93" t="e">
        <f t="shared" si="112"/>
        <v>#DIV/0!</v>
      </c>
      <c r="L243" s="93" t="e">
        <f t="shared" si="112"/>
        <v>#DIV/0!</v>
      </c>
      <c r="M243" s="88">
        <f>+'2021-2022 Recy. Tons &amp; Revenue'!D25</f>
        <v>0</v>
      </c>
    </row>
    <row r="244" spans="2:13">
      <c r="C244" s="57">
        <f t="shared" ref="C244:L244" si="113">+C243*C25</f>
        <v>0</v>
      </c>
      <c r="D244" s="57" t="e">
        <f t="shared" si="113"/>
        <v>#DIV/0!</v>
      </c>
      <c r="E244" s="57" t="e">
        <f t="shared" si="113"/>
        <v>#DIV/0!</v>
      </c>
      <c r="F244" s="57" t="e">
        <f t="shared" si="113"/>
        <v>#DIV/0!</v>
      </c>
      <c r="G244" s="57" t="e">
        <f t="shared" si="113"/>
        <v>#DIV/0!</v>
      </c>
      <c r="H244" s="57" t="e">
        <f t="shared" si="113"/>
        <v>#DIV/0!</v>
      </c>
      <c r="I244" s="57" t="e">
        <f t="shared" si="113"/>
        <v>#DIV/0!</v>
      </c>
      <c r="J244" s="57" t="e">
        <f t="shared" si="113"/>
        <v>#DIV/0!</v>
      </c>
      <c r="K244" s="57" t="e">
        <f t="shared" si="113"/>
        <v>#DIV/0!</v>
      </c>
      <c r="L244" s="57" t="e">
        <f t="shared" si="113"/>
        <v>#DIV/0!</v>
      </c>
      <c r="M244" s="88" t="e">
        <f>SUM(C244:L244)</f>
        <v>#DIV/0!</v>
      </c>
    </row>
    <row r="246" spans="2:13">
      <c r="B246" s="11" t="s">
        <v>52</v>
      </c>
      <c r="C246" s="92"/>
      <c r="D246" s="92" t="e">
        <f>+'Composition-Rec. Acct. Analysis'!AP$7</f>
        <v>#DIV/0!</v>
      </c>
      <c r="E246" s="92" t="e">
        <f>+'Composition-Rec. Acct. Analysis'!AP$8</f>
        <v>#DIV/0!</v>
      </c>
      <c r="F246" s="92" t="e">
        <f>+'Composition-Rec. Acct. Analysis'!AP$9</f>
        <v>#DIV/0!</v>
      </c>
      <c r="G246" s="92" t="e">
        <f>+'Composition-Rec. Acct. Analysis'!AP$10</f>
        <v>#DIV/0!</v>
      </c>
      <c r="H246" s="92" t="e">
        <f>+'Composition-Rec. Acct. Analysis'!AP$11</f>
        <v>#DIV/0!</v>
      </c>
      <c r="I246" s="92" t="e">
        <f>+'Composition-Rec. Acct. Analysis'!AP$12</f>
        <v>#DIV/0!</v>
      </c>
      <c r="J246" s="92" t="e">
        <f>+'Composition-Rec. Acct. Analysis'!AP$13</f>
        <v>#DIV/0!</v>
      </c>
      <c r="K246" s="92" t="e">
        <f>+'Composition-Rec. Acct. Analysis'!AP$14</f>
        <v>#DIV/0!</v>
      </c>
      <c r="L246" s="92" t="e">
        <f>+'Composition-Rec. Acct. Analysis'!AP$15</f>
        <v>#DIV/0!</v>
      </c>
      <c r="M246" s="87" t="e">
        <f>SUM(C246:L246)</f>
        <v>#DIV/0!</v>
      </c>
    </row>
    <row r="247" spans="2:13">
      <c r="C247" s="93">
        <f t="shared" ref="C247:L247" si="114">+C246*$M247</f>
        <v>0</v>
      </c>
      <c r="D247" s="93" t="e">
        <f t="shared" si="114"/>
        <v>#DIV/0!</v>
      </c>
      <c r="E247" s="93" t="e">
        <f t="shared" si="114"/>
        <v>#DIV/0!</v>
      </c>
      <c r="F247" s="93" t="e">
        <f t="shared" si="114"/>
        <v>#DIV/0!</v>
      </c>
      <c r="G247" s="93" t="e">
        <f t="shared" si="114"/>
        <v>#DIV/0!</v>
      </c>
      <c r="H247" s="93" t="e">
        <f t="shared" si="114"/>
        <v>#DIV/0!</v>
      </c>
      <c r="I247" s="93" t="e">
        <f t="shared" si="114"/>
        <v>#DIV/0!</v>
      </c>
      <c r="J247" s="93" t="e">
        <f t="shared" si="114"/>
        <v>#DIV/0!</v>
      </c>
      <c r="K247" s="93" t="e">
        <f t="shared" si="114"/>
        <v>#DIV/0!</v>
      </c>
      <c r="L247" s="93" t="e">
        <f t="shared" si="114"/>
        <v>#DIV/0!</v>
      </c>
      <c r="M247" s="88">
        <f>+'2021-2022 Recy. Tons &amp; Revenue'!D26</f>
        <v>0</v>
      </c>
    </row>
    <row r="248" spans="2:13">
      <c r="C248" s="57">
        <f t="shared" ref="C248:L248" si="115">+C247*C26</f>
        <v>0</v>
      </c>
      <c r="D248" s="57" t="e">
        <f t="shared" si="115"/>
        <v>#DIV/0!</v>
      </c>
      <c r="E248" s="57" t="e">
        <f t="shared" si="115"/>
        <v>#DIV/0!</v>
      </c>
      <c r="F248" s="57" t="e">
        <f t="shared" si="115"/>
        <v>#DIV/0!</v>
      </c>
      <c r="G248" s="57" t="e">
        <f t="shared" si="115"/>
        <v>#DIV/0!</v>
      </c>
      <c r="H248" s="57" t="e">
        <f t="shared" si="115"/>
        <v>#DIV/0!</v>
      </c>
      <c r="I248" s="57" t="e">
        <f t="shared" si="115"/>
        <v>#DIV/0!</v>
      </c>
      <c r="J248" s="57" t="e">
        <f t="shared" si="115"/>
        <v>#DIV/0!</v>
      </c>
      <c r="K248" s="57" t="e">
        <f t="shared" si="115"/>
        <v>#DIV/0!</v>
      </c>
      <c r="L248" s="57" t="e">
        <f t="shared" si="115"/>
        <v>#DIV/0!</v>
      </c>
      <c r="M248" s="88" t="e">
        <f>SUM(C248:L248)</f>
        <v>#DIV/0!</v>
      </c>
    </row>
    <row r="250" spans="2:13">
      <c r="B250" s="11" t="s">
        <v>59</v>
      </c>
      <c r="C250" s="92"/>
      <c r="D250" s="92" t="e">
        <f>+'Composition-Rec. Acct. Analysis'!AR$7</f>
        <v>#DIV/0!</v>
      </c>
      <c r="E250" s="92" t="e">
        <f>+'Composition-Rec. Acct. Analysis'!AR$8</f>
        <v>#DIV/0!</v>
      </c>
      <c r="F250" s="92" t="e">
        <f>+'Composition-Rec. Acct. Analysis'!AR$9</f>
        <v>#DIV/0!</v>
      </c>
      <c r="G250" s="92" t="e">
        <f>+'Composition-Rec. Acct. Analysis'!AR$10</f>
        <v>#DIV/0!</v>
      </c>
      <c r="H250" s="92" t="e">
        <f>+'Composition-Rec. Acct. Analysis'!AR$11</f>
        <v>#DIV/0!</v>
      </c>
      <c r="I250" s="92" t="e">
        <f>+'Composition-Rec. Acct. Analysis'!AR$12</f>
        <v>#DIV/0!</v>
      </c>
      <c r="J250" s="92" t="e">
        <f>+'Composition-Rec. Acct. Analysis'!AR$13</f>
        <v>#DIV/0!</v>
      </c>
      <c r="K250" s="92" t="e">
        <f>+'Composition-Rec. Acct. Analysis'!AR$14</f>
        <v>#DIV/0!</v>
      </c>
      <c r="L250" s="92" t="e">
        <f>+'Composition-Rec. Acct. Analysis'!AR$15</f>
        <v>#DIV/0!</v>
      </c>
      <c r="M250" s="87" t="e">
        <f>SUM(C250:L250)</f>
        <v>#DIV/0!</v>
      </c>
    </row>
    <row r="251" spans="2:13">
      <c r="C251" s="93">
        <f t="shared" ref="C251:L251" si="116">+C250*$M251</f>
        <v>0</v>
      </c>
      <c r="D251" s="93" t="e">
        <f t="shared" si="116"/>
        <v>#DIV/0!</v>
      </c>
      <c r="E251" s="93" t="e">
        <f t="shared" si="116"/>
        <v>#DIV/0!</v>
      </c>
      <c r="F251" s="93" t="e">
        <f t="shared" si="116"/>
        <v>#DIV/0!</v>
      </c>
      <c r="G251" s="93" t="e">
        <f t="shared" si="116"/>
        <v>#DIV/0!</v>
      </c>
      <c r="H251" s="93" t="e">
        <f t="shared" si="116"/>
        <v>#DIV/0!</v>
      </c>
      <c r="I251" s="93" t="e">
        <f t="shared" si="116"/>
        <v>#DIV/0!</v>
      </c>
      <c r="J251" s="93" t="e">
        <f t="shared" si="116"/>
        <v>#DIV/0!</v>
      </c>
      <c r="K251" s="93" t="e">
        <f t="shared" si="116"/>
        <v>#DIV/0!</v>
      </c>
      <c r="L251" s="93" t="e">
        <f t="shared" si="116"/>
        <v>#DIV/0!</v>
      </c>
      <c r="M251" s="88">
        <f>+'2021-2022 Recy. Tons &amp; Revenue'!D27</f>
        <v>0</v>
      </c>
    </row>
    <row r="252" spans="2:13">
      <c r="C252" s="57">
        <f t="shared" ref="C252:L252" si="117">+C251*C27</f>
        <v>0</v>
      </c>
      <c r="D252" s="57" t="e">
        <f t="shared" si="117"/>
        <v>#DIV/0!</v>
      </c>
      <c r="E252" s="57" t="e">
        <f t="shared" si="117"/>
        <v>#DIV/0!</v>
      </c>
      <c r="F252" s="57" t="e">
        <f t="shared" si="117"/>
        <v>#DIV/0!</v>
      </c>
      <c r="G252" s="57" t="e">
        <f t="shared" si="117"/>
        <v>#DIV/0!</v>
      </c>
      <c r="H252" s="57" t="e">
        <f t="shared" si="117"/>
        <v>#DIV/0!</v>
      </c>
      <c r="I252" s="57" t="e">
        <f t="shared" si="117"/>
        <v>#DIV/0!</v>
      </c>
      <c r="J252" s="57" t="e">
        <f t="shared" si="117"/>
        <v>#DIV/0!</v>
      </c>
      <c r="K252" s="57" t="e">
        <f t="shared" si="117"/>
        <v>#DIV/0!</v>
      </c>
      <c r="L252" s="57" t="e">
        <f t="shared" si="117"/>
        <v>#DIV/0!</v>
      </c>
      <c r="M252" s="88" t="e">
        <f>SUM(C252:L252)</f>
        <v>#DIV/0!</v>
      </c>
    </row>
    <row r="254" spans="2:13">
      <c r="B254" s="11" t="s">
        <v>60</v>
      </c>
      <c r="C254" s="92"/>
      <c r="D254" s="92" t="e">
        <f>+'Composition-Rec. Acct. Analysis'!AT$7</f>
        <v>#DIV/0!</v>
      </c>
      <c r="E254" s="92" t="e">
        <f>+'Composition-Rec. Acct. Analysis'!AT$8</f>
        <v>#DIV/0!</v>
      </c>
      <c r="F254" s="92" t="e">
        <f>+'Composition-Rec. Acct. Analysis'!AT$9</f>
        <v>#DIV/0!</v>
      </c>
      <c r="G254" s="92" t="e">
        <f>+'Composition-Rec. Acct. Analysis'!AT$10</f>
        <v>#DIV/0!</v>
      </c>
      <c r="H254" s="92" t="e">
        <f>+'Composition-Rec. Acct. Analysis'!AT$11</f>
        <v>#DIV/0!</v>
      </c>
      <c r="I254" s="92" t="e">
        <f>+'Composition-Rec. Acct. Analysis'!AT$12</f>
        <v>#DIV/0!</v>
      </c>
      <c r="J254" s="92" t="e">
        <f>+'Composition-Rec. Acct. Analysis'!AT$13</f>
        <v>#DIV/0!</v>
      </c>
      <c r="K254" s="92" t="e">
        <f>+'Composition-Rec. Acct. Analysis'!AT$14</f>
        <v>#DIV/0!</v>
      </c>
      <c r="L254" s="92" t="e">
        <f>+'Composition-Rec. Acct. Analysis'!AT$15</f>
        <v>#DIV/0!</v>
      </c>
      <c r="M254" s="87" t="e">
        <f>SUM(C254:L254)</f>
        <v>#DIV/0!</v>
      </c>
    </row>
    <row r="255" spans="2:13">
      <c r="C255" s="93">
        <f t="shared" ref="C255:L255" si="118">+C254*$M255</f>
        <v>0</v>
      </c>
      <c r="D255" s="93" t="e">
        <f t="shared" si="118"/>
        <v>#DIV/0!</v>
      </c>
      <c r="E255" s="93" t="e">
        <f t="shared" si="118"/>
        <v>#DIV/0!</v>
      </c>
      <c r="F255" s="93" t="e">
        <f t="shared" si="118"/>
        <v>#DIV/0!</v>
      </c>
      <c r="G255" s="93" t="e">
        <f t="shared" si="118"/>
        <v>#DIV/0!</v>
      </c>
      <c r="H255" s="93" t="e">
        <f t="shared" si="118"/>
        <v>#DIV/0!</v>
      </c>
      <c r="I255" s="93" t="e">
        <f t="shared" si="118"/>
        <v>#DIV/0!</v>
      </c>
      <c r="J255" s="93" t="e">
        <f t="shared" si="118"/>
        <v>#DIV/0!</v>
      </c>
      <c r="K255" s="93" t="e">
        <f t="shared" si="118"/>
        <v>#DIV/0!</v>
      </c>
      <c r="L255" s="93" t="e">
        <f t="shared" si="118"/>
        <v>#DIV/0!</v>
      </c>
      <c r="M255" s="88">
        <f>+'2021-2022 Recy. Tons &amp; Revenue'!D28</f>
        <v>0</v>
      </c>
    </row>
    <row r="256" spans="2:13">
      <c r="C256" s="57">
        <f t="shared" ref="C256:L256" si="119">+C255*C28</f>
        <v>0</v>
      </c>
      <c r="D256" s="57" t="e">
        <f t="shared" si="119"/>
        <v>#DIV/0!</v>
      </c>
      <c r="E256" s="57" t="e">
        <f t="shared" si="119"/>
        <v>#DIV/0!</v>
      </c>
      <c r="F256" s="57" t="e">
        <f t="shared" si="119"/>
        <v>#DIV/0!</v>
      </c>
      <c r="G256" s="57" t="e">
        <f t="shared" si="119"/>
        <v>#DIV/0!</v>
      </c>
      <c r="H256" s="57" t="e">
        <f t="shared" si="119"/>
        <v>#DIV/0!</v>
      </c>
      <c r="I256" s="57" t="e">
        <f t="shared" si="119"/>
        <v>#DIV/0!</v>
      </c>
      <c r="J256" s="57" t="e">
        <f t="shared" si="119"/>
        <v>#DIV/0!</v>
      </c>
      <c r="K256" s="57" t="e">
        <f t="shared" si="119"/>
        <v>#DIV/0!</v>
      </c>
      <c r="L256" s="57" t="e">
        <f t="shared" si="119"/>
        <v>#DIV/0!</v>
      </c>
      <c r="M256" s="88" t="e">
        <f>SUM(C256:L256)</f>
        <v>#DIV/0!</v>
      </c>
    </row>
    <row r="258" spans="2:13">
      <c r="B258" s="11" t="s">
        <v>61</v>
      </c>
      <c r="C258" s="92"/>
      <c r="D258" s="92" t="e">
        <f>+'Composition-Rec. Acct. Analysis'!AV$7</f>
        <v>#DIV/0!</v>
      </c>
      <c r="E258" s="92" t="e">
        <f>+'Composition-Rec. Acct. Analysis'!AV$8</f>
        <v>#DIV/0!</v>
      </c>
      <c r="F258" s="92" t="e">
        <f>+'Composition-Rec. Acct. Analysis'!AV$9</f>
        <v>#DIV/0!</v>
      </c>
      <c r="G258" s="92" t="e">
        <f>+'Composition-Rec. Acct. Analysis'!AV$10</f>
        <v>#DIV/0!</v>
      </c>
      <c r="H258" s="92" t="e">
        <f>+'Composition-Rec. Acct. Analysis'!AV$11</f>
        <v>#DIV/0!</v>
      </c>
      <c r="I258" s="92" t="e">
        <f>+'Composition-Rec. Acct. Analysis'!AV$12</f>
        <v>#DIV/0!</v>
      </c>
      <c r="J258" s="92" t="e">
        <f>+'Composition-Rec. Acct. Analysis'!AV$13</f>
        <v>#DIV/0!</v>
      </c>
      <c r="K258" s="92" t="e">
        <f>+'Composition-Rec. Acct. Analysis'!AV$14</f>
        <v>#DIV/0!</v>
      </c>
      <c r="L258" s="92" t="e">
        <f>+'Composition-Rec. Acct. Analysis'!AV$15</f>
        <v>#DIV/0!</v>
      </c>
      <c r="M258" s="87" t="e">
        <f>SUM(C258:L258)</f>
        <v>#DIV/0!</v>
      </c>
    </row>
    <row r="259" spans="2:13">
      <c r="C259" s="93">
        <f t="shared" ref="C259:L259" si="120">+C258*$M259</f>
        <v>0</v>
      </c>
      <c r="D259" s="93" t="e">
        <f t="shared" si="120"/>
        <v>#DIV/0!</v>
      </c>
      <c r="E259" s="93" t="e">
        <f t="shared" si="120"/>
        <v>#DIV/0!</v>
      </c>
      <c r="F259" s="93" t="e">
        <f t="shared" si="120"/>
        <v>#DIV/0!</v>
      </c>
      <c r="G259" s="93" t="e">
        <f t="shared" si="120"/>
        <v>#DIV/0!</v>
      </c>
      <c r="H259" s="93" t="e">
        <f t="shared" si="120"/>
        <v>#DIV/0!</v>
      </c>
      <c r="I259" s="93" t="e">
        <f t="shared" si="120"/>
        <v>#DIV/0!</v>
      </c>
      <c r="J259" s="93" t="e">
        <f t="shared" si="120"/>
        <v>#DIV/0!</v>
      </c>
      <c r="K259" s="93" t="e">
        <f t="shared" si="120"/>
        <v>#DIV/0!</v>
      </c>
      <c r="L259" s="93" t="e">
        <f t="shared" si="120"/>
        <v>#DIV/0!</v>
      </c>
      <c r="M259" s="88">
        <f>+'2021-2022 Recy. Tons &amp; Revenue'!D29</f>
        <v>0</v>
      </c>
    </row>
    <row r="260" spans="2:13">
      <c r="C260" s="57">
        <f t="shared" ref="C260:L260" si="121">+C259*C29</f>
        <v>0</v>
      </c>
      <c r="D260" s="57" t="e">
        <f t="shared" si="121"/>
        <v>#DIV/0!</v>
      </c>
      <c r="E260" s="57" t="e">
        <f t="shared" si="121"/>
        <v>#DIV/0!</v>
      </c>
      <c r="F260" s="57" t="e">
        <f t="shared" si="121"/>
        <v>#DIV/0!</v>
      </c>
      <c r="G260" s="57" t="e">
        <f t="shared" si="121"/>
        <v>#DIV/0!</v>
      </c>
      <c r="H260" s="57" t="e">
        <f t="shared" si="121"/>
        <v>#DIV/0!</v>
      </c>
      <c r="I260" s="57" t="e">
        <f t="shared" si="121"/>
        <v>#DIV/0!</v>
      </c>
      <c r="J260" s="57" t="e">
        <f t="shared" si="121"/>
        <v>#DIV/0!</v>
      </c>
      <c r="K260" s="57" t="e">
        <f t="shared" si="121"/>
        <v>#DIV/0!</v>
      </c>
      <c r="L260" s="57" t="e">
        <f t="shared" si="121"/>
        <v>#DIV/0!</v>
      </c>
      <c r="M260" s="88" t="e">
        <f>SUM(C260:L260)</f>
        <v>#DIV/0!</v>
      </c>
    </row>
    <row r="262" spans="2:13">
      <c r="B262" s="11" t="s">
        <v>62</v>
      </c>
      <c r="C262" s="92"/>
      <c r="D262" s="92" t="e">
        <f>+'Composition-Rec. Acct. Analysis'!AX$7</f>
        <v>#DIV/0!</v>
      </c>
      <c r="E262" s="92" t="e">
        <f>+'Composition-Rec. Acct. Analysis'!AX$8</f>
        <v>#DIV/0!</v>
      </c>
      <c r="F262" s="92" t="e">
        <f>+'Composition-Rec. Acct. Analysis'!AX$9</f>
        <v>#DIV/0!</v>
      </c>
      <c r="G262" s="92" t="e">
        <f>+'Composition-Rec. Acct. Analysis'!AX$10</f>
        <v>#DIV/0!</v>
      </c>
      <c r="H262" s="92" t="e">
        <f>+'Composition-Rec. Acct. Analysis'!AX$11</f>
        <v>#DIV/0!</v>
      </c>
      <c r="I262" s="92" t="e">
        <f>+'Composition-Rec. Acct. Analysis'!AX$12</f>
        <v>#DIV/0!</v>
      </c>
      <c r="J262" s="92" t="e">
        <f>+'Composition-Rec. Acct. Analysis'!AX$13</f>
        <v>#DIV/0!</v>
      </c>
      <c r="K262" s="92" t="e">
        <f>+'Composition-Rec. Acct. Analysis'!AX$14</f>
        <v>#DIV/0!</v>
      </c>
      <c r="L262" s="92" t="e">
        <f>+'Composition-Rec. Acct. Analysis'!AX$15</f>
        <v>#DIV/0!</v>
      </c>
      <c r="M262" s="87" t="e">
        <f>SUM(C262:L262)</f>
        <v>#DIV/0!</v>
      </c>
    </row>
    <row r="263" spans="2:13">
      <c r="C263" s="93">
        <f t="shared" ref="C263:L263" si="122">+C262*$M263</f>
        <v>0</v>
      </c>
      <c r="D263" s="93" t="e">
        <f t="shared" si="122"/>
        <v>#DIV/0!</v>
      </c>
      <c r="E263" s="93" t="e">
        <f t="shared" si="122"/>
        <v>#DIV/0!</v>
      </c>
      <c r="F263" s="93" t="e">
        <f t="shared" si="122"/>
        <v>#DIV/0!</v>
      </c>
      <c r="G263" s="93" t="e">
        <f t="shared" si="122"/>
        <v>#DIV/0!</v>
      </c>
      <c r="H263" s="93" t="e">
        <f t="shared" si="122"/>
        <v>#DIV/0!</v>
      </c>
      <c r="I263" s="93" t="e">
        <f t="shared" si="122"/>
        <v>#DIV/0!</v>
      </c>
      <c r="J263" s="93" t="e">
        <f t="shared" si="122"/>
        <v>#DIV/0!</v>
      </c>
      <c r="K263" s="93" t="e">
        <f t="shared" si="122"/>
        <v>#DIV/0!</v>
      </c>
      <c r="L263" s="93" t="e">
        <f t="shared" si="122"/>
        <v>#DIV/0!</v>
      </c>
      <c r="M263" s="88">
        <f>+'2021-2022 Recy. Tons &amp; Revenue'!D30</f>
        <v>0</v>
      </c>
    </row>
    <row r="264" spans="2:13">
      <c r="C264" s="57">
        <f t="shared" ref="C264:L264" si="123">+C263*C30</f>
        <v>0</v>
      </c>
      <c r="D264" s="57" t="e">
        <f t="shared" si="123"/>
        <v>#DIV/0!</v>
      </c>
      <c r="E264" s="57" t="e">
        <f t="shared" si="123"/>
        <v>#DIV/0!</v>
      </c>
      <c r="F264" s="57" t="e">
        <f t="shared" si="123"/>
        <v>#DIV/0!</v>
      </c>
      <c r="G264" s="57" t="e">
        <f t="shared" si="123"/>
        <v>#DIV/0!</v>
      </c>
      <c r="H264" s="57" t="e">
        <f t="shared" si="123"/>
        <v>#DIV/0!</v>
      </c>
      <c r="I264" s="57" t="e">
        <f t="shared" si="123"/>
        <v>#DIV/0!</v>
      </c>
      <c r="J264" s="57" t="e">
        <f t="shared" si="123"/>
        <v>#DIV/0!</v>
      </c>
      <c r="K264" s="57" t="e">
        <f t="shared" si="123"/>
        <v>#DIV/0!</v>
      </c>
      <c r="L264" s="57" t="e">
        <f t="shared" si="123"/>
        <v>#DIV/0!</v>
      </c>
      <c r="M264" s="88" t="e">
        <f>SUM(C264:L264)</f>
        <v>#DIV/0!</v>
      </c>
    </row>
  </sheetData>
  <mergeCells count="4">
    <mergeCell ref="B1:L1"/>
    <mergeCell ref="B35:L35"/>
    <mergeCell ref="C3:L3"/>
    <mergeCell ref="C37:L37"/>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CG30"/>
  <sheetViews>
    <sheetView zoomScaleNormal="100" workbookViewId="0">
      <pane xSplit="1" topLeftCell="B1" activePane="topRight" state="frozen"/>
      <selection pane="topRight" activeCell="E23" sqref="E23"/>
    </sheetView>
  </sheetViews>
  <sheetFormatPr defaultRowHeight="12.75"/>
  <cols>
    <col min="1" max="1" width="36.5703125" bestFit="1" customWidth="1"/>
    <col min="2" max="2" width="7" bestFit="1" customWidth="1"/>
    <col min="3" max="3" width="9.28515625" bestFit="1" customWidth="1"/>
    <col min="4" max="4" width="7.7109375" bestFit="1" customWidth="1"/>
    <col min="5" max="5" width="9.28515625" bestFit="1" customWidth="1"/>
    <col min="6" max="6" width="7.7109375" bestFit="1" customWidth="1"/>
    <col min="7" max="7" width="9.28515625" bestFit="1" customWidth="1"/>
    <col min="8" max="8" width="7.7109375" bestFit="1" customWidth="1"/>
    <col min="9" max="9" width="9.28515625" bestFit="1" customWidth="1"/>
    <col min="10" max="10" width="7.7109375" bestFit="1" customWidth="1"/>
    <col min="11" max="11" width="9.28515625" bestFit="1" customWidth="1"/>
    <col min="12" max="12" width="7.7109375" bestFit="1" customWidth="1"/>
    <col min="13" max="13" width="9.28515625" bestFit="1" customWidth="1"/>
    <col min="14" max="14" width="7.7109375" bestFit="1" customWidth="1"/>
    <col min="15" max="15" width="9.28515625" bestFit="1" customWidth="1"/>
    <col min="16" max="16" width="7.7109375" bestFit="1" customWidth="1"/>
    <col min="17" max="17" width="9.28515625" bestFit="1" customWidth="1"/>
    <col min="18" max="18" width="7.7109375" bestFit="1" customWidth="1"/>
    <col min="19" max="19" width="9.28515625" bestFit="1" customWidth="1"/>
    <col min="20" max="20" width="7.7109375" bestFit="1" customWidth="1"/>
    <col min="21" max="21" width="9.28515625" bestFit="1" customWidth="1"/>
    <col min="22" max="22" width="7.7109375" bestFit="1" customWidth="1"/>
    <col min="23" max="23" width="9.28515625" bestFit="1" customWidth="1"/>
    <col min="24" max="24" width="7.7109375" bestFit="1" customWidth="1"/>
    <col min="25" max="25" width="11.140625" customWidth="1"/>
    <col min="26" max="26" width="7.7109375" bestFit="1" customWidth="1"/>
    <col min="27" max="27" width="9.28515625" bestFit="1" customWidth="1"/>
    <col min="28" max="28" width="7.7109375" bestFit="1" customWidth="1"/>
    <col min="29" max="29" width="9.28515625" bestFit="1" customWidth="1"/>
    <col min="30" max="30" width="7.7109375" bestFit="1" customWidth="1"/>
    <col min="31" max="31" width="9.28515625" bestFit="1" customWidth="1"/>
    <col min="32" max="32" width="7.7109375" bestFit="1" customWidth="1"/>
    <col min="33" max="33" width="9.28515625" bestFit="1" customWidth="1"/>
    <col min="34" max="34" width="7.7109375" bestFit="1" customWidth="1"/>
    <col min="35" max="35" width="9.28515625" bestFit="1" customWidth="1"/>
    <col min="36" max="36" width="7.7109375" bestFit="1" customWidth="1"/>
    <col min="37" max="37" width="9.28515625" bestFit="1" customWidth="1"/>
    <col min="38" max="38" width="7.7109375" bestFit="1" customWidth="1"/>
    <col min="39" max="39" width="9.28515625" bestFit="1" customWidth="1"/>
    <col min="40" max="40" width="7.7109375" bestFit="1" customWidth="1"/>
    <col min="41" max="41" width="9.28515625" bestFit="1" customWidth="1"/>
    <col min="42" max="42" width="7.7109375" bestFit="1" customWidth="1"/>
    <col min="43" max="43" width="9.28515625" bestFit="1" customWidth="1"/>
    <col min="44" max="44" width="7.7109375" bestFit="1" customWidth="1"/>
    <col min="45" max="45" width="9.28515625" bestFit="1" customWidth="1"/>
    <col min="46" max="46" width="7.7109375" bestFit="1" customWidth="1"/>
    <col min="47" max="47" width="9.28515625" bestFit="1" customWidth="1"/>
    <col min="48" max="48" width="7.7109375" bestFit="1" customWidth="1"/>
    <col min="49" max="49" width="9.28515625" bestFit="1" customWidth="1"/>
    <col min="50" max="50" width="7.7109375" bestFit="1" customWidth="1"/>
    <col min="51" max="51" width="11.28515625" bestFit="1" customWidth="1"/>
    <col min="52" max="52" width="7.7109375" bestFit="1" customWidth="1"/>
    <col min="53" max="53" width="2.42578125" customWidth="1"/>
    <col min="54" max="54" width="10.140625" bestFit="1" customWidth="1"/>
    <col min="55" max="55" width="9.5703125" customWidth="1"/>
    <col min="56" max="56" width="12.140625" bestFit="1" customWidth="1"/>
    <col min="58" max="58" width="10.7109375" bestFit="1" customWidth="1"/>
    <col min="80" max="80" width="11" bestFit="1" customWidth="1"/>
    <col min="81" max="81" width="11" customWidth="1"/>
    <col min="85" max="85" width="10.28515625" bestFit="1" customWidth="1"/>
  </cols>
  <sheetData>
    <row r="3" spans="1:85" ht="15">
      <c r="A3" s="1" t="s">
        <v>136</v>
      </c>
      <c r="B3" s="1"/>
      <c r="BD3" s="13"/>
    </row>
    <row r="4" spans="1:85" ht="15">
      <c r="A4" s="8"/>
      <c r="B4" s="267"/>
      <c r="C4" s="10">
        <v>44474</v>
      </c>
      <c r="D4" s="6"/>
      <c r="E4" s="10">
        <v>44505</v>
      </c>
      <c r="F4" s="6"/>
      <c r="G4" s="10">
        <v>44535</v>
      </c>
      <c r="H4" s="2"/>
      <c r="I4" s="10">
        <v>44572</v>
      </c>
      <c r="J4" s="6"/>
      <c r="K4" s="10">
        <v>44593</v>
      </c>
      <c r="L4" s="6"/>
      <c r="M4" s="10">
        <v>44625</v>
      </c>
      <c r="N4" s="6"/>
      <c r="O4" s="10">
        <v>44656</v>
      </c>
      <c r="P4" s="6"/>
      <c r="Q4" s="10">
        <v>44686</v>
      </c>
      <c r="R4" s="6"/>
      <c r="S4" s="10">
        <v>44717</v>
      </c>
      <c r="T4" s="6"/>
      <c r="U4" s="10">
        <v>44747</v>
      </c>
      <c r="V4" s="6"/>
      <c r="W4" s="10">
        <v>44778</v>
      </c>
      <c r="X4" s="6"/>
      <c r="Y4" s="10">
        <v>44809</v>
      </c>
      <c r="Z4" s="6"/>
      <c r="AA4" s="10">
        <v>44839</v>
      </c>
      <c r="AB4" s="6"/>
      <c r="AC4" s="10">
        <v>44870</v>
      </c>
      <c r="AD4" s="6"/>
      <c r="AE4" s="10">
        <v>44900</v>
      </c>
      <c r="AF4" s="6"/>
      <c r="AG4" s="10">
        <v>44931</v>
      </c>
      <c r="AH4" s="6"/>
      <c r="AI4" s="10">
        <v>44962</v>
      </c>
      <c r="AJ4" s="6"/>
      <c r="AK4" s="10">
        <v>44990</v>
      </c>
      <c r="AL4" s="6"/>
      <c r="AM4" s="10">
        <v>45021</v>
      </c>
      <c r="AN4" s="6"/>
      <c r="AO4" s="10">
        <v>45051</v>
      </c>
      <c r="AP4" s="6"/>
      <c r="AQ4" s="10">
        <v>45082</v>
      </c>
      <c r="AR4" s="6"/>
      <c r="AS4" s="10">
        <v>45112</v>
      </c>
      <c r="AT4" s="6"/>
      <c r="AU4" s="10">
        <v>45143</v>
      </c>
      <c r="AV4" s="6"/>
      <c r="AW4" s="10">
        <v>45174</v>
      </c>
      <c r="AX4" s="6"/>
      <c r="AY4" s="10" t="s">
        <v>71</v>
      </c>
      <c r="AZ4" s="6"/>
      <c r="BD4" s="13"/>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row>
    <row r="5" spans="1:85" ht="15">
      <c r="A5" s="9"/>
      <c r="B5" s="268"/>
      <c r="C5" s="3" t="s">
        <v>7</v>
      </c>
      <c r="D5" s="7"/>
      <c r="E5" s="3" t="s">
        <v>7</v>
      </c>
      <c r="F5" s="7"/>
      <c r="G5" s="3" t="s">
        <v>7</v>
      </c>
      <c r="H5" s="4"/>
      <c r="I5" s="3" t="s">
        <v>7</v>
      </c>
      <c r="J5" s="7"/>
      <c r="K5" s="3" t="s">
        <v>7</v>
      </c>
      <c r="L5" s="7"/>
      <c r="M5" s="3" t="s">
        <v>7</v>
      </c>
      <c r="N5" s="7"/>
      <c r="O5" s="3" t="s">
        <v>7</v>
      </c>
      <c r="P5" s="7"/>
      <c r="Q5" s="3" t="s">
        <v>7</v>
      </c>
      <c r="R5" s="7"/>
      <c r="S5" s="3" t="s">
        <v>7</v>
      </c>
      <c r="T5" s="7"/>
      <c r="U5" s="3" t="s">
        <v>7</v>
      </c>
      <c r="V5" s="7"/>
      <c r="W5" s="3" t="s">
        <v>7</v>
      </c>
      <c r="X5" s="7"/>
      <c r="Y5" s="3" t="s">
        <v>7</v>
      </c>
      <c r="Z5" s="7"/>
      <c r="AA5" s="3" t="s">
        <v>7</v>
      </c>
      <c r="AB5" s="7"/>
      <c r="AC5" s="3" t="s">
        <v>7</v>
      </c>
      <c r="AD5" s="7"/>
      <c r="AE5" s="3" t="s">
        <v>7</v>
      </c>
      <c r="AF5" s="7"/>
      <c r="AG5" s="3" t="s">
        <v>7</v>
      </c>
      <c r="AH5" s="7"/>
      <c r="AI5" s="3" t="s">
        <v>7</v>
      </c>
      <c r="AJ5" s="7"/>
      <c r="AK5" s="3" t="s">
        <v>7</v>
      </c>
      <c r="AL5" s="7"/>
      <c r="AM5" s="3" t="s">
        <v>7</v>
      </c>
      <c r="AN5" s="7"/>
      <c r="AO5" s="3" t="s">
        <v>7</v>
      </c>
      <c r="AP5" s="7"/>
      <c r="AQ5" s="3" t="s">
        <v>7</v>
      </c>
      <c r="AR5" s="7"/>
      <c r="AS5" s="3" t="s">
        <v>7</v>
      </c>
      <c r="AT5" s="7"/>
      <c r="AU5" s="3" t="s">
        <v>7</v>
      </c>
      <c r="AV5" s="7"/>
      <c r="AW5" s="3" t="s">
        <v>7</v>
      </c>
      <c r="AX5" s="7"/>
      <c r="AY5" s="3" t="s">
        <v>7</v>
      </c>
      <c r="AZ5" s="7"/>
      <c r="BD5" s="13"/>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row>
    <row r="6" spans="1:85" ht="15">
      <c r="A6" s="9" t="s">
        <v>3</v>
      </c>
      <c r="B6" s="12"/>
      <c r="C6" s="419">
        <v>0</v>
      </c>
      <c r="D6" s="5">
        <f t="shared" ref="D6:D16" si="0">C6/$C$17</f>
        <v>0</v>
      </c>
      <c r="E6" s="422">
        <v>0</v>
      </c>
      <c r="F6" s="5">
        <f t="shared" ref="F6:F16" si="1">E6/E$17</f>
        <v>0</v>
      </c>
      <c r="G6" s="422">
        <v>0</v>
      </c>
      <c r="H6" s="5">
        <f t="shared" ref="H6:H16" si="2">G6/G$17</f>
        <v>0</v>
      </c>
      <c r="I6" s="422">
        <v>0</v>
      </c>
      <c r="J6" s="5">
        <f t="shared" ref="J6:J16" si="3">I6/I$17</f>
        <v>0</v>
      </c>
      <c r="K6" s="422">
        <v>0</v>
      </c>
      <c r="L6" s="5">
        <f t="shared" ref="L6:R16" si="4">K6/K$17</f>
        <v>0</v>
      </c>
      <c r="M6" s="422">
        <v>0</v>
      </c>
      <c r="N6" s="5">
        <f t="shared" si="4"/>
        <v>0</v>
      </c>
      <c r="O6" s="422">
        <v>0</v>
      </c>
      <c r="P6" s="5">
        <f t="shared" si="4"/>
        <v>0</v>
      </c>
      <c r="Q6" s="422">
        <v>0</v>
      </c>
      <c r="R6" s="5">
        <f t="shared" si="4"/>
        <v>0</v>
      </c>
      <c r="S6" s="422">
        <v>0</v>
      </c>
      <c r="T6" s="5">
        <f t="shared" ref="T6:T16" si="5">S6/S$17</f>
        <v>0</v>
      </c>
      <c r="U6" s="422">
        <v>0</v>
      </c>
      <c r="V6" s="5">
        <f t="shared" ref="V6:V16" si="6">U6/U$17</f>
        <v>0</v>
      </c>
      <c r="W6" s="422">
        <v>0</v>
      </c>
      <c r="X6" s="5">
        <f t="shared" ref="X6:X16" si="7">W6/W$17</f>
        <v>0</v>
      </c>
      <c r="Y6" s="435">
        <f>+W6</f>
        <v>0</v>
      </c>
      <c r="Z6" s="5">
        <f t="shared" ref="Z6:Z16" si="8">Y6/Y$17</f>
        <v>0</v>
      </c>
      <c r="AA6" s="66"/>
      <c r="AB6" s="5" t="e">
        <f t="shared" ref="AB6:AB16" si="9">AA6/AA$17</f>
        <v>#DIV/0!</v>
      </c>
      <c r="AC6" s="66"/>
      <c r="AD6" s="5" t="e">
        <f t="shared" ref="AD6:AD16" si="10">AC6/AC$17</f>
        <v>#DIV/0!</v>
      </c>
      <c r="AE6" s="66"/>
      <c r="AF6" s="97" t="e">
        <f t="shared" ref="AF6:AF16" si="11">AE6/AE$17</f>
        <v>#DIV/0!</v>
      </c>
      <c r="AG6" s="287"/>
      <c r="AH6" s="97" t="e">
        <f t="shared" ref="AH6:AH16" si="12">AG6/AG$17</f>
        <v>#DIV/0!</v>
      </c>
      <c r="AI6" s="290"/>
      <c r="AJ6" s="97" t="e">
        <f t="shared" ref="AJ6:AJ16" si="13">AI6/AI$17</f>
        <v>#DIV/0!</v>
      </c>
      <c r="AK6" s="66"/>
      <c r="AL6" s="97" t="e">
        <f t="shared" ref="AL6:AL16" si="14">AK6/AK$17</f>
        <v>#DIV/0!</v>
      </c>
      <c r="AM6" s="66"/>
      <c r="AN6" s="97" t="e">
        <f t="shared" ref="AN6:AN16" si="15">AM6/AM$17</f>
        <v>#DIV/0!</v>
      </c>
      <c r="AO6" s="66"/>
      <c r="AP6" s="97" t="e">
        <f t="shared" ref="AP6:AP16" si="16">AO6/AO$17</f>
        <v>#DIV/0!</v>
      </c>
      <c r="AQ6" s="66"/>
      <c r="AR6" s="97" t="e">
        <f t="shared" ref="AR6:AR16" si="17">AQ6/AQ$17</f>
        <v>#DIV/0!</v>
      </c>
      <c r="AS6" s="66"/>
      <c r="AT6" s="97" t="e">
        <f t="shared" ref="AT6:AT16" si="18">AS6/AS$17</f>
        <v>#DIV/0!</v>
      </c>
      <c r="AU6" s="66"/>
      <c r="AV6" s="97" t="e">
        <f t="shared" ref="AV6:AV16" si="19">AU6/AU$17</f>
        <v>#DIV/0!</v>
      </c>
      <c r="AW6" s="66"/>
      <c r="AX6" s="97" t="e">
        <f t="shared" ref="AX6:AX16" si="20">AW6/AW$17</f>
        <v>#DIV/0!</v>
      </c>
      <c r="AY6" s="16">
        <f>+Y6+W6+U6+S6+Q6+O6+M6+K6+I6+G6+E6+C6+AA6+AC6+AE6+AG6+AI6+AK6+AM6+AO6+AQ6+AS6+AU6+AW6</f>
        <v>0</v>
      </c>
      <c r="AZ6" s="15">
        <f t="shared" ref="AZ6:AZ16" si="21">AY6/AY$17</f>
        <v>0</v>
      </c>
      <c r="BD6" s="1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row>
    <row r="7" spans="1:85" ht="15">
      <c r="A7" s="9" t="s">
        <v>6</v>
      </c>
      <c r="B7" s="12"/>
      <c r="C7" s="419">
        <v>2441.9130176074977</v>
      </c>
      <c r="D7" s="5">
        <f t="shared" si="0"/>
        <v>0.34451473439966246</v>
      </c>
      <c r="E7" s="422">
        <v>3081.4085125228521</v>
      </c>
      <c r="F7" s="5">
        <f t="shared" si="1"/>
        <v>0.38993981205758893</v>
      </c>
      <c r="G7" s="422">
        <v>2443.5568093903544</v>
      </c>
      <c r="H7" s="5">
        <f t="shared" si="2"/>
        <v>0.37140199789171413</v>
      </c>
      <c r="I7" s="422">
        <v>3235.897584144433</v>
      </c>
      <c r="J7" s="5">
        <f t="shared" si="3"/>
        <v>0.39301886674384967</v>
      </c>
      <c r="K7" s="422">
        <v>2438.6944393746421</v>
      </c>
      <c r="L7" s="5">
        <f t="shared" si="4"/>
        <v>0.37329750017776259</v>
      </c>
      <c r="M7" s="422">
        <v>3193.3149408131139</v>
      </c>
      <c r="N7" s="5">
        <f t="shared" si="4"/>
        <v>0.41003541068917587</v>
      </c>
      <c r="O7" s="422">
        <v>2971.212408820496</v>
      </c>
      <c r="P7" s="5">
        <f t="shared" si="4"/>
        <v>0.42369203654325316</v>
      </c>
      <c r="Q7" s="422">
        <v>3489.5096546703803</v>
      </c>
      <c r="R7" s="5">
        <f t="shared" si="4"/>
        <v>0.48051031095582108</v>
      </c>
      <c r="S7" s="422">
        <v>3076.16</v>
      </c>
      <c r="T7" s="5">
        <f t="shared" si="5"/>
        <v>0.42148185091608609</v>
      </c>
      <c r="U7" s="422">
        <v>2398.59</v>
      </c>
      <c r="V7" s="5">
        <f t="shared" si="6"/>
        <v>0.35023837510677608</v>
      </c>
      <c r="W7" s="422">
        <v>2354.5500000000002</v>
      </c>
      <c r="X7" s="5">
        <f t="shared" si="7"/>
        <v>0.31733506205052459</v>
      </c>
      <c r="Y7" s="435">
        <v>2508.59</v>
      </c>
      <c r="Z7" s="5">
        <f t="shared" si="8"/>
        <v>0.36558295163577381</v>
      </c>
      <c r="AA7" s="66"/>
      <c r="AB7" s="5" t="e">
        <f t="shared" si="9"/>
        <v>#DIV/0!</v>
      </c>
      <c r="AC7" s="66"/>
      <c r="AD7" s="5" t="e">
        <f t="shared" si="10"/>
        <v>#DIV/0!</v>
      </c>
      <c r="AE7" s="66"/>
      <c r="AF7" s="97" t="e">
        <f t="shared" si="11"/>
        <v>#DIV/0!</v>
      </c>
      <c r="AG7" s="287"/>
      <c r="AH7" s="97" t="e">
        <f t="shared" si="12"/>
        <v>#DIV/0!</v>
      </c>
      <c r="AI7" s="290"/>
      <c r="AJ7" s="97" t="e">
        <f t="shared" si="13"/>
        <v>#DIV/0!</v>
      </c>
      <c r="AK7" s="66"/>
      <c r="AL7" s="97" t="e">
        <f t="shared" si="14"/>
        <v>#DIV/0!</v>
      </c>
      <c r="AM7" s="66"/>
      <c r="AN7" s="97" t="e">
        <f t="shared" si="15"/>
        <v>#DIV/0!</v>
      </c>
      <c r="AO7" s="66"/>
      <c r="AP7" s="97" t="e">
        <f t="shared" si="16"/>
        <v>#DIV/0!</v>
      </c>
      <c r="AQ7" s="66"/>
      <c r="AR7" s="97" t="e">
        <f t="shared" si="17"/>
        <v>#DIV/0!</v>
      </c>
      <c r="AS7" s="66"/>
      <c r="AT7" s="97" t="e">
        <f t="shared" si="18"/>
        <v>#DIV/0!</v>
      </c>
      <c r="AU7" s="66"/>
      <c r="AV7" s="97" t="e">
        <f t="shared" si="19"/>
        <v>#DIV/0!</v>
      </c>
      <c r="AW7" s="66"/>
      <c r="AX7" s="97" t="e">
        <f t="shared" si="20"/>
        <v>#DIV/0!</v>
      </c>
      <c r="AY7" s="16">
        <f t="shared" ref="AY7:AY16" si="22">+Y7+W7+U7+S7+Q7+O7+M7+K7+I7+G7+E7+C7+AA7+AC7+AE7+AG7+AI7+AK7+AM7+AO7+AQ7+AS7+AU7+AW7</f>
        <v>33633.397367343772</v>
      </c>
      <c r="AZ7" s="15">
        <f t="shared" si="21"/>
        <v>0.38736100145518498</v>
      </c>
      <c r="BD7" s="1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row>
    <row r="8" spans="1:85" ht="15">
      <c r="A8" s="9" t="s">
        <v>1</v>
      </c>
      <c r="B8" s="12"/>
      <c r="C8" s="419">
        <v>1351.1061666172122</v>
      </c>
      <c r="D8" s="5">
        <f t="shared" si="0"/>
        <v>0.19061939503231459</v>
      </c>
      <c r="E8" s="422">
        <v>1398.617448037005</v>
      </c>
      <c r="F8" s="5">
        <f t="shared" si="1"/>
        <v>0.17698939384752213</v>
      </c>
      <c r="G8" s="422">
        <v>1300.3116175065384</v>
      </c>
      <c r="H8" s="5">
        <f t="shared" si="2"/>
        <v>0.19763744831626137</v>
      </c>
      <c r="I8" s="422">
        <v>1588.1097614793177</v>
      </c>
      <c r="J8" s="5">
        <f t="shared" si="3"/>
        <v>0.19288530693299835</v>
      </c>
      <c r="K8" s="422">
        <v>1480.2468053632974</v>
      </c>
      <c r="L8" s="5">
        <f t="shared" si="4"/>
        <v>0.22658534958973167</v>
      </c>
      <c r="M8" s="422">
        <v>1405.2884230632285</v>
      </c>
      <c r="N8" s="5">
        <f t="shared" si="4"/>
        <v>0.180445094319683</v>
      </c>
      <c r="O8" s="422">
        <v>1435.6160269073293</v>
      </c>
      <c r="P8" s="5">
        <f t="shared" si="4"/>
        <v>0.20471746696021817</v>
      </c>
      <c r="Q8" s="422">
        <v>1216.7678594173137</v>
      </c>
      <c r="R8" s="5">
        <f t="shared" si="4"/>
        <v>0.16755061895505494</v>
      </c>
      <c r="S8" s="422">
        <v>1454.9</v>
      </c>
      <c r="T8" s="5">
        <f t="shared" si="5"/>
        <v>0.19934396939619972</v>
      </c>
      <c r="U8" s="422">
        <v>2054.4499999999998</v>
      </c>
      <c r="V8" s="5">
        <f t="shared" si="6"/>
        <v>0.29998758843241902</v>
      </c>
      <c r="W8" s="422">
        <v>2288.65</v>
      </c>
      <c r="X8" s="5">
        <f t="shared" si="7"/>
        <v>0.30845337315492688</v>
      </c>
      <c r="Y8" s="435">
        <v>1792.21</v>
      </c>
      <c r="Z8" s="5">
        <f t="shared" si="8"/>
        <v>0.26118314341967008</v>
      </c>
      <c r="AA8" s="66"/>
      <c r="AB8" s="5" t="e">
        <f t="shared" si="9"/>
        <v>#DIV/0!</v>
      </c>
      <c r="AC8" s="66"/>
      <c r="AD8" s="5" t="e">
        <f t="shared" si="10"/>
        <v>#DIV/0!</v>
      </c>
      <c r="AE8" s="66"/>
      <c r="AF8" s="97" t="e">
        <f t="shared" si="11"/>
        <v>#DIV/0!</v>
      </c>
      <c r="AG8" s="287"/>
      <c r="AH8" s="97" t="e">
        <f t="shared" si="12"/>
        <v>#DIV/0!</v>
      </c>
      <c r="AI8" s="290"/>
      <c r="AJ8" s="97" t="e">
        <f t="shared" si="13"/>
        <v>#DIV/0!</v>
      </c>
      <c r="AK8" s="66"/>
      <c r="AL8" s="97" t="e">
        <f t="shared" si="14"/>
        <v>#DIV/0!</v>
      </c>
      <c r="AM8" s="66"/>
      <c r="AN8" s="97" t="e">
        <f t="shared" si="15"/>
        <v>#DIV/0!</v>
      </c>
      <c r="AO8" s="66"/>
      <c r="AP8" s="97" t="e">
        <f t="shared" si="16"/>
        <v>#DIV/0!</v>
      </c>
      <c r="AQ8" s="66"/>
      <c r="AR8" s="97" t="e">
        <f t="shared" si="17"/>
        <v>#DIV/0!</v>
      </c>
      <c r="AS8" s="66"/>
      <c r="AT8" s="97" t="e">
        <f t="shared" si="18"/>
        <v>#DIV/0!</v>
      </c>
      <c r="AU8" s="66"/>
      <c r="AV8" s="97" t="e">
        <f t="shared" si="19"/>
        <v>#DIV/0!</v>
      </c>
      <c r="AW8" s="66"/>
      <c r="AX8" s="97" t="e">
        <f t="shared" si="20"/>
        <v>#DIV/0!</v>
      </c>
      <c r="AY8" s="16">
        <f t="shared" si="22"/>
        <v>18766.274108391244</v>
      </c>
      <c r="AZ8" s="15">
        <f t="shared" si="21"/>
        <v>0.21613406022631135</v>
      </c>
      <c r="BD8" s="1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row>
    <row r="9" spans="1:85" ht="15">
      <c r="A9" s="9" t="s">
        <v>0</v>
      </c>
      <c r="B9" s="12"/>
      <c r="C9" s="420">
        <v>42.388705361721698</v>
      </c>
      <c r="D9" s="5">
        <f t="shared" si="0"/>
        <v>5.9803659933584117E-3</v>
      </c>
      <c r="E9" s="422">
        <v>45.829264175743042</v>
      </c>
      <c r="F9" s="5">
        <f t="shared" si="1"/>
        <v>5.7995084347954671E-3</v>
      </c>
      <c r="G9" s="424">
        <v>39.364843753331762</v>
      </c>
      <c r="H9" s="5">
        <f t="shared" si="2"/>
        <v>5.9831560127837514E-3</v>
      </c>
      <c r="I9" s="422">
        <v>42.509364067802373</v>
      </c>
      <c r="J9" s="5">
        <f t="shared" si="3"/>
        <v>5.1630132467083987E-3</v>
      </c>
      <c r="K9" s="422">
        <v>44.111244426825486</v>
      </c>
      <c r="L9" s="5">
        <f t="shared" si="4"/>
        <v>6.752226522682675E-3</v>
      </c>
      <c r="M9" s="424">
        <v>38.392751381049891</v>
      </c>
      <c r="N9" s="5">
        <f t="shared" si="4"/>
        <v>4.9297948595097649E-3</v>
      </c>
      <c r="O9" s="422">
        <v>31.264275254368435</v>
      </c>
      <c r="P9" s="5">
        <f t="shared" si="4"/>
        <v>4.4582556313537769E-3</v>
      </c>
      <c r="Q9" s="422">
        <v>31.185294286296845</v>
      </c>
      <c r="R9" s="5">
        <f t="shared" si="4"/>
        <v>4.2942582017795735E-3</v>
      </c>
      <c r="S9" s="422">
        <v>41.85</v>
      </c>
      <c r="T9" s="5">
        <f t="shared" si="5"/>
        <v>5.7341020820887746E-3</v>
      </c>
      <c r="U9" s="422">
        <v>63.23</v>
      </c>
      <c r="V9" s="5">
        <f t="shared" si="6"/>
        <v>9.2327460958319049E-3</v>
      </c>
      <c r="W9" s="422">
        <v>76.19</v>
      </c>
      <c r="X9" s="5">
        <f t="shared" si="7"/>
        <v>1.0268526205699376E-2</v>
      </c>
      <c r="Y9" s="435">
        <v>63.36</v>
      </c>
      <c r="Z9" s="5">
        <f t="shared" si="8"/>
        <v>9.2336076503703787E-3</v>
      </c>
      <c r="AA9" s="100"/>
      <c r="AB9" s="5" t="e">
        <f t="shared" si="9"/>
        <v>#DIV/0!</v>
      </c>
      <c r="AC9" s="66"/>
      <c r="AD9" s="5" t="e">
        <f t="shared" si="10"/>
        <v>#DIV/0!</v>
      </c>
      <c r="AE9" s="100"/>
      <c r="AF9" s="97" t="e">
        <f t="shared" si="11"/>
        <v>#DIV/0!</v>
      </c>
      <c r="AG9" s="287"/>
      <c r="AH9" s="97" t="e">
        <f t="shared" si="12"/>
        <v>#DIV/0!</v>
      </c>
      <c r="AI9" s="290"/>
      <c r="AJ9" s="97" t="e">
        <f t="shared" si="13"/>
        <v>#DIV/0!</v>
      </c>
      <c r="AK9" s="100"/>
      <c r="AL9" s="97" t="e">
        <f t="shared" si="14"/>
        <v>#DIV/0!</v>
      </c>
      <c r="AM9" s="66"/>
      <c r="AN9" s="97" t="e">
        <f t="shared" si="15"/>
        <v>#DIV/0!</v>
      </c>
      <c r="AO9" s="66"/>
      <c r="AP9" s="97" t="e">
        <f t="shared" si="16"/>
        <v>#DIV/0!</v>
      </c>
      <c r="AQ9" s="66"/>
      <c r="AR9" s="97" t="e">
        <f t="shared" si="17"/>
        <v>#DIV/0!</v>
      </c>
      <c r="AS9" s="66"/>
      <c r="AT9" s="97" t="e">
        <f t="shared" si="18"/>
        <v>#DIV/0!</v>
      </c>
      <c r="AU9" s="66"/>
      <c r="AV9" s="97" t="e">
        <f t="shared" si="19"/>
        <v>#DIV/0!</v>
      </c>
      <c r="AW9" s="66"/>
      <c r="AX9" s="97" t="e">
        <f t="shared" si="20"/>
        <v>#DIV/0!</v>
      </c>
      <c r="AY9" s="16">
        <f t="shared" si="22"/>
        <v>559.67574270713942</v>
      </c>
      <c r="AZ9" s="15">
        <f t="shared" si="21"/>
        <v>6.4458714597684322E-3</v>
      </c>
      <c r="BD9" s="1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row>
    <row r="10" spans="1:85" ht="15">
      <c r="A10" s="9" t="s">
        <v>4</v>
      </c>
      <c r="B10" s="12"/>
      <c r="C10" s="420">
        <v>67.121856841863675</v>
      </c>
      <c r="D10" s="5">
        <f t="shared" si="0"/>
        <v>9.4698167033580045E-3</v>
      </c>
      <c r="E10" s="422">
        <v>69.305921261022348</v>
      </c>
      <c r="F10" s="5">
        <f t="shared" si="1"/>
        <v>8.7703846475307903E-3</v>
      </c>
      <c r="G10" s="424">
        <v>70.776220843434544</v>
      </c>
      <c r="H10" s="5">
        <f t="shared" si="2"/>
        <v>1.0757445754263024E-2</v>
      </c>
      <c r="I10" s="422">
        <v>83.248252761425888</v>
      </c>
      <c r="J10" s="5">
        <f t="shared" si="3"/>
        <v>1.0110991806111747E-2</v>
      </c>
      <c r="K10" s="422">
        <v>69.79861727754907</v>
      </c>
      <c r="L10" s="5">
        <f t="shared" si="4"/>
        <v>1.0684261597059671E-2</v>
      </c>
      <c r="M10" s="424">
        <v>51.023998617293799</v>
      </c>
      <c r="N10" s="5">
        <f t="shared" si="4"/>
        <v>6.5517014813198243E-3</v>
      </c>
      <c r="O10" s="422">
        <v>34.847546326287464</v>
      </c>
      <c r="P10" s="5">
        <f>O10/O$17</f>
        <v>4.9692266455568955E-3</v>
      </c>
      <c r="Q10" s="422">
        <v>42.251947876400038</v>
      </c>
      <c r="R10" s="5">
        <f t="shared" si="4"/>
        <v>5.8181517238117238E-3</v>
      </c>
      <c r="S10" s="422">
        <v>21.66</v>
      </c>
      <c r="T10" s="5">
        <f t="shared" si="5"/>
        <v>2.9677574933821469E-3</v>
      </c>
      <c r="U10" s="422">
        <v>52.45</v>
      </c>
      <c r="V10" s="5">
        <f t="shared" si="6"/>
        <v>7.6586672896786882E-3</v>
      </c>
      <c r="W10" s="422">
        <v>38.76</v>
      </c>
      <c r="X10" s="5">
        <f t="shared" si="7"/>
        <v>5.2238886432984357E-3</v>
      </c>
      <c r="Y10" s="435">
        <v>52.62</v>
      </c>
      <c r="Z10" s="5">
        <f t="shared" si="8"/>
        <v>7.6684412020594905E-3</v>
      </c>
      <c r="AA10" s="100"/>
      <c r="AB10" s="5" t="e">
        <f t="shared" si="9"/>
        <v>#DIV/0!</v>
      </c>
      <c r="AC10" s="66"/>
      <c r="AD10" s="5" t="e">
        <f t="shared" si="10"/>
        <v>#DIV/0!</v>
      </c>
      <c r="AE10" s="100"/>
      <c r="AF10" s="97" t="e">
        <f t="shared" si="11"/>
        <v>#DIV/0!</v>
      </c>
      <c r="AG10" s="287"/>
      <c r="AH10" s="97" t="e">
        <f t="shared" si="12"/>
        <v>#DIV/0!</v>
      </c>
      <c r="AI10" s="66"/>
      <c r="AJ10" s="97" t="e">
        <f t="shared" si="13"/>
        <v>#DIV/0!</v>
      </c>
      <c r="AK10" s="66"/>
      <c r="AL10" s="97" t="e">
        <f t="shared" si="14"/>
        <v>#DIV/0!</v>
      </c>
      <c r="AM10" s="66"/>
      <c r="AN10" s="97" t="e">
        <f t="shared" si="15"/>
        <v>#DIV/0!</v>
      </c>
      <c r="AO10" s="66"/>
      <c r="AP10" s="97" t="e">
        <f t="shared" si="16"/>
        <v>#DIV/0!</v>
      </c>
      <c r="AQ10" s="66"/>
      <c r="AR10" s="97" t="e">
        <f t="shared" si="17"/>
        <v>#DIV/0!</v>
      </c>
      <c r="AS10" s="66"/>
      <c r="AT10" s="97" t="e">
        <f t="shared" si="18"/>
        <v>#DIV/0!</v>
      </c>
      <c r="AU10" s="66"/>
      <c r="AV10" s="97" t="e">
        <f t="shared" si="19"/>
        <v>#DIV/0!</v>
      </c>
      <c r="AW10" s="66"/>
      <c r="AX10" s="97" t="e">
        <f t="shared" si="20"/>
        <v>#DIV/0!</v>
      </c>
      <c r="AY10" s="16">
        <f t="shared" si="22"/>
        <v>653.86436180527676</v>
      </c>
      <c r="AZ10" s="15">
        <f t="shared" si="21"/>
        <v>7.5306562473724473E-3</v>
      </c>
      <c r="BD10" s="1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row>
    <row r="11" spans="1:85" ht="15">
      <c r="A11" s="9" t="s">
        <v>2</v>
      </c>
      <c r="B11" s="12"/>
      <c r="C11" s="420">
        <v>1496.4790568600765</v>
      </c>
      <c r="D11" s="5">
        <f t="shared" si="0"/>
        <v>0.21112917662969571</v>
      </c>
      <c r="E11" s="422">
        <v>1774.0425019080053</v>
      </c>
      <c r="F11" s="5">
        <f t="shared" si="1"/>
        <v>0.22449791936539026</v>
      </c>
      <c r="G11" s="424">
        <v>1642.5421169243045</v>
      </c>
      <c r="H11" s="5">
        <f t="shared" si="2"/>
        <v>0.24965387401783901</v>
      </c>
      <c r="I11" s="422">
        <v>1821.7311977851969</v>
      </c>
      <c r="J11" s="5">
        <f t="shared" si="3"/>
        <v>0.2212600097029204</v>
      </c>
      <c r="K11" s="422">
        <v>1452.2486806986349</v>
      </c>
      <c r="L11" s="5">
        <f t="shared" si="4"/>
        <v>0.22229960153608702</v>
      </c>
      <c r="M11" s="424">
        <v>1654.2183584450022</v>
      </c>
      <c r="N11" s="5">
        <f t="shared" si="4"/>
        <v>0.21240877162020805</v>
      </c>
      <c r="O11" s="422">
        <v>1389.0253888490956</v>
      </c>
      <c r="P11" s="5">
        <f>O11/O$17</f>
        <v>0.19807368670938816</v>
      </c>
      <c r="Q11" s="422">
        <v>1456.1583787901322</v>
      </c>
      <c r="R11" s="5">
        <f t="shared" si="4"/>
        <v>0.20051502492818421</v>
      </c>
      <c r="S11" s="422">
        <v>1796.19</v>
      </c>
      <c r="T11" s="5">
        <f t="shared" si="5"/>
        <v>0.24610601717627326</v>
      </c>
      <c r="U11" s="422">
        <v>1415.42</v>
      </c>
      <c r="V11" s="5">
        <f t="shared" si="6"/>
        <v>0.20667742335857023</v>
      </c>
      <c r="W11" s="422">
        <v>1577.1</v>
      </c>
      <c r="X11" s="5">
        <f t="shared" si="7"/>
        <v>0.21255404487476684</v>
      </c>
      <c r="Y11" s="435">
        <v>1253.33</v>
      </c>
      <c r="Z11" s="5">
        <f t="shared" si="8"/>
        <v>0.18265084400944928</v>
      </c>
      <c r="AA11" s="100"/>
      <c r="AB11" s="5" t="e">
        <f t="shared" si="9"/>
        <v>#DIV/0!</v>
      </c>
      <c r="AC11" s="66"/>
      <c r="AD11" s="5" t="e">
        <f t="shared" si="10"/>
        <v>#DIV/0!</v>
      </c>
      <c r="AE11" s="100"/>
      <c r="AF11" s="97" t="e">
        <f t="shared" si="11"/>
        <v>#DIV/0!</v>
      </c>
      <c r="AG11" s="287"/>
      <c r="AH11" s="97" t="e">
        <f t="shared" si="12"/>
        <v>#DIV/0!</v>
      </c>
      <c r="AI11" s="290"/>
      <c r="AJ11" s="97" t="e">
        <f t="shared" si="13"/>
        <v>#DIV/0!</v>
      </c>
      <c r="AK11" s="100"/>
      <c r="AL11" s="97" t="e">
        <f t="shared" si="14"/>
        <v>#DIV/0!</v>
      </c>
      <c r="AM11" s="66"/>
      <c r="AN11" s="97" t="e">
        <f t="shared" si="15"/>
        <v>#DIV/0!</v>
      </c>
      <c r="AO11" s="66"/>
      <c r="AP11" s="97" t="e">
        <f t="shared" si="16"/>
        <v>#DIV/0!</v>
      </c>
      <c r="AQ11" s="66"/>
      <c r="AR11" s="97" t="e">
        <f t="shared" si="17"/>
        <v>#DIV/0!</v>
      </c>
      <c r="AS11" s="66"/>
      <c r="AT11" s="97" t="e">
        <f t="shared" si="18"/>
        <v>#DIV/0!</v>
      </c>
      <c r="AU11" s="66"/>
      <c r="AV11" s="97" t="e">
        <f t="shared" si="19"/>
        <v>#DIV/0!</v>
      </c>
      <c r="AW11" s="66"/>
      <c r="AX11" s="97" t="e">
        <f t="shared" si="20"/>
        <v>#DIV/0!</v>
      </c>
      <c r="AY11" s="16">
        <f t="shared" si="22"/>
        <v>18728.485680260452</v>
      </c>
      <c r="AZ11" s="15">
        <f t="shared" si="21"/>
        <v>0.21569884509760201</v>
      </c>
      <c r="BD11" s="1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row>
    <row r="12" spans="1:85" ht="15">
      <c r="A12" s="9" t="s">
        <v>8</v>
      </c>
      <c r="B12" s="12"/>
      <c r="C12" s="420">
        <v>49.398170410820661</v>
      </c>
      <c r="D12" s="5">
        <f t="shared" si="0"/>
        <v>6.9692890107884292E-3</v>
      </c>
      <c r="E12" s="422">
        <v>2.0078784286381155</v>
      </c>
      <c r="F12" s="5">
        <f t="shared" si="1"/>
        <v>2.5408891223468614E-4</v>
      </c>
      <c r="G12" s="424">
        <v>9.7109166225960184</v>
      </c>
      <c r="H12" s="5">
        <f t="shared" si="2"/>
        <v>1.4759852609654881E-3</v>
      </c>
      <c r="I12" s="422">
        <v>28.819476354591803</v>
      </c>
      <c r="J12" s="5">
        <f t="shared" si="3"/>
        <v>3.5002955571066317E-3</v>
      </c>
      <c r="K12" s="422">
        <v>40.816885962940695</v>
      </c>
      <c r="L12" s="5">
        <f t="shared" si="4"/>
        <v>6.2479502347632257E-3</v>
      </c>
      <c r="M12" s="424">
        <v>34.275000830869452</v>
      </c>
      <c r="N12" s="5">
        <f t="shared" si="4"/>
        <v>4.4010579296255821E-3</v>
      </c>
      <c r="O12" s="422">
        <v>52.447549320773334</v>
      </c>
      <c r="P12" s="5">
        <f t="shared" si="4"/>
        <v>7.4789701730690614E-3</v>
      </c>
      <c r="Q12" s="422">
        <v>48.480324229346692</v>
      </c>
      <c r="R12" s="5">
        <f t="shared" si="4"/>
        <v>6.6758077713021504E-3</v>
      </c>
      <c r="S12" s="422">
        <v>17.18</v>
      </c>
      <c r="T12" s="5">
        <f t="shared" si="5"/>
        <v>2.3539276886567536E-3</v>
      </c>
      <c r="U12" s="422">
        <v>88.82</v>
      </c>
      <c r="V12" s="5">
        <f t="shared" si="6"/>
        <v>1.296935802991918E-2</v>
      </c>
      <c r="W12" s="422">
        <v>77.94</v>
      </c>
      <c r="X12" s="5">
        <f t="shared" si="7"/>
        <v>1.0504382891090817E-2</v>
      </c>
      <c r="Y12" s="435">
        <v>85.25</v>
      </c>
      <c r="Z12" s="5">
        <f t="shared" si="8"/>
        <v>1.2423690849022645E-2</v>
      </c>
      <c r="AA12" s="100"/>
      <c r="AB12" s="5" t="e">
        <f t="shared" si="9"/>
        <v>#DIV/0!</v>
      </c>
      <c r="AC12" s="66"/>
      <c r="AD12" s="5" t="e">
        <f t="shared" si="10"/>
        <v>#DIV/0!</v>
      </c>
      <c r="AE12" s="100"/>
      <c r="AF12" s="97" t="e">
        <f t="shared" si="11"/>
        <v>#DIV/0!</v>
      </c>
      <c r="AG12" s="287"/>
      <c r="AH12" s="97" t="e">
        <f t="shared" si="12"/>
        <v>#DIV/0!</v>
      </c>
      <c r="AI12" s="290"/>
      <c r="AJ12" s="97" t="e">
        <f t="shared" si="13"/>
        <v>#DIV/0!</v>
      </c>
      <c r="AK12" s="100"/>
      <c r="AL12" s="97" t="e">
        <f t="shared" si="14"/>
        <v>#DIV/0!</v>
      </c>
      <c r="AM12" s="66"/>
      <c r="AN12" s="97" t="e">
        <f t="shared" si="15"/>
        <v>#DIV/0!</v>
      </c>
      <c r="AO12" s="66"/>
      <c r="AP12" s="97" t="e">
        <f t="shared" si="16"/>
        <v>#DIV/0!</v>
      </c>
      <c r="AQ12" s="66"/>
      <c r="AR12" s="97" t="e">
        <f t="shared" si="17"/>
        <v>#DIV/0!</v>
      </c>
      <c r="AS12" s="66"/>
      <c r="AT12" s="97" t="e">
        <f t="shared" si="18"/>
        <v>#DIV/0!</v>
      </c>
      <c r="AU12" s="66"/>
      <c r="AV12" s="97" t="e">
        <f t="shared" si="19"/>
        <v>#DIV/0!</v>
      </c>
      <c r="AW12" s="66"/>
      <c r="AX12" s="97" t="e">
        <f t="shared" si="20"/>
        <v>#DIV/0!</v>
      </c>
      <c r="AY12" s="16">
        <f t="shared" si="22"/>
        <v>535.14620216057676</v>
      </c>
      <c r="AZ12" s="15">
        <f t="shared" si="21"/>
        <v>6.1633609750982813E-3</v>
      </c>
      <c r="BD12" s="1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row>
    <row r="13" spans="1:85" ht="15">
      <c r="A13" s="9" t="s">
        <v>10</v>
      </c>
      <c r="B13" s="12"/>
      <c r="C13" s="420">
        <v>70.993089200718714</v>
      </c>
      <c r="D13" s="5">
        <f t="shared" si="0"/>
        <v>1.0015985456419092E-2</v>
      </c>
      <c r="E13" s="422">
        <v>115.38091248660281</v>
      </c>
      <c r="F13" s="5">
        <f t="shared" si="1"/>
        <v>1.4600988848837468E-2</v>
      </c>
      <c r="G13" s="424">
        <v>80.967487706026887</v>
      </c>
      <c r="H13" s="5">
        <f t="shared" si="2"/>
        <v>1.2306440588051543E-2</v>
      </c>
      <c r="I13" s="422">
        <v>101.4446953158902</v>
      </c>
      <c r="J13" s="5">
        <f t="shared" si="3"/>
        <v>1.2321057188454798E-2</v>
      </c>
      <c r="K13" s="422">
        <v>70.956771336641935</v>
      </c>
      <c r="L13" s="5">
        <f t="shared" si="4"/>
        <v>1.0861543345892035E-2</v>
      </c>
      <c r="M13" s="424">
        <v>124.20372914985565</v>
      </c>
      <c r="N13" s="5">
        <f t="shared" si="4"/>
        <v>1.5948294494911436E-2</v>
      </c>
      <c r="O13" s="422">
        <v>76.735394886936035</v>
      </c>
      <c r="P13" s="5">
        <f t="shared" si="4"/>
        <v>1.0942393629644023E-2</v>
      </c>
      <c r="Q13" s="422">
        <v>86.612681283310707</v>
      </c>
      <c r="R13" s="5">
        <f t="shared" si="4"/>
        <v>1.1926686134958502E-2</v>
      </c>
      <c r="S13" s="422">
        <v>123.05</v>
      </c>
      <c r="T13" s="5">
        <f t="shared" si="5"/>
        <v>1.6859767292736527E-2</v>
      </c>
      <c r="U13" s="422">
        <v>83.29</v>
      </c>
      <c r="V13" s="5">
        <f t="shared" si="6"/>
        <v>1.2161876044944479E-2</v>
      </c>
      <c r="W13" s="422">
        <v>96.34</v>
      </c>
      <c r="X13" s="5">
        <f t="shared" si="7"/>
        <v>1.298424746892083E-2</v>
      </c>
      <c r="Y13" s="435">
        <v>53.25</v>
      </c>
      <c r="Z13" s="5">
        <f t="shared" si="8"/>
        <v>7.7602526417648778E-3</v>
      </c>
      <c r="AA13" s="100"/>
      <c r="AB13" s="5" t="e">
        <f t="shared" si="9"/>
        <v>#DIV/0!</v>
      </c>
      <c r="AC13" s="66"/>
      <c r="AD13" s="5" t="e">
        <f t="shared" si="10"/>
        <v>#DIV/0!</v>
      </c>
      <c r="AE13" s="100"/>
      <c r="AF13" s="97" t="e">
        <f t="shared" si="11"/>
        <v>#DIV/0!</v>
      </c>
      <c r="AG13" s="287"/>
      <c r="AH13" s="97" t="e">
        <f t="shared" si="12"/>
        <v>#DIV/0!</v>
      </c>
      <c r="AI13" s="290"/>
      <c r="AJ13" s="97" t="e">
        <f t="shared" si="13"/>
        <v>#DIV/0!</v>
      </c>
      <c r="AK13" s="100"/>
      <c r="AL13" s="97" t="e">
        <f t="shared" si="14"/>
        <v>#DIV/0!</v>
      </c>
      <c r="AM13" s="66"/>
      <c r="AN13" s="97" t="e">
        <f t="shared" si="15"/>
        <v>#DIV/0!</v>
      </c>
      <c r="AO13" s="66"/>
      <c r="AP13" s="97" t="e">
        <f t="shared" si="16"/>
        <v>#DIV/0!</v>
      </c>
      <c r="AQ13" s="66"/>
      <c r="AR13" s="97" t="e">
        <f t="shared" si="17"/>
        <v>#DIV/0!</v>
      </c>
      <c r="AS13" s="66"/>
      <c r="AT13" s="97" t="e">
        <f t="shared" si="18"/>
        <v>#DIV/0!</v>
      </c>
      <c r="AU13" s="66"/>
      <c r="AV13" s="97" t="e">
        <f t="shared" si="19"/>
        <v>#DIV/0!</v>
      </c>
      <c r="AW13" s="66"/>
      <c r="AX13" s="97" t="e">
        <f t="shared" si="20"/>
        <v>#DIV/0!</v>
      </c>
      <c r="AY13" s="16">
        <f t="shared" si="22"/>
        <v>1083.2247613659829</v>
      </c>
      <c r="AZ13" s="15">
        <f t="shared" si="21"/>
        <v>1.2475665891878918E-2</v>
      </c>
      <c r="BD13" s="1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row>
    <row r="14" spans="1:85" ht="15">
      <c r="A14" s="9" t="s">
        <v>11</v>
      </c>
      <c r="B14" s="12"/>
      <c r="C14" s="420">
        <v>9.8486220812804497</v>
      </c>
      <c r="D14" s="5">
        <f t="shared" si="0"/>
        <v>1.3894825065715588E-3</v>
      </c>
      <c r="E14" s="422">
        <v>4.0867833734679886</v>
      </c>
      <c r="F14" s="5">
        <f t="shared" si="1"/>
        <v>5.1716594346182731E-4</v>
      </c>
      <c r="G14" s="424">
        <v>2.1529855542787666</v>
      </c>
      <c r="H14" s="5">
        <f t="shared" si="2"/>
        <v>3.272373833169167E-4</v>
      </c>
      <c r="I14" s="422">
        <v>3.4986083371305559</v>
      </c>
      <c r="J14" s="5">
        <f t="shared" si="3"/>
        <v>4.2492663877160023E-4</v>
      </c>
      <c r="K14" s="422">
        <v>3.8705205111302634</v>
      </c>
      <c r="L14" s="5">
        <f t="shared" si="4"/>
        <v>5.9247095817473118E-4</v>
      </c>
      <c r="M14" s="424">
        <v>21.982663480365154</v>
      </c>
      <c r="N14" s="5">
        <f t="shared" si="4"/>
        <v>2.8226687988120343E-3</v>
      </c>
      <c r="O14" s="422">
        <v>8.046260948264818</v>
      </c>
      <c r="P14" s="5">
        <f t="shared" si="4"/>
        <v>1.1473890852125642E-3</v>
      </c>
      <c r="Q14" s="422">
        <v>12.155390321530708</v>
      </c>
      <c r="R14" s="5">
        <f t="shared" si="4"/>
        <v>1.6738140773935818E-3</v>
      </c>
      <c r="S14" s="422">
        <v>0.72</v>
      </c>
      <c r="T14" s="5">
        <f t="shared" si="5"/>
        <v>9.8651218616581057E-5</v>
      </c>
      <c r="U14" s="422">
        <v>8.16</v>
      </c>
      <c r="V14" s="5">
        <f t="shared" si="6"/>
        <v>1.1915104877746061E-3</v>
      </c>
      <c r="W14" s="422">
        <v>3.07</v>
      </c>
      <c r="X14" s="5">
        <f t="shared" si="7"/>
        <v>4.1376001380098547E-4</v>
      </c>
      <c r="Y14" s="435">
        <v>17.12</v>
      </c>
      <c r="Z14" s="5">
        <f t="shared" si="8"/>
        <v>2.4949394408829055E-3</v>
      </c>
      <c r="AA14" s="100"/>
      <c r="AB14" s="5" t="e">
        <f t="shared" si="9"/>
        <v>#DIV/0!</v>
      </c>
      <c r="AC14" s="66"/>
      <c r="AD14" s="5" t="e">
        <f t="shared" si="10"/>
        <v>#DIV/0!</v>
      </c>
      <c r="AE14" s="100"/>
      <c r="AF14" s="97" t="e">
        <f t="shared" si="11"/>
        <v>#DIV/0!</v>
      </c>
      <c r="AG14" s="287"/>
      <c r="AH14" s="97" t="e">
        <f t="shared" si="12"/>
        <v>#DIV/0!</v>
      </c>
      <c r="AI14" s="290"/>
      <c r="AJ14" s="97" t="e">
        <f t="shared" si="13"/>
        <v>#DIV/0!</v>
      </c>
      <c r="AK14" s="100"/>
      <c r="AL14" s="97" t="e">
        <f t="shared" si="14"/>
        <v>#DIV/0!</v>
      </c>
      <c r="AM14" s="66"/>
      <c r="AN14" s="97" t="e">
        <f t="shared" si="15"/>
        <v>#DIV/0!</v>
      </c>
      <c r="AO14" s="66"/>
      <c r="AP14" s="97" t="e">
        <f t="shared" si="16"/>
        <v>#DIV/0!</v>
      </c>
      <c r="AQ14" s="66"/>
      <c r="AR14" s="97" t="e">
        <f t="shared" si="17"/>
        <v>#DIV/0!</v>
      </c>
      <c r="AS14" s="66"/>
      <c r="AT14" s="97" t="e">
        <f t="shared" si="18"/>
        <v>#DIV/0!</v>
      </c>
      <c r="AU14" s="66"/>
      <c r="AV14" s="97" t="e">
        <f t="shared" si="19"/>
        <v>#DIV/0!</v>
      </c>
      <c r="AW14" s="66"/>
      <c r="AX14" s="97" t="e">
        <f t="shared" si="20"/>
        <v>#DIV/0!</v>
      </c>
      <c r="AY14" s="16">
        <f t="shared" si="22"/>
        <v>94.711834607448736</v>
      </c>
      <c r="AZ14" s="15">
        <f t="shared" si="21"/>
        <v>1.0908107409577645E-3</v>
      </c>
      <c r="BD14" s="1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row>
    <row r="15" spans="1:85" ht="15">
      <c r="A15" s="9" t="s">
        <v>9</v>
      </c>
      <c r="B15" s="12"/>
      <c r="C15" s="420">
        <v>15.102389886681834</v>
      </c>
      <c r="D15" s="5">
        <f t="shared" si="0"/>
        <v>2.1307048216271259E-3</v>
      </c>
      <c r="E15" s="422">
        <v>33.069660909669551</v>
      </c>
      <c r="F15" s="5">
        <f t="shared" si="1"/>
        <v>4.1848321335904359E-3</v>
      </c>
      <c r="G15" s="424">
        <v>26.965297240965292</v>
      </c>
      <c r="H15" s="5">
        <f t="shared" si="2"/>
        <v>4.0985195148939791E-3</v>
      </c>
      <c r="I15" s="422">
        <v>28.795586538879906</v>
      </c>
      <c r="J15" s="5">
        <f t="shared" si="3"/>
        <v>3.4973939979399218E-3</v>
      </c>
      <c r="K15" s="422">
        <v>67.564521734611745</v>
      </c>
      <c r="L15" s="5">
        <f t="shared" si="4"/>
        <v>1.0342282598841821E-2</v>
      </c>
      <c r="M15" s="424">
        <v>39.860024580514796</v>
      </c>
      <c r="N15" s="5">
        <f t="shared" si="4"/>
        <v>5.118199066450474E-3</v>
      </c>
      <c r="O15" s="422">
        <v>17.907188444213151</v>
      </c>
      <c r="P15" s="5">
        <f t="shared" si="4"/>
        <v>2.5535478776841807E-3</v>
      </c>
      <c r="Q15" s="422">
        <v>5.6255605519903868</v>
      </c>
      <c r="R15" s="5">
        <f t="shared" si="4"/>
        <v>7.7464747705162612E-4</v>
      </c>
      <c r="S15" s="422">
        <v>33.85</v>
      </c>
      <c r="T15" s="5">
        <f t="shared" si="5"/>
        <v>4.6379774307934293E-3</v>
      </c>
      <c r="U15" s="422">
        <v>15.75</v>
      </c>
      <c r="V15" s="5">
        <f t="shared" si="6"/>
        <v>2.2997904635355449E-3</v>
      </c>
      <c r="W15" s="422">
        <v>0.79</v>
      </c>
      <c r="X15" s="5">
        <f t="shared" si="7"/>
        <v>1.0647244654813634E-4</v>
      </c>
      <c r="Y15" s="435">
        <v>14.27</v>
      </c>
      <c r="Z15" s="5">
        <f t="shared" si="8"/>
        <v>2.0796019755490104E-3</v>
      </c>
      <c r="AA15" s="100"/>
      <c r="AB15" s="5" t="e">
        <f t="shared" si="9"/>
        <v>#DIV/0!</v>
      </c>
      <c r="AC15" s="66"/>
      <c r="AD15" s="5" t="e">
        <f t="shared" si="10"/>
        <v>#DIV/0!</v>
      </c>
      <c r="AE15" s="100"/>
      <c r="AF15" s="97" t="e">
        <f t="shared" si="11"/>
        <v>#DIV/0!</v>
      </c>
      <c r="AG15" s="287"/>
      <c r="AH15" s="97" t="e">
        <f t="shared" si="12"/>
        <v>#DIV/0!</v>
      </c>
      <c r="AI15" s="290"/>
      <c r="AJ15" s="97" t="e">
        <f t="shared" si="13"/>
        <v>#DIV/0!</v>
      </c>
      <c r="AK15" s="100"/>
      <c r="AL15" s="97" t="e">
        <f t="shared" si="14"/>
        <v>#DIV/0!</v>
      </c>
      <c r="AM15" s="66"/>
      <c r="AN15" s="97" t="e">
        <f t="shared" si="15"/>
        <v>#DIV/0!</v>
      </c>
      <c r="AO15" s="66"/>
      <c r="AP15" s="97" t="e">
        <f t="shared" si="16"/>
        <v>#DIV/0!</v>
      </c>
      <c r="AQ15" s="66"/>
      <c r="AR15" s="97" t="e">
        <f t="shared" si="17"/>
        <v>#DIV/0!</v>
      </c>
      <c r="AS15" s="66"/>
      <c r="AT15" s="97" t="e">
        <f t="shared" si="18"/>
        <v>#DIV/0!</v>
      </c>
      <c r="AU15" s="66"/>
      <c r="AV15" s="97" t="e">
        <f t="shared" si="19"/>
        <v>#DIV/0!</v>
      </c>
      <c r="AW15" s="66"/>
      <c r="AX15" s="97" t="e">
        <f t="shared" si="20"/>
        <v>#DIV/0!</v>
      </c>
      <c r="AY15" s="16">
        <f t="shared" si="22"/>
        <v>299.55022988752671</v>
      </c>
      <c r="AZ15" s="15">
        <f t="shared" si="21"/>
        <v>3.4499659896988612E-3</v>
      </c>
      <c r="BD15" s="1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row>
    <row r="16" spans="1:85" ht="16.5">
      <c r="A16" s="9" t="s">
        <v>5</v>
      </c>
      <c r="B16" s="12"/>
      <c r="C16" s="421">
        <v>1543.62738812204</v>
      </c>
      <c r="D16" s="72">
        <f t="shared" si="0"/>
        <v>0.21778104944620466</v>
      </c>
      <c r="E16" s="423">
        <v>1378.5181264214518</v>
      </c>
      <c r="F16" s="72">
        <f t="shared" si="1"/>
        <v>0.17444590580904812</v>
      </c>
      <c r="G16" s="425">
        <v>962.92920770627359</v>
      </c>
      <c r="H16" s="72">
        <f t="shared" si="2"/>
        <v>0.14635789525991083</v>
      </c>
      <c r="I16" s="423">
        <v>1299.3863025418061</v>
      </c>
      <c r="J16" s="72">
        <f t="shared" si="3"/>
        <v>0.1578181381851384</v>
      </c>
      <c r="K16" s="423">
        <v>864.53579492114955</v>
      </c>
      <c r="L16" s="72">
        <f t="shared" si="4"/>
        <v>0.13233681343900461</v>
      </c>
      <c r="M16" s="425">
        <v>1225.3405142546917</v>
      </c>
      <c r="N16" s="75">
        <f t="shared" si="4"/>
        <v>0.15733900674030415</v>
      </c>
      <c r="O16" s="423">
        <v>995.56790103583694</v>
      </c>
      <c r="P16" s="72">
        <f t="shared" si="4"/>
        <v>0.14196702674461983</v>
      </c>
      <c r="Q16" s="423">
        <v>873.34401277691222</v>
      </c>
      <c r="R16" s="72">
        <f t="shared" si="4"/>
        <v>0.12026067977464271</v>
      </c>
      <c r="S16" s="423">
        <f>0.34+732.54</f>
        <v>732.88</v>
      </c>
      <c r="T16" s="75">
        <f t="shared" si="5"/>
        <v>0.10041597930516656</v>
      </c>
      <c r="U16" s="423">
        <f>0.25+668.04</f>
        <v>668.29</v>
      </c>
      <c r="V16" s="75">
        <f t="shared" si="6"/>
        <v>9.7582664690550422E-2</v>
      </c>
      <c r="W16" s="423">
        <f>0.26+906.11</f>
        <v>906.37</v>
      </c>
      <c r="X16" s="5">
        <f t="shared" si="7"/>
        <v>0.12215624225042321</v>
      </c>
      <c r="Y16" s="436">
        <f>0.21+1021.68</f>
        <v>1021.89</v>
      </c>
      <c r="Z16" s="5">
        <f t="shared" si="8"/>
        <v>0.14892252717545748</v>
      </c>
      <c r="AA16" s="284"/>
      <c r="AB16" s="5" t="e">
        <f t="shared" si="9"/>
        <v>#DIV/0!</v>
      </c>
      <c r="AC16" s="73"/>
      <c r="AD16" s="5" t="e">
        <f t="shared" si="10"/>
        <v>#DIV/0!</v>
      </c>
      <c r="AE16" s="284"/>
      <c r="AF16" s="97" t="e">
        <f t="shared" si="11"/>
        <v>#DIV/0!</v>
      </c>
      <c r="AG16" s="288"/>
      <c r="AH16" s="97" t="e">
        <f t="shared" si="12"/>
        <v>#DIV/0!</v>
      </c>
      <c r="AI16" s="73"/>
      <c r="AJ16" s="97" t="e">
        <f t="shared" si="13"/>
        <v>#DIV/0!</v>
      </c>
      <c r="AK16" s="73"/>
      <c r="AL16" s="97" t="e">
        <f t="shared" si="14"/>
        <v>#DIV/0!</v>
      </c>
      <c r="AM16" s="73"/>
      <c r="AN16" s="97" t="e">
        <f t="shared" si="15"/>
        <v>#DIV/0!</v>
      </c>
      <c r="AO16" s="73"/>
      <c r="AP16" s="97" t="e">
        <f t="shared" si="16"/>
        <v>#DIV/0!</v>
      </c>
      <c r="AQ16" s="73"/>
      <c r="AR16" s="97" t="e">
        <f t="shared" si="17"/>
        <v>#DIV/0!</v>
      </c>
      <c r="AS16" s="73"/>
      <c r="AT16" s="75" t="e">
        <f t="shared" si="18"/>
        <v>#DIV/0!</v>
      </c>
      <c r="AU16" s="73"/>
      <c r="AV16" s="75" t="e">
        <f t="shared" si="19"/>
        <v>#DIV/0!</v>
      </c>
      <c r="AW16" s="73"/>
      <c r="AX16" s="75" t="e">
        <f t="shared" si="20"/>
        <v>#DIV/0!</v>
      </c>
      <c r="AY16" s="17">
        <f t="shared" si="22"/>
        <v>12472.679247780161</v>
      </c>
      <c r="AZ16" s="98">
        <f t="shared" si="21"/>
        <v>0.14364976191612702</v>
      </c>
      <c r="BD16" s="1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row>
    <row r="17" spans="1:59" s="1" customFormat="1" ht="15">
      <c r="A17" s="18"/>
      <c r="B17" s="269"/>
      <c r="C17" s="46">
        <f t="shared" ref="C17:AZ17" si="23">SUM(C6:C16)</f>
        <v>7087.9784629899132</v>
      </c>
      <c r="D17" s="45">
        <f t="shared" si="23"/>
        <v>1</v>
      </c>
      <c r="E17" s="46">
        <f t="shared" si="23"/>
        <v>7902.2670095244575</v>
      </c>
      <c r="F17" s="45">
        <f t="shared" si="23"/>
        <v>1</v>
      </c>
      <c r="G17" s="46">
        <f t="shared" si="23"/>
        <v>6579.277503248104</v>
      </c>
      <c r="H17" s="20">
        <f t="shared" si="23"/>
        <v>1</v>
      </c>
      <c r="I17" s="46">
        <f t="shared" si="23"/>
        <v>8233.4408293264751</v>
      </c>
      <c r="J17" s="20">
        <f t="shared" si="23"/>
        <v>0.99999999999999978</v>
      </c>
      <c r="K17" s="46">
        <f t="shared" si="23"/>
        <v>6532.844281607423</v>
      </c>
      <c r="L17" s="20">
        <f t="shared" si="23"/>
        <v>1.0000000000000002</v>
      </c>
      <c r="M17" s="46">
        <f t="shared" si="23"/>
        <v>7787.9004046159835</v>
      </c>
      <c r="N17" s="45">
        <f t="shared" si="23"/>
        <v>1</v>
      </c>
      <c r="O17" s="46">
        <f t="shared" si="23"/>
        <v>7012.6699407936021</v>
      </c>
      <c r="P17" s="45">
        <f t="shared" si="23"/>
        <v>0.99999999999999989</v>
      </c>
      <c r="Q17" s="46">
        <f t="shared" si="23"/>
        <v>7262.0911042036132</v>
      </c>
      <c r="R17" s="45">
        <f t="shared" si="23"/>
        <v>1</v>
      </c>
      <c r="S17" s="46">
        <f t="shared" si="23"/>
        <v>7298.4400000000014</v>
      </c>
      <c r="T17" s="45">
        <f t="shared" si="23"/>
        <v>0.99999999999999989</v>
      </c>
      <c r="U17" s="46">
        <f t="shared" si="23"/>
        <v>6848.4499999999989</v>
      </c>
      <c r="V17" s="45">
        <f t="shared" si="23"/>
        <v>1.0000000000000002</v>
      </c>
      <c r="W17" s="46">
        <f t="shared" si="23"/>
        <v>7419.7599999999993</v>
      </c>
      <c r="X17" s="45">
        <f t="shared" si="23"/>
        <v>1</v>
      </c>
      <c r="Y17" s="46">
        <f t="shared" si="23"/>
        <v>6861.89</v>
      </c>
      <c r="Z17" s="45">
        <f t="shared" si="23"/>
        <v>0.99999999999999989</v>
      </c>
      <c r="AA17" s="46">
        <f t="shared" ref="AA17:AF17" si="24">SUM(AA6:AA16)</f>
        <v>0</v>
      </c>
      <c r="AB17" s="45" t="e">
        <f t="shared" si="24"/>
        <v>#DIV/0!</v>
      </c>
      <c r="AC17" s="46">
        <f t="shared" si="24"/>
        <v>0</v>
      </c>
      <c r="AD17" s="45" t="e">
        <f t="shared" si="24"/>
        <v>#DIV/0!</v>
      </c>
      <c r="AE17" s="46">
        <f t="shared" si="24"/>
        <v>0</v>
      </c>
      <c r="AF17" s="45" t="e">
        <f t="shared" si="24"/>
        <v>#DIV/0!</v>
      </c>
      <c r="AG17" s="46">
        <f t="shared" ref="AG17:AN17" si="25">SUM(AG6:AG16)</f>
        <v>0</v>
      </c>
      <c r="AH17" s="45" t="e">
        <f t="shared" si="25"/>
        <v>#DIV/0!</v>
      </c>
      <c r="AI17" s="46">
        <f t="shared" si="25"/>
        <v>0</v>
      </c>
      <c r="AJ17" s="45" t="e">
        <f t="shared" si="25"/>
        <v>#DIV/0!</v>
      </c>
      <c r="AK17" s="46">
        <f t="shared" si="25"/>
        <v>0</v>
      </c>
      <c r="AL17" s="45" t="e">
        <f t="shared" si="25"/>
        <v>#DIV/0!</v>
      </c>
      <c r="AM17" s="46">
        <f t="shared" si="25"/>
        <v>0</v>
      </c>
      <c r="AN17" s="45" t="e">
        <f t="shared" si="25"/>
        <v>#DIV/0!</v>
      </c>
      <c r="AO17" s="46">
        <f t="shared" ref="AO17:AT17" si="26">SUM(AO6:AO16)</f>
        <v>0</v>
      </c>
      <c r="AP17" s="45" t="e">
        <f t="shared" si="26"/>
        <v>#DIV/0!</v>
      </c>
      <c r="AQ17" s="46">
        <f t="shared" si="26"/>
        <v>0</v>
      </c>
      <c r="AR17" s="45" t="e">
        <f t="shared" si="26"/>
        <v>#DIV/0!</v>
      </c>
      <c r="AS17" s="46">
        <f t="shared" si="26"/>
        <v>0</v>
      </c>
      <c r="AT17" s="45" t="e">
        <f t="shared" si="26"/>
        <v>#DIV/0!</v>
      </c>
      <c r="AU17" s="46">
        <f>SUM(AU6:AU16)</f>
        <v>0</v>
      </c>
      <c r="AV17" s="45" t="e">
        <f>SUM(AV6:AV16)</f>
        <v>#DIV/0!</v>
      </c>
      <c r="AW17" s="46">
        <f>SUM(AW6:AW16)</f>
        <v>0</v>
      </c>
      <c r="AX17" s="45" t="e">
        <f>SUM(AX6:AX16)</f>
        <v>#DIV/0!</v>
      </c>
      <c r="AY17" s="19">
        <f t="shared" si="23"/>
        <v>86827.009536309575</v>
      </c>
      <c r="AZ17" s="20">
        <f t="shared" si="23"/>
        <v>0.99999999999999989</v>
      </c>
      <c r="BD17" s="13"/>
      <c r="BE17"/>
      <c r="BF17"/>
      <c r="BG17"/>
    </row>
    <row r="18" spans="1:59" ht="15">
      <c r="C18" s="47"/>
      <c r="E18" s="47"/>
      <c r="G18" s="47"/>
      <c r="I18" s="47"/>
      <c r="K18" s="47"/>
      <c r="M18" s="47"/>
      <c r="O18" s="47"/>
      <c r="Q18" s="47"/>
      <c r="S18" s="47"/>
      <c r="U18" s="47"/>
      <c r="Y18" s="47"/>
      <c r="BD18" s="13"/>
    </row>
    <row r="19" spans="1:59" ht="15">
      <c r="C19" s="47"/>
      <c r="D19" s="47"/>
      <c r="E19" s="47"/>
      <c r="F19" s="47"/>
      <c r="G19" s="47"/>
      <c r="H19" s="47"/>
      <c r="I19" s="47"/>
      <c r="J19" s="47"/>
      <c r="K19" s="47"/>
      <c r="L19" s="47"/>
      <c r="M19" s="47"/>
      <c r="N19" s="47"/>
      <c r="O19" s="47"/>
      <c r="P19" s="47"/>
      <c r="Q19" s="66"/>
      <c r="Y19" s="47"/>
      <c r="BD19" s="13"/>
    </row>
    <row r="20" spans="1:59">
      <c r="A20" s="9"/>
      <c r="C20" s="183"/>
      <c r="D20" s="418"/>
    </row>
    <row r="21" spans="1:59">
      <c r="A21" s="9"/>
      <c r="C21" s="183"/>
      <c r="D21" s="418"/>
    </row>
    <row r="22" spans="1:59">
      <c r="A22" s="9"/>
      <c r="C22" s="183"/>
      <c r="D22" s="418"/>
    </row>
    <row r="23" spans="1:59">
      <c r="A23" s="9"/>
      <c r="C23" s="183"/>
      <c r="D23" s="418"/>
    </row>
    <row r="24" spans="1:59">
      <c r="A24" s="9"/>
      <c r="C24" s="183"/>
      <c r="D24" s="418"/>
    </row>
    <row r="25" spans="1:59">
      <c r="A25" s="9"/>
      <c r="C25" s="183"/>
      <c r="D25" s="418"/>
    </row>
    <row r="26" spans="1:59">
      <c r="A26" s="9"/>
      <c r="C26" s="183"/>
      <c r="D26" s="418"/>
    </row>
    <row r="27" spans="1:59">
      <c r="A27" s="9"/>
      <c r="C27" s="183"/>
      <c r="D27" s="418"/>
    </row>
    <row r="28" spans="1:59">
      <c r="A28" s="9"/>
      <c r="C28" s="183"/>
      <c r="D28" s="418"/>
    </row>
    <row r="29" spans="1:59" ht="15">
      <c r="A29" s="9"/>
      <c r="C29" s="74"/>
      <c r="D29" s="376"/>
    </row>
    <row r="30" spans="1:59">
      <c r="C30" s="183"/>
      <c r="D30" s="418"/>
    </row>
  </sheetData>
  <phoneticPr fontId="0" type="noConversion"/>
  <pageMargins left="0.75" right="0.75" top="1" bottom="1" header="0.5" footer="0.5"/>
  <pageSetup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M39"/>
  <sheetViews>
    <sheetView workbookViewId="0">
      <selection activeCell="D44" sqref="D44"/>
    </sheetView>
  </sheetViews>
  <sheetFormatPr defaultRowHeight="12.75"/>
  <cols>
    <col min="1" max="1" width="72.5703125" bestFit="1" customWidth="1"/>
    <col min="3" max="3" width="11.28515625" bestFit="1" customWidth="1"/>
    <col min="4" max="4" width="12.85546875" bestFit="1" customWidth="1"/>
    <col min="5" max="5" width="3.85546875" customWidth="1"/>
  </cols>
  <sheetData>
    <row r="1" spans="1:5" ht="23.25">
      <c r="A1" s="21" t="s">
        <v>30</v>
      </c>
      <c r="B1" s="21"/>
      <c r="C1" s="12"/>
      <c r="D1" s="12"/>
    </row>
    <row r="2" spans="1:5" ht="15.75">
      <c r="A2" s="23" t="s">
        <v>247</v>
      </c>
      <c r="B2" s="23"/>
      <c r="C2" s="24"/>
      <c r="D2" s="103"/>
    </row>
    <row r="3" spans="1:5" ht="15">
      <c r="A3" s="26"/>
      <c r="B3" s="26"/>
      <c r="C3" s="24"/>
      <c r="D3" s="106" t="s">
        <v>31</v>
      </c>
      <c r="E3" s="105"/>
    </row>
    <row r="4" spans="1:5" ht="15">
      <c r="A4" s="26"/>
      <c r="B4" s="26"/>
      <c r="C4" s="24"/>
      <c r="D4" s="106" t="s">
        <v>15</v>
      </c>
      <c r="E4" s="105"/>
    </row>
    <row r="5" spans="1:5" ht="17.25">
      <c r="A5" s="12"/>
      <c r="B5" s="12"/>
      <c r="C5" s="24"/>
      <c r="D5" s="107" t="s">
        <v>102</v>
      </c>
      <c r="E5" s="105"/>
    </row>
    <row r="6" spans="1:5" ht="15">
      <c r="A6" s="27" t="s">
        <v>18</v>
      </c>
      <c r="B6" s="27"/>
      <c r="C6" s="24"/>
      <c r="D6" s="108"/>
      <c r="E6" s="105"/>
    </row>
    <row r="7" spans="1:5" ht="17.25">
      <c r="A7" s="12" t="s">
        <v>19</v>
      </c>
      <c r="B7" s="12"/>
      <c r="C7" s="24"/>
      <c r="D7" s="109">
        <v>102549</v>
      </c>
      <c r="E7" s="105"/>
    </row>
    <row r="8" spans="1:5" ht="15">
      <c r="A8" s="12"/>
      <c r="B8" s="12"/>
      <c r="C8" s="24"/>
      <c r="D8" s="110"/>
      <c r="E8" s="105"/>
    </row>
    <row r="9" spans="1:5" ht="15">
      <c r="A9" s="12"/>
      <c r="B9" s="12"/>
      <c r="C9" s="24"/>
      <c r="D9" s="110"/>
      <c r="E9" s="105"/>
    </row>
    <row r="10" spans="1:5" ht="15">
      <c r="A10" s="27" t="s">
        <v>20</v>
      </c>
      <c r="B10" s="27"/>
      <c r="C10" s="24"/>
      <c r="D10" s="110"/>
      <c r="E10" s="105"/>
    </row>
    <row r="11" spans="1:5" ht="17.25">
      <c r="A11" s="194" t="s">
        <v>131</v>
      </c>
      <c r="B11" s="28"/>
      <c r="C11" s="24"/>
      <c r="D11" s="111">
        <v>59436</v>
      </c>
      <c r="E11" s="105"/>
    </row>
    <row r="12" spans="1:5" ht="15">
      <c r="A12" s="29"/>
      <c r="B12" s="29"/>
      <c r="C12" s="24"/>
      <c r="D12" s="110"/>
      <c r="E12" s="105"/>
    </row>
    <row r="13" spans="1:5" ht="15">
      <c r="A13" s="29"/>
      <c r="B13" s="29"/>
      <c r="C13" s="24"/>
      <c r="D13" s="110"/>
      <c r="E13" s="105"/>
    </row>
    <row r="14" spans="1:5" ht="21">
      <c r="A14" s="30" t="s">
        <v>21</v>
      </c>
      <c r="B14" s="30"/>
      <c r="C14" s="24"/>
      <c r="D14" s="108"/>
      <c r="E14" s="105"/>
    </row>
    <row r="15" spans="1:5" ht="32.25">
      <c r="A15" s="31" t="s">
        <v>22</v>
      </c>
      <c r="B15" s="31"/>
      <c r="C15" s="32"/>
      <c r="D15" s="112">
        <v>4004000</v>
      </c>
      <c r="E15" s="105"/>
    </row>
    <row r="16" spans="1:5" ht="15">
      <c r="A16" s="31"/>
      <c r="B16" s="31"/>
      <c r="C16" s="32"/>
      <c r="D16" s="113"/>
      <c r="E16" s="105"/>
    </row>
    <row r="17" spans="1:13" ht="21">
      <c r="A17" s="30" t="s">
        <v>23</v>
      </c>
      <c r="B17" s="31"/>
      <c r="C17" s="32"/>
      <c r="D17" s="113"/>
      <c r="E17" s="105"/>
    </row>
    <row r="18" spans="1:13" ht="15">
      <c r="A18" s="31" t="s">
        <v>24</v>
      </c>
      <c r="B18" s="31"/>
      <c r="C18" s="44">
        <v>0.5</v>
      </c>
      <c r="D18" s="114">
        <f>ROUND(+D15*$C18,-2)</f>
        <v>2002000</v>
      </c>
      <c r="E18" s="105"/>
    </row>
    <row r="19" spans="1:13" ht="22.5" customHeight="1">
      <c r="A19" s="34" t="s">
        <v>256</v>
      </c>
      <c r="B19" s="31"/>
      <c r="C19" s="44"/>
      <c r="D19" s="114">
        <v>-65800</v>
      </c>
      <c r="E19" s="105"/>
    </row>
    <row r="20" spans="1:13" ht="17.25">
      <c r="A20" s="31" t="s">
        <v>94</v>
      </c>
      <c r="B20" s="31"/>
      <c r="C20" s="44"/>
      <c r="D20" s="116">
        <f>ROUND(-D32*0.05,-2)</f>
        <v>-92200</v>
      </c>
      <c r="E20" s="105"/>
      <c r="F20" s="294"/>
      <c r="G20" s="294"/>
      <c r="H20" s="294"/>
      <c r="I20" s="294"/>
      <c r="J20" s="294"/>
      <c r="K20" s="294"/>
      <c r="L20" s="294"/>
      <c r="M20" s="294"/>
    </row>
    <row r="21" spans="1:13" ht="17.25">
      <c r="A21" s="264" t="s">
        <v>132</v>
      </c>
      <c r="B21" s="31"/>
      <c r="C21" s="44"/>
      <c r="D21" s="117">
        <f>SUM(D18:D20)</f>
        <v>1844000</v>
      </c>
      <c r="E21" s="105"/>
    </row>
    <row r="22" spans="1:13" ht="15">
      <c r="A22" s="12"/>
      <c r="B22" s="12"/>
      <c r="C22" s="24"/>
      <c r="D22" s="126"/>
      <c r="E22" s="105"/>
    </row>
    <row r="23" spans="1:13" ht="18.75">
      <c r="A23" s="33" t="s">
        <v>25</v>
      </c>
      <c r="B23" s="33"/>
      <c r="C23" s="24"/>
      <c r="D23" s="108"/>
      <c r="E23" s="105"/>
    </row>
    <row r="24" spans="1:13" ht="17.25">
      <c r="A24" s="34"/>
      <c r="B24" s="34"/>
      <c r="C24" s="35"/>
      <c r="D24" s="127"/>
      <c r="E24" s="105"/>
    </row>
    <row r="25" spans="1:13" ht="17.25">
      <c r="A25" s="36" t="s">
        <v>26</v>
      </c>
      <c r="B25" s="36"/>
      <c r="C25" s="37"/>
      <c r="D25" s="127"/>
      <c r="E25" s="105"/>
    </row>
    <row r="26" spans="1:13" ht="15">
      <c r="A26" s="41" t="s">
        <v>260</v>
      </c>
      <c r="B26" s="401"/>
      <c r="C26" s="402"/>
      <c r="D26" s="265">
        <v>197000</v>
      </c>
      <c r="E26" s="105"/>
      <c r="F26" s="11"/>
      <c r="G26" s="211"/>
    </row>
    <row r="27" spans="1:13" ht="15">
      <c r="A27" s="41" t="s">
        <v>261</v>
      </c>
      <c r="B27" s="401"/>
      <c r="C27" s="403"/>
      <c r="D27" s="265">
        <v>420000</v>
      </c>
      <c r="E27" s="105"/>
    </row>
    <row r="28" spans="1:13" ht="15">
      <c r="A28" s="41" t="s">
        <v>133</v>
      </c>
      <c r="B28" s="401"/>
      <c r="C28" s="404"/>
      <c r="D28" s="265">
        <v>315000</v>
      </c>
      <c r="E28" s="105"/>
    </row>
    <row r="29" spans="1:13" ht="30">
      <c r="A29" s="41" t="s">
        <v>134</v>
      </c>
      <c r="B29" s="401"/>
      <c r="C29" s="405"/>
      <c r="D29" s="265">
        <v>105000</v>
      </c>
      <c r="E29" s="105"/>
    </row>
    <row r="30" spans="1:13" ht="15">
      <c r="A30" s="41" t="s">
        <v>262</v>
      </c>
      <c r="B30" s="401"/>
      <c r="C30" s="406"/>
      <c r="D30" s="265">
        <v>360000</v>
      </c>
      <c r="E30" s="105"/>
    </row>
    <row r="31" spans="1:13" ht="17.25">
      <c r="A31" s="41" t="s">
        <v>135</v>
      </c>
      <c r="B31" s="401"/>
      <c r="C31" s="406"/>
      <c r="D31" s="266">
        <v>447000</v>
      </c>
      <c r="E31" s="105"/>
    </row>
    <row r="32" spans="1:13" ht="17.25">
      <c r="A32" s="34" t="s">
        <v>27</v>
      </c>
      <c r="B32" s="34"/>
      <c r="C32" s="32"/>
      <c r="D32" s="122">
        <f>SUM(D26:D31)</f>
        <v>1844000</v>
      </c>
      <c r="E32" s="105"/>
    </row>
    <row r="33" spans="1:5" ht="15">
      <c r="A33" s="34"/>
      <c r="B33" s="34"/>
      <c r="C33" s="42"/>
      <c r="D33" s="128"/>
      <c r="E33" s="105"/>
    </row>
    <row r="34" spans="1:5" ht="18" hidden="1" customHeight="1">
      <c r="A34" s="192" t="s">
        <v>107</v>
      </c>
      <c r="B34" s="26"/>
      <c r="C34" s="43"/>
      <c r="D34" s="209" t="e">
        <f>+#REF!-D21</f>
        <v>#REF!</v>
      </c>
      <c r="E34" s="209"/>
    </row>
    <row r="35" spans="1:5" ht="15">
      <c r="A35" s="26"/>
      <c r="B35" s="26"/>
      <c r="C35" s="43"/>
      <c r="D35" s="129"/>
      <c r="E35" s="119"/>
    </row>
    <row r="36" spans="1:5" ht="15">
      <c r="A36" s="34" t="s">
        <v>28</v>
      </c>
      <c r="B36" s="34"/>
      <c r="C36" s="43"/>
      <c r="D36" s="124">
        <f>+D11*2000/D7/24</f>
        <v>48.298862007430593</v>
      </c>
      <c r="E36" s="105"/>
    </row>
    <row r="37" spans="1:5" ht="15">
      <c r="C37" s="43"/>
      <c r="D37" s="124"/>
      <c r="E37" s="105"/>
    </row>
    <row r="38" spans="1:5" ht="15">
      <c r="A38" s="34" t="s">
        <v>29</v>
      </c>
      <c r="B38" s="34"/>
      <c r="C38" s="43"/>
      <c r="D38" s="125">
        <f>+D15/D11</f>
        <v>67.366579177602802</v>
      </c>
      <c r="E38" s="105"/>
    </row>
    <row r="39" spans="1:5">
      <c r="A39" s="38"/>
      <c r="B39" s="38"/>
      <c r="C39" s="39"/>
      <c r="D39" s="3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G42"/>
  <sheetViews>
    <sheetView topLeftCell="A22" workbookViewId="0">
      <selection activeCell="D34" sqref="D34"/>
    </sheetView>
  </sheetViews>
  <sheetFormatPr defaultRowHeight="12.75"/>
  <cols>
    <col min="1" max="1" width="71.42578125" customWidth="1"/>
    <col min="2" max="2" width="9.28515625" bestFit="1" customWidth="1"/>
    <col min="3" max="3" width="11.42578125" bestFit="1" customWidth="1"/>
    <col min="4" max="4" width="12.7109375" bestFit="1" customWidth="1"/>
    <col min="5" max="5" width="2.7109375" customWidth="1"/>
    <col min="7" max="7" width="12.28515625" bestFit="1" customWidth="1"/>
  </cols>
  <sheetData>
    <row r="1" spans="1:7" ht="23.25">
      <c r="A1" s="21" t="s">
        <v>12</v>
      </c>
      <c r="B1" s="21"/>
      <c r="C1" s="12"/>
      <c r="D1" s="12"/>
      <c r="E1" s="22"/>
    </row>
    <row r="2" spans="1:7" ht="15.75">
      <c r="A2" s="23" t="s">
        <v>247</v>
      </c>
      <c r="B2" s="23"/>
      <c r="C2" s="24"/>
      <c r="D2" s="25"/>
      <c r="E2" s="22"/>
    </row>
    <row r="3" spans="1:7" ht="15.75">
      <c r="A3" s="23"/>
      <c r="B3" s="23"/>
      <c r="C3" s="24"/>
      <c r="D3" s="103"/>
      <c r="E3" s="104"/>
    </row>
    <row r="4" spans="1:7" ht="15">
      <c r="A4" s="190"/>
      <c r="B4" s="190"/>
      <c r="C4" s="191"/>
      <c r="D4" s="479" t="s">
        <v>102</v>
      </c>
      <c r="E4" s="479"/>
    </row>
    <row r="5" spans="1:7" ht="15">
      <c r="A5" s="192"/>
      <c r="B5" s="192"/>
      <c r="C5" s="191"/>
      <c r="D5" s="106" t="s">
        <v>13</v>
      </c>
      <c r="E5" s="104"/>
    </row>
    <row r="6" spans="1:7" ht="17.25">
      <c r="A6" s="206"/>
      <c r="B6" s="206"/>
      <c r="C6" s="191"/>
      <c r="D6" s="107" t="s">
        <v>15</v>
      </c>
      <c r="E6" s="104"/>
    </row>
    <row r="7" spans="1:7" ht="15">
      <c r="A7" s="193" t="s">
        <v>18</v>
      </c>
      <c r="B7" s="193"/>
      <c r="C7" s="191"/>
      <c r="D7" s="108"/>
      <c r="E7" s="104"/>
    </row>
    <row r="8" spans="1:7" ht="17.25">
      <c r="A8" s="206" t="s">
        <v>101</v>
      </c>
      <c r="B8" s="206"/>
      <c r="C8" s="191"/>
      <c r="D8" s="109">
        <v>40184</v>
      </c>
      <c r="E8" s="104"/>
    </row>
    <row r="9" spans="1:7" ht="15">
      <c r="A9" s="206"/>
      <c r="B9" s="206"/>
      <c r="C9" s="191"/>
      <c r="D9" s="110"/>
      <c r="E9" s="104"/>
    </row>
    <row r="10" spans="1:7" ht="15">
      <c r="A10" s="206"/>
      <c r="B10" s="206"/>
      <c r="C10" s="191"/>
      <c r="D10" s="110"/>
      <c r="E10" s="104"/>
    </row>
    <row r="11" spans="1:7" ht="15">
      <c r="A11" s="193" t="s">
        <v>20</v>
      </c>
      <c r="B11" s="193"/>
      <c r="C11" s="191"/>
      <c r="D11" s="110"/>
      <c r="E11" s="104"/>
    </row>
    <row r="12" spans="1:7" ht="17.25">
      <c r="A12" s="194" t="s">
        <v>131</v>
      </c>
      <c r="B12" s="194"/>
      <c r="C12" s="191"/>
      <c r="D12" s="111">
        <v>24584</v>
      </c>
      <c r="E12" s="104"/>
    </row>
    <row r="13" spans="1:7" ht="15">
      <c r="A13" s="207"/>
      <c r="B13" s="207"/>
      <c r="C13" s="191"/>
      <c r="D13" s="110"/>
      <c r="E13" s="104"/>
    </row>
    <row r="14" spans="1:7" ht="15">
      <c r="A14" s="207"/>
      <c r="B14" s="207"/>
      <c r="C14" s="191"/>
      <c r="D14" s="110"/>
      <c r="E14" s="104"/>
    </row>
    <row r="15" spans="1:7" ht="15">
      <c r="A15" s="193" t="s">
        <v>21</v>
      </c>
      <c r="B15" s="193"/>
      <c r="C15" s="191"/>
      <c r="D15" s="108"/>
      <c r="E15" s="104"/>
    </row>
    <row r="16" spans="1:7" ht="32.25">
      <c r="A16" s="195" t="s">
        <v>22</v>
      </c>
      <c r="B16" s="195"/>
      <c r="C16" s="196"/>
      <c r="D16" s="112">
        <v>1664000</v>
      </c>
      <c r="E16" s="104"/>
      <c r="G16" s="260"/>
    </row>
    <row r="17" spans="1:7" ht="15">
      <c r="A17" s="195"/>
      <c r="B17" s="195"/>
      <c r="C17" s="196"/>
      <c r="D17" s="113"/>
      <c r="E17" s="104"/>
    </row>
    <row r="18" spans="1:7" ht="15">
      <c r="A18" s="193" t="s">
        <v>23</v>
      </c>
      <c r="B18" s="195"/>
      <c r="C18" s="196"/>
      <c r="D18" s="113"/>
      <c r="E18" s="104"/>
    </row>
    <row r="19" spans="1:7" ht="15">
      <c r="A19" s="195" t="s">
        <v>24</v>
      </c>
      <c r="B19" s="195"/>
      <c r="C19" s="197">
        <v>0.5</v>
      </c>
      <c r="D19" s="114">
        <f>ROUND(+D16*$C19,-2)</f>
        <v>832000</v>
      </c>
      <c r="E19" s="115"/>
    </row>
    <row r="20" spans="1:7" ht="30">
      <c r="A20" s="34" t="s">
        <v>255</v>
      </c>
      <c r="B20" s="195"/>
      <c r="C20" s="197"/>
      <c r="D20" s="114">
        <v>62900</v>
      </c>
      <c r="E20" s="115"/>
    </row>
    <row r="21" spans="1:7" ht="17.25">
      <c r="A21" s="195" t="s">
        <v>94</v>
      </c>
      <c r="B21" s="195"/>
      <c r="C21" s="197"/>
      <c r="D21" s="116">
        <f>ROUND(-D30*0.05,-2)</f>
        <v>-42600</v>
      </c>
      <c r="E21" s="115"/>
    </row>
    <row r="22" spans="1:7" ht="17.25">
      <c r="A22" s="264" t="s">
        <v>132</v>
      </c>
      <c r="B22" s="195"/>
      <c r="C22" s="197"/>
      <c r="D22" s="117">
        <f>SUM(D19:D21)</f>
        <v>852300</v>
      </c>
      <c r="E22" s="117"/>
    </row>
    <row r="23" spans="1:7" ht="17.25">
      <c r="A23" s="198"/>
      <c r="B23" s="198"/>
      <c r="C23" s="191"/>
      <c r="D23" s="118"/>
      <c r="E23" s="104"/>
    </row>
    <row r="24" spans="1:7" ht="15">
      <c r="A24" s="193" t="s">
        <v>25</v>
      </c>
      <c r="B24" s="193"/>
      <c r="C24" s="191"/>
      <c r="D24" s="108"/>
      <c r="E24" s="104"/>
    </row>
    <row r="25" spans="1:7" ht="15">
      <c r="A25" s="199"/>
      <c r="B25" s="199"/>
      <c r="C25" s="200"/>
      <c r="D25" s="106"/>
      <c r="E25" s="104"/>
    </row>
    <row r="26" spans="1:7" ht="15">
      <c r="A26" s="201" t="s">
        <v>26</v>
      </c>
      <c r="B26" s="201"/>
      <c r="C26" s="208"/>
      <c r="D26" s="120"/>
      <c r="E26" s="104"/>
    </row>
    <row r="27" spans="1:7" ht="15">
      <c r="A27" s="41" t="s">
        <v>257</v>
      </c>
      <c r="B27" s="41"/>
      <c r="C27" s="40"/>
      <c r="D27" s="378">
        <v>647000</v>
      </c>
      <c r="E27" s="121"/>
      <c r="F27" s="11"/>
      <c r="G27" s="211"/>
    </row>
    <row r="28" spans="1:7" ht="15">
      <c r="A28" s="41" t="s">
        <v>258</v>
      </c>
      <c r="B28" s="41"/>
      <c r="C28" s="24"/>
      <c r="D28" s="378">
        <v>200000</v>
      </c>
      <c r="E28" s="104"/>
    </row>
    <row r="29" spans="1:7" ht="17.25">
      <c r="A29" s="41" t="s">
        <v>259</v>
      </c>
      <c r="B29" s="41"/>
      <c r="C29" s="24"/>
      <c r="D29" s="379">
        <v>5300</v>
      </c>
      <c r="E29" s="104"/>
    </row>
    <row r="30" spans="1:7" ht="15">
      <c r="A30" s="199" t="s">
        <v>27</v>
      </c>
      <c r="B30" s="199"/>
      <c r="C30" s="203"/>
      <c r="D30" s="120">
        <f>SUM(D27:D29)</f>
        <v>852300</v>
      </c>
      <c r="E30" s="120"/>
    </row>
    <row r="31" spans="1:7" ht="15">
      <c r="A31" s="199"/>
      <c r="B31" s="199"/>
      <c r="C31" s="203"/>
      <c r="D31" s="105"/>
      <c r="E31" s="105"/>
    </row>
    <row r="32" spans="1:7" ht="17.25" hidden="1" customHeight="1">
      <c r="A32" s="192" t="s">
        <v>107</v>
      </c>
      <c r="B32" s="192"/>
      <c r="C32" s="204"/>
      <c r="D32" s="209" t="e">
        <f>+#REF!-D22</f>
        <v>#REF!</v>
      </c>
      <c r="E32" s="209"/>
    </row>
    <row r="33" spans="1:5" ht="15">
      <c r="A33" s="192"/>
      <c r="B33" s="192"/>
      <c r="C33" s="204"/>
      <c r="D33" s="123"/>
      <c r="E33" s="121"/>
    </row>
    <row r="34" spans="1:5" ht="15">
      <c r="A34" s="199" t="s">
        <v>28</v>
      </c>
      <c r="B34" s="199"/>
      <c r="C34" s="204"/>
      <c r="D34" s="124">
        <f>+D12*2000/D8/24</f>
        <v>50.982148782268233</v>
      </c>
      <c r="E34" s="104"/>
    </row>
    <row r="35" spans="1:5" ht="15">
      <c r="A35" s="105"/>
      <c r="B35" s="105"/>
      <c r="C35" s="204"/>
      <c r="D35" s="124"/>
      <c r="E35" s="104"/>
    </row>
    <row r="36" spans="1:5" ht="15">
      <c r="A36" s="199" t="s">
        <v>29</v>
      </c>
      <c r="B36" s="199"/>
      <c r="C36" s="204"/>
      <c r="D36" s="125">
        <f>+D16/D12</f>
        <v>67.686300032541496</v>
      </c>
      <c r="E36" s="104"/>
    </row>
    <row r="37" spans="1:5" ht="15">
      <c r="A37" s="192"/>
      <c r="B37" s="192"/>
      <c r="C37" s="204"/>
      <c r="D37" s="205"/>
      <c r="E37" s="104"/>
    </row>
    <row r="38" spans="1:5" ht="15">
      <c r="A38" s="202"/>
      <c r="B38" s="202"/>
      <c r="C38" s="196"/>
      <c r="D38" s="196"/>
      <c r="E38" s="104"/>
    </row>
    <row r="39" spans="1:5" ht="15">
      <c r="A39" s="105"/>
      <c r="B39" s="105"/>
      <c r="C39" s="105"/>
      <c r="D39" s="105"/>
      <c r="E39" s="105"/>
    </row>
    <row r="40" spans="1:5" ht="15">
      <c r="A40" s="105"/>
      <c r="B40" s="105"/>
      <c r="C40" s="105"/>
      <c r="D40" s="105"/>
      <c r="E40" s="105"/>
    </row>
    <row r="41" spans="1:5" ht="15">
      <c r="A41" s="105"/>
      <c r="B41" s="105"/>
      <c r="C41" s="105"/>
      <c r="D41" s="105"/>
      <c r="E41" s="105"/>
    </row>
    <row r="42" spans="1:5" ht="15">
      <c r="A42" s="105"/>
      <c r="B42" s="105"/>
      <c r="C42" s="105"/>
      <c r="D42" s="105"/>
      <c r="E42" s="105"/>
    </row>
  </sheetData>
  <mergeCells count="1">
    <mergeCell ref="D4:E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B5D06C7E98B304CAFD386CFFE524836" ma:contentTypeVersion="28" ma:contentTypeDescription="" ma:contentTypeScope="" ma:versionID="1dbcea6e66360fc98bcad6484a17291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2022-11-15T08:00:00+00:00</OpenedDate>
    <SignificantOrder xmlns="dc463f71-b30c-4ab2-9473-d307f9d35888">false</SignificantOrder>
    <Date1 xmlns="dc463f71-b30c-4ab2-9473-d307f9d35888">2022-11-15T08:00:00+00:00</Date1>
    <IsDocumentOrder xmlns="dc463f71-b30c-4ab2-9473-d307f9d35888">false</IsDocumentOrder>
    <IsHighlyConfidential xmlns="dc463f71-b30c-4ab2-9473-d307f9d35888">false</IsHighlyConfidential>
    <CaseCompanyNames xmlns="dc463f71-b30c-4ab2-9473-d307f9d35888">Waste Management of Washington, Inc.  </CaseCompanyNames>
    <Nickname xmlns="http://schemas.microsoft.com/sharepoint/v3" xsi:nil="true"/>
    <DocketNumber xmlns="dc463f71-b30c-4ab2-9473-d307f9d35888">220845</DocketNumber>
    <DelegatedOrder xmlns="dc463f71-b30c-4ab2-9473-d307f9d35888">false</Delegated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184AF10-7295-4127-8D2B-23820395E6C2}"/>
</file>

<file path=customXml/itemProps2.xml><?xml version="1.0" encoding="utf-8"?>
<ds:datastoreItem xmlns:ds="http://schemas.openxmlformats.org/officeDocument/2006/customXml" ds:itemID="{C50088DE-79D3-495C-AC91-4F0C9E163973}">
  <ds:schemaRefs>
    <ds:schemaRef ds:uri="http://schemas.microsoft.com/office/2006/metadata/longProperties"/>
  </ds:schemaRefs>
</ds:datastoreItem>
</file>

<file path=customXml/itemProps3.xml><?xml version="1.0" encoding="utf-8"?>
<ds:datastoreItem xmlns:ds="http://schemas.openxmlformats.org/officeDocument/2006/customXml" ds:itemID="{CE8B1CB4-3DDD-4191-9FBF-56683E8E90F2}">
  <ds:schemaRefs>
    <ds:schemaRef ds:uri="http://purl.org/dc/dcmitype/"/>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EAFD99F7-EE5C-4B76-B160-BE8A8864929D}">
  <ds:schemaRefs>
    <ds:schemaRef ds:uri="http://schemas.microsoft.com/sharepoint/v3/contenttype/forms"/>
  </ds:schemaRefs>
</ds:datastoreItem>
</file>

<file path=customXml/itemProps5.xml><?xml version="1.0" encoding="utf-8"?>
<ds:datastoreItem xmlns:ds="http://schemas.openxmlformats.org/officeDocument/2006/customXml" ds:itemID="{7AFAD74F-B8DF-40AB-82A5-06475995E2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Rebate (Charge) Analysis</vt:lpstr>
      <vt:lpstr>Rate Sheet Summary</vt:lpstr>
      <vt:lpstr>Rebate (charge) Calculation</vt:lpstr>
      <vt:lpstr>2021-2022 Recy. Tons &amp; Revenue</vt:lpstr>
      <vt:lpstr>KC Tonnage - Enspire</vt:lpstr>
      <vt:lpstr>SC Tonnage - Enspire</vt:lpstr>
      <vt:lpstr>Customer Counts - Enspire</vt:lpstr>
      <vt:lpstr>Prices - Recy. Acct. Analysis</vt:lpstr>
      <vt:lpstr>Composition-Rec. Acct. Analysis</vt:lpstr>
      <vt:lpstr>SC 2022-2023 Budget</vt:lpstr>
      <vt:lpstr>KC 2022-2023 Budget</vt:lpstr>
    </vt:vector>
  </TitlesOfParts>
  <Company>WMI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Cly Lewis</dc:creator>
  <cp:lastModifiedBy>Administrator</cp:lastModifiedBy>
  <cp:lastPrinted>2019-12-13T16:30:59Z</cp:lastPrinted>
  <dcterms:created xsi:type="dcterms:W3CDTF">2003-10-21T02:01:02Z</dcterms:created>
  <dcterms:modified xsi:type="dcterms:W3CDTF">2022-11-15T23:42:23Z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fidentiality">
    <vt:lpwstr>None</vt:lpwstr>
  </property>
  <property fmtid="{D5CDD505-2E9C-101B-9397-08002B2CF9AE}" pid="5" name="DocumentDescription">
    <vt:lpwstr>Accounting workpapers</vt:lpwstr>
  </property>
  <property fmtid="{D5CDD505-2E9C-101B-9397-08002B2CF9AE}" pid="6" name="EFilingId">
    <vt:lpwstr>15981.0000000000</vt:lpwstr>
  </property>
  <property fmtid="{D5CDD505-2E9C-101B-9397-08002B2CF9AE}" pid="7" name="ContentTypeId">
    <vt:lpwstr>0x0101006E56B4D1795A2E4DB2F0B01679ED314A006B5D06C7E98B304CAFD386CFFE524836</vt:lpwstr>
  </property>
  <property fmtid="{D5CDD505-2E9C-101B-9397-08002B2CF9AE}" pid="8" name="_docset_NoMedatataSyncRequired">
    <vt:lpwstr>False</vt:lpwstr>
  </property>
  <property fmtid="{D5CDD505-2E9C-101B-9397-08002B2CF9AE}" pid="9" name="IsEFSEC">
    <vt:bool>false</vt:bool>
  </property>
</Properties>
</file>