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PUD0783 - Pullman Disposal Services\Tipping Fee Increase\010123\Submittal\"/>
    </mc:Choice>
  </mc:AlternateContent>
  <xr:revisionPtr revIDLastSave="0" documentId="13_ncr:1_{E7097AB1-840D-4FDC-B983-5824F0AAC709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Notes" sheetId="8" r:id="rId1"/>
    <sheet name="References" sheetId="4" r:id="rId2"/>
    <sheet name="Staff Calcs 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6" i="7" l="1"/>
  <c r="Q134" i="7"/>
  <c r="Q132" i="7"/>
  <c r="Q130" i="7"/>
  <c r="E148" i="7" l="1"/>
  <c r="B22" i="4" l="1"/>
  <c r="C15" i="4"/>
  <c r="F18" i="4"/>
  <c r="F19" i="4" s="1"/>
  <c r="E72" i="7" l="1"/>
  <c r="E67" i="7"/>
  <c r="E60" i="7"/>
  <c r="E17" i="7"/>
  <c r="E73" i="7" l="1"/>
  <c r="Q6" i="7" l="1"/>
  <c r="Q79" i="7" l="1"/>
  <c r="Q78" i="7"/>
  <c r="G79" i="7"/>
  <c r="G78" i="7"/>
  <c r="G12" i="7"/>
  <c r="I79" i="7" l="1"/>
  <c r="G129" i="7" l="1"/>
  <c r="Q129" i="7" s="1"/>
  <c r="G113" i="7"/>
  <c r="I113" i="7" s="1"/>
  <c r="G114" i="7"/>
  <c r="G115" i="7"/>
  <c r="Q115" i="7" s="1"/>
  <c r="G116" i="7"/>
  <c r="Q116" i="7" s="1"/>
  <c r="G117" i="7"/>
  <c r="Q117" i="7" s="1"/>
  <c r="G118" i="7"/>
  <c r="Q118" i="7" s="1"/>
  <c r="G119" i="7"/>
  <c r="Q119" i="7" s="1"/>
  <c r="G120" i="7"/>
  <c r="Q120" i="7" s="1"/>
  <c r="G121" i="7"/>
  <c r="Q121" i="7" s="1"/>
  <c r="G122" i="7"/>
  <c r="Q122" i="7" s="1"/>
  <c r="G123" i="7"/>
  <c r="Q123" i="7" s="1"/>
  <c r="G124" i="7"/>
  <c r="Q124" i="7" s="1"/>
  <c r="G125" i="7"/>
  <c r="I125" i="7" s="1"/>
  <c r="G126" i="7"/>
  <c r="Q126" i="7" s="1"/>
  <c r="G127" i="7"/>
  <c r="Q127" i="7" s="1"/>
  <c r="G128" i="7"/>
  <c r="Q128" i="7" s="1"/>
  <c r="G94" i="7"/>
  <c r="Q94" i="7" s="1"/>
  <c r="G95" i="7"/>
  <c r="Q95" i="7" s="1"/>
  <c r="G96" i="7"/>
  <c r="I96" i="7" s="1"/>
  <c r="G97" i="7"/>
  <c r="I97" i="7" s="1"/>
  <c r="G98" i="7"/>
  <c r="Q98" i="7" s="1"/>
  <c r="G99" i="7"/>
  <c r="Q99" i="7" s="1"/>
  <c r="G100" i="7"/>
  <c r="I100" i="7" s="1"/>
  <c r="G101" i="7"/>
  <c r="Q101" i="7" s="1"/>
  <c r="G102" i="7"/>
  <c r="G103" i="7"/>
  <c r="Q103" i="7" s="1"/>
  <c r="G104" i="7"/>
  <c r="I104" i="7" s="1"/>
  <c r="G105" i="7"/>
  <c r="I105" i="7" s="1"/>
  <c r="G106" i="7"/>
  <c r="Q106" i="7" s="1"/>
  <c r="G107" i="7"/>
  <c r="Q107" i="7" s="1"/>
  <c r="G108" i="7"/>
  <c r="I108" i="7" s="1"/>
  <c r="G109" i="7"/>
  <c r="I109" i="7" s="1"/>
  <c r="G110" i="7"/>
  <c r="Q110" i="7" s="1"/>
  <c r="G111" i="7"/>
  <c r="Q111" i="7" s="1"/>
  <c r="G112" i="7"/>
  <c r="I112" i="7" s="1"/>
  <c r="G131" i="7"/>
  <c r="I131" i="7" s="1"/>
  <c r="G133" i="7"/>
  <c r="I133" i="7" s="1"/>
  <c r="G135" i="7"/>
  <c r="Q135" i="7" s="1"/>
  <c r="G137" i="7"/>
  <c r="I137" i="7" s="1"/>
  <c r="G138" i="7"/>
  <c r="Q138" i="7" s="1"/>
  <c r="G139" i="7"/>
  <c r="I139" i="7" s="1"/>
  <c r="G140" i="7"/>
  <c r="G141" i="7"/>
  <c r="I141" i="7" s="1"/>
  <c r="G142" i="7"/>
  <c r="Q142" i="7" s="1"/>
  <c r="G143" i="7"/>
  <c r="I143" i="7" s="1"/>
  <c r="G144" i="7"/>
  <c r="Q144" i="7" s="1"/>
  <c r="G93" i="7"/>
  <c r="I93" i="7" s="1"/>
  <c r="G92" i="7"/>
  <c r="I92" i="7" s="1"/>
  <c r="Q84" i="7"/>
  <c r="G84" i="7"/>
  <c r="I84" i="7" s="1"/>
  <c r="I126" i="7" l="1"/>
  <c r="I127" i="7"/>
  <c r="I117" i="7"/>
  <c r="I122" i="7"/>
  <c r="Q143" i="7"/>
  <c r="I120" i="7"/>
  <c r="I118" i="7"/>
  <c r="I116" i="7"/>
  <c r="Q113" i="7"/>
  <c r="Q125" i="7"/>
  <c r="I129" i="7"/>
  <c r="I124" i="7"/>
  <c r="I142" i="7"/>
  <c r="I128" i="7"/>
  <c r="I123" i="7"/>
  <c r="I121" i="7"/>
  <c r="I119" i="7"/>
  <c r="I115" i="7"/>
  <c r="Q114" i="7"/>
  <c r="I114" i="7"/>
  <c r="Q109" i="7"/>
  <c r="Q105" i="7"/>
  <c r="Q139" i="7"/>
  <c r="Q131" i="7"/>
  <c r="Q97" i="7"/>
  <c r="I144" i="7"/>
  <c r="I135" i="7"/>
  <c r="I111" i="7"/>
  <c r="I107" i="7"/>
  <c r="I103" i="7"/>
  <c r="I101" i="7"/>
  <c r="I99" i="7"/>
  <c r="I95" i="7"/>
  <c r="Q92" i="7"/>
  <c r="Q112" i="7"/>
  <c r="Q108" i="7"/>
  <c r="Q104" i="7"/>
  <c r="Q96" i="7"/>
  <c r="Q140" i="7"/>
  <c r="Q137" i="7"/>
  <c r="Q102" i="7"/>
  <c r="Q100" i="7"/>
  <c r="I138" i="7"/>
  <c r="Q93" i="7"/>
  <c r="Q141" i="7"/>
  <c r="Q133" i="7"/>
  <c r="I140" i="7"/>
  <c r="I110" i="7"/>
  <c r="I106" i="7"/>
  <c r="I102" i="7"/>
  <c r="I98" i="7"/>
  <c r="I94" i="7"/>
  <c r="G90" i="7" l="1"/>
  <c r="G89" i="7"/>
  <c r="G88" i="7"/>
  <c r="Q88" i="7" s="1"/>
  <c r="G87" i="7"/>
  <c r="I88" i="7" l="1"/>
  <c r="Q89" i="7"/>
  <c r="I89" i="7"/>
  <c r="Q90" i="7"/>
  <c r="Q87" i="7"/>
  <c r="I90" i="7"/>
  <c r="I87" i="7"/>
  <c r="G85" i="7" l="1"/>
  <c r="Q85" i="7" s="1"/>
  <c r="G86" i="7"/>
  <c r="Q86" i="7" s="1"/>
  <c r="G91" i="7"/>
  <c r="Q91" i="7" s="1"/>
  <c r="I85" i="7" l="1"/>
  <c r="I86" i="7"/>
  <c r="I91" i="7"/>
  <c r="G65" i="7" l="1"/>
  <c r="I65" i="7" s="1"/>
  <c r="Q65" i="7" l="1"/>
  <c r="Q7" i="7" l="1"/>
  <c r="Q8" i="7"/>
  <c r="Q9" i="7"/>
  <c r="Q10" i="7"/>
  <c r="Q11" i="7"/>
  <c r="Q12" i="7"/>
  <c r="Q13" i="7"/>
  <c r="Q80" i="7"/>
  <c r="Q81" i="7"/>
  <c r="Q82" i="7"/>
  <c r="Q83" i="7"/>
  <c r="Q14" i="7"/>
  <c r="Q15" i="7"/>
  <c r="G69" i="7"/>
  <c r="G68" i="7"/>
  <c r="G63" i="7"/>
  <c r="I63" i="7" s="1"/>
  <c r="G64" i="7"/>
  <c r="G66" i="7"/>
  <c r="I66" i="7" s="1"/>
  <c r="G62" i="7"/>
  <c r="G20" i="7"/>
  <c r="I20" i="7" s="1"/>
  <c r="G22" i="7"/>
  <c r="I22" i="7" s="1"/>
  <c r="G24" i="7"/>
  <c r="I24" i="7" s="1"/>
  <c r="G25" i="7"/>
  <c r="Q25" i="7" s="1"/>
  <c r="G27" i="7"/>
  <c r="I27" i="7" s="1"/>
  <c r="G28" i="7"/>
  <c r="I28" i="7" s="1"/>
  <c r="G30" i="7"/>
  <c r="I30" i="7" s="1"/>
  <c r="G31" i="7"/>
  <c r="I31" i="7" s="1"/>
  <c r="G33" i="7"/>
  <c r="Q33" i="7" s="1"/>
  <c r="G34" i="7"/>
  <c r="I34" i="7" s="1"/>
  <c r="G36" i="7"/>
  <c r="I36" i="7" s="1"/>
  <c r="G37" i="7"/>
  <c r="Q37" i="7" s="1"/>
  <c r="G38" i="7"/>
  <c r="I38" i="7" s="1"/>
  <c r="G39" i="7"/>
  <c r="I39" i="7" s="1"/>
  <c r="G40" i="7"/>
  <c r="I40" i="7" s="1"/>
  <c r="Q41" i="7"/>
  <c r="G42" i="7"/>
  <c r="I42" i="7" s="1"/>
  <c r="G43" i="7"/>
  <c r="I43" i="7" s="1"/>
  <c r="G45" i="7"/>
  <c r="Q45" i="7" s="1"/>
  <c r="G46" i="7"/>
  <c r="I46" i="7" s="1"/>
  <c r="G48" i="7"/>
  <c r="I48" i="7" s="1"/>
  <c r="G49" i="7"/>
  <c r="I49" i="7" s="1"/>
  <c r="G50" i="7"/>
  <c r="Q50" i="7" s="1"/>
  <c r="G51" i="7"/>
  <c r="I51" i="7" s="1"/>
  <c r="G52" i="7"/>
  <c r="Q52" i="7" s="1"/>
  <c r="G53" i="7"/>
  <c r="I53" i="7" s="1"/>
  <c r="G54" i="7"/>
  <c r="Q54" i="7" s="1"/>
  <c r="G55" i="7"/>
  <c r="Q55" i="7" s="1"/>
  <c r="G56" i="7"/>
  <c r="Q56" i="7" s="1"/>
  <c r="G57" i="7"/>
  <c r="I57" i="7" s="1"/>
  <c r="G58" i="7"/>
  <c r="Q58" i="7" s="1"/>
  <c r="G19" i="7"/>
  <c r="G7" i="7"/>
  <c r="G9" i="7"/>
  <c r="I9" i="7" s="1"/>
  <c r="G10" i="7"/>
  <c r="I10" i="7" s="1"/>
  <c r="G11" i="7"/>
  <c r="I11" i="7" s="1"/>
  <c r="I12" i="7"/>
  <c r="G13" i="7"/>
  <c r="I13" i="7" s="1"/>
  <c r="I78" i="7"/>
  <c r="G80" i="7"/>
  <c r="I80" i="7" s="1"/>
  <c r="G81" i="7"/>
  <c r="I81" i="7" s="1"/>
  <c r="G82" i="7"/>
  <c r="I82" i="7" s="1"/>
  <c r="G83" i="7"/>
  <c r="I83" i="7" s="1"/>
  <c r="G15" i="7"/>
  <c r="I15" i="7" s="1"/>
  <c r="Q17" i="7" l="1"/>
  <c r="Q64" i="7"/>
  <c r="I64" i="7"/>
  <c r="G72" i="7"/>
  <c r="I7" i="7"/>
  <c r="G67" i="7"/>
  <c r="I45" i="7"/>
  <c r="I37" i="7"/>
  <c r="I33" i="7"/>
  <c r="I25" i="7"/>
  <c r="I50" i="7"/>
  <c r="I56" i="7"/>
  <c r="I52" i="7"/>
  <c r="Q44" i="7"/>
  <c r="Q40" i="7"/>
  <c r="Q36" i="7"/>
  <c r="Q28" i="7"/>
  <c r="Q24" i="7"/>
  <c r="Q20" i="7"/>
  <c r="Q57" i="7"/>
  <c r="Q53" i="7"/>
  <c r="Q49" i="7"/>
  <c r="I55" i="7"/>
  <c r="Q47" i="7"/>
  <c r="Q43" i="7"/>
  <c r="Q39" i="7"/>
  <c r="Q31" i="7"/>
  <c r="Q27" i="7"/>
  <c r="Q48" i="7"/>
  <c r="I58" i="7"/>
  <c r="I54" i="7"/>
  <c r="Q46" i="7"/>
  <c r="Q42" i="7"/>
  <c r="Q38" i="7"/>
  <c r="Q34" i="7"/>
  <c r="Q30" i="7"/>
  <c r="Q22" i="7"/>
  <c r="Q51" i="7"/>
  <c r="B17" i="4" l="1"/>
  <c r="B20" i="4" s="1"/>
  <c r="B21" i="4" s="1"/>
  <c r="B23" i="4" s="1"/>
  <c r="C16" i="4"/>
  <c r="C17" i="4" s="1"/>
  <c r="D6" i="4" l="1"/>
  <c r="G6" i="4" s="1"/>
  <c r="E6" i="4" l="1"/>
  <c r="F6" i="4"/>
  <c r="Q69" i="7" l="1"/>
  <c r="Q68" i="7"/>
  <c r="Q66" i="7"/>
  <c r="Q63" i="7"/>
  <c r="Q72" i="7" l="1"/>
  <c r="I69" i="7"/>
  <c r="I62" i="7"/>
  <c r="I68" i="7"/>
  <c r="Q62" i="7"/>
  <c r="Q67" i="7" s="1"/>
  <c r="I67" i="7" l="1"/>
  <c r="I72" i="7"/>
  <c r="D9" i="4" l="1"/>
  <c r="D8" i="4"/>
  <c r="D7" i="4"/>
  <c r="F35" i="7" l="1"/>
  <c r="G35" i="7" s="1"/>
  <c r="F23" i="7"/>
  <c r="G23" i="7" s="1"/>
  <c r="F32" i="7"/>
  <c r="G32" i="7" s="1"/>
  <c r="F29" i="7"/>
  <c r="G29" i="7" s="1"/>
  <c r="F18" i="7"/>
  <c r="G18" i="7" s="1"/>
  <c r="F26" i="7"/>
  <c r="G26" i="7" s="1"/>
  <c r="F21" i="7"/>
  <c r="G21" i="7" s="1"/>
  <c r="F14" i="7"/>
  <c r="G14" i="7" s="1"/>
  <c r="I14" i="7" s="1"/>
  <c r="G8" i="4"/>
  <c r="F8" i="4"/>
  <c r="E8" i="4"/>
  <c r="G7" i="4"/>
  <c r="F7" i="4"/>
  <c r="E7" i="4"/>
  <c r="F6" i="7"/>
  <c r="G6" i="7" s="1"/>
  <c r="I6" i="7" s="1"/>
  <c r="F8" i="7"/>
  <c r="G8" i="7" s="1"/>
  <c r="I8" i="7" s="1"/>
  <c r="G9" i="4"/>
  <c r="F9" i="4"/>
  <c r="E9" i="4"/>
  <c r="G17" i="7" l="1"/>
  <c r="I17" i="7"/>
  <c r="Q18" i="7"/>
  <c r="G60" i="7"/>
  <c r="Q29" i="7"/>
  <c r="I29" i="7"/>
  <c r="Q21" i="7"/>
  <c r="I21" i="7"/>
  <c r="I32" i="7"/>
  <c r="Q32" i="7"/>
  <c r="I26" i="7"/>
  <c r="Q26" i="7"/>
  <c r="I23" i="7"/>
  <c r="Q23" i="7"/>
  <c r="I35" i="7"/>
  <c r="Q35" i="7"/>
  <c r="I19" i="7"/>
  <c r="Q19" i="7"/>
  <c r="I18" i="7"/>
  <c r="E149" i="7" l="1"/>
  <c r="I60" i="7"/>
  <c r="Q60" i="7"/>
  <c r="G73" i="7" l="1"/>
  <c r="I73" i="7"/>
  <c r="E150" i="7" s="1"/>
  <c r="J6" i="7" s="1"/>
  <c r="K6" i="7" s="1"/>
  <c r="L6" i="7" s="1"/>
  <c r="M6" i="7" s="1"/>
  <c r="Q73" i="7"/>
  <c r="J125" i="7" l="1"/>
  <c r="K125" i="7" s="1"/>
  <c r="L125" i="7" s="1"/>
  <c r="M125" i="7" s="1"/>
  <c r="O125" i="7" s="1"/>
  <c r="I75" i="7"/>
  <c r="I76" i="7" s="1"/>
  <c r="J122" i="7"/>
  <c r="K122" i="7" s="1"/>
  <c r="L122" i="7" s="1"/>
  <c r="M122" i="7" s="1"/>
  <c r="O122" i="7" s="1"/>
  <c r="J120" i="7"/>
  <c r="K120" i="7" s="1"/>
  <c r="L120" i="7" s="1"/>
  <c r="M120" i="7" s="1"/>
  <c r="O120" i="7" s="1"/>
  <c r="J117" i="7"/>
  <c r="K117" i="7" s="1"/>
  <c r="L117" i="7" s="1"/>
  <c r="M117" i="7" s="1"/>
  <c r="O117" i="7" s="1"/>
  <c r="J127" i="7"/>
  <c r="K127" i="7" s="1"/>
  <c r="L127" i="7" s="1"/>
  <c r="M127" i="7" s="1"/>
  <c r="O127" i="7" s="1"/>
  <c r="J129" i="7"/>
  <c r="K129" i="7" s="1"/>
  <c r="L129" i="7" s="1"/>
  <c r="M129" i="7" s="1"/>
  <c r="O129" i="7" s="1"/>
  <c r="O130" i="7" s="1"/>
  <c r="J128" i="7"/>
  <c r="K128" i="7" s="1"/>
  <c r="L128" i="7" s="1"/>
  <c r="M128" i="7" s="1"/>
  <c r="O128" i="7" s="1"/>
  <c r="J115" i="7"/>
  <c r="K115" i="7" s="1"/>
  <c r="L115" i="7" s="1"/>
  <c r="M115" i="7" s="1"/>
  <c r="O115" i="7" s="1"/>
  <c r="J109" i="7"/>
  <c r="K109" i="7" s="1"/>
  <c r="L109" i="7" s="1"/>
  <c r="M109" i="7" s="1"/>
  <c r="O109" i="7" s="1"/>
  <c r="J108" i="7"/>
  <c r="K108" i="7" s="1"/>
  <c r="L108" i="7" s="1"/>
  <c r="M108" i="7" s="1"/>
  <c r="O108" i="7" s="1"/>
  <c r="J143" i="7"/>
  <c r="K143" i="7" s="1"/>
  <c r="L143" i="7" s="1"/>
  <c r="M143" i="7" s="1"/>
  <c r="O143" i="7" s="1"/>
  <c r="J133" i="7"/>
  <c r="K133" i="7" s="1"/>
  <c r="L133" i="7" s="1"/>
  <c r="M133" i="7" s="1"/>
  <c r="O133" i="7" s="1"/>
  <c r="O134" i="7" s="1"/>
  <c r="J93" i="7"/>
  <c r="K93" i="7" s="1"/>
  <c r="L93" i="7" s="1"/>
  <c r="M93" i="7" s="1"/>
  <c r="O93" i="7" s="1"/>
  <c r="J97" i="7"/>
  <c r="K97" i="7" s="1"/>
  <c r="L97" i="7" s="1"/>
  <c r="M97" i="7" s="1"/>
  <c r="O97" i="7" s="1"/>
  <c r="J84" i="7"/>
  <c r="J131" i="7"/>
  <c r="K131" i="7" s="1"/>
  <c r="L131" i="7" s="1"/>
  <c r="M131" i="7" s="1"/>
  <c r="O131" i="7" s="1"/>
  <c r="O132" i="7" s="1"/>
  <c r="J142" i="7"/>
  <c r="K142" i="7" s="1"/>
  <c r="L142" i="7" s="1"/>
  <c r="M142" i="7" s="1"/>
  <c r="O142" i="7" s="1"/>
  <c r="J92" i="7"/>
  <c r="K92" i="7" s="1"/>
  <c r="L92" i="7" s="1"/>
  <c r="M92" i="7" s="1"/>
  <c r="O92" i="7" s="1"/>
  <c r="J138" i="7"/>
  <c r="K138" i="7" s="1"/>
  <c r="L138" i="7" s="1"/>
  <c r="M138" i="7" s="1"/>
  <c r="O138" i="7" s="1"/>
  <c r="J102" i="7"/>
  <c r="K102" i="7" s="1"/>
  <c r="L102" i="7" s="1"/>
  <c r="M102" i="7" s="1"/>
  <c r="O102" i="7" s="1"/>
  <c r="J101" i="7"/>
  <c r="K101" i="7" s="1"/>
  <c r="L101" i="7" s="1"/>
  <c r="M101" i="7" s="1"/>
  <c r="O101" i="7" s="1"/>
  <c r="J103" i="7"/>
  <c r="K103" i="7" s="1"/>
  <c r="L103" i="7" s="1"/>
  <c r="M103" i="7" s="1"/>
  <c r="O103" i="7" s="1"/>
  <c r="J98" i="7"/>
  <c r="K98" i="7" s="1"/>
  <c r="L98" i="7" s="1"/>
  <c r="M98" i="7" s="1"/>
  <c r="O98" i="7" s="1"/>
  <c r="J107" i="7"/>
  <c r="K107" i="7" s="1"/>
  <c r="L107" i="7" s="1"/>
  <c r="M107" i="7" s="1"/>
  <c r="O107" i="7" s="1"/>
  <c r="J144" i="7"/>
  <c r="K144" i="7" s="1"/>
  <c r="L144" i="7" s="1"/>
  <c r="M144" i="7" s="1"/>
  <c r="O144" i="7" s="1"/>
  <c r="J90" i="7"/>
  <c r="K90" i="7" s="1"/>
  <c r="L90" i="7" s="1"/>
  <c r="M90" i="7" s="1"/>
  <c r="O90" i="7" s="1"/>
  <c r="J87" i="7"/>
  <c r="K87" i="7" s="1"/>
  <c r="L87" i="7" s="1"/>
  <c r="M87" i="7" s="1"/>
  <c r="O87" i="7" s="1"/>
  <c r="P87" i="7" s="1"/>
  <c r="J66" i="7"/>
  <c r="K66" i="7" s="1"/>
  <c r="L66" i="7" s="1"/>
  <c r="M66" i="7" s="1"/>
  <c r="J86" i="7"/>
  <c r="K86" i="7" s="1"/>
  <c r="L86" i="7" s="1"/>
  <c r="M86" i="7" s="1"/>
  <c r="O86" i="7" s="1"/>
  <c r="J65" i="7"/>
  <c r="K65" i="7" s="1"/>
  <c r="L65" i="7" s="1"/>
  <c r="M65" i="7" s="1"/>
  <c r="O65" i="7" s="1"/>
  <c r="J52" i="7"/>
  <c r="K52" i="7" s="1"/>
  <c r="L52" i="7" s="1"/>
  <c r="M52" i="7" s="1"/>
  <c r="O52" i="7" s="1"/>
  <c r="J56" i="7"/>
  <c r="K56" i="7" s="1"/>
  <c r="L56" i="7" s="1"/>
  <c r="M56" i="7" s="1"/>
  <c r="O56" i="7" s="1"/>
  <c r="J58" i="7"/>
  <c r="K58" i="7" s="1"/>
  <c r="L58" i="7" s="1"/>
  <c r="M58" i="7" s="1"/>
  <c r="O58" i="7" s="1"/>
  <c r="J49" i="7"/>
  <c r="K49" i="7" s="1"/>
  <c r="L49" i="7" s="1"/>
  <c r="M49" i="7" s="1"/>
  <c r="O49" i="7" s="1"/>
  <c r="J23" i="7"/>
  <c r="K23" i="7" s="1"/>
  <c r="L23" i="7" s="1"/>
  <c r="M23" i="7" s="1"/>
  <c r="O23" i="7" s="1"/>
  <c r="J27" i="7"/>
  <c r="K27" i="7" s="1"/>
  <c r="L27" i="7" s="1"/>
  <c r="M27" i="7" s="1"/>
  <c r="O27" i="7" s="1"/>
  <c r="J39" i="7"/>
  <c r="K39" i="7" s="1"/>
  <c r="L39" i="7" s="1"/>
  <c r="M39" i="7" s="1"/>
  <c r="O39" i="7" s="1"/>
  <c r="O41" i="7" s="1"/>
  <c r="J43" i="7"/>
  <c r="K43" i="7" s="1"/>
  <c r="L43" i="7" s="1"/>
  <c r="M43" i="7" s="1"/>
  <c r="O43" i="7" s="1"/>
  <c r="J24" i="7"/>
  <c r="K24" i="7" s="1"/>
  <c r="L24" i="7" s="1"/>
  <c r="M24" i="7" s="1"/>
  <c r="O24" i="7" s="1"/>
  <c r="J28" i="7"/>
  <c r="K28" i="7" s="1"/>
  <c r="L28" i="7" s="1"/>
  <c r="M28" i="7" s="1"/>
  <c r="O28" i="7" s="1"/>
  <c r="J40" i="7"/>
  <c r="K40" i="7" s="1"/>
  <c r="L40" i="7" s="1"/>
  <c r="M40" i="7" s="1"/>
  <c r="O40" i="7" s="1"/>
  <c r="J29" i="7"/>
  <c r="K29" i="7" s="1"/>
  <c r="L29" i="7" s="1"/>
  <c r="M29" i="7" s="1"/>
  <c r="O29" i="7" s="1"/>
  <c r="J33" i="7"/>
  <c r="K33" i="7" s="1"/>
  <c r="L33" i="7" s="1"/>
  <c r="M33" i="7" s="1"/>
  <c r="O33" i="7" s="1"/>
  <c r="J45" i="7"/>
  <c r="K45" i="7" s="1"/>
  <c r="L45" i="7" s="1"/>
  <c r="M45" i="7" s="1"/>
  <c r="O45" i="7" s="1"/>
  <c r="O47" i="7" s="1"/>
  <c r="J22" i="7"/>
  <c r="K22" i="7" s="1"/>
  <c r="L22" i="7" s="1"/>
  <c r="M22" i="7" s="1"/>
  <c r="O22" i="7" s="1"/>
  <c r="J34" i="7"/>
  <c r="K34" i="7" s="1"/>
  <c r="L34" i="7" s="1"/>
  <c r="M34" i="7" s="1"/>
  <c r="O34" i="7" s="1"/>
  <c r="J38" i="7"/>
  <c r="K38" i="7" s="1"/>
  <c r="L38" i="7" s="1"/>
  <c r="M38" i="7" s="1"/>
  <c r="O38" i="7" s="1"/>
  <c r="J7" i="7"/>
  <c r="K7" i="7" s="1"/>
  <c r="L7" i="7" s="1"/>
  <c r="M7" i="7" s="1"/>
  <c r="O7" i="7" s="1"/>
  <c r="J11" i="7"/>
  <c r="K11" i="7" s="1"/>
  <c r="L11" i="7" s="1"/>
  <c r="M11" i="7" s="1"/>
  <c r="O11" i="7" s="1"/>
  <c r="J9" i="7"/>
  <c r="K9" i="7" s="1"/>
  <c r="L9" i="7" s="1"/>
  <c r="M9" i="7" s="1"/>
  <c r="O9" i="7" s="1"/>
  <c r="J13" i="7"/>
  <c r="K13" i="7" s="1"/>
  <c r="L13" i="7" s="1"/>
  <c r="M13" i="7" s="1"/>
  <c r="O13" i="7" s="1"/>
  <c r="J8" i="7"/>
  <c r="K8" i="7" s="1"/>
  <c r="L8" i="7" s="1"/>
  <c r="M8" i="7" s="1"/>
  <c r="O8" i="7" s="1"/>
  <c r="J12" i="7"/>
  <c r="K12" i="7" s="1"/>
  <c r="L12" i="7" s="1"/>
  <c r="M12" i="7" s="1"/>
  <c r="O12" i="7" s="1"/>
  <c r="J81" i="7"/>
  <c r="K81" i="7" s="1"/>
  <c r="L81" i="7" s="1"/>
  <c r="M81" i="7" s="1"/>
  <c r="O81" i="7" s="1"/>
  <c r="J15" i="7"/>
  <c r="K15" i="7" s="1"/>
  <c r="L15" i="7" s="1"/>
  <c r="M15" i="7" s="1"/>
  <c r="O15" i="7" s="1"/>
  <c r="T130" i="7" l="1"/>
  <c r="U130" i="7" s="1"/>
  <c r="K84" i="7"/>
  <c r="L84" i="7" s="1"/>
  <c r="M84" i="7" s="1"/>
  <c r="O84" i="7" s="1"/>
  <c r="T84" i="7" s="1"/>
  <c r="U84" i="7" s="1"/>
  <c r="J48" i="7"/>
  <c r="K48" i="7" s="1"/>
  <c r="L48" i="7" s="1"/>
  <c r="M48" i="7" s="1"/>
  <c r="O48" i="7" s="1"/>
  <c r="T48" i="7" s="1"/>
  <c r="U48" i="7" s="1"/>
  <c r="J14" i="7"/>
  <c r="K14" i="7" s="1"/>
  <c r="L14" i="7" s="1"/>
  <c r="M14" i="7" s="1"/>
  <c r="O14" i="7" s="1"/>
  <c r="T14" i="7" s="1"/>
  <c r="U14" i="7" s="1"/>
  <c r="J82" i="7"/>
  <c r="K82" i="7" s="1"/>
  <c r="L82" i="7" s="1"/>
  <c r="M82" i="7" s="1"/>
  <c r="O82" i="7" s="1"/>
  <c r="T82" i="7" s="1"/>
  <c r="U82" i="7" s="1"/>
  <c r="J83" i="7"/>
  <c r="K83" i="7" s="1"/>
  <c r="L83" i="7" s="1"/>
  <c r="M83" i="7" s="1"/>
  <c r="O83" i="7" s="1"/>
  <c r="T83" i="7" s="1"/>
  <c r="U83" i="7" s="1"/>
  <c r="J46" i="7"/>
  <c r="K46" i="7" s="1"/>
  <c r="L46" i="7" s="1"/>
  <c r="M46" i="7" s="1"/>
  <c r="O46" i="7" s="1"/>
  <c r="P46" i="7" s="1"/>
  <c r="R46" i="7" s="1"/>
  <c r="S46" i="7" s="1"/>
  <c r="J30" i="7"/>
  <c r="K30" i="7" s="1"/>
  <c r="L30" i="7" s="1"/>
  <c r="M30" i="7" s="1"/>
  <c r="O30" i="7" s="1"/>
  <c r="T30" i="7" s="1"/>
  <c r="U30" i="7" s="1"/>
  <c r="J25" i="7"/>
  <c r="K25" i="7" s="1"/>
  <c r="L25" i="7" s="1"/>
  <c r="M25" i="7" s="1"/>
  <c r="O25" i="7" s="1"/>
  <c r="T25" i="7" s="1"/>
  <c r="U25" i="7" s="1"/>
  <c r="J36" i="7"/>
  <c r="K36" i="7" s="1"/>
  <c r="L36" i="7" s="1"/>
  <c r="M36" i="7" s="1"/>
  <c r="O36" i="7" s="1"/>
  <c r="P36" i="7" s="1"/>
  <c r="R36" i="7" s="1"/>
  <c r="S36" i="7" s="1"/>
  <c r="J20" i="7"/>
  <c r="K20" i="7" s="1"/>
  <c r="L20" i="7" s="1"/>
  <c r="M20" i="7" s="1"/>
  <c r="O20" i="7" s="1"/>
  <c r="P20" i="7" s="1"/>
  <c r="R20" i="7" s="1"/>
  <c r="S20" i="7" s="1"/>
  <c r="J35" i="7"/>
  <c r="K35" i="7" s="1"/>
  <c r="L35" i="7" s="1"/>
  <c r="M35" i="7" s="1"/>
  <c r="O35" i="7" s="1"/>
  <c r="T35" i="7" s="1"/>
  <c r="U35" i="7" s="1"/>
  <c r="J51" i="7"/>
  <c r="K51" i="7" s="1"/>
  <c r="L51" i="7" s="1"/>
  <c r="M51" i="7" s="1"/>
  <c r="O51" i="7" s="1"/>
  <c r="P51" i="7" s="1"/>
  <c r="R51" i="7" s="1"/>
  <c r="S51" i="7" s="1"/>
  <c r="J54" i="7"/>
  <c r="K54" i="7" s="1"/>
  <c r="L54" i="7" s="1"/>
  <c r="M54" i="7" s="1"/>
  <c r="O54" i="7" s="1"/>
  <c r="P54" i="7" s="1"/>
  <c r="R54" i="7" s="1"/>
  <c r="S54" i="7" s="1"/>
  <c r="J53" i="7"/>
  <c r="K53" i="7" s="1"/>
  <c r="L53" i="7" s="1"/>
  <c r="M53" i="7" s="1"/>
  <c r="O53" i="7" s="1"/>
  <c r="T53" i="7" s="1"/>
  <c r="U53" i="7" s="1"/>
  <c r="J91" i="7"/>
  <c r="K91" i="7" s="1"/>
  <c r="L91" i="7" s="1"/>
  <c r="M91" i="7" s="1"/>
  <c r="O91" i="7" s="1"/>
  <c r="P91" i="7" s="1"/>
  <c r="R91" i="7" s="1"/>
  <c r="S91" i="7" s="1"/>
  <c r="J88" i="7"/>
  <c r="K88" i="7" s="1"/>
  <c r="L88" i="7" s="1"/>
  <c r="M88" i="7" s="1"/>
  <c r="O88" i="7" s="1"/>
  <c r="T88" i="7" s="1"/>
  <c r="U88" i="7" s="1"/>
  <c r="J94" i="7"/>
  <c r="K94" i="7" s="1"/>
  <c r="L94" i="7" s="1"/>
  <c r="M94" i="7" s="1"/>
  <c r="O94" i="7" s="1"/>
  <c r="P94" i="7" s="1"/>
  <c r="R94" i="7" s="1"/>
  <c r="S94" i="7" s="1"/>
  <c r="J135" i="7"/>
  <c r="K135" i="7" s="1"/>
  <c r="L135" i="7" s="1"/>
  <c r="M135" i="7" s="1"/>
  <c r="O135" i="7" s="1"/>
  <c r="J111" i="7"/>
  <c r="K111" i="7" s="1"/>
  <c r="L111" i="7" s="1"/>
  <c r="M111" i="7" s="1"/>
  <c r="O111" i="7" s="1"/>
  <c r="T111" i="7" s="1"/>
  <c r="U111" i="7" s="1"/>
  <c r="J110" i="7"/>
  <c r="K110" i="7" s="1"/>
  <c r="L110" i="7" s="1"/>
  <c r="M110" i="7" s="1"/>
  <c r="O110" i="7" s="1"/>
  <c r="T110" i="7" s="1"/>
  <c r="U110" i="7" s="1"/>
  <c r="J96" i="7"/>
  <c r="K96" i="7" s="1"/>
  <c r="L96" i="7" s="1"/>
  <c r="M96" i="7" s="1"/>
  <c r="O96" i="7" s="1"/>
  <c r="P96" i="7" s="1"/>
  <c r="R96" i="7" s="1"/>
  <c r="S96" i="7" s="1"/>
  <c r="J139" i="7"/>
  <c r="K139" i="7" s="1"/>
  <c r="L139" i="7" s="1"/>
  <c r="M139" i="7" s="1"/>
  <c r="O139" i="7" s="1"/>
  <c r="T139" i="7" s="1"/>
  <c r="U139" i="7" s="1"/>
  <c r="J104" i="7"/>
  <c r="K104" i="7" s="1"/>
  <c r="L104" i="7" s="1"/>
  <c r="M104" i="7" s="1"/>
  <c r="O104" i="7" s="1"/>
  <c r="T104" i="7" s="1"/>
  <c r="U104" i="7" s="1"/>
  <c r="J141" i="7"/>
  <c r="K141" i="7" s="1"/>
  <c r="L141" i="7" s="1"/>
  <c r="M141" i="7" s="1"/>
  <c r="O141" i="7" s="1"/>
  <c r="P141" i="7" s="1"/>
  <c r="R141" i="7" s="1"/>
  <c r="S141" i="7" s="1"/>
  <c r="J123" i="7"/>
  <c r="K123" i="7" s="1"/>
  <c r="L123" i="7" s="1"/>
  <c r="M123" i="7" s="1"/>
  <c r="O123" i="7" s="1"/>
  <c r="P123" i="7" s="1"/>
  <c r="R123" i="7" s="1"/>
  <c r="S123" i="7" s="1"/>
  <c r="J119" i="7"/>
  <c r="K119" i="7" s="1"/>
  <c r="L119" i="7" s="1"/>
  <c r="M119" i="7" s="1"/>
  <c r="O119" i="7" s="1"/>
  <c r="P119" i="7" s="1"/>
  <c r="R119" i="7" s="1"/>
  <c r="S119" i="7" s="1"/>
  <c r="J116" i="7"/>
  <c r="K116" i="7" s="1"/>
  <c r="L116" i="7" s="1"/>
  <c r="M116" i="7" s="1"/>
  <c r="O116" i="7" s="1"/>
  <c r="P116" i="7" s="1"/>
  <c r="R116" i="7" s="1"/>
  <c r="S116" i="7" s="1"/>
  <c r="J118" i="7"/>
  <c r="K118" i="7" s="1"/>
  <c r="L118" i="7" s="1"/>
  <c r="M118" i="7" s="1"/>
  <c r="O118" i="7" s="1"/>
  <c r="T118" i="7" s="1"/>
  <c r="U118" i="7" s="1"/>
  <c r="J126" i="7"/>
  <c r="K126" i="7" s="1"/>
  <c r="L126" i="7" s="1"/>
  <c r="M126" i="7" s="1"/>
  <c r="O126" i="7" s="1"/>
  <c r="T126" i="7" s="1"/>
  <c r="U126" i="7" s="1"/>
  <c r="J124" i="7"/>
  <c r="K124" i="7" s="1"/>
  <c r="L124" i="7" s="1"/>
  <c r="M124" i="7" s="1"/>
  <c r="O124" i="7" s="1"/>
  <c r="P124" i="7" s="1"/>
  <c r="R124" i="7" s="1"/>
  <c r="S124" i="7" s="1"/>
  <c r="J10" i="7"/>
  <c r="K10" i="7" s="1"/>
  <c r="L10" i="7" s="1"/>
  <c r="M10" i="7" s="1"/>
  <c r="O10" i="7" s="1"/>
  <c r="T10" i="7" s="1"/>
  <c r="U10" i="7" s="1"/>
  <c r="J80" i="7"/>
  <c r="K80" i="7" s="1"/>
  <c r="L80" i="7" s="1"/>
  <c r="M80" i="7" s="1"/>
  <c r="O80" i="7" s="1"/>
  <c r="P80" i="7" s="1"/>
  <c r="R80" i="7" s="1"/>
  <c r="S80" i="7" s="1"/>
  <c r="J78" i="7"/>
  <c r="K78" i="7" s="1"/>
  <c r="L78" i="7" s="1"/>
  <c r="M78" i="7" s="1"/>
  <c r="O78" i="7" s="1"/>
  <c r="J79" i="7"/>
  <c r="K79" i="7" s="1"/>
  <c r="L79" i="7" s="1"/>
  <c r="M79" i="7" s="1"/>
  <c r="O79" i="7" s="1"/>
  <c r="P79" i="7" s="1"/>
  <c r="R79" i="7" s="1"/>
  <c r="S79" i="7" s="1"/>
  <c r="J42" i="7"/>
  <c r="K42" i="7" s="1"/>
  <c r="L42" i="7" s="1"/>
  <c r="M42" i="7" s="1"/>
  <c r="O42" i="7" s="1"/>
  <c r="J26" i="7"/>
  <c r="K26" i="7" s="1"/>
  <c r="L26" i="7" s="1"/>
  <c r="M26" i="7" s="1"/>
  <c r="O26" i="7" s="1"/>
  <c r="P26" i="7" s="1"/>
  <c r="R26" i="7" s="1"/>
  <c r="S26" i="7" s="1"/>
  <c r="J37" i="7"/>
  <c r="K37" i="7" s="1"/>
  <c r="L37" i="7" s="1"/>
  <c r="M37" i="7" s="1"/>
  <c r="O37" i="7" s="1"/>
  <c r="P37" i="7" s="1"/>
  <c r="R37" i="7" s="1"/>
  <c r="S37" i="7" s="1"/>
  <c r="J21" i="7"/>
  <c r="K21" i="7" s="1"/>
  <c r="L21" i="7" s="1"/>
  <c r="M21" i="7" s="1"/>
  <c r="O21" i="7" s="1"/>
  <c r="P21" i="7" s="1"/>
  <c r="R21" i="7" s="1"/>
  <c r="S21" i="7" s="1"/>
  <c r="J32" i="7"/>
  <c r="K32" i="7" s="1"/>
  <c r="L32" i="7" s="1"/>
  <c r="M32" i="7" s="1"/>
  <c r="O32" i="7" s="1"/>
  <c r="P32" i="7" s="1"/>
  <c r="R32" i="7" s="1"/>
  <c r="S32" i="7" s="1"/>
  <c r="J31" i="7"/>
  <c r="K31" i="7" s="1"/>
  <c r="L31" i="7" s="1"/>
  <c r="M31" i="7" s="1"/>
  <c r="O31" i="7" s="1"/>
  <c r="T31" i="7" s="1"/>
  <c r="U31" i="7" s="1"/>
  <c r="J50" i="7"/>
  <c r="K50" i="7" s="1"/>
  <c r="L50" i="7" s="1"/>
  <c r="M50" i="7" s="1"/>
  <c r="O50" i="7" s="1"/>
  <c r="P50" i="7" s="1"/>
  <c r="R50" i="7" s="1"/>
  <c r="S50" i="7" s="1"/>
  <c r="J57" i="7"/>
  <c r="K57" i="7" s="1"/>
  <c r="L57" i="7" s="1"/>
  <c r="M57" i="7" s="1"/>
  <c r="O57" i="7" s="1"/>
  <c r="P57" i="7" s="1"/>
  <c r="R57" i="7" s="1"/>
  <c r="S57" i="7" s="1"/>
  <c r="J55" i="7"/>
  <c r="K55" i="7" s="1"/>
  <c r="L55" i="7" s="1"/>
  <c r="M55" i="7" s="1"/>
  <c r="O55" i="7" s="1"/>
  <c r="T55" i="7" s="1"/>
  <c r="U55" i="7" s="1"/>
  <c r="J85" i="7"/>
  <c r="K85" i="7" s="1"/>
  <c r="L85" i="7" s="1"/>
  <c r="M85" i="7" s="1"/>
  <c r="O85" i="7" s="1"/>
  <c r="P85" i="7" s="1"/>
  <c r="R85" i="7" s="1"/>
  <c r="S85" i="7" s="1"/>
  <c r="J89" i="7"/>
  <c r="K89" i="7" s="1"/>
  <c r="L89" i="7" s="1"/>
  <c r="M89" i="7" s="1"/>
  <c r="O89" i="7" s="1"/>
  <c r="P89" i="7" s="1"/>
  <c r="R89" i="7" s="1"/>
  <c r="S89" i="7" s="1"/>
  <c r="J99" i="7"/>
  <c r="K99" i="7" s="1"/>
  <c r="L99" i="7" s="1"/>
  <c r="M99" i="7" s="1"/>
  <c r="O99" i="7" s="1"/>
  <c r="P99" i="7" s="1"/>
  <c r="R99" i="7" s="1"/>
  <c r="S99" i="7" s="1"/>
  <c r="J95" i="7"/>
  <c r="K95" i="7" s="1"/>
  <c r="L95" i="7" s="1"/>
  <c r="M95" i="7" s="1"/>
  <c r="O95" i="7" s="1"/>
  <c r="T95" i="7" s="1"/>
  <c r="U95" i="7" s="1"/>
  <c r="J140" i="7"/>
  <c r="K140" i="7" s="1"/>
  <c r="L140" i="7" s="1"/>
  <c r="M140" i="7" s="1"/>
  <c r="O140" i="7" s="1"/>
  <c r="T140" i="7" s="1"/>
  <c r="U140" i="7" s="1"/>
  <c r="J106" i="7"/>
  <c r="K106" i="7" s="1"/>
  <c r="L106" i="7" s="1"/>
  <c r="M106" i="7" s="1"/>
  <c r="O106" i="7" s="1"/>
  <c r="P106" i="7" s="1"/>
  <c r="R106" i="7" s="1"/>
  <c r="S106" i="7" s="1"/>
  <c r="J112" i="7"/>
  <c r="K112" i="7" s="1"/>
  <c r="L112" i="7" s="1"/>
  <c r="M112" i="7" s="1"/>
  <c r="O112" i="7" s="1"/>
  <c r="T112" i="7" s="1"/>
  <c r="U112" i="7" s="1"/>
  <c r="J100" i="7"/>
  <c r="K100" i="7" s="1"/>
  <c r="L100" i="7" s="1"/>
  <c r="M100" i="7" s="1"/>
  <c r="O100" i="7" s="1"/>
  <c r="P100" i="7" s="1"/>
  <c r="R100" i="7" s="1"/>
  <c r="S100" i="7" s="1"/>
  <c r="J105" i="7"/>
  <c r="K105" i="7" s="1"/>
  <c r="L105" i="7" s="1"/>
  <c r="M105" i="7" s="1"/>
  <c r="O105" i="7" s="1"/>
  <c r="P105" i="7" s="1"/>
  <c r="R105" i="7" s="1"/>
  <c r="S105" i="7" s="1"/>
  <c r="J137" i="7"/>
  <c r="K137" i="7" s="1"/>
  <c r="L137" i="7" s="1"/>
  <c r="M137" i="7" s="1"/>
  <c r="O137" i="7" s="1"/>
  <c r="P137" i="7" s="1"/>
  <c r="R137" i="7" s="1"/>
  <c r="S137" i="7" s="1"/>
  <c r="J114" i="7"/>
  <c r="K114" i="7" s="1"/>
  <c r="L114" i="7" s="1"/>
  <c r="M114" i="7" s="1"/>
  <c r="O114" i="7" s="1"/>
  <c r="P114" i="7" s="1"/>
  <c r="R114" i="7" s="1"/>
  <c r="S114" i="7" s="1"/>
  <c r="J121" i="7"/>
  <c r="K121" i="7" s="1"/>
  <c r="L121" i="7" s="1"/>
  <c r="M121" i="7" s="1"/>
  <c r="O121" i="7" s="1"/>
  <c r="P121" i="7" s="1"/>
  <c r="R121" i="7" s="1"/>
  <c r="S121" i="7" s="1"/>
  <c r="J113" i="7"/>
  <c r="K113" i="7" s="1"/>
  <c r="L113" i="7" s="1"/>
  <c r="M113" i="7" s="1"/>
  <c r="O113" i="7" s="1"/>
  <c r="T113" i="7" s="1"/>
  <c r="U113" i="7" s="1"/>
  <c r="J64" i="7"/>
  <c r="K64" i="7" s="1"/>
  <c r="L64" i="7" s="1"/>
  <c r="M64" i="7" s="1"/>
  <c r="O64" i="7" s="1"/>
  <c r="P64" i="7" s="1"/>
  <c r="R64" i="7" s="1"/>
  <c r="S64" i="7" s="1"/>
  <c r="J63" i="7"/>
  <c r="K63" i="7" s="1"/>
  <c r="L63" i="7" s="1"/>
  <c r="M63" i="7" s="1"/>
  <c r="O63" i="7" s="1"/>
  <c r="P115" i="7"/>
  <c r="R115" i="7" s="1"/>
  <c r="S115" i="7" s="1"/>
  <c r="T115" i="7"/>
  <c r="U115" i="7" s="1"/>
  <c r="P129" i="7"/>
  <c r="T129" i="7"/>
  <c r="U129" i="7" s="1"/>
  <c r="P122" i="7"/>
  <c r="R122" i="7" s="1"/>
  <c r="S122" i="7" s="1"/>
  <c r="T122" i="7"/>
  <c r="U122" i="7" s="1"/>
  <c r="P128" i="7"/>
  <c r="T128" i="7"/>
  <c r="U128" i="7" s="1"/>
  <c r="P127" i="7"/>
  <c r="R127" i="7" s="1"/>
  <c r="S127" i="7" s="1"/>
  <c r="T127" i="7"/>
  <c r="U127" i="7" s="1"/>
  <c r="P120" i="7"/>
  <c r="R120" i="7" s="1"/>
  <c r="S120" i="7" s="1"/>
  <c r="T120" i="7"/>
  <c r="U120" i="7" s="1"/>
  <c r="P125" i="7"/>
  <c r="R125" i="7" s="1"/>
  <c r="S125" i="7" s="1"/>
  <c r="T125" i="7"/>
  <c r="U125" i="7" s="1"/>
  <c r="P117" i="7"/>
  <c r="R117" i="7" s="1"/>
  <c r="S117" i="7" s="1"/>
  <c r="T117" i="7"/>
  <c r="U117" i="7" s="1"/>
  <c r="P107" i="7"/>
  <c r="R107" i="7" s="1"/>
  <c r="S107" i="7" s="1"/>
  <c r="T107" i="7"/>
  <c r="U107" i="7" s="1"/>
  <c r="P103" i="7"/>
  <c r="R103" i="7" s="1"/>
  <c r="S103" i="7" s="1"/>
  <c r="T103" i="7"/>
  <c r="U103" i="7" s="1"/>
  <c r="P102" i="7"/>
  <c r="R102" i="7" s="1"/>
  <c r="S102" i="7" s="1"/>
  <c r="T102" i="7"/>
  <c r="U102" i="7" s="1"/>
  <c r="P92" i="7"/>
  <c r="R92" i="7" s="1"/>
  <c r="S92" i="7" s="1"/>
  <c r="T92" i="7"/>
  <c r="U92" i="7" s="1"/>
  <c r="P131" i="7"/>
  <c r="T131" i="7"/>
  <c r="U131" i="7" s="1"/>
  <c r="P97" i="7"/>
  <c r="R97" i="7" s="1"/>
  <c r="S97" i="7" s="1"/>
  <c r="T97" i="7"/>
  <c r="U97" i="7" s="1"/>
  <c r="P133" i="7"/>
  <c r="T133" i="7"/>
  <c r="U133" i="7" s="1"/>
  <c r="T108" i="7"/>
  <c r="U108" i="7" s="1"/>
  <c r="P108" i="7"/>
  <c r="R108" i="7" s="1"/>
  <c r="S108" i="7" s="1"/>
  <c r="P144" i="7"/>
  <c r="R144" i="7" s="1"/>
  <c r="S144" i="7" s="1"/>
  <c r="T144" i="7"/>
  <c r="U144" i="7" s="1"/>
  <c r="P98" i="7"/>
  <c r="R98" i="7" s="1"/>
  <c r="S98" i="7" s="1"/>
  <c r="T98" i="7"/>
  <c r="U98" i="7" s="1"/>
  <c r="P101" i="7"/>
  <c r="R101" i="7" s="1"/>
  <c r="S101" i="7" s="1"/>
  <c r="T101" i="7"/>
  <c r="U101" i="7" s="1"/>
  <c r="P138" i="7"/>
  <c r="R138" i="7" s="1"/>
  <c r="S138" i="7" s="1"/>
  <c r="T138" i="7"/>
  <c r="U138" i="7" s="1"/>
  <c r="P142" i="7"/>
  <c r="R142" i="7" s="1"/>
  <c r="S142" i="7" s="1"/>
  <c r="T142" i="7"/>
  <c r="U142" i="7" s="1"/>
  <c r="P93" i="7"/>
  <c r="R93" i="7" s="1"/>
  <c r="S93" i="7" s="1"/>
  <c r="T93" i="7"/>
  <c r="U93" i="7" s="1"/>
  <c r="P143" i="7"/>
  <c r="R143" i="7" s="1"/>
  <c r="S143" i="7" s="1"/>
  <c r="T143" i="7"/>
  <c r="U143" i="7" s="1"/>
  <c r="P109" i="7"/>
  <c r="R109" i="7" s="1"/>
  <c r="S109" i="7" s="1"/>
  <c r="T109" i="7"/>
  <c r="U109" i="7" s="1"/>
  <c r="T87" i="7"/>
  <c r="U87" i="7" s="1"/>
  <c r="R87" i="7"/>
  <c r="S87" i="7" s="1"/>
  <c r="T90" i="7"/>
  <c r="U90" i="7" s="1"/>
  <c r="P90" i="7"/>
  <c r="R90" i="7" s="1"/>
  <c r="S90" i="7" s="1"/>
  <c r="T86" i="7"/>
  <c r="U86" i="7" s="1"/>
  <c r="P86" i="7"/>
  <c r="R86" i="7" s="1"/>
  <c r="S86" i="7" s="1"/>
  <c r="P65" i="7"/>
  <c r="R65" i="7" s="1"/>
  <c r="S65" i="7" s="1"/>
  <c r="T65" i="7"/>
  <c r="U65" i="7" s="1"/>
  <c r="P45" i="7"/>
  <c r="T45" i="7"/>
  <c r="U45" i="7" s="1"/>
  <c r="P24" i="7"/>
  <c r="R24" i="7" s="1"/>
  <c r="S24" i="7" s="1"/>
  <c r="T24" i="7"/>
  <c r="U24" i="7" s="1"/>
  <c r="T23" i="7"/>
  <c r="U23" i="7" s="1"/>
  <c r="P23" i="7"/>
  <c r="R23" i="7" s="1"/>
  <c r="S23" i="7" s="1"/>
  <c r="P52" i="7"/>
  <c r="R52" i="7" s="1"/>
  <c r="S52" i="7" s="1"/>
  <c r="T52" i="7"/>
  <c r="U52" i="7" s="1"/>
  <c r="T41" i="7"/>
  <c r="U41" i="7" s="1"/>
  <c r="P53" i="7"/>
  <c r="R53" i="7" s="1"/>
  <c r="S53" i="7" s="1"/>
  <c r="P29" i="7"/>
  <c r="R29" i="7" s="1"/>
  <c r="S29" i="7" s="1"/>
  <c r="T29" i="7"/>
  <c r="U29" i="7" s="1"/>
  <c r="P39" i="7"/>
  <c r="T39" i="7"/>
  <c r="U39" i="7" s="1"/>
  <c r="P58" i="7"/>
  <c r="R58" i="7" s="1"/>
  <c r="S58" i="7" s="1"/>
  <c r="T58" i="7"/>
  <c r="U58" i="7" s="1"/>
  <c r="T47" i="7"/>
  <c r="U47" i="7" s="1"/>
  <c r="P34" i="7"/>
  <c r="R34" i="7" s="1"/>
  <c r="S34" i="7" s="1"/>
  <c r="T34" i="7"/>
  <c r="U34" i="7" s="1"/>
  <c r="P40" i="7"/>
  <c r="R40" i="7" s="1"/>
  <c r="S40" i="7" s="1"/>
  <c r="T40" i="7"/>
  <c r="U40" i="7" s="1"/>
  <c r="T38" i="7"/>
  <c r="U38" i="7" s="1"/>
  <c r="P38" i="7"/>
  <c r="R38" i="7" s="1"/>
  <c r="S38" i="7" s="1"/>
  <c r="P22" i="7"/>
  <c r="R22" i="7" s="1"/>
  <c r="S22" i="7" s="1"/>
  <c r="T22" i="7"/>
  <c r="U22" i="7" s="1"/>
  <c r="P33" i="7"/>
  <c r="R33" i="7" s="1"/>
  <c r="S33" i="7" s="1"/>
  <c r="T33" i="7"/>
  <c r="U33" i="7" s="1"/>
  <c r="P28" i="7"/>
  <c r="R28" i="7" s="1"/>
  <c r="S28" i="7" s="1"/>
  <c r="T28" i="7"/>
  <c r="U28" i="7" s="1"/>
  <c r="P43" i="7"/>
  <c r="R43" i="7" s="1"/>
  <c r="S43" i="7" s="1"/>
  <c r="T43" i="7"/>
  <c r="U43" i="7" s="1"/>
  <c r="T27" i="7"/>
  <c r="U27" i="7" s="1"/>
  <c r="P27" i="7"/>
  <c r="R27" i="7" s="1"/>
  <c r="S27" i="7" s="1"/>
  <c r="T49" i="7"/>
  <c r="U49" i="7" s="1"/>
  <c r="P49" i="7"/>
  <c r="R49" i="7" s="1"/>
  <c r="S49" i="7" s="1"/>
  <c r="P56" i="7"/>
  <c r="R56" i="7" s="1"/>
  <c r="S56" i="7" s="1"/>
  <c r="T56" i="7"/>
  <c r="U56" i="7" s="1"/>
  <c r="T81" i="7"/>
  <c r="U81" i="7" s="1"/>
  <c r="P81" i="7"/>
  <c r="R81" i="7" s="1"/>
  <c r="S81" i="7" s="1"/>
  <c r="T9" i="7"/>
  <c r="U9" i="7" s="1"/>
  <c r="P9" i="7"/>
  <c r="R9" i="7" s="1"/>
  <c r="S9" i="7" s="1"/>
  <c r="P15" i="7"/>
  <c r="R15" i="7" s="1"/>
  <c r="S15" i="7" s="1"/>
  <c r="T15" i="7"/>
  <c r="U15" i="7" s="1"/>
  <c r="P12" i="7"/>
  <c r="R12" i="7" s="1"/>
  <c r="S12" i="7" s="1"/>
  <c r="T12" i="7"/>
  <c r="U12" i="7" s="1"/>
  <c r="P11" i="7"/>
  <c r="R11" i="7" s="1"/>
  <c r="S11" i="7" s="1"/>
  <c r="T11" i="7"/>
  <c r="U11" i="7" s="1"/>
  <c r="P14" i="7"/>
  <c r="R14" i="7" s="1"/>
  <c r="S14" i="7" s="1"/>
  <c r="P13" i="7"/>
  <c r="R13" i="7" s="1"/>
  <c r="S13" i="7" s="1"/>
  <c r="T13" i="7"/>
  <c r="U13" i="7" s="1"/>
  <c r="P8" i="7"/>
  <c r="R8" i="7" s="1"/>
  <c r="S8" i="7" s="1"/>
  <c r="T8" i="7"/>
  <c r="U8" i="7" s="1"/>
  <c r="P7" i="7"/>
  <c r="R7" i="7" s="1"/>
  <c r="S7" i="7" s="1"/>
  <c r="T7" i="7"/>
  <c r="U7" i="7" s="1"/>
  <c r="J62" i="7"/>
  <c r="J19" i="7"/>
  <c r="K19" i="7" s="1"/>
  <c r="L19" i="7" s="1"/>
  <c r="J69" i="7"/>
  <c r="K69" i="7" s="1"/>
  <c r="L69" i="7" s="1"/>
  <c r="M69" i="7" s="1"/>
  <c r="O69" i="7" s="1"/>
  <c r="J18" i="7"/>
  <c r="J68" i="7"/>
  <c r="K68" i="7" s="1"/>
  <c r="L68" i="7" s="1"/>
  <c r="M68" i="7" s="1"/>
  <c r="O68" i="7" s="1"/>
  <c r="P48" i="7" l="1"/>
  <c r="R48" i="7" s="1"/>
  <c r="S48" i="7" s="1"/>
  <c r="R133" i="7"/>
  <c r="S133" i="7" s="1"/>
  <c r="P134" i="7"/>
  <c r="P104" i="7"/>
  <c r="R104" i="7" s="1"/>
  <c r="S104" i="7" s="1"/>
  <c r="P35" i="7"/>
  <c r="R35" i="7" s="1"/>
  <c r="S35" i="7" s="1"/>
  <c r="R129" i="7"/>
  <c r="S129" i="7" s="1"/>
  <c r="P130" i="7"/>
  <c r="R131" i="7"/>
  <c r="S131" i="7" s="1"/>
  <c r="P132" i="7"/>
  <c r="P25" i="7"/>
  <c r="R25" i="7" s="1"/>
  <c r="S25" i="7" s="1"/>
  <c r="P135" i="7"/>
  <c r="O136" i="7"/>
  <c r="T132" i="7"/>
  <c r="U132" i="7" s="1"/>
  <c r="P110" i="7"/>
  <c r="R110" i="7" s="1"/>
  <c r="S110" i="7" s="1"/>
  <c r="T21" i="7"/>
  <c r="U21" i="7" s="1"/>
  <c r="P112" i="7"/>
  <c r="R112" i="7" s="1"/>
  <c r="S112" i="7" s="1"/>
  <c r="O44" i="7"/>
  <c r="T44" i="7" s="1"/>
  <c r="U44" i="7" s="1"/>
  <c r="R128" i="7"/>
  <c r="S128" i="7" s="1"/>
  <c r="P84" i="7"/>
  <c r="R84" i="7" s="1"/>
  <c r="S84" i="7" s="1"/>
  <c r="P113" i="7"/>
  <c r="R113" i="7" s="1"/>
  <c r="S113" i="7" s="1"/>
  <c r="P139" i="7"/>
  <c r="R139" i="7" s="1"/>
  <c r="S139" i="7" s="1"/>
  <c r="T119" i="7"/>
  <c r="U119" i="7" s="1"/>
  <c r="T105" i="7"/>
  <c r="U105" i="7" s="1"/>
  <c r="T85" i="7"/>
  <c r="U85" i="7" s="1"/>
  <c r="P88" i="7"/>
  <c r="R88" i="7" s="1"/>
  <c r="S88" i="7" s="1"/>
  <c r="P118" i="7"/>
  <c r="R118" i="7" s="1"/>
  <c r="S118" i="7" s="1"/>
  <c r="P95" i="7"/>
  <c r="R95" i="7" s="1"/>
  <c r="S95" i="7" s="1"/>
  <c r="T79" i="7"/>
  <c r="U79" i="7" s="1"/>
  <c r="J17" i="7"/>
  <c r="T46" i="7"/>
  <c r="U46" i="7" s="1"/>
  <c r="T42" i="7"/>
  <c r="U42" i="7" s="1"/>
  <c r="P42" i="7"/>
  <c r="R42" i="7" s="1"/>
  <c r="S42" i="7" s="1"/>
  <c r="P31" i="7"/>
  <c r="R31" i="7" s="1"/>
  <c r="S31" i="7" s="1"/>
  <c r="T20" i="7"/>
  <c r="U20" i="7" s="1"/>
  <c r="P82" i="7"/>
  <c r="R82" i="7" s="1"/>
  <c r="S82" i="7" s="1"/>
  <c r="T80" i="7"/>
  <c r="U80" i="7" s="1"/>
  <c r="T32" i="7"/>
  <c r="U32" i="7" s="1"/>
  <c r="T116" i="7"/>
  <c r="U116" i="7" s="1"/>
  <c r="T100" i="7"/>
  <c r="U100" i="7" s="1"/>
  <c r="T91" i="7"/>
  <c r="U91" i="7" s="1"/>
  <c r="P111" i="7"/>
  <c r="R111" i="7" s="1"/>
  <c r="S111" i="7" s="1"/>
  <c r="T57" i="7"/>
  <c r="U57" i="7" s="1"/>
  <c r="T26" i="7"/>
  <c r="U26" i="7" s="1"/>
  <c r="P140" i="7"/>
  <c r="R140" i="7" s="1"/>
  <c r="S140" i="7" s="1"/>
  <c r="T114" i="7"/>
  <c r="U114" i="7" s="1"/>
  <c r="P55" i="7"/>
  <c r="R55" i="7" s="1"/>
  <c r="S55" i="7" s="1"/>
  <c r="T51" i="7"/>
  <c r="U51" i="7" s="1"/>
  <c r="P30" i="7"/>
  <c r="R30" i="7" s="1"/>
  <c r="S30" i="7" s="1"/>
  <c r="T135" i="7"/>
  <c r="U135" i="7" s="1"/>
  <c r="T141" i="7"/>
  <c r="U141" i="7" s="1"/>
  <c r="P10" i="7"/>
  <c r="R10" i="7" s="1"/>
  <c r="S10" i="7" s="1"/>
  <c r="T106" i="7"/>
  <c r="U106" i="7" s="1"/>
  <c r="T121" i="7"/>
  <c r="U121" i="7" s="1"/>
  <c r="P83" i="7"/>
  <c r="R83" i="7" s="1"/>
  <c r="S83" i="7" s="1"/>
  <c r="T137" i="7"/>
  <c r="U137" i="7" s="1"/>
  <c r="T99" i="7"/>
  <c r="U99" i="7" s="1"/>
  <c r="T124" i="7"/>
  <c r="U124" i="7" s="1"/>
  <c r="T50" i="7"/>
  <c r="U50" i="7" s="1"/>
  <c r="T89" i="7"/>
  <c r="U89" i="7" s="1"/>
  <c r="T123" i="7"/>
  <c r="U123" i="7" s="1"/>
  <c r="T64" i="7"/>
  <c r="U64" i="7" s="1"/>
  <c r="P126" i="7"/>
  <c r="R126" i="7" s="1"/>
  <c r="S126" i="7" s="1"/>
  <c r="T54" i="7"/>
  <c r="U54" i="7" s="1"/>
  <c r="T36" i="7"/>
  <c r="U36" i="7" s="1"/>
  <c r="T37" i="7"/>
  <c r="U37" i="7" s="1"/>
  <c r="T96" i="7"/>
  <c r="U96" i="7" s="1"/>
  <c r="T94" i="7"/>
  <c r="U94" i="7" s="1"/>
  <c r="K62" i="7"/>
  <c r="L62" i="7" s="1"/>
  <c r="M62" i="7" s="1"/>
  <c r="O62" i="7" s="1"/>
  <c r="J67" i="7"/>
  <c r="T78" i="7"/>
  <c r="U78" i="7" s="1"/>
  <c r="P78" i="7"/>
  <c r="R78" i="7" s="1"/>
  <c r="S78" i="7" s="1"/>
  <c r="R45" i="7"/>
  <c r="S45" i="7" s="1"/>
  <c r="P47" i="7"/>
  <c r="R47" i="7" s="1"/>
  <c r="S47" i="7" s="1"/>
  <c r="R39" i="7"/>
  <c r="S39" i="7" s="1"/>
  <c r="P41" i="7"/>
  <c r="R41" i="7" s="1"/>
  <c r="S41" i="7" s="1"/>
  <c r="O66" i="7"/>
  <c r="M19" i="7"/>
  <c r="O19" i="7" s="1"/>
  <c r="T69" i="7"/>
  <c r="U69" i="7" s="1"/>
  <c r="P69" i="7"/>
  <c r="R69" i="7" s="1"/>
  <c r="S69" i="7" s="1"/>
  <c r="T63" i="7"/>
  <c r="U63" i="7" s="1"/>
  <c r="P63" i="7"/>
  <c r="R63" i="7" s="1"/>
  <c r="S63" i="7" s="1"/>
  <c r="T68" i="7"/>
  <c r="U68" i="7" s="1"/>
  <c r="P68" i="7"/>
  <c r="R68" i="7" s="1"/>
  <c r="O6" i="7"/>
  <c r="J60" i="7"/>
  <c r="K18" i="7"/>
  <c r="L18" i="7" s="1"/>
  <c r="M18" i="7" s="1"/>
  <c r="O18" i="7" s="1"/>
  <c r="J72" i="7"/>
  <c r="R135" i="7" l="1"/>
  <c r="S135" i="7" s="1"/>
  <c r="P136" i="7"/>
  <c r="T134" i="7"/>
  <c r="U134" i="7" s="1"/>
  <c r="T136" i="7"/>
  <c r="U136" i="7" s="1"/>
  <c r="R130" i="7"/>
  <c r="S130" i="7" s="1"/>
  <c r="P44" i="7"/>
  <c r="R44" i="7" s="1"/>
  <c r="S44" i="7" s="1"/>
  <c r="J73" i="7"/>
  <c r="S68" i="7"/>
  <c r="S72" i="7" s="1"/>
  <c r="R72" i="7"/>
  <c r="T66" i="7"/>
  <c r="U66" i="7" s="1"/>
  <c r="P66" i="7"/>
  <c r="R66" i="7" s="1"/>
  <c r="S66" i="7" s="1"/>
  <c r="P19" i="7"/>
  <c r="R19" i="7" s="1"/>
  <c r="S19" i="7" s="1"/>
  <c r="T19" i="7"/>
  <c r="U19" i="7" s="1"/>
  <c r="U72" i="7"/>
  <c r="T72" i="7"/>
  <c r="T62" i="7"/>
  <c r="U62" i="7" s="1"/>
  <c r="P62" i="7"/>
  <c r="R62" i="7" s="1"/>
  <c r="P18" i="7"/>
  <c r="R18" i="7" s="1"/>
  <c r="T18" i="7"/>
  <c r="T6" i="7"/>
  <c r="P6" i="7"/>
  <c r="R6" i="7" s="1"/>
  <c r="R17" i="7" s="1"/>
  <c r="R132" i="7" l="1"/>
  <c r="S132" i="7" s="1"/>
  <c r="U6" i="7"/>
  <c r="U17" i="7" s="1"/>
  <c r="T17" i="7"/>
  <c r="U18" i="7"/>
  <c r="U60" i="7" s="1"/>
  <c r="T60" i="7"/>
  <c r="S18" i="7"/>
  <c r="S60" i="7" s="1"/>
  <c r="R60" i="7"/>
  <c r="U67" i="7"/>
  <c r="T67" i="7"/>
  <c r="S6" i="7"/>
  <c r="S17" i="7" s="1"/>
  <c r="R67" i="7"/>
  <c r="S62" i="7"/>
  <c r="S67" i="7" s="1"/>
  <c r="R134" i="7" l="1"/>
  <c r="S134" i="7" s="1"/>
  <c r="R136" i="7"/>
  <c r="S136" i="7" s="1"/>
  <c r="S73" i="7"/>
  <c r="B25" i="4" s="1"/>
  <c r="B26" i="4" s="1"/>
  <c r="U73" i="7"/>
  <c r="B28" i="4" s="1"/>
  <c r="B29" i="4" s="1"/>
  <c r="C29" i="4" s="1"/>
  <c r="T73" i="7"/>
  <c r="R7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Randy Poole</author>
    <author>Logan Davis</author>
  </authors>
  <commentList>
    <comment ref="P5" authorId="0" shapeId="0" xr:uid="{F7E027BE-FA83-42AC-984A-5D47183BAFF3}">
      <text>
        <r>
          <rPr>
            <b/>
            <sz val="9"/>
            <color indexed="81"/>
            <rFont val="Tahoma"/>
            <family val="2"/>
          </rPr>
          <t>Randy Poole:</t>
        </r>
        <r>
          <rPr>
            <sz val="9"/>
            <color indexed="81"/>
            <rFont val="Tahoma"/>
            <family val="2"/>
          </rPr>
          <t xml:space="preserve">
Important changes spreadsheet mentions to maybe delete this column?</t>
        </r>
      </text>
    </comment>
    <comment ref="D41" authorId="1" shapeId="0" xr:uid="{00000000-0006-0000-0200-000001000000}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  <comment ref="D44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  <comment ref="D4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  <comment ref="H66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meeks weights equal to one unit of msw</t>
        </r>
      </text>
    </comment>
    <comment ref="D130" authorId="1" shapeId="0" xr:uid="{B192CF7F-7120-448D-8394-2BCB3F33C6C0}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  <comment ref="D132" authorId="1" shapeId="0" xr:uid="{054CDD6F-124B-42AC-8B17-22BD55239765}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  <comment ref="D134" authorId="1" shapeId="0" xr:uid="{F8DB6448-22F0-499A-B1AD-AC8AB58DBD2D}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  <comment ref="D136" authorId="1" shapeId="0" xr:uid="{07ADFD5F-8152-49BF-A33D-1730973AA3D5}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alternative rate calc, monthly minimum is 4.33 times the regular pickup rate</t>
        </r>
      </text>
    </comment>
  </commentList>
</comments>
</file>

<file path=xl/sharedStrings.xml><?xml version="1.0" encoding="utf-8"?>
<sst xmlns="http://schemas.openxmlformats.org/spreadsheetml/2006/main" count="306" uniqueCount="201">
  <si>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</si>
  <si>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</si>
  <si>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</si>
  <si>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</si>
  <si>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</si>
  <si>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</si>
  <si>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</si>
  <si>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</si>
  <si>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>Increase</t>
  </si>
  <si>
    <t>Meeks Weights</t>
  </si>
  <si>
    <t>Adjustment factor</t>
  </si>
  <si>
    <t>Collected Revenue Excess/(Deficiency)</t>
  </si>
  <si>
    <t>Residential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</si>
  <si>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</si>
  <si>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</si>
  <si>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</si>
  <si>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</si>
  <si>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</si>
  <si>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</si>
  <si>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</si>
  <si>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</si>
  <si>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</si>
  <si>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</si>
  <si>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</si>
  <si>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</si>
  <si>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</si>
  <si>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</si>
  <si>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</si>
  <si>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</si>
  <si>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</si>
  <si>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</si>
  <si>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</si>
  <si>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</si>
  <si>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</si>
  <si>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No Current Customers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</si>
  <si>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</si>
  <si>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</si>
  <si>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</si>
  <si>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</si>
  <si>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</si>
  <si>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</si>
  <si>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</si>
  <si>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</si>
  <si>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</si>
  <si>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</si>
  <si>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</si>
  <si>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</si>
  <si>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</si>
  <si>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</si>
  <si>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</si>
  <si>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</si>
  <si>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</si>
  <si>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Some County Disposal Fees</t>
  </si>
  <si>
    <t>Current Rate</t>
  </si>
  <si>
    <t>New Rate</t>
  </si>
  <si>
    <t>Staff Revenue Increase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</si>
  <si>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</si>
  <si>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</si>
  <si>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</si>
  <si>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</si>
  <si>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</si>
  <si>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</si>
  <si>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</si>
  <si>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</si>
  <si>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</si>
  <si>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</si>
  <si>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</si>
  <si>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</si>
  <si>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</si>
  <si>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</si>
  <si>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</si>
  <si>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</si>
  <si>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</si>
  <si>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</si>
  <si>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</si>
  <si>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</si>
  <si>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</si>
  <si>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</si>
  <si>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Pullman Disposal</t>
  </si>
  <si>
    <t>Note: Include bad debt if it was included in Lurito model</t>
  </si>
  <si>
    <t>6 cans weekly</t>
  </si>
  <si>
    <t>1 can weekly</t>
  </si>
  <si>
    <t>2 cans weekly</t>
  </si>
  <si>
    <t>3 cans weekly</t>
  </si>
  <si>
    <t>4 cans weekly</t>
  </si>
  <si>
    <t>5 cans weekly</t>
  </si>
  <si>
    <t>Mini-can weekly</t>
  </si>
  <si>
    <t>Micro-can weekly</t>
  </si>
  <si>
    <t>1.0 Yd. pu</t>
  </si>
  <si>
    <t>1.0 Yd. rent</t>
  </si>
  <si>
    <t>1.5 Yd. rent</t>
  </si>
  <si>
    <t>1.5 Yd. pu</t>
  </si>
  <si>
    <t>2.0 Yd. rent</t>
  </si>
  <si>
    <t>2.0 Yd, pu</t>
  </si>
  <si>
    <t>3.0 Yd. rent</t>
  </si>
  <si>
    <t>3.0 Yd. pu</t>
  </si>
  <si>
    <t>4.0 Yd. rent</t>
  </si>
  <si>
    <t>4.0 Yd. pu</t>
  </si>
  <si>
    <t>6.0 Yd. rent</t>
  </si>
  <si>
    <t>6.0 Yd. pu</t>
  </si>
  <si>
    <t>8.0 Yd. rent</t>
  </si>
  <si>
    <t>8.0 Yd. pu</t>
  </si>
  <si>
    <t>change in tariff</t>
  </si>
  <si>
    <t>1.0 Yd. Special Pickup</t>
  </si>
  <si>
    <t>2.0 Yd. Special Pickup</t>
  </si>
  <si>
    <t>3.0 Yd. Special Pickup</t>
  </si>
  <si>
    <t>4.0 Yd. Special Pickup</t>
  </si>
  <si>
    <t>6.0 Yd. Special Pickup</t>
  </si>
  <si>
    <t>8.0 Yd. Special Pickup</t>
  </si>
  <si>
    <t>1.0 to 8.0 Yd. Delivery Charge</t>
  </si>
  <si>
    <t>Commercial - Temporary Service</t>
  </si>
  <si>
    <t>Multifamily and Commercial - Permanent Service</t>
  </si>
  <si>
    <t>105/240</t>
  </si>
  <si>
    <t>33/42</t>
  </si>
  <si>
    <t>Rent Per Calendar Day</t>
  </si>
  <si>
    <t>32 Gal Toter Pickup</t>
  </si>
  <si>
    <t>32 Gal Toter Special Pickup</t>
  </si>
  <si>
    <t>32 Gal Toter Minimum per Month</t>
  </si>
  <si>
    <t>64 Gal Toter Pickup</t>
  </si>
  <si>
    <t>64 Gal Toter Special Pickup</t>
  </si>
  <si>
    <t>64 Gal Toter Minimum per Month</t>
  </si>
  <si>
    <t>96 Gal Toter Pickup</t>
  </si>
  <si>
    <t>96 Gal Toter Minimum per Month</t>
  </si>
  <si>
    <t>26/30</t>
  </si>
  <si>
    <t>Oversized/Overweight Cans</t>
  </si>
  <si>
    <t>Additional Units</t>
  </si>
  <si>
    <t>Mini-can Special Pickup</t>
  </si>
  <si>
    <t>1 Can Special Pickup</t>
  </si>
  <si>
    <t>3 Cans Special Pickup</t>
  </si>
  <si>
    <t>2 Cans Special Pickup</t>
  </si>
  <si>
    <t>5 Cans Special Pickup</t>
  </si>
  <si>
    <t>6 Cans Special Pickup</t>
  </si>
  <si>
    <t>Micro-can Special Pickup</t>
  </si>
  <si>
    <t>25/29</t>
  </si>
  <si>
    <t>Prepaid Extra Bag</t>
  </si>
  <si>
    <t>33/43</t>
  </si>
  <si>
    <t>Bad Debts</t>
  </si>
  <si>
    <t>Loose/Bulky Yards</t>
  </si>
  <si>
    <t>1.5 Yd. Special Pickup</t>
  </si>
  <si>
    <t>Once per Month "On Call"</t>
  </si>
  <si>
    <t>Disposal Fee</t>
  </si>
  <si>
    <t xml:space="preserve">on call monthly, </t>
  </si>
  <si>
    <t>1 yd monthly rent - heavy</t>
  </si>
  <si>
    <t>1 yd pu - heavy</t>
  </si>
  <si>
    <t>1 yd special pu - heavy</t>
  </si>
  <si>
    <t>1.5 yd monthly rent - heavy</t>
  </si>
  <si>
    <t>1.5 yd pu - heavy</t>
  </si>
  <si>
    <t>1.5 yd special pu - heavy</t>
  </si>
  <si>
    <t>2 yd monthly rent - heavy</t>
  </si>
  <si>
    <t>2 yd pu - heavy</t>
  </si>
  <si>
    <t>2 yd special pu - heavy</t>
  </si>
  <si>
    <t>3 yd monthly rent - heavy</t>
  </si>
  <si>
    <t>3 yd pu - heavy</t>
  </si>
  <si>
    <t>3 yd special pu - heavy</t>
  </si>
  <si>
    <t>4 yd monthly rent - heavy</t>
  </si>
  <si>
    <t>4 yd pu - heavy</t>
  </si>
  <si>
    <t>4 yd special pu - heavy</t>
  </si>
  <si>
    <t>6 yd monthly rent - heavy</t>
  </si>
  <si>
    <t>6 yd pu - heavy</t>
  </si>
  <si>
    <t>6 yd special pu - heavy</t>
  </si>
  <si>
    <t>8 yd montlhly rent - heavy</t>
  </si>
  <si>
    <t>8 yd pu - heavy</t>
  </si>
  <si>
    <t>8 yd special pu - heavy</t>
  </si>
  <si>
    <t>1 yd pu customer owned</t>
  </si>
  <si>
    <t>1.5 yd pu customer owned</t>
  </si>
  <si>
    <t>2 yd customer owned</t>
  </si>
  <si>
    <t>47a</t>
  </si>
  <si>
    <t>2 yd schedule pu</t>
  </si>
  <si>
    <t>2 yd special pu</t>
  </si>
  <si>
    <t>3 yd schedule pu</t>
  </si>
  <si>
    <t>3 yd special pu</t>
  </si>
  <si>
    <t>4 yd schedule pu</t>
  </si>
  <si>
    <t>4 yd special pu</t>
  </si>
  <si>
    <t>6 yd schedule pu</t>
  </si>
  <si>
    <t>6 yd special pu</t>
  </si>
  <si>
    <t>Heavy Containers - Permanent</t>
  </si>
  <si>
    <t>Initial delivery - all sizes - heavy</t>
  </si>
  <si>
    <t>Daily rent - all sizes - heavy</t>
  </si>
  <si>
    <t>Heavy Containers - Temporary</t>
  </si>
  <si>
    <t>Compacted Material</t>
  </si>
  <si>
    <t>Cust-Owned</t>
  </si>
  <si>
    <t>Commericial</t>
  </si>
  <si>
    <t>32 gal pu customer owned</t>
  </si>
  <si>
    <t>1.0 Yd. rent - TEMP</t>
  </si>
  <si>
    <t>1.0 Yd. pu - TEMP</t>
  </si>
  <si>
    <t>1.5 Yd. rent - TEMP</t>
  </si>
  <si>
    <t>1.5 Yd. pu - TEMP</t>
  </si>
  <si>
    <t>96 Gal Toter Special Pickup</t>
  </si>
  <si>
    <t>8 yd monthly rent - heavy</t>
  </si>
  <si>
    <t>44/45</t>
  </si>
  <si>
    <t>33/34/46</t>
  </si>
  <si>
    <t>33/46</t>
  </si>
  <si>
    <t>4 Cans Special Pickup</t>
  </si>
  <si>
    <t>MF and Commercial</t>
  </si>
  <si>
    <t>105/245</t>
  </si>
  <si>
    <t>Extra 68 Gal Cart</t>
  </si>
  <si>
    <t>Extra 95 Gal Cart</t>
  </si>
  <si>
    <t>32 gal pu Minimum per Month</t>
  </si>
  <si>
    <t>1 yd pu Minimum per Month</t>
  </si>
  <si>
    <t>1.5 yd pu Minimum per Month</t>
  </si>
  <si>
    <t>2 yd pu Minimum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</si>
</sst>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  <numFmt numFmtId="172" formatCode="0.000%"/>
    <numFmt numFmtId="173" formatCode="0.0000%"/>
    <numFmt numFmtId="174" formatCode="_(* #,##0.00000_);_(* \(#,##0.0000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41" fontId="2" fillId="0" borderId="0"/>
    <xf numFmtId="0" fontId="9" fillId="10" borderId="0" applyNumberFormat="0" applyBorder="0" applyAlignment="0" applyProtection="0"/>
    <xf numFmtId="3" fontId="2" fillId="0" borderId="0"/>
    <xf numFmtId="0" fontId="10" fillId="11" borderId="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1" fillId="0" borderId="0"/>
    <xf numFmtId="0" fontId="12" fillId="0" borderId="0"/>
    <xf numFmtId="0" fontId="12" fillId="0" borderId="0"/>
    <xf numFmtId="0" fontId="13" fillId="12" borderId="1" applyAlignment="0">
      <alignment horizontal="right"/>
      <protection locked="0"/>
    </xf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13" borderId="0">
      <alignment horizontal="right"/>
      <protection locked="0"/>
    </xf>
    <xf numFmtId="2" fontId="14" fillId="13" borderId="0">
      <alignment horizontal="right"/>
      <protection locked="0"/>
    </xf>
    <xf numFmtId="0" fontId="15" fillId="1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" fontId="21" fillId="15" borderId="0">
      <protection locked="0"/>
    </xf>
    <xf numFmtId="4" fontId="21" fillId="15" borderId="0">
      <protection locked="0"/>
    </xf>
    <xf numFmtId="0" fontId="22" fillId="0" borderId="10" applyNumberFormat="0" applyFill="0" applyAlignment="0" applyProtection="0"/>
    <xf numFmtId="0" fontId="23" fillId="4" borderId="0" applyNumberFormat="0" applyBorder="0" applyAlignment="0" applyProtection="0"/>
    <xf numFmtId="43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16" borderId="11" applyNumberFormat="0" applyFont="0" applyAlignment="0" applyProtection="0"/>
    <xf numFmtId="171" fontId="26" fillId="0" borderId="0" applyNumberFormat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7" fillId="0" borderId="0" applyNumberFormat="0" applyFont="0" applyFill="0" applyBorder="0" applyAlignment="0" applyProtection="0">
      <alignment horizontal="left"/>
    </xf>
    <xf numFmtId="0" fontId="28" fillId="0" borderId="5">
      <alignment horizontal="center"/>
    </xf>
    <xf numFmtId="0" fontId="11" fillId="0" borderId="0">
      <alignment vertical="top"/>
    </xf>
    <xf numFmtId="0" fontId="11" fillId="0" borderId="0" applyNumberFormat="0" applyBorder="0" applyAlignment="0"/>
    <xf numFmtId="0" fontId="29" fillId="0" borderId="12" applyNumberFormat="0" applyFill="0" applyAlignment="0" applyProtection="0"/>
  </cellStyleXfs>
  <cellXfs count="139">
    <xf numFmtId="0" fontId="0" fillId="0" borderId="0" xfId="0"/>
    <xf numFmtId="0" fontId="5" fillId="0" borderId="0" xfId="0" applyFont="1"/>
    <xf numFmtId="168" fontId="34" fillId="0" borderId="0" xfId="1" applyNumberFormat="1" applyFont="1" applyFill="1" applyBorder="1"/>
    <xf numFmtId="172" fontId="32" fillId="0" borderId="0" xfId="3" applyNumberFormat="1" applyFont="1" applyFill="1"/>
    <xf numFmtId="174" fontId="32" fillId="0" borderId="0" xfId="1" applyNumberFormat="1" applyFont="1" applyFill="1"/>
    <xf numFmtId="173" fontId="32" fillId="0" borderId="0" xfId="3" applyNumberFormat="1" applyFont="1" applyFill="1"/>
    <xf numFmtId="43" fontId="32" fillId="0" borderId="0" xfId="1" applyFont="1" applyFill="1" applyBorder="1"/>
    <xf numFmtId="43" fontId="32" fillId="0" borderId="0" xfId="1" applyFont="1" applyFill="1" applyBorder="1" applyAlignment="1">
      <alignment horizontal="center" wrapText="1"/>
    </xf>
    <xf numFmtId="44" fontId="32" fillId="0" borderId="0" xfId="1" applyNumberFormat="1" applyFont="1" applyFill="1" applyBorder="1"/>
    <xf numFmtId="44" fontId="32" fillId="0" borderId="0" xfId="2" applyFont="1" applyFill="1" applyBorder="1"/>
    <xf numFmtId="164" fontId="32" fillId="0" borderId="0" xfId="1" applyNumberFormat="1" applyFont="1" applyFill="1" applyBorder="1"/>
    <xf numFmtId="43" fontId="32" fillId="0" borderId="1" xfId="1" applyFont="1" applyFill="1" applyBorder="1"/>
    <xf numFmtId="43" fontId="32" fillId="0" borderId="1" xfId="1" applyFont="1" applyFill="1" applyBorder="1" applyAlignment="1">
      <alignment horizontal="center" wrapText="1"/>
    </xf>
    <xf numFmtId="44" fontId="32" fillId="0" borderId="1" xfId="1" applyNumberFormat="1" applyFont="1" applyFill="1" applyBorder="1"/>
    <xf numFmtId="44" fontId="32" fillId="0" borderId="1" xfId="2" applyFont="1" applyFill="1" applyBorder="1"/>
    <xf numFmtId="164" fontId="32" fillId="0" borderId="1" xfId="1" applyNumberFormat="1" applyFont="1" applyFill="1" applyBorder="1"/>
    <xf numFmtId="44" fontId="32" fillId="0" borderId="3" xfId="1" applyNumberFormat="1" applyFont="1" applyFill="1" applyBorder="1"/>
    <xf numFmtId="164" fontId="32" fillId="0" borderId="3" xfId="1" applyNumberFormat="1" applyFont="1" applyFill="1" applyBorder="1"/>
    <xf numFmtId="10" fontId="32" fillId="0" borderId="2" xfId="3" applyNumberFormat="1" applyFont="1" applyFill="1" applyBorder="1"/>
    <xf numFmtId="164" fontId="32" fillId="0" borderId="0" xfId="1" applyNumberFormat="1" applyFont="1" applyFill="1"/>
    <xf numFmtId="43" fontId="32" fillId="0" borderId="0" xfId="1" applyFont="1" applyFill="1" applyBorder="1" applyAlignment="1">
      <alignment wrapText="1"/>
    </xf>
    <xf numFmtId="43" fontId="32" fillId="0" borderId="1" xfId="1" applyFont="1" applyFill="1" applyBorder="1" applyAlignment="1">
      <alignment wrapText="1"/>
    </xf>
    <xf numFmtId="167" fontId="33" fillId="0" borderId="2" xfId="1" applyNumberFormat="1" applyFont="1" applyFill="1" applyBorder="1" applyAlignment="1">
      <alignment horizontal="center" wrapText="1"/>
    </xf>
    <xf numFmtId="43" fontId="33" fillId="0" borderId="2" xfId="1" applyFont="1" applyFill="1" applyBorder="1" applyAlignment="1">
      <alignment horizontal="center" wrapText="1"/>
    </xf>
    <xf numFmtId="43" fontId="33" fillId="0" borderId="2" xfId="1" applyFont="1" applyFill="1" applyBorder="1" applyAlignment="1">
      <alignment wrapText="1"/>
    </xf>
    <xf numFmtId="44" fontId="33" fillId="0" borderId="2" xfId="1" applyNumberFormat="1" applyFont="1" applyFill="1" applyBorder="1" applyAlignment="1">
      <alignment horizontal="center" wrapText="1"/>
    </xf>
    <xf numFmtId="164" fontId="33" fillId="0" borderId="2" xfId="1" applyNumberFormat="1" applyFont="1" applyFill="1" applyBorder="1"/>
    <xf numFmtId="164" fontId="33" fillId="0" borderId="2" xfId="1" applyNumberFormat="1" applyFont="1" applyFill="1" applyBorder="1" applyAlignment="1">
      <alignment horizontal="center" wrapText="1"/>
    </xf>
    <xf numFmtId="43" fontId="32" fillId="0" borderId="0" xfId="1" applyFont="1" applyFill="1"/>
    <xf numFmtId="10" fontId="32" fillId="0" borderId="0" xfId="3" applyNumberFormat="1" applyFont="1" applyFill="1"/>
    <xf numFmtId="44" fontId="32" fillId="0" borderId="0" xfId="1" applyNumberFormat="1" applyFont="1" applyFill="1" applyBorder="1" applyAlignment="1">
      <alignment horizontal="center" wrapText="1"/>
    </xf>
    <xf numFmtId="167" fontId="32" fillId="0" borderId="0" xfId="1" applyNumberFormat="1" applyFont="1" applyFill="1" applyBorder="1"/>
    <xf numFmtId="0" fontId="32" fillId="0" borderId="0" xfId="2" applyNumberFormat="1" applyFont="1" applyFill="1" applyBorder="1"/>
    <xf numFmtId="167" fontId="32" fillId="0" borderId="0" xfId="1" applyNumberFormat="1" applyFont="1" applyFill="1"/>
    <xf numFmtId="10" fontId="32" fillId="0" borderId="0" xfId="3" applyNumberFormat="1" applyFont="1" applyFill="1" applyBorder="1"/>
    <xf numFmtId="164" fontId="32" fillId="0" borderId="0" xfId="2" applyNumberFormat="1" applyFont="1" applyFill="1" applyBorder="1"/>
    <xf numFmtId="165" fontId="32" fillId="0" borderId="0" xfId="2" applyNumberFormat="1" applyFont="1" applyFill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0" fontId="32" fillId="0" borderId="0" xfId="0" applyFont="1" applyAlignment="1">
      <alignment horizontal="right"/>
    </xf>
    <xf numFmtId="0" fontId="32" fillId="0" borderId="1" xfId="0" applyFont="1" applyBorder="1"/>
    <xf numFmtId="0" fontId="32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wrapText="1"/>
    </xf>
    <xf numFmtId="0" fontId="32" fillId="0" borderId="0" xfId="0" applyFont="1" applyAlignment="1">
      <alignment horizontal="center" vertical="center"/>
    </xf>
    <xf numFmtId="0" fontId="2" fillId="0" borderId="0" xfId="4" applyAlignment="1">
      <alignment horizontal="left"/>
    </xf>
    <xf numFmtId="3" fontId="32" fillId="0" borderId="0" xfId="0" applyNumberFormat="1" applyFont="1"/>
    <xf numFmtId="167" fontId="32" fillId="0" borderId="0" xfId="0" applyNumberFormat="1" applyFont="1"/>
    <xf numFmtId="43" fontId="32" fillId="0" borderId="0" xfId="0" applyNumberFormat="1" applyFont="1"/>
    <xf numFmtId="164" fontId="32" fillId="0" borderId="0" xfId="0" applyNumberFormat="1" applyFont="1"/>
    <xf numFmtId="0" fontId="32" fillId="0" borderId="0" xfId="0" applyFont="1" applyAlignment="1">
      <alignment horizontal="center" vertical="center" textRotation="90"/>
    </xf>
    <xf numFmtId="0" fontId="32" fillId="0" borderId="1" xfId="0" applyFont="1" applyBorder="1" applyAlignment="1">
      <alignment horizontal="center" vertical="center" textRotation="90"/>
    </xf>
    <xf numFmtId="0" fontId="32" fillId="0" borderId="1" xfId="0" applyFont="1" applyBorder="1" applyAlignment="1">
      <alignment horizontal="center" vertical="center"/>
    </xf>
    <xf numFmtId="0" fontId="2" fillId="0" borderId="1" xfId="4" applyBorder="1" applyAlignment="1">
      <alignment horizontal="left"/>
    </xf>
    <xf numFmtId="3" fontId="32" fillId="0" borderId="1" xfId="0" applyNumberFormat="1" applyFont="1" applyBorder="1"/>
    <xf numFmtId="167" fontId="32" fillId="0" borderId="1" xfId="0" applyNumberFormat="1" applyFont="1" applyBorder="1"/>
    <xf numFmtId="43" fontId="32" fillId="0" borderId="1" xfId="0" applyNumberFormat="1" applyFont="1" applyBorder="1"/>
    <xf numFmtId="164" fontId="32" fillId="0" borderId="1" xfId="0" applyNumberFormat="1" applyFont="1" applyBorder="1"/>
    <xf numFmtId="0" fontId="32" fillId="0" borderId="1" xfId="0" applyFont="1" applyBorder="1" applyAlignment="1">
      <alignment vertical="center" textRotation="90"/>
    </xf>
    <xf numFmtId="0" fontId="4" fillId="0" borderId="0" xfId="4" applyFont="1" applyAlignment="1">
      <alignment horizontal="left"/>
    </xf>
    <xf numFmtId="3" fontId="33" fillId="0" borderId="0" xfId="0" applyNumberFormat="1" applyFont="1"/>
    <xf numFmtId="167" fontId="33" fillId="0" borderId="0" xfId="0" applyNumberFormat="1" applyFont="1"/>
    <xf numFmtId="3" fontId="33" fillId="0" borderId="1" xfId="0" applyNumberFormat="1" applyFont="1" applyBorder="1"/>
    <xf numFmtId="164" fontId="33" fillId="0" borderId="0" xfId="0" applyNumberFormat="1" applyFont="1"/>
    <xf numFmtId="164" fontId="33" fillId="0" borderId="1" xfId="0" applyNumberFormat="1" applyFont="1" applyBorder="1"/>
    <xf numFmtId="0" fontId="32" fillId="0" borderId="3" xfId="0" applyFont="1" applyBorder="1" applyAlignment="1">
      <alignment horizontal="center" vertical="center"/>
    </xf>
    <xf numFmtId="0" fontId="2" fillId="0" borderId="3" xfId="4" applyBorder="1" applyAlignment="1">
      <alignment horizontal="left"/>
    </xf>
    <xf numFmtId="3" fontId="32" fillId="0" borderId="3" xfId="0" applyNumberFormat="1" applyFont="1" applyBorder="1"/>
    <xf numFmtId="167" fontId="32" fillId="0" borderId="3" xfId="0" applyNumberFormat="1" applyFont="1" applyBorder="1"/>
    <xf numFmtId="43" fontId="32" fillId="0" borderId="3" xfId="0" applyNumberFormat="1" applyFont="1" applyBorder="1"/>
    <xf numFmtId="0" fontId="32" fillId="0" borderId="1" xfId="0" applyFont="1" applyBorder="1" applyAlignment="1">
      <alignment horizontal="center"/>
    </xf>
    <xf numFmtId="0" fontId="4" fillId="0" borderId="1" xfId="4" applyFont="1" applyBorder="1" applyAlignment="1">
      <alignment horizontal="left"/>
    </xf>
    <xf numFmtId="167" fontId="33" fillId="0" borderId="1" xfId="0" applyNumberFormat="1" applyFont="1" applyBorder="1"/>
    <xf numFmtId="0" fontId="32" fillId="0" borderId="2" xfId="0" applyFont="1" applyBorder="1" applyAlignment="1">
      <alignment vertical="center" textRotation="90"/>
    </xf>
    <xf numFmtId="0" fontId="32" fillId="0" borderId="2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/>
    </xf>
    <xf numFmtId="0" fontId="4" fillId="0" borderId="2" xfId="4" applyFont="1" applyBorder="1" applyAlignment="1">
      <alignment horizontal="center" vertical="center"/>
    </xf>
    <xf numFmtId="0" fontId="32" fillId="0" borderId="2" xfId="0" applyFont="1" applyBorder="1"/>
    <xf numFmtId="0" fontId="32" fillId="0" borderId="2" xfId="0" applyFont="1" applyBorder="1" applyAlignment="1">
      <alignment horizontal="right"/>
    </xf>
    <xf numFmtId="43" fontId="32" fillId="0" borderId="2" xfId="0" applyNumberFormat="1" applyFont="1" applyBorder="1"/>
    <xf numFmtId="164" fontId="32" fillId="0" borderId="2" xfId="0" applyNumberFormat="1" applyFont="1" applyBorder="1"/>
    <xf numFmtId="0" fontId="32" fillId="0" borderId="0" xfId="0" applyFont="1" applyAlignment="1">
      <alignment wrapText="1"/>
    </xf>
    <xf numFmtId="44" fontId="32" fillId="0" borderId="1" xfId="1" applyNumberFormat="1" applyFont="1" applyFill="1" applyBorder="1" applyAlignment="1">
      <alignment horizontal="center" wrapText="1"/>
    </xf>
    <xf numFmtId="0" fontId="32" fillId="0" borderId="2" xfId="0" applyFont="1" applyBorder="1" applyAlignment="1">
      <alignment horizontal="center" vertical="center"/>
    </xf>
    <xf numFmtId="0" fontId="4" fillId="0" borderId="2" xfId="4" applyFont="1" applyBorder="1" applyAlignment="1">
      <alignment horizontal="left"/>
    </xf>
    <xf numFmtId="0" fontId="33" fillId="0" borderId="2" xfId="0" applyFont="1" applyBorder="1" applyAlignment="1">
      <alignment wrapText="1"/>
    </xf>
    <xf numFmtId="167" fontId="33" fillId="0" borderId="2" xfId="0" applyNumberFormat="1" applyFont="1" applyBorder="1"/>
    <xf numFmtId="0" fontId="32" fillId="0" borderId="2" xfId="0" applyFont="1" applyBorder="1" applyAlignment="1">
      <alignment wrapText="1"/>
    </xf>
    <xf numFmtId="0" fontId="32" fillId="0" borderId="2" xfId="0" applyFont="1" applyBorder="1" applyAlignment="1">
      <alignment horizontal="center" wrapText="1"/>
    </xf>
    <xf numFmtId="164" fontId="33" fillId="0" borderId="2" xfId="0" applyNumberFormat="1" applyFont="1" applyBorder="1"/>
    <xf numFmtId="0" fontId="32" fillId="0" borderId="4" xfId="0" applyFont="1" applyBorder="1"/>
    <xf numFmtId="0" fontId="32" fillId="0" borderId="4" xfId="0" applyFont="1" applyBorder="1" applyAlignment="1">
      <alignment horizontal="center"/>
    </xf>
    <xf numFmtId="0" fontId="4" fillId="0" borderId="4" xfId="4" applyFont="1" applyBorder="1" applyAlignment="1">
      <alignment horizontal="left"/>
    </xf>
    <xf numFmtId="3" fontId="33" fillId="0" borderId="4" xfId="0" applyNumberFormat="1" applyFont="1" applyBorder="1"/>
    <xf numFmtId="2" fontId="32" fillId="0" borderId="4" xfId="0" applyNumberFormat="1" applyFont="1" applyBorder="1"/>
    <xf numFmtId="164" fontId="33" fillId="0" borderId="4" xfId="0" applyNumberFormat="1" applyFont="1" applyBorder="1"/>
    <xf numFmtId="0" fontId="32" fillId="0" borderId="0" xfId="0" applyFont="1" applyAlignment="1">
      <alignment vertical="center" textRotation="90"/>
    </xf>
    <xf numFmtId="0" fontId="4" fillId="0" borderId="0" xfId="4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 wrapText="1"/>
    </xf>
    <xf numFmtId="0" fontId="32" fillId="0" borderId="0" xfId="0" applyFont="1" applyAlignment="1">
      <alignment horizontal="center" wrapText="1"/>
    </xf>
    <xf numFmtId="44" fontId="32" fillId="0" borderId="0" xfId="0" applyNumberFormat="1" applyFont="1"/>
    <xf numFmtId="0" fontId="4" fillId="0" borderId="0" xfId="4" applyFont="1" applyAlignment="1">
      <alignment horizontal="center"/>
    </xf>
    <xf numFmtId="0" fontId="3" fillId="0" borderId="0" xfId="4" applyFont="1" applyAlignment="1">
      <alignment horizontal="left"/>
    </xf>
    <xf numFmtId="166" fontId="32" fillId="0" borderId="0" xfId="0" applyNumberFormat="1" applyFont="1"/>
    <xf numFmtId="0" fontId="32" fillId="0" borderId="0" xfId="0" applyFont="1" applyAlignment="1">
      <alignment horizontal="center" vertical="center" textRotation="90"/>
    </xf>
    <xf numFmtId="0" fontId="33" fillId="0" borderId="13" xfId="0" applyFont="1" applyBorder="1" applyAlignment="1">
      <alignment horizontal="center" wrapText="1"/>
    </xf>
    <xf numFmtId="0" fontId="33" fillId="0" borderId="14" xfId="0" applyFont="1" applyBorder="1" applyAlignment="1">
      <alignment horizont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32" fillId="0" borderId="0" xfId="0" applyFont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center" vertical="center" textRotation="90"/>
    </xf>
    <xf numFmtId="0" fontId="32" fillId="0" borderId="1" xfId="0" applyFont="1" applyBorder="1" applyAlignment="1">
      <alignment horizontal="center" vertical="center" textRotation="90"/>
    </xf>
    <xf numFmtId="0" fontId="32" fillId="0" borderId="0" xfId="0" applyFont="1" applyFill="1" applyAlignment="1">
      <alignment horizontal="center" vertical="center"/>
    </xf>
    <xf numFmtId="0" fontId="2" fillId="0" borderId="0" xfId="4" applyFill="1" applyAlignment="1">
      <alignment horizontal="left"/>
    </xf>
    <xf numFmtId="3" fontId="32" fillId="0" borderId="0" xfId="0" applyNumberFormat="1" applyFont="1" applyFill="1"/>
    <xf numFmtId="167" fontId="32" fillId="0" borderId="0" xfId="0" applyNumberFormat="1" applyFont="1" applyFill="1"/>
    <xf numFmtId="43" fontId="32" fillId="0" borderId="0" xfId="0" applyNumberFormat="1" applyFont="1" applyFill="1"/>
    <xf numFmtId="164" fontId="32" fillId="0" borderId="0" xfId="0" applyNumberFormat="1" applyFont="1" applyFill="1"/>
    <xf numFmtId="0" fontId="32" fillId="0" borderId="0" xfId="0" applyFont="1" applyFill="1"/>
    <xf numFmtId="0" fontId="33" fillId="0" borderId="0" xfId="0" applyFont="1" applyFill="1"/>
    <xf numFmtId="0" fontId="32" fillId="0" borderId="0" xfId="0" applyFont="1" applyFill="1" applyAlignment="1">
      <alignment horizontal="center"/>
    </xf>
    <xf numFmtId="0" fontId="32" fillId="0" borderId="1" xfId="0" applyFont="1" applyFill="1" applyBorder="1" applyAlignment="1">
      <alignment horizontal="center"/>
    </xf>
    <xf numFmtId="43" fontId="32" fillId="0" borderId="0" xfId="1" applyFont="1" applyFill="1" applyAlignment="1">
      <alignment horizontal="center"/>
    </xf>
    <xf numFmtId="3" fontId="32" fillId="0" borderId="0" xfId="1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3" fillId="0" borderId="1" xfId="0" applyFont="1" applyFill="1" applyBorder="1"/>
    <xf numFmtId="0" fontId="32" fillId="0" borderId="1" xfId="0" applyFont="1" applyFill="1" applyBorder="1"/>
    <xf numFmtId="44" fontId="32" fillId="0" borderId="0" xfId="2" applyFont="1" applyFill="1"/>
    <xf numFmtId="165" fontId="32" fillId="0" borderId="0" xfId="2" applyNumberFormat="1" applyFont="1" applyFill="1"/>
    <xf numFmtId="169" fontId="32" fillId="0" borderId="0" xfId="0" applyNumberFormat="1" applyFont="1" applyFill="1"/>
    <xf numFmtId="165" fontId="32" fillId="0" borderId="1" xfId="2" applyNumberFormat="1" applyFont="1" applyFill="1" applyBorder="1"/>
    <xf numFmtId="44" fontId="32" fillId="0" borderId="0" xfId="0" applyNumberFormat="1" applyFont="1" applyFill="1"/>
    <xf numFmtId="44" fontId="33" fillId="0" borderId="0" xfId="0" applyNumberFormat="1" applyFont="1" applyFill="1"/>
    <xf numFmtId="0" fontId="32" fillId="0" borderId="0" xfId="0" applyFont="1" applyFill="1" applyAlignment="1">
      <alignment horizontal="left"/>
    </xf>
    <xf numFmtId="0" fontId="33" fillId="0" borderId="1" xfId="0" applyFont="1" applyFill="1" applyBorder="1" applyAlignment="1">
      <alignment horizontal="left"/>
    </xf>
    <xf numFmtId="44" fontId="33" fillId="0" borderId="1" xfId="0" applyNumberFormat="1" applyFont="1" applyFill="1" applyBorder="1"/>
  </cellXfs>
  <cellStyles count="129">
    <cellStyle name="20% - Accent1 2" xfId="7" xr:uid="{00000000-0005-0000-0000-000000000000}"/>
    <cellStyle name="20% - Accent4 2" xfId="8" xr:uid="{00000000-0005-0000-0000-000001000000}"/>
    <cellStyle name="40% - Accent1 2" xfId="9" xr:uid="{00000000-0005-0000-0000-000002000000}"/>
    <cellStyle name="40% - Accent4 2" xfId="10" xr:uid="{00000000-0005-0000-0000-000003000000}"/>
    <cellStyle name="40% - Accent5 2" xfId="11" xr:uid="{00000000-0005-0000-0000-000004000000}"/>
    <cellStyle name="40% - Accent6 2" xfId="12" xr:uid="{00000000-0005-0000-0000-000005000000}"/>
    <cellStyle name="60% - Accent1 2" xfId="13" xr:uid="{00000000-0005-0000-0000-000006000000}"/>
    <cellStyle name="60% - Accent2 2" xfId="14" xr:uid="{00000000-0005-0000-0000-000007000000}"/>
    <cellStyle name="60% - Accent3 2" xfId="15" xr:uid="{00000000-0005-0000-0000-000008000000}"/>
    <cellStyle name="60% - Accent4 2" xfId="16" xr:uid="{00000000-0005-0000-0000-000009000000}"/>
    <cellStyle name="60% - Accent5 2" xfId="17" xr:uid="{00000000-0005-0000-0000-00000A000000}"/>
    <cellStyle name="Accent1 2" xfId="18" xr:uid="{00000000-0005-0000-0000-00000B000000}"/>
    <cellStyle name="Accent2 2" xfId="19" xr:uid="{00000000-0005-0000-0000-00000C000000}"/>
    <cellStyle name="Accent3 2" xfId="20" xr:uid="{00000000-0005-0000-0000-00000D000000}"/>
    <cellStyle name="Accent6 2" xfId="21" xr:uid="{00000000-0005-0000-0000-00000E000000}"/>
    <cellStyle name="Accounting" xfId="22" xr:uid="{00000000-0005-0000-0000-00000F000000}"/>
    <cellStyle name="Bad 2" xfId="23" xr:uid="{00000000-0005-0000-0000-000010000000}"/>
    <cellStyle name="Budget" xfId="24" xr:uid="{00000000-0005-0000-0000-000011000000}"/>
    <cellStyle name="Calculation 2" xfId="25" xr:uid="{00000000-0005-0000-0000-000012000000}"/>
    <cellStyle name="Comma" xfId="1" builtinId="3"/>
    <cellStyle name="Comma 10" xfId="26" xr:uid="{00000000-0005-0000-0000-000014000000}"/>
    <cellStyle name="Comma 11" xfId="27" xr:uid="{00000000-0005-0000-0000-000015000000}"/>
    <cellStyle name="Comma 12" xfId="28" xr:uid="{00000000-0005-0000-0000-000016000000}"/>
    <cellStyle name="Comma 13" xfId="29" xr:uid="{00000000-0005-0000-0000-000017000000}"/>
    <cellStyle name="Comma 14" xfId="30" xr:uid="{00000000-0005-0000-0000-000018000000}"/>
    <cellStyle name="Comma 15" xfId="31" xr:uid="{00000000-0005-0000-0000-000019000000}"/>
    <cellStyle name="Comma 16" xfId="32" xr:uid="{00000000-0005-0000-0000-00001A000000}"/>
    <cellStyle name="Comma 17" xfId="33" xr:uid="{00000000-0005-0000-0000-00001B000000}"/>
    <cellStyle name="Comma 2" xfId="5" xr:uid="{00000000-0005-0000-0000-00001C000000}"/>
    <cellStyle name="Comma 2 2" xfId="34" xr:uid="{00000000-0005-0000-0000-00001D000000}"/>
    <cellStyle name="Comma 2 3" xfId="35" xr:uid="{00000000-0005-0000-0000-00001E000000}"/>
    <cellStyle name="Comma 3" xfId="36" xr:uid="{00000000-0005-0000-0000-00001F000000}"/>
    <cellStyle name="Comma 3 2" xfId="37" xr:uid="{00000000-0005-0000-0000-000020000000}"/>
    <cellStyle name="Comma 3 2 2" xfId="38" xr:uid="{00000000-0005-0000-0000-000021000000}"/>
    <cellStyle name="Comma 3 3" xfId="39" xr:uid="{00000000-0005-0000-0000-000022000000}"/>
    <cellStyle name="Comma 4" xfId="40" xr:uid="{00000000-0005-0000-0000-000023000000}"/>
    <cellStyle name="Comma 4 2" xfId="41" xr:uid="{00000000-0005-0000-0000-000024000000}"/>
    <cellStyle name="Comma 4 3" xfId="42" xr:uid="{00000000-0005-0000-0000-000025000000}"/>
    <cellStyle name="Comma 4 4" xfId="43" xr:uid="{00000000-0005-0000-0000-000026000000}"/>
    <cellStyle name="Comma 4 5" xfId="44" xr:uid="{00000000-0005-0000-0000-000027000000}"/>
    <cellStyle name="Comma 5" xfId="45" xr:uid="{00000000-0005-0000-0000-000028000000}"/>
    <cellStyle name="Comma 6" xfId="46" xr:uid="{00000000-0005-0000-0000-000029000000}"/>
    <cellStyle name="Comma 7" xfId="47" xr:uid="{00000000-0005-0000-0000-00002A000000}"/>
    <cellStyle name="Comma 8" xfId="48" xr:uid="{00000000-0005-0000-0000-00002B000000}"/>
    <cellStyle name="Comma 9" xfId="49" xr:uid="{00000000-0005-0000-0000-00002C000000}"/>
    <cellStyle name="Comma(2)" xfId="50" xr:uid="{00000000-0005-0000-0000-00002D000000}"/>
    <cellStyle name="Comma0 - Style2" xfId="51" xr:uid="{00000000-0005-0000-0000-00002E000000}"/>
    <cellStyle name="Comma1 - Style1" xfId="52" xr:uid="{00000000-0005-0000-0000-00002F000000}"/>
    <cellStyle name="Comments" xfId="53" xr:uid="{00000000-0005-0000-0000-000030000000}"/>
    <cellStyle name="Currency" xfId="2" builtinId="4"/>
    <cellStyle name="Currency 2" xfId="6" xr:uid="{00000000-0005-0000-0000-000032000000}"/>
    <cellStyle name="Currency 2 2" xfId="54" xr:uid="{00000000-0005-0000-0000-000033000000}"/>
    <cellStyle name="Currency 3" xfId="55" xr:uid="{00000000-0005-0000-0000-000034000000}"/>
    <cellStyle name="Currency 4" xfId="56" xr:uid="{00000000-0005-0000-0000-000035000000}"/>
    <cellStyle name="Currency 5" xfId="57" xr:uid="{00000000-0005-0000-0000-000036000000}"/>
    <cellStyle name="Currency 6" xfId="58" xr:uid="{00000000-0005-0000-0000-000037000000}"/>
    <cellStyle name="Currency 7" xfId="59" xr:uid="{00000000-0005-0000-0000-000038000000}"/>
    <cellStyle name="Currency 9" xfId="60" xr:uid="{00000000-0005-0000-0000-000039000000}"/>
    <cellStyle name="Data Enter" xfId="61" xr:uid="{00000000-0005-0000-0000-00003A000000}"/>
    <cellStyle name="FactSheet" xfId="62" xr:uid="{00000000-0005-0000-0000-00003B000000}"/>
    <cellStyle name="Good 2" xfId="63" xr:uid="{00000000-0005-0000-0000-00003C000000}"/>
    <cellStyle name="Heading 1 2" xfId="64" xr:uid="{00000000-0005-0000-0000-00003D000000}"/>
    <cellStyle name="Heading 2 2" xfId="65" xr:uid="{00000000-0005-0000-0000-00003E000000}"/>
    <cellStyle name="Heading 3 2" xfId="66" xr:uid="{00000000-0005-0000-0000-00003F000000}"/>
    <cellStyle name="Hyperlink 2" xfId="67" xr:uid="{00000000-0005-0000-0000-000040000000}"/>
    <cellStyle name="Hyperlink 3" xfId="68" xr:uid="{00000000-0005-0000-0000-000041000000}"/>
    <cellStyle name="input(0)" xfId="69" xr:uid="{00000000-0005-0000-0000-000042000000}"/>
    <cellStyle name="Input(2)" xfId="70" xr:uid="{00000000-0005-0000-0000-000043000000}"/>
    <cellStyle name="Linked Cell 2" xfId="71" xr:uid="{00000000-0005-0000-0000-000044000000}"/>
    <cellStyle name="Neutral 2" xfId="72" xr:uid="{00000000-0005-0000-0000-000045000000}"/>
    <cellStyle name="New_normal" xfId="73" xr:uid="{00000000-0005-0000-0000-000046000000}"/>
    <cellStyle name="Normal" xfId="0" builtinId="0"/>
    <cellStyle name="Normal - Style1" xfId="74" xr:uid="{00000000-0005-0000-0000-000048000000}"/>
    <cellStyle name="Normal - Style2" xfId="75" xr:uid="{00000000-0005-0000-0000-000049000000}"/>
    <cellStyle name="Normal - Style3" xfId="76" xr:uid="{00000000-0005-0000-0000-00004A000000}"/>
    <cellStyle name="Normal - Style4" xfId="77" xr:uid="{00000000-0005-0000-0000-00004B000000}"/>
    <cellStyle name="Normal - Style5" xfId="78" xr:uid="{00000000-0005-0000-0000-00004C000000}"/>
    <cellStyle name="Normal 10" xfId="79" xr:uid="{00000000-0005-0000-0000-00004D000000}"/>
    <cellStyle name="Normal 10 2" xfId="80" xr:uid="{00000000-0005-0000-0000-00004E000000}"/>
    <cellStyle name="Normal 11" xfId="81" xr:uid="{00000000-0005-0000-0000-00004F000000}"/>
    <cellStyle name="Normal 12" xfId="82" xr:uid="{00000000-0005-0000-0000-000050000000}"/>
    <cellStyle name="Normal 13" xfId="83" xr:uid="{00000000-0005-0000-0000-000051000000}"/>
    <cellStyle name="Normal 14" xfId="84" xr:uid="{00000000-0005-0000-0000-000052000000}"/>
    <cellStyle name="Normal 15" xfId="85" xr:uid="{00000000-0005-0000-0000-000053000000}"/>
    <cellStyle name="Normal 16" xfId="86" xr:uid="{00000000-0005-0000-0000-000054000000}"/>
    <cellStyle name="Normal 17" xfId="87" xr:uid="{00000000-0005-0000-0000-000055000000}"/>
    <cellStyle name="Normal 18" xfId="88" xr:uid="{00000000-0005-0000-0000-000056000000}"/>
    <cellStyle name="Normal 19" xfId="89" xr:uid="{00000000-0005-0000-0000-000057000000}"/>
    <cellStyle name="Normal 2" xfId="90" xr:uid="{00000000-0005-0000-0000-000058000000}"/>
    <cellStyle name="Normal 2 2" xfId="91" xr:uid="{00000000-0005-0000-0000-000059000000}"/>
    <cellStyle name="Normal 2 2 2" xfId="92" xr:uid="{00000000-0005-0000-0000-00005A000000}"/>
    <cellStyle name="Normal 2 2 3" xfId="93" xr:uid="{00000000-0005-0000-0000-00005B000000}"/>
    <cellStyle name="Normal 2 2_IS210PL" xfId="94" xr:uid="{00000000-0005-0000-0000-00005C000000}"/>
    <cellStyle name="Normal 2 3" xfId="95" xr:uid="{00000000-0005-0000-0000-00005D000000}"/>
    <cellStyle name="Normal 2 3 2" xfId="96" xr:uid="{00000000-0005-0000-0000-00005E000000}"/>
    <cellStyle name="Normal 2 3 3" xfId="97" xr:uid="{00000000-0005-0000-0000-00005F000000}"/>
    <cellStyle name="Normal 2 4" xfId="98" xr:uid="{00000000-0005-0000-0000-000060000000}"/>
    <cellStyle name="Normal 2 5" xfId="99" xr:uid="{00000000-0005-0000-0000-000061000000}"/>
    <cellStyle name="Normal 2_2180 Payroll Schedule 8-22-2011" xfId="100" xr:uid="{00000000-0005-0000-0000-000062000000}"/>
    <cellStyle name="Normal 20" xfId="101" xr:uid="{00000000-0005-0000-0000-000063000000}"/>
    <cellStyle name="Normal 3" xfId="102" xr:uid="{00000000-0005-0000-0000-000064000000}"/>
    <cellStyle name="Normal 3 2" xfId="103" xr:uid="{00000000-0005-0000-0000-000065000000}"/>
    <cellStyle name="Normal 3_2149 Depr 9-30-12" xfId="104" xr:uid="{00000000-0005-0000-0000-000066000000}"/>
    <cellStyle name="Normal 4" xfId="105" xr:uid="{00000000-0005-0000-0000-000067000000}"/>
    <cellStyle name="Normal 5" xfId="106" xr:uid="{00000000-0005-0000-0000-000068000000}"/>
    <cellStyle name="Normal 5 2" xfId="107" xr:uid="{00000000-0005-0000-0000-000069000000}"/>
    <cellStyle name="Normal 5_2183 UTC Depreciation 3 31 2012 Heather 6-6-2012" xfId="108" xr:uid="{00000000-0005-0000-0000-00006A000000}"/>
    <cellStyle name="Normal 6" xfId="109" xr:uid="{00000000-0005-0000-0000-00006B000000}"/>
    <cellStyle name="Normal 7" xfId="110" xr:uid="{00000000-0005-0000-0000-00006C000000}"/>
    <cellStyle name="Normal 8" xfId="111" xr:uid="{00000000-0005-0000-0000-00006D000000}"/>
    <cellStyle name="Normal 9" xfId="112" xr:uid="{00000000-0005-0000-0000-00006E000000}"/>
    <cellStyle name="Normal_Price out" xfId="4" xr:uid="{00000000-0005-0000-0000-00006F000000}"/>
    <cellStyle name="Note 2" xfId="113" xr:uid="{00000000-0005-0000-0000-000070000000}"/>
    <cellStyle name="Notes" xfId="114" xr:uid="{00000000-0005-0000-0000-000071000000}"/>
    <cellStyle name="Percent" xfId="3" builtinId="5"/>
    <cellStyle name="Percent 2" xfId="115" xr:uid="{00000000-0005-0000-0000-000073000000}"/>
    <cellStyle name="Percent 2 2" xfId="116" xr:uid="{00000000-0005-0000-0000-000074000000}"/>
    <cellStyle name="Percent 3" xfId="117" xr:uid="{00000000-0005-0000-0000-000075000000}"/>
    <cellStyle name="Percent 4" xfId="118" xr:uid="{00000000-0005-0000-0000-000076000000}"/>
    <cellStyle name="Percent 4 2" xfId="119" xr:uid="{00000000-0005-0000-0000-000077000000}"/>
    <cellStyle name="Percent 7" xfId="120" xr:uid="{00000000-0005-0000-0000-000078000000}"/>
    <cellStyle name="Percent(1)" xfId="121" xr:uid="{00000000-0005-0000-0000-000079000000}"/>
    <cellStyle name="Percent(2)" xfId="122" xr:uid="{00000000-0005-0000-0000-00007A000000}"/>
    <cellStyle name="PRM" xfId="123" xr:uid="{00000000-0005-0000-0000-00007B000000}"/>
    <cellStyle name="PSChar" xfId="124" xr:uid="{00000000-0005-0000-0000-00007C000000}"/>
    <cellStyle name="PSHeading" xfId="125" xr:uid="{00000000-0005-0000-0000-00007D000000}"/>
    <cellStyle name="Style 1" xfId="126" xr:uid="{00000000-0005-0000-0000-00007E000000}"/>
    <cellStyle name="STYLE1" xfId="127" xr:uid="{00000000-0005-0000-0000-00007F000000}"/>
    <cellStyle name="Total 2" xfId="128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7"/>
  <sheetViews>
    <sheetView zoomScaleNormal="100" workbookViewId="0"/>
  </sheetViews>
  <sheetFormatPr defaultRowHeight="15"/>
  <sheetData>
    <row r="2" spans="1:3">
      <c r="A2" s="1" t="s">
        <v>57</v>
      </c>
    </row>
    <row r="4" spans="1:3">
      <c r="B4" t="s">
        <v>58</v>
      </c>
    </row>
    <row r="5" spans="1:3">
      <c r="C5" t="s">
        <v>68</v>
      </c>
    </row>
    <row r="6" spans="1:3">
      <c r="C6" t="s">
        <v>59</v>
      </c>
    </row>
    <row r="7" spans="1:3">
      <c r="C7" t="s">
        <v>69</v>
      </c>
    </row>
    <row r="9" spans="1:3">
      <c r="B9" t="s">
        <v>72</v>
      </c>
    </row>
    <row r="10" spans="1:3">
      <c r="C10" t="s">
        <v>73</v>
      </c>
    </row>
    <row r="12" spans="1:3">
      <c r="B12" t="s">
        <v>74</v>
      </c>
    </row>
    <row r="13" spans="1:3">
      <c r="C13" t="s">
        <v>70</v>
      </c>
    </row>
    <row r="14" spans="1:3">
      <c r="C14" t="s">
        <v>75</v>
      </c>
    </row>
    <row r="15" spans="1:3">
      <c r="C15" t="s">
        <v>71</v>
      </c>
    </row>
    <row r="17" spans="2:3">
      <c r="B17" t="s">
        <v>62</v>
      </c>
    </row>
    <row r="18" spans="2:3">
      <c r="C18" t="s">
        <v>60</v>
      </c>
    </row>
    <row r="19" spans="2:3">
      <c r="C19" t="s">
        <v>61</v>
      </c>
    </row>
    <row r="21" spans="2:3">
      <c r="B21" t="s">
        <v>63</v>
      </c>
    </row>
    <row r="22" spans="2:3">
      <c r="C22" t="s">
        <v>65</v>
      </c>
    </row>
    <row r="23" spans="2:3">
      <c r="C23" t="s">
        <v>64</v>
      </c>
    </row>
    <row r="24" spans="2:3">
      <c r="C24" t="s">
        <v>66</v>
      </c>
    </row>
    <row r="25" spans="2:3">
      <c r="C25" t="s">
        <v>67</v>
      </c>
    </row>
    <row r="27" spans="2:3">
      <c r="B27" t="s">
        <v>77</v>
      </c>
    </row>
  </sheetData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Normal="100" workbookViewId="0"/>
  </sheetViews>
  <sheetFormatPr defaultColWidth="8.85546875" defaultRowHeight="15"/>
  <cols>
    <col min="1" max="1" width="37" style="121" customWidth="1"/>
    <col min="2" max="2" width="17.28515625" style="121" bestFit="1" customWidth="1"/>
    <col min="3" max="3" width="9.28515625" style="121" bestFit="1" customWidth="1"/>
    <col min="4" max="4" width="6.7109375" style="121" customWidth="1"/>
    <col min="5" max="5" width="10.85546875" style="121" customWidth="1"/>
    <col min="6" max="6" width="10.42578125" style="121" bestFit="1" customWidth="1"/>
    <col min="7" max="16384" width="8.85546875" style="121"/>
  </cols>
  <sheetData>
    <row r="1" spans="1:7">
      <c r="A1" s="122" t="s">
        <v>78</v>
      </c>
    </row>
    <row r="2" spans="1:7">
      <c r="A2" s="122" t="s">
        <v>140</v>
      </c>
    </row>
    <row r="3" spans="1:7">
      <c r="A3" s="122"/>
    </row>
    <row r="4" spans="1:7">
      <c r="A4" s="122"/>
      <c r="D4" s="123" t="s">
        <v>16</v>
      </c>
      <c r="E4" s="123"/>
      <c r="F4" s="123"/>
      <c r="G4" s="123"/>
    </row>
    <row r="5" spans="1:7">
      <c r="D5" s="124" t="s">
        <v>45</v>
      </c>
      <c r="E5" s="124" t="s">
        <v>46</v>
      </c>
      <c r="F5" s="124" t="s">
        <v>47</v>
      </c>
      <c r="G5" s="124" t="s">
        <v>51</v>
      </c>
    </row>
    <row r="6" spans="1:7">
      <c r="A6" s="121" t="s">
        <v>44</v>
      </c>
      <c r="D6" s="125">
        <f>52*2/12</f>
        <v>8.6666666666666661</v>
      </c>
      <c r="E6" s="125">
        <f>D6*2</f>
        <v>17.333333333333332</v>
      </c>
      <c r="F6" s="125">
        <f>D6*3</f>
        <v>26</v>
      </c>
      <c r="G6" s="125">
        <f>D6*4</f>
        <v>34.666666666666664</v>
      </c>
    </row>
    <row r="7" spans="1:7">
      <c r="A7" s="121" t="s">
        <v>19</v>
      </c>
      <c r="D7" s="125">
        <f>52/12</f>
        <v>4.333333333333333</v>
      </c>
      <c r="E7" s="125">
        <f t="shared" ref="E7:E9" si="0">D7*2</f>
        <v>8.6666666666666661</v>
      </c>
      <c r="F7" s="125">
        <f t="shared" ref="F7:F9" si="1">D7*3</f>
        <v>13</v>
      </c>
      <c r="G7" s="125">
        <f t="shared" ref="G7:G9" si="2">D7*4</f>
        <v>17.333333333333332</v>
      </c>
    </row>
    <row r="8" spans="1:7">
      <c r="A8" s="121" t="s">
        <v>21</v>
      </c>
      <c r="D8" s="125">
        <f>26/12</f>
        <v>2.1666666666666665</v>
      </c>
      <c r="E8" s="125">
        <f t="shared" si="0"/>
        <v>4.333333333333333</v>
      </c>
      <c r="F8" s="125">
        <f t="shared" si="1"/>
        <v>6.5</v>
      </c>
      <c r="G8" s="125">
        <f t="shared" si="2"/>
        <v>8.6666666666666661</v>
      </c>
    </row>
    <row r="9" spans="1:7">
      <c r="A9" s="121" t="s">
        <v>20</v>
      </c>
      <c r="D9" s="125">
        <f>12/12</f>
        <v>1</v>
      </c>
      <c r="E9" s="125">
        <f t="shared" si="0"/>
        <v>2</v>
      </c>
      <c r="F9" s="125">
        <f t="shared" si="1"/>
        <v>3</v>
      </c>
      <c r="G9" s="125">
        <f t="shared" si="2"/>
        <v>4</v>
      </c>
    </row>
    <row r="11" spans="1:7">
      <c r="A11" s="121" t="s">
        <v>17</v>
      </c>
      <c r="B11" s="126">
        <v>2000</v>
      </c>
    </row>
    <row r="12" spans="1:7">
      <c r="A12" s="121" t="s">
        <v>18</v>
      </c>
      <c r="B12" s="127" t="s">
        <v>48</v>
      </c>
    </row>
    <row r="14" spans="1:7">
      <c r="A14" s="128" t="s">
        <v>52</v>
      </c>
      <c r="B14" s="124" t="s">
        <v>6</v>
      </c>
      <c r="C14" s="129" t="s">
        <v>7</v>
      </c>
      <c r="E14" s="128" t="s">
        <v>24</v>
      </c>
      <c r="F14" s="129"/>
    </row>
    <row r="15" spans="1:7">
      <c r="A15" s="121" t="s">
        <v>53</v>
      </c>
      <c r="B15" s="130">
        <v>114</v>
      </c>
      <c r="C15" s="131">
        <f>B15/2000</f>
        <v>5.7000000000000002E-2</v>
      </c>
      <c r="E15" s="121" t="s">
        <v>25</v>
      </c>
      <c r="F15" s="132">
        <v>1.7500000000000002E-2</v>
      </c>
    </row>
    <row r="16" spans="1:7">
      <c r="A16" s="121" t="s">
        <v>54</v>
      </c>
      <c r="B16" s="14">
        <v>119</v>
      </c>
      <c r="C16" s="133">
        <f>B16/2000</f>
        <v>5.9499999999999997E-2</v>
      </c>
      <c r="E16" s="121" t="s">
        <v>136</v>
      </c>
      <c r="F16" s="121">
        <v>1.15E-3</v>
      </c>
    </row>
    <row r="17" spans="1:6">
      <c r="A17" s="121" t="s">
        <v>8</v>
      </c>
      <c r="B17" s="130">
        <f>B16-B15</f>
        <v>5</v>
      </c>
      <c r="C17" s="131">
        <f>C16-C15</f>
        <v>2.4999999999999953E-3</v>
      </c>
      <c r="E17" s="121" t="s">
        <v>26</v>
      </c>
      <c r="F17" s="129">
        <v>5.1000000000000004E-3</v>
      </c>
    </row>
    <row r="18" spans="1:6">
      <c r="E18" s="121" t="s">
        <v>14</v>
      </c>
      <c r="F18" s="132">
        <f>SUM(F15:F17)</f>
        <v>2.375E-2</v>
      </c>
    </row>
    <row r="19" spans="1:6">
      <c r="E19" s="121" t="s">
        <v>27</v>
      </c>
      <c r="F19" s="132">
        <f>1-F18</f>
        <v>0.97624999999999995</v>
      </c>
    </row>
    <row r="20" spans="1:6">
      <c r="A20" s="121" t="s">
        <v>4</v>
      </c>
      <c r="B20" s="134">
        <f>B17</f>
        <v>5</v>
      </c>
      <c r="C20" s="134"/>
    </row>
    <row r="21" spans="1:6">
      <c r="A21" s="121" t="s">
        <v>23</v>
      </c>
      <c r="B21" s="134">
        <f>B20/F19</f>
        <v>5.1216389244558265</v>
      </c>
      <c r="E21" s="121" t="s">
        <v>79</v>
      </c>
    </row>
    <row r="22" spans="1:6">
      <c r="A22" s="121" t="s">
        <v>22</v>
      </c>
      <c r="B22" s="11">
        <f>+'Staff Calcs '!E147</f>
        <v>12306.58</v>
      </c>
    </row>
    <row r="23" spans="1:6">
      <c r="A23" s="122" t="s">
        <v>28</v>
      </c>
      <c r="B23" s="135">
        <f>B21*B22</f>
        <v>63029.859154929582</v>
      </c>
    </row>
    <row r="25" spans="1:6">
      <c r="A25" s="121" t="s">
        <v>49</v>
      </c>
      <c r="B25" s="14">
        <f>+'Staff Calcs '!S73</f>
        <v>63010.687200000139</v>
      </c>
    </row>
    <row r="26" spans="1:6">
      <c r="A26" s="136" t="s">
        <v>11</v>
      </c>
      <c r="B26" s="134">
        <f>B25-B23</f>
        <v>-19.171954929443018</v>
      </c>
    </row>
    <row r="27" spans="1:6">
      <c r="E27" s="137" t="s">
        <v>56</v>
      </c>
      <c r="F27" s="129"/>
    </row>
    <row r="28" spans="1:6">
      <c r="A28" s="122" t="s">
        <v>50</v>
      </c>
      <c r="B28" s="138">
        <f>'Staff Calcs '!U73</f>
        <v>63010.687200000139</v>
      </c>
      <c r="E28" s="121">
        <v>0.01</v>
      </c>
    </row>
    <row r="29" spans="1:6">
      <c r="A29" s="136" t="s">
        <v>11</v>
      </c>
      <c r="B29" s="134">
        <f>B28-B23</f>
        <v>-19.171954929443018</v>
      </c>
      <c r="C29" s="29">
        <f>B29/B23</f>
        <v>-3.0417258084486094E-4</v>
      </c>
    </row>
  </sheetData>
  <mergeCells count="1">
    <mergeCell ref="D4:G4"/>
  </mergeCells>
  <pageMargins left="0.28000000000000003" right="0.52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55"/>
  <sheetViews>
    <sheetView tabSelected="1"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ColWidth="8.85546875" defaultRowHeight="15"/>
  <cols>
    <col min="1" max="1" width="4.5703125" style="37" bestFit="1" customWidth="1"/>
    <col min="2" max="2" width="7.28515625" style="38" customWidth="1"/>
    <col min="3" max="3" width="8.5703125" style="38" bestFit="1" customWidth="1"/>
    <col min="4" max="4" width="27" style="37" bestFit="1" customWidth="1"/>
    <col min="5" max="5" width="13" style="37" bestFit="1" customWidth="1"/>
    <col min="6" max="6" width="10.28515625" style="37" customWidth="1"/>
    <col min="7" max="7" width="13.28515625" style="37" bestFit="1" customWidth="1"/>
    <col min="8" max="8" width="11.140625" style="37" bestFit="1" customWidth="1"/>
    <col min="9" max="9" width="16.5703125" style="37" bestFit="1" customWidth="1"/>
    <col min="10" max="10" width="15.85546875" style="37" bestFit="1" customWidth="1"/>
    <col min="11" max="11" width="13.28515625" style="37" bestFit="1" customWidth="1"/>
    <col min="12" max="12" width="12.5703125" style="37" bestFit="1" customWidth="1"/>
    <col min="13" max="13" width="14.7109375" style="37" bestFit="1" customWidth="1"/>
    <col min="14" max="14" width="10.42578125" style="37" bestFit="1" customWidth="1"/>
    <col min="15" max="15" width="20.42578125" style="37" bestFit="1" customWidth="1"/>
    <col min="16" max="16" width="11.140625" style="37" bestFit="1" customWidth="1"/>
    <col min="17" max="18" width="17.28515625" style="37" bestFit="1" customWidth="1"/>
    <col min="19" max="19" width="13" style="37" bestFit="1" customWidth="1"/>
    <col min="20" max="20" width="17.28515625" style="37" bestFit="1" customWidth="1"/>
    <col min="21" max="21" width="13" style="37" bestFit="1" customWidth="1"/>
    <col min="22" max="16384" width="8.85546875" style="37"/>
  </cols>
  <sheetData>
    <row r="1" spans="1:21">
      <c r="D1" s="39" t="s">
        <v>78</v>
      </c>
      <c r="K1" s="40"/>
      <c r="L1" s="2"/>
      <c r="M1" s="2"/>
      <c r="O1" s="41"/>
    </row>
    <row r="2" spans="1:21" ht="15.75" thickBot="1">
      <c r="D2" s="39" t="s">
        <v>140</v>
      </c>
      <c r="K2" s="40"/>
      <c r="L2" s="2"/>
      <c r="M2" s="2"/>
      <c r="N2" s="3"/>
      <c r="R2" s="4"/>
    </row>
    <row r="3" spans="1:21">
      <c r="D3" s="39"/>
      <c r="K3" s="40"/>
      <c r="L3" s="2"/>
      <c r="M3" s="2"/>
      <c r="N3" s="5"/>
      <c r="O3" s="108" t="s">
        <v>102</v>
      </c>
    </row>
    <row r="4" spans="1:21" ht="15.75" thickBot="1">
      <c r="K4" s="40"/>
      <c r="L4" s="40"/>
      <c r="M4" s="40"/>
      <c r="O4" s="109"/>
    </row>
    <row r="5" spans="1:21" ht="45">
      <c r="A5" s="42"/>
      <c r="B5" s="43" t="s">
        <v>76</v>
      </c>
      <c r="C5" s="43" t="s">
        <v>13</v>
      </c>
      <c r="D5" s="44" t="s">
        <v>15</v>
      </c>
      <c r="E5" s="45" t="s">
        <v>41</v>
      </c>
      <c r="F5" s="43" t="s">
        <v>0</v>
      </c>
      <c r="G5" s="43" t="s">
        <v>1</v>
      </c>
      <c r="H5" s="43" t="s">
        <v>9</v>
      </c>
      <c r="I5" s="43" t="s">
        <v>32</v>
      </c>
      <c r="J5" s="43" t="s">
        <v>33</v>
      </c>
      <c r="K5" s="43" t="s">
        <v>8</v>
      </c>
      <c r="L5" s="43" t="s">
        <v>2</v>
      </c>
      <c r="M5" s="43" t="s">
        <v>42</v>
      </c>
      <c r="N5" s="43" t="s">
        <v>38</v>
      </c>
      <c r="O5" s="43" t="s">
        <v>35</v>
      </c>
      <c r="P5" s="43" t="s">
        <v>36</v>
      </c>
      <c r="Q5" s="43" t="s">
        <v>39</v>
      </c>
      <c r="R5" s="43" t="s">
        <v>37</v>
      </c>
      <c r="S5" s="43" t="s">
        <v>43</v>
      </c>
      <c r="T5" s="43" t="s">
        <v>40</v>
      </c>
      <c r="U5" s="43" t="s">
        <v>55</v>
      </c>
    </row>
    <row r="6" spans="1:21" ht="14.45" customHeight="1">
      <c r="A6" s="113" t="s">
        <v>12</v>
      </c>
      <c r="B6" s="46">
        <v>100</v>
      </c>
      <c r="C6" s="46" t="s">
        <v>133</v>
      </c>
      <c r="D6" s="47" t="s">
        <v>86</v>
      </c>
      <c r="E6" s="48">
        <v>23</v>
      </c>
      <c r="F6" s="6">
        <f>References!$D$7</f>
        <v>4.333333333333333</v>
      </c>
      <c r="G6" s="49">
        <f>E6*F6*12</f>
        <v>1196</v>
      </c>
      <c r="H6" s="50">
        <v>20</v>
      </c>
      <c r="I6" s="50">
        <f>G6*H6</f>
        <v>23920</v>
      </c>
      <c r="J6" s="7">
        <f t="shared" ref="J6:J15" si="0">$E$150*I6</f>
        <v>14182.531784970037</v>
      </c>
      <c r="K6" s="8">
        <f>References!$C$17*J6</f>
        <v>35.456329462425025</v>
      </c>
      <c r="L6" s="9">
        <f>K6/References!$F$19</f>
        <v>36.318903418617182</v>
      </c>
      <c r="M6" s="9">
        <f>L6/G6*F6</f>
        <v>0.13159022977759846</v>
      </c>
      <c r="N6" s="8">
        <v>11.11</v>
      </c>
      <c r="O6" s="9">
        <f>MROUND(N6+M6,References!$E$28)</f>
        <v>11.24</v>
      </c>
      <c r="P6" s="8">
        <f>O6</f>
        <v>11.24</v>
      </c>
      <c r="Q6" s="10">
        <f>E6*N6*12</f>
        <v>3066.3599999999997</v>
      </c>
      <c r="R6" s="10">
        <f>E6*P6*12</f>
        <v>3102.24</v>
      </c>
      <c r="S6" s="10">
        <f>R6-Q6</f>
        <v>35.880000000000109</v>
      </c>
      <c r="T6" s="10">
        <f>E6*O6*12</f>
        <v>3102.24</v>
      </c>
      <c r="U6" s="51">
        <f>T6-Q6</f>
        <v>35.880000000000109</v>
      </c>
    </row>
    <row r="7" spans="1:21" ht="14.45" customHeight="1">
      <c r="A7" s="107"/>
      <c r="B7" s="46">
        <v>100</v>
      </c>
      <c r="C7" s="46" t="s">
        <v>133</v>
      </c>
      <c r="D7" s="47" t="s">
        <v>126</v>
      </c>
      <c r="E7" s="48">
        <v>1</v>
      </c>
      <c r="F7" s="6">
        <v>1</v>
      </c>
      <c r="G7" s="49">
        <f t="shared" ref="G7:G15" si="1">E7*F7*12</f>
        <v>12</v>
      </c>
      <c r="H7" s="50">
        <v>20</v>
      </c>
      <c r="I7" s="50">
        <f>G7*H7</f>
        <v>240</v>
      </c>
      <c r="J7" s="7">
        <f t="shared" si="0"/>
        <v>142.29965001642177</v>
      </c>
      <c r="K7" s="8">
        <f>References!$C$17*J7</f>
        <v>0.35574912504105372</v>
      </c>
      <c r="L7" s="9">
        <f>K7/References!$F$19</f>
        <v>0.36440371323027271</v>
      </c>
      <c r="M7" s="9">
        <f>L7/G7*F7</f>
        <v>3.0366976102522727E-2</v>
      </c>
      <c r="N7" s="8">
        <v>6.08</v>
      </c>
      <c r="O7" s="9">
        <f>MROUND(N7+M7,References!$E$28)</f>
        <v>6.11</v>
      </c>
      <c r="P7" s="8">
        <f t="shared" ref="P7:P15" si="2">O7</f>
        <v>6.11</v>
      </c>
      <c r="Q7" s="10">
        <f t="shared" ref="Q7:Q15" si="3">E7*N7*12</f>
        <v>72.960000000000008</v>
      </c>
      <c r="R7" s="10">
        <f t="shared" ref="R7:R15" si="4">E7*P7*12</f>
        <v>73.320000000000007</v>
      </c>
      <c r="S7" s="10">
        <f t="shared" ref="S7:S15" si="5">R7-Q7</f>
        <v>0.35999999999999943</v>
      </c>
      <c r="T7" s="10">
        <f t="shared" ref="T7:T15" si="6">E7*O7*12</f>
        <v>73.320000000000007</v>
      </c>
      <c r="U7" s="51">
        <f t="shared" ref="U7:U15" si="7">T7-Q7</f>
        <v>0.35999999999999943</v>
      </c>
    </row>
    <row r="8" spans="1:21" ht="15" customHeight="1">
      <c r="A8" s="107"/>
      <c r="B8" s="46">
        <v>100</v>
      </c>
      <c r="C8" s="46" t="s">
        <v>133</v>
      </c>
      <c r="D8" s="47" t="s">
        <v>81</v>
      </c>
      <c r="E8" s="48">
        <v>2910</v>
      </c>
      <c r="F8" s="6">
        <f>References!$D$7</f>
        <v>4.333333333333333</v>
      </c>
      <c r="G8" s="49">
        <f t="shared" si="1"/>
        <v>151320</v>
      </c>
      <c r="H8" s="50">
        <v>34</v>
      </c>
      <c r="I8" s="50">
        <f t="shared" ref="I8:I15" si="8">G8*H8</f>
        <v>5144880</v>
      </c>
      <c r="J8" s="7">
        <f t="shared" si="0"/>
        <v>3050477.5974020334</v>
      </c>
      <c r="K8" s="8">
        <f>References!$C$17*J8</f>
        <v>7626.1939935050686</v>
      </c>
      <c r="L8" s="9">
        <f>K8/References!$F$19</f>
        <v>7811.7224005173566</v>
      </c>
      <c r="M8" s="9">
        <f t="shared" ref="M8:M15" si="9">L8/G8*F8</f>
        <v>0.22370339062191741</v>
      </c>
      <c r="N8" s="8">
        <v>14.43</v>
      </c>
      <c r="O8" s="9">
        <f>MROUND(N8+M8,References!$E$28)</f>
        <v>14.65</v>
      </c>
      <c r="P8" s="8">
        <f t="shared" si="2"/>
        <v>14.65</v>
      </c>
      <c r="Q8" s="10">
        <f t="shared" si="3"/>
        <v>503895.6</v>
      </c>
      <c r="R8" s="10">
        <f t="shared" si="4"/>
        <v>511578</v>
      </c>
      <c r="S8" s="10">
        <f t="shared" si="5"/>
        <v>7682.4000000000233</v>
      </c>
      <c r="T8" s="10">
        <f t="shared" si="6"/>
        <v>511578</v>
      </c>
      <c r="U8" s="51">
        <f t="shared" si="7"/>
        <v>7682.4000000000233</v>
      </c>
    </row>
    <row r="9" spans="1:21" ht="15" customHeight="1">
      <c r="A9" s="107"/>
      <c r="B9" s="46">
        <v>100</v>
      </c>
      <c r="C9" s="46" t="s">
        <v>133</v>
      </c>
      <c r="D9" s="47" t="s">
        <v>127</v>
      </c>
      <c r="E9" s="48">
        <v>1</v>
      </c>
      <c r="F9" s="6">
        <v>1</v>
      </c>
      <c r="G9" s="49">
        <f t="shared" si="1"/>
        <v>12</v>
      </c>
      <c r="H9" s="50">
        <v>34</v>
      </c>
      <c r="I9" s="50">
        <f t="shared" si="8"/>
        <v>408</v>
      </c>
      <c r="J9" s="7">
        <f t="shared" si="0"/>
        <v>241.90940502791702</v>
      </c>
      <c r="K9" s="8">
        <f>References!$C$17*J9</f>
        <v>0.60477351256979139</v>
      </c>
      <c r="L9" s="9">
        <f>K9/References!$F$19</f>
        <v>0.61948631249146369</v>
      </c>
      <c r="M9" s="9">
        <f t="shared" si="9"/>
        <v>5.1623859374288643E-2</v>
      </c>
      <c r="N9" s="8">
        <v>6.85</v>
      </c>
      <c r="O9" s="9">
        <f>MROUND(N9+M9,References!$E$28)</f>
        <v>6.9</v>
      </c>
      <c r="P9" s="8">
        <f t="shared" si="2"/>
        <v>6.9</v>
      </c>
      <c r="Q9" s="10">
        <f t="shared" si="3"/>
        <v>82.199999999999989</v>
      </c>
      <c r="R9" s="10">
        <f t="shared" si="4"/>
        <v>82.800000000000011</v>
      </c>
      <c r="S9" s="10">
        <f t="shared" si="5"/>
        <v>0.60000000000002274</v>
      </c>
      <c r="T9" s="10">
        <f t="shared" si="6"/>
        <v>82.800000000000011</v>
      </c>
      <c r="U9" s="51">
        <f t="shared" si="7"/>
        <v>0.60000000000002274</v>
      </c>
    </row>
    <row r="10" spans="1:21">
      <c r="A10" s="107"/>
      <c r="B10" s="46">
        <v>100</v>
      </c>
      <c r="C10" s="46" t="s">
        <v>133</v>
      </c>
      <c r="D10" s="47" t="s">
        <v>82</v>
      </c>
      <c r="E10" s="48">
        <v>1946</v>
      </c>
      <c r="F10" s="6">
        <v>4.33</v>
      </c>
      <c r="G10" s="49">
        <f t="shared" si="1"/>
        <v>101114.16</v>
      </c>
      <c r="H10" s="50">
        <v>51</v>
      </c>
      <c r="I10" s="50">
        <f t="shared" si="8"/>
        <v>5156822.16</v>
      </c>
      <c r="J10" s="7">
        <f t="shared" si="0"/>
        <v>3057558.2856872007</v>
      </c>
      <c r="K10" s="8">
        <f>References!$C$17*J10</f>
        <v>7643.895714217987</v>
      </c>
      <c r="L10" s="9">
        <f>K10/References!$F$19</f>
        <v>7829.8547648839822</v>
      </c>
      <c r="M10" s="9">
        <f t="shared" si="9"/>
        <v>0.33529696663600472</v>
      </c>
      <c r="N10" s="8">
        <v>21.22</v>
      </c>
      <c r="O10" s="9">
        <f>MROUND(N10+M10,References!$E$28)</f>
        <v>21.56</v>
      </c>
      <c r="P10" s="8">
        <f t="shared" si="2"/>
        <v>21.56</v>
      </c>
      <c r="Q10" s="10">
        <f t="shared" si="3"/>
        <v>495529.43999999994</v>
      </c>
      <c r="R10" s="10">
        <f t="shared" si="4"/>
        <v>503469.11999999994</v>
      </c>
      <c r="S10" s="10">
        <f t="shared" si="5"/>
        <v>7939.679999999993</v>
      </c>
      <c r="T10" s="10">
        <f t="shared" si="6"/>
        <v>503469.11999999994</v>
      </c>
      <c r="U10" s="51">
        <f t="shared" si="7"/>
        <v>7939.679999999993</v>
      </c>
    </row>
    <row r="11" spans="1:21">
      <c r="A11" s="107"/>
      <c r="B11" s="46">
        <v>100</v>
      </c>
      <c r="C11" s="46" t="s">
        <v>133</v>
      </c>
      <c r="D11" s="47" t="s">
        <v>129</v>
      </c>
      <c r="E11" s="48">
        <v>1</v>
      </c>
      <c r="F11" s="6">
        <v>1</v>
      </c>
      <c r="G11" s="49">
        <f t="shared" si="1"/>
        <v>12</v>
      </c>
      <c r="H11" s="50">
        <v>51</v>
      </c>
      <c r="I11" s="50">
        <f t="shared" si="8"/>
        <v>612</v>
      </c>
      <c r="J11" s="7">
        <f t="shared" si="0"/>
        <v>362.86410754187551</v>
      </c>
      <c r="K11" s="8">
        <f>References!$C$17*J11</f>
        <v>0.90716026885468704</v>
      </c>
      <c r="L11" s="9">
        <f>K11/References!$F$19</f>
        <v>0.92922946873719547</v>
      </c>
      <c r="M11" s="9">
        <f t="shared" si="9"/>
        <v>7.7435789061432961E-2</v>
      </c>
      <c r="N11" s="8">
        <v>8.42</v>
      </c>
      <c r="O11" s="9">
        <f>MROUND(N11+M11,References!$E$28)</f>
        <v>8.5</v>
      </c>
      <c r="P11" s="8">
        <f t="shared" si="2"/>
        <v>8.5</v>
      </c>
      <c r="Q11" s="10">
        <f t="shared" si="3"/>
        <v>101.03999999999999</v>
      </c>
      <c r="R11" s="10">
        <f t="shared" si="4"/>
        <v>102</v>
      </c>
      <c r="S11" s="10">
        <f t="shared" si="5"/>
        <v>0.96000000000000796</v>
      </c>
      <c r="T11" s="10">
        <f t="shared" si="6"/>
        <v>102</v>
      </c>
      <c r="U11" s="51">
        <f t="shared" si="7"/>
        <v>0.96000000000000796</v>
      </c>
    </row>
    <row r="12" spans="1:21">
      <c r="A12" s="107"/>
      <c r="B12" s="46">
        <v>100</v>
      </c>
      <c r="C12" s="46" t="s">
        <v>133</v>
      </c>
      <c r="D12" s="47" t="s">
        <v>83</v>
      </c>
      <c r="E12" s="48">
        <v>348</v>
      </c>
      <c r="F12" s="6">
        <v>4.33</v>
      </c>
      <c r="G12" s="49">
        <f>E12*F12*12</f>
        <v>18082.079999999998</v>
      </c>
      <c r="H12" s="50">
        <v>77</v>
      </c>
      <c r="I12" s="50">
        <f t="shared" si="8"/>
        <v>1392320.16</v>
      </c>
      <c r="J12" s="7">
        <f t="shared" si="0"/>
        <v>825527.79782836814</v>
      </c>
      <c r="K12" s="8">
        <f>References!$C$17*J12</f>
        <v>2063.8194945709165</v>
      </c>
      <c r="L12" s="9">
        <f>K12/References!$F$19</f>
        <v>2114.0276512890309</v>
      </c>
      <c r="M12" s="9">
        <f t="shared" si="9"/>
        <v>0.50623267511710512</v>
      </c>
      <c r="N12" s="8">
        <v>28.65</v>
      </c>
      <c r="O12" s="9">
        <f>MROUND(N12+M12,References!$E$28)</f>
        <v>29.16</v>
      </c>
      <c r="P12" s="8">
        <f t="shared" si="2"/>
        <v>29.16</v>
      </c>
      <c r="Q12" s="10">
        <f t="shared" si="3"/>
        <v>119642.4</v>
      </c>
      <c r="R12" s="10">
        <f t="shared" si="4"/>
        <v>121772.16</v>
      </c>
      <c r="S12" s="10">
        <f t="shared" si="5"/>
        <v>2129.7600000000093</v>
      </c>
      <c r="T12" s="10">
        <f t="shared" si="6"/>
        <v>121772.16</v>
      </c>
      <c r="U12" s="51">
        <f t="shared" si="7"/>
        <v>2129.7600000000093</v>
      </c>
    </row>
    <row r="13" spans="1:21">
      <c r="A13" s="107"/>
      <c r="B13" s="46">
        <v>100</v>
      </c>
      <c r="C13" s="46" t="s">
        <v>133</v>
      </c>
      <c r="D13" s="47" t="s">
        <v>128</v>
      </c>
      <c r="E13" s="48">
        <v>1</v>
      </c>
      <c r="F13" s="6">
        <v>1</v>
      </c>
      <c r="G13" s="49">
        <f t="shared" si="1"/>
        <v>12</v>
      </c>
      <c r="H13" s="50">
        <v>77</v>
      </c>
      <c r="I13" s="50">
        <f t="shared" si="8"/>
        <v>924</v>
      </c>
      <c r="J13" s="7">
        <f t="shared" si="0"/>
        <v>547.85365256322382</v>
      </c>
      <c r="K13" s="8">
        <f>References!$C$17*J13</f>
        <v>1.3696341314080569</v>
      </c>
      <c r="L13" s="9">
        <f>K13/References!$F$19</f>
        <v>1.40295429593655</v>
      </c>
      <c r="M13" s="9">
        <f t="shared" si="9"/>
        <v>0.1169128579947125</v>
      </c>
      <c r="N13" s="8">
        <v>10.130000000000001</v>
      </c>
      <c r="O13" s="9">
        <f>MROUND(N13+M13,References!$E$28)</f>
        <v>10.25</v>
      </c>
      <c r="P13" s="8">
        <f t="shared" si="2"/>
        <v>10.25</v>
      </c>
      <c r="Q13" s="10">
        <f t="shared" si="3"/>
        <v>121.56</v>
      </c>
      <c r="R13" s="10">
        <f t="shared" si="4"/>
        <v>123</v>
      </c>
      <c r="S13" s="10">
        <f t="shared" si="5"/>
        <v>1.4399999999999977</v>
      </c>
      <c r="T13" s="10">
        <f t="shared" si="6"/>
        <v>123</v>
      </c>
      <c r="U13" s="51">
        <f t="shared" si="7"/>
        <v>1.4399999999999977</v>
      </c>
    </row>
    <row r="14" spans="1:21">
      <c r="A14" s="107"/>
      <c r="B14" s="46">
        <v>100</v>
      </c>
      <c r="C14" s="46" t="s">
        <v>133</v>
      </c>
      <c r="D14" s="47" t="s">
        <v>87</v>
      </c>
      <c r="E14" s="48">
        <v>496</v>
      </c>
      <c r="F14" s="6">
        <f>References!$D$7</f>
        <v>4.333333333333333</v>
      </c>
      <c r="G14" s="49">
        <f t="shared" si="1"/>
        <v>25791.999999999996</v>
      </c>
      <c r="H14" s="50">
        <v>20</v>
      </c>
      <c r="I14" s="50">
        <f t="shared" si="8"/>
        <v>515839.99999999994</v>
      </c>
      <c r="J14" s="7">
        <f t="shared" si="0"/>
        <v>305849.38110196247</v>
      </c>
      <c r="K14" s="8">
        <f>References!$C$17*J14</f>
        <v>764.62345275490475</v>
      </c>
      <c r="L14" s="9">
        <f>K14/References!$F$19</f>
        <v>783.22504763626614</v>
      </c>
      <c r="M14" s="9">
        <f t="shared" si="9"/>
        <v>0.13159022977759849</v>
      </c>
      <c r="N14" s="8">
        <v>8.9600000000000009</v>
      </c>
      <c r="O14" s="9">
        <f>MROUND(N14+M14,References!$E$28)</f>
        <v>9.09</v>
      </c>
      <c r="P14" s="8">
        <f t="shared" si="2"/>
        <v>9.09</v>
      </c>
      <c r="Q14" s="10">
        <f t="shared" si="3"/>
        <v>53329.920000000013</v>
      </c>
      <c r="R14" s="10">
        <f t="shared" si="4"/>
        <v>54103.680000000008</v>
      </c>
      <c r="S14" s="10">
        <f t="shared" si="5"/>
        <v>773.75999999999476</v>
      </c>
      <c r="T14" s="10">
        <f t="shared" si="6"/>
        <v>54103.680000000008</v>
      </c>
      <c r="U14" s="51">
        <f t="shared" si="7"/>
        <v>773.75999999999476</v>
      </c>
    </row>
    <row r="15" spans="1:21">
      <c r="A15" s="107"/>
      <c r="B15" s="46">
        <v>100</v>
      </c>
      <c r="C15" s="46" t="s">
        <v>133</v>
      </c>
      <c r="D15" s="47" t="s">
        <v>132</v>
      </c>
      <c r="E15" s="48">
        <v>1</v>
      </c>
      <c r="F15" s="6">
        <v>1</v>
      </c>
      <c r="G15" s="49">
        <f t="shared" si="1"/>
        <v>12</v>
      </c>
      <c r="H15" s="50">
        <v>20</v>
      </c>
      <c r="I15" s="50">
        <f t="shared" si="8"/>
        <v>240</v>
      </c>
      <c r="J15" s="7">
        <f t="shared" si="0"/>
        <v>142.29965001642177</v>
      </c>
      <c r="K15" s="8">
        <f>References!$C$17*J15</f>
        <v>0.35574912504105372</v>
      </c>
      <c r="L15" s="9">
        <f>K15/References!$F$19</f>
        <v>0.36440371323027271</v>
      </c>
      <c r="M15" s="9">
        <f t="shared" si="9"/>
        <v>3.0366976102522727E-2</v>
      </c>
      <c r="N15" s="8">
        <v>5.58</v>
      </c>
      <c r="O15" s="9">
        <f>MROUND(N15+M15,References!$E$28)</f>
        <v>5.61</v>
      </c>
      <c r="P15" s="8">
        <f t="shared" si="2"/>
        <v>5.61</v>
      </c>
      <c r="Q15" s="10">
        <f t="shared" si="3"/>
        <v>66.960000000000008</v>
      </c>
      <c r="R15" s="10">
        <f t="shared" si="4"/>
        <v>67.320000000000007</v>
      </c>
      <c r="S15" s="10">
        <f t="shared" si="5"/>
        <v>0.35999999999999943</v>
      </c>
      <c r="T15" s="10">
        <f t="shared" si="6"/>
        <v>67.320000000000007</v>
      </c>
      <c r="U15" s="51">
        <f t="shared" si="7"/>
        <v>0.35999999999999943</v>
      </c>
    </row>
    <row r="16" spans="1:21">
      <c r="A16" s="114"/>
      <c r="B16" s="54"/>
      <c r="C16" s="54"/>
      <c r="D16" s="55"/>
      <c r="E16" s="56"/>
      <c r="F16" s="11"/>
      <c r="G16" s="57"/>
      <c r="H16" s="58"/>
      <c r="I16" s="58"/>
      <c r="J16" s="12"/>
      <c r="K16" s="13"/>
      <c r="L16" s="14"/>
      <c r="M16" s="14"/>
      <c r="N16" s="13"/>
      <c r="O16" s="14"/>
      <c r="P16" s="13"/>
      <c r="Q16" s="15"/>
      <c r="R16" s="15"/>
      <c r="S16" s="15"/>
      <c r="T16" s="15"/>
      <c r="U16" s="59"/>
    </row>
    <row r="17" spans="1:21">
      <c r="A17" s="60"/>
      <c r="B17" s="53"/>
      <c r="C17" s="46"/>
      <c r="D17" s="61" t="s">
        <v>14</v>
      </c>
      <c r="E17" s="62">
        <f>SUM(E6:E15)</f>
        <v>5728</v>
      </c>
      <c r="F17" s="11"/>
      <c r="G17" s="63">
        <f>SUM(G6:G15)</f>
        <v>297564.24</v>
      </c>
      <c r="H17" s="50"/>
      <c r="I17" s="64">
        <f>SUM(I6:I15)</f>
        <v>12236206.32</v>
      </c>
      <c r="J17" s="64">
        <f>SUM(J6:J15)</f>
        <v>7255032.8202697001</v>
      </c>
      <c r="K17" s="11"/>
      <c r="L17" s="11"/>
      <c r="M17" s="11"/>
      <c r="N17" s="6"/>
      <c r="O17" s="11"/>
      <c r="P17" s="6"/>
      <c r="Q17" s="65">
        <f>SUM(Q6:Q15)</f>
        <v>1175908.44</v>
      </c>
      <c r="R17" s="65">
        <f>SUM(R6:R15)</f>
        <v>1194473.6399999999</v>
      </c>
      <c r="S17" s="65">
        <f>SUM(S6:S15)</f>
        <v>18565.200000000019</v>
      </c>
      <c r="T17" s="65">
        <f>SUM(T6:T15)</f>
        <v>1194473.6399999999</v>
      </c>
      <c r="U17" s="66">
        <f>SUM(U6:U15)</f>
        <v>18565.200000000019</v>
      </c>
    </row>
    <row r="18" spans="1:21" ht="14.45" customHeight="1">
      <c r="A18" s="113" t="s">
        <v>111</v>
      </c>
      <c r="B18" s="46" t="s">
        <v>112</v>
      </c>
      <c r="C18" s="67" t="s">
        <v>113</v>
      </c>
      <c r="D18" s="68" t="s">
        <v>89</v>
      </c>
      <c r="E18" s="69">
        <v>169</v>
      </c>
      <c r="F18" s="6">
        <f>References!D9</f>
        <v>1</v>
      </c>
      <c r="G18" s="70">
        <f>E18*F18*12</f>
        <v>2028</v>
      </c>
      <c r="H18" s="71">
        <v>0</v>
      </c>
      <c r="I18" s="50">
        <f t="shared" ref="I18:I19" si="10">G18*H18</f>
        <v>0</v>
      </c>
      <c r="J18" s="7">
        <f t="shared" ref="J18:J40" si="11">$E$150*I18</f>
        <v>0</v>
      </c>
      <c r="K18" s="8">
        <f>References!$C$17*J18</f>
        <v>0</v>
      </c>
      <c r="L18" s="9">
        <f>K18/References!$F$19</f>
        <v>0</v>
      </c>
      <c r="M18" s="9">
        <f t="shared" ref="M18" si="12">L18/G18*F18</f>
        <v>0</v>
      </c>
      <c r="N18" s="16">
        <v>4.55</v>
      </c>
      <c r="O18" s="9">
        <f>MROUND(N18+M18,References!$E$28)</f>
        <v>4.55</v>
      </c>
      <c r="P18" s="16">
        <f>O18</f>
        <v>4.55</v>
      </c>
      <c r="Q18" s="17">
        <f>G18*N18</f>
        <v>9227.4</v>
      </c>
      <c r="R18" s="17">
        <f>G18*P18</f>
        <v>9227.4</v>
      </c>
      <c r="S18" s="17">
        <f t="shared" ref="S18:S19" si="13">R18-Q18</f>
        <v>0</v>
      </c>
      <c r="T18" s="17">
        <f>G18*O18</f>
        <v>9227.4</v>
      </c>
      <c r="U18" s="51">
        <f t="shared" ref="U18:U19" si="14">T18-Q18</f>
        <v>0</v>
      </c>
    </row>
    <row r="19" spans="1:21">
      <c r="A19" s="107"/>
      <c r="B19" s="46" t="s">
        <v>112</v>
      </c>
      <c r="C19" s="46" t="s">
        <v>113</v>
      </c>
      <c r="D19" s="47" t="s">
        <v>88</v>
      </c>
      <c r="E19" s="48">
        <v>197</v>
      </c>
      <c r="F19" s="6">
        <v>4.33</v>
      </c>
      <c r="G19" s="49">
        <f t="shared" ref="G19:G58" si="15">E19*F19*12</f>
        <v>10236.119999999999</v>
      </c>
      <c r="H19" s="50">
        <v>175</v>
      </c>
      <c r="I19" s="50">
        <f t="shared" si="10"/>
        <v>1791320.9999999998</v>
      </c>
      <c r="J19" s="7">
        <f t="shared" si="11"/>
        <v>1062101.4640294444</v>
      </c>
      <c r="K19" s="8">
        <f>References!$C$17*J19</f>
        <v>2655.2536600736057</v>
      </c>
      <c r="L19" s="9">
        <f>K19/References!$F$19</f>
        <v>2719.8500999473554</v>
      </c>
      <c r="M19" s="9">
        <f>L19/G19</f>
        <v>0.26571104089707387</v>
      </c>
      <c r="N19" s="8">
        <v>13.36</v>
      </c>
      <c r="O19" s="9">
        <f>MROUND(N19+M19,References!$E$28)</f>
        <v>13.63</v>
      </c>
      <c r="P19" s="8">
        <f>O19</f>
        <v>13.63</v>
      </c>
      <c r="Q19" s="10">
        <f>G19*N19</f>
        <v>136754.56319999998</v>
      </c>
      <c r="R19" s="10">
        <f>G19*P19</f>
        <v>139518.3156</v>
      </c>
      <c r="S19" s="10">
        <f t="shared" si="13"/>
        <v>2763.7524000000267</v>
      </c>
      <c r="T19" s="10">
        <f>G19*O19</f>
        <v>139518.3156</v>
      </c>
      <c r="U19" s="51">
        <f t="shared" si="14"/>
        <v>2763.7524000000267</v>
      </c>
    </row>
    <row r="20" spans="1:21">
      <c r="A20" s="107"/>
      <c r="B20" s="46" t="s">
        <v>112</v>
      </c>
      <c r="C20" s="46" t="s">
        <v>113</v>
      </c>
      <c r="D20" s="47" t="s">
        <v>103</v>
      </c>
      <c r="E20" s="48">
        <v>1</v>
      </c>
      <c r="F20" s="6">
        <v>1</v>
      </c>
      <c r="G20" s="49">
        <f t="shared" si="15"/>
        <v>12</v>
      </c>
      <c r="H20" s="50">
        <v>175</v>
      </c>
      <c r="I20" s="50">
        <f t="shared" ref="I20:I46" si="16">G20*H20</f>
        <v>2100</v>
      </c>
      <c r="J20" s="7">
        <f t="shared" si="11"/>
        <v>1245.1219376436904</v>
      </c>
      <c r="K20" s="8">
        <f>References!$C$17*J20</f>
        <v>3.1128048441092204</v>
      </c>
      <c r="L20" s="9">
        <f>K20/References!$F$19</f>
        <v>3.1885324907648864</v>
      </c>
      <c r="M20" s="9">
        <f t="shared" ref="M20:M46" si="17">L20/G20</f>
        <v>0.26571104089707387</v>
      </c>
      <c r="N20" s="8">
        <v>17.46</v>
      </c>
      <c r="O20" s="9">
        <f>MROUND(N20+M20,References!$E$28)</f>
        <v>17.73</v>
      </c>
      <c r="P20" s="8">
        <f t="shared" ref="P20:P58" si="18">O20</f>
        <v>17.73</v>
      </c>
      <c r="Q20" s="10">
        <f t="shared" ref="Q20:Q47" si="19">G20*N20</f>
        <v>209.52</v>
      </c>
      <c r="R20" s="10">
        <f t="shared" ref="R20:R47" si="20">G20*P20</f>
        <v>212.76</v>
      </c>
      <c r="S20" s="10">
        <f t="shared" ref="S20:S47" si="21">R20-Q20</f>
        <v>3.2399999999999807</v>
      </c>
      <c r="T20" s="10">
        <f t="shared" ref="T20:T47" si="22">G20*O20</f>
        <v>212.76</v>
      </c>
      <c r="U20" s="51">
        <f t="shared" ref="U20:U47" si="23">T20-Q20</f>
        <v>3.2399999999999807</v>
      </c>
    </row>
    <row r="21" spans="1:21">
      <c r="A21" s="107"/>
      <c r="B21" s="46" t="s">
        <v>112</v>
      </c>
      <c r="C21" s="46" t="s">
        <v>113</v>
      </c>
      <c r="D21" s="47" t="s">
        <v>90</v>
      </c>
      <c r="E21" s="48">
        <v>22</v>
      </c>
      <c r="F21" s="6">
        <f>References!D9</f>
        <v>1</v>
      </c>
      <c r="G21" s="49">
        <f t="shared" si="15"/>
        <v>264</v>
      </c>
      <c r="H21" s="50">
        <v>0</v>
      </c>
      <c r="I21" s="50">
        <f t="shared" si="16"/>
        <v>0</v>
      </c>
      <c r="J21" s="7">
        <f t="shared" si="11"/>
        <v>0</v>
      </c>
      <c r="K21" s="8">
        <f>References!$C$17*J21</f>
        <v>0</v>
      </c>
      <c r="L21" s="9">
        <f>K21/References!$F$19</f>
        <v>0</v>
      </c>
      <c r="M21" s="9">
        <f t="shared" si="17"/>
        <v>0</v>
      </c>
      <c r="N21" s="8">
        <v>5.2</v>
      </c>
      <c r="O21" s="9">
        <f>MROUND(N21+M21,References!$E$28)</f>
        <v>5.2</v>
      </c>
      <c r="P21" s="8">
        <f t="shared" si="18"/>
        <v>5.2</v>
      </c>
      <c r="Q21" s="10">
        <f t="shared" si="19"/>
        <v>1372.8</v>
      </c>
      <c r="R21" s="10">
        <f t="shared" si="20"/>
        <v>1372.8</v>
      </c>
      <c r="S21" s="10">
        <f t="shared" si="21"/>
        <v>0</v>
      </c>
      <c r="T21" s="10">
        <f t="shared" si="22"/>
        <v>1372.8</v>
      </c>
      <c r="U21" s="51">
        <f t="shared" si="23"/>
        <v>0</v>
      </c>
    </row>
    <row r="22" spans="1:21">
      <c r="A22" s="107"/>
      <c r="B22" s="46" t="s">
        <v>112</v>
      </c>
      <c r="C22" s="46" t="s">
        <v>113</v>
      </c>
      <c r="D22" s="47" t="s">
        <v>91</v>
      </c>
      <c r="E22" s="48">
        <v>31</v>
      </c>
      <c r="F22" s="6">
        <v>4.33</v>
      </c>
      <c r="G22" s="49">
        <f t="shared" si="15"/>
        <v>1610.7599999999998</v>
      </c>
      <c r="H22" s="50">
        <v>250</v>
      </c>
      <c r="I22" s="50">
        <f t="shared" si="16"/>
        <v>402689.99999999994</v>
      </c>
      <c r="J22" s="7">
        <f t="shared" si="11"/>
        <v>238761.02527130363</v>
      </c>
      <c r="K22" s="8">
        <f>References!$C$17*J22</f>
        <v>596.90256317825799</v>
      </c>
      <c r="L22" s="9">
        <f>K22/References!$F$19</f>
        <v>611.42388033624377</v>
      </c>
      <c r="M22" s="9">
        <f t="shared" si="17"/>
        <v>0.37958720128153411</v>
      </c>
      <c r="N22" s="8">
        <v>18.55</v>
      </c>
      <c r="O22" s="9">
        <f>MROUND(N22+M22,References!$E$28)</f>
        <v>18.93</v>
      </c>
      <c r="P22" s="8">
        <f t="shared" si="18"/>
        <v>18.93</v>
      </c>
      <c r="Q22" s="10">
        <f t="shared" si="19"/>
        <v>29879.597999999998</v>
      </c>
      <c r="R22" s="10">
        <f t="shared" si="20"/>
        <v>30491.686799999996</v>
      </c>
      <c r="S22" s="10">
        <f t="shared" si="21"/>
        <v>612.08879999999772</v>
      </c>
      <c r="T22" s="10">
        <f t="shared" si="22"/>
        <v>30491.686799999996</v>
      </c>
      <c r="U22" s="51">
        <f t="shared" si="23"/>
        <v>612.08879999999772</v>
      </c>
    </row>
    <row r="23" spans="1:21">
      <c r="A23" s="107"/>
      <c r="B23" s="46" t="s">
        <v>112</v>
      </c>
      <c r="C23" s="46" t="s">
        <v>113</v>
      </c>
      <c r="D23" s="47" t="s">
        <v>92</v>
      </c>
      <c r="E23" s="48">
        <v>117</v>
      </c>
      <c r="F23" s="6">
        <f>References!D9</f>
        <v>1</v>
      </c>
      <c r="G23" s="49">
        <f t="shared" si="15"/>
        <v>1404</v>
      </c>
      <c r="H23" s="50">
        <v>0</v>
      </c>
      <c r="I23" s="50">
        <f t="shared" si="16"/>
        <v>0</v>
      </c>
      <c r="J23" s="7">
        <f t="shared" si="11"/>
        <v>0</v>
      </c>
      <c r="K23" s="8">
        <f>References!$C$17*J23</f>
        <v>0</v>
      </c>
      <c r="L23" s="9">
        <f>K23/References!$F$19</f>
        <v>0</v>
      </c>
      <c r="M23" s="9">
        <f t="shared" si="17"/>
        <v>0</v>
      </c>
      <c r="N23" s="8">
        <v>6.2</v>
      </c>
      <c r="O23" s="9">
        <f>MROUND(N23+M23,References!$E$28)</f>
        <v>6.2</v>
      </c>
      <c r="P23" s="8">
        <f t="shared" si="18"/>
        <v>6.2</v>
      </c>
      <c r="Q23" s="10">
        <f t="shared" si="19"/>
        <v>8704.8000000000011</v>
      </c>
      <c r="R23" s="10">
        <f t="shared" si="20"/>
        <v>8704.8000000000011</v>
      </c>
      <c r="S23" s="10">
        <f t="shared" si="21"/>
        <v>0</v>
      </c>
      <c r="T23" s="10">
        <f t="shared" si="22"/>
        <v>8704.8000000000011</v>
      </c>
      <c r="U23" s="51">
        <f t="shared" si="23"/>
        <v>0</v>
      </c>
    </row>
    <row r="24" spans="1:21">
      <c r="A24" s="107"/>
      <c r="B24" s="46" t="s">
        <v>112</v>
      </c>
      <c r="C24" s="46" t="s">
        <v>113</v>
      </c>
      <c r="D24" s="47" t="s">
        <v>93</v>
      </c>
      <c r="E24" s="48">
        <v>169</v>
      </c>
      <c r="F24" s="6">
        <v>4.33</v>
      </c>
      <c r="G24" s="49">
        <f t="shared" si="15"/>
        <v>8781.24</v>
      </c>
      <c r="H24" s="50">
        <v>324</v>
      </c>
      <c r="I24" s="50">
        <f t="shared" si="16"/>
        <v>2845121.76</v>
      </c>
      <c r="J24" s="7">
        <f t="shared" si="11"/>
        <v>1686915.9612587746</v>
      </c>
      <c r="K24" s="8">
        <f>References!$C$17*J24</f>
        <v>4217.2899031469287</v>
      </c>
      <c r="L24" s="9">
        <f>K24/References!$F$19</f>
        <v>4319.8872247343706</v>
      </c>
      <c r="M24" s="9">
        <f t="shared" si="17"/>
        <v>0.49194501286086828</v>
      </c>
      <c r="N24" s="8">
        <v>24.04</v>
      </c>
      <c r="O24" s="9">
        <f>MROUND(N24+M24,References!$E$28)</f>
        <v>24.53</v>
      </c>
      <c r="P24" s="8">
        <f t="shared" si="18"/>
        <v>24.53</v>
      </c>
      <c r="Q24" s="10">
        <f t="shared" si="19"/>
        <v>211101.00959999999</v>
      </c>
      <c r="R24" s="10">
        <f t="shared" si="20"/>
        <v>215403.81719999999</v>
      </c>
      <c r="S24" s="10">
        <f t="shared" si="21"/>
        <v>4302.8076000000001</v>
      </c>
      <c r="T24" s="10">
        <f t="shared" si="22"/>
        <v>215403.81719999999</v>
      </c>
      <c r="U24" s="51">
        <f t="shared" si="23"/>
        <v>4302.8076000000001</v>
      </c>
    </row>
    <row r="25" spans="1:21">
      <c r="A25" s="107"/>
      <c r="B25" s="46" t="s">
        <v>112</v>
      </c>
      <c r="C25" s="46" t="s">
        <v>113</v>
      </c>
      <c r="D25" s="47" t="s">
        <v>104</v>
      </c>
      <c r="E25" s="48">
        <v>7</v>
      </c>
      <c r="F25" s="6">
        <v>1</v>
      </c>
      <c r="G25" s="49">
        <f t="shared" si="15"/>
        <v>84</v>
      </c>
      <c r="H25" s="50">
        <v>324</v>
      </c>
      <c r="I25" s="50">
        <f t="shared" si="16"/>
        <v>27216</v>
      </c>
      <c r="J25" s="7">
        <f t="shared" si="11"/>
        <v>16136.780311862229</v>
      </c>
      <c r="K25" s="8">
        <f>References!$C$17*J25</f>
        <v>40.341950779655498</v>
      </c>
      <c r="L25" s="9">
        <f>K25/References!$F$19</f>
        <v>41.323381080312934</v>
      </c>
      <c r="M25" s="9">
        <f t="shared" si="17"/>
        <v>0.49194501286086828</v>
      </c>
      <c r="N25" s="8">
        <v>27.74</v>
      </c>
      <c r="O25" s="9">
        <f>MROUND(N25+M25,References!$E$28)</f>
        <v>28.23</v>
      </c>
      <c r="P25" s="8">
        <f t="shared" si="18"/>
        <v>28.23</v>
      </c>
      <c r="Q25" s="10">
        <f t="shared" si="19"/>
        <v>2330.16</v>
      </c>
      <c r="R25" s="10">
        <f t="shared" si="20"/>
        <v>2371.3200000000002</v>
      </c>
      <c r="S25" s="10">
        <f t="shared" si="21"/>
        <v>41.160000000000309</v>
      </c>
      <c r="T25" s="10">
        <f t="shared" si="22"/>
        <v>2371.3200000000002</v>
      </c>
      <c r="U25" s="51">
        <f t="shared" si="23"/>
        <v>41.160000000000309</v>
      </c>
    </row>
    <row r="26" spans="1:21">
      <c r="A26" s="107"/>
      <c r="B26" s="46" t="s">
        <v>112</v>
      </c>
      <c r="C26" s="46" t="s">
        <v>113</v>
      </c>
      <c r="D26" s="47" t="s">
        <v>94</v>
      </c>
      <c r="E26" s="48">
        <v>73</v>
      </c>
      <c r="F26" s="6">
        <f>References!D9</f>
        <v>1</v>
      </c>
      <c r="G26" s="49">
        <f t="shared" si="15"/>
        <v>876</v>
      </c>
      <c r="H26" s="50">
        <v>0</v>
      </c>
      <c r="I26" s="50">
        <f t="shared" si="16"/>
        <v>0</v>
      </c>
      <c r="J26" s="7">
        <f t="shared" si="11"/>
        <v>0</v>
      </c>
      <c r="K26" s="8">
        <f>References!$C$17*J26</f>
        <v>0</v>
      </c>
      <c r="L26" s="9">
        <f>K26/References!$F$19</f>
        <v>0</v>
      </c>
      <c r="M26" s="9">
        <f t="shared" si="17"/>
        <v>0</v>
      </c>
      <c r="N26" s="8">
        <v>7.3</v>
      </c>
      <c r="O26" s="9">
        <f>MROUND(N26+M26,References!$E$28)</f>
        <v>7.3</v>
      </c>
      <c r="P26" s="8">
        <f t="shared" si="18"/>
        <v>7.3</v>
      </c>
      <c r="Q26" s="10">
        <f t="shared" si="19"/>
        <v>6394.8</v>
      </c>
      <c r="R26" s="10">
        <f t="shared" si="20"/>
        <v>6394.8</v>
      </c>
      <c r="S26" s="10">
        <f t="shared" si="21"/>
        <v>0</v>
      </c>
      <c r="T26" s="10">
        <f t="shared" si="22"/>
        <v>6394.8</v>
      </c>
      <c r="U26" s="51">
        <f t="shared" si="23"/>
        <v>0</v>
      </c>
    </row>
    <row r="27" spans="1:21">
      <c r="A27" s="107"/>
      <c r="B27" s="46" t="s">
        <v>112</v>
      </c>
      <c r="C27" s="46" t="s">
        <v>113</v>
      </c>
      <c r="D27" s="47" t="s">
        <v>95</v>
      </c>
      <c r="E27" s="48">
        <v>87</v>
      </c>
      <c r="F27" s="6">
        <v>4.33</v>
      </c>
      <c r="G27" s="49">
        <f t="shared" si="15"/>
        <v>4520.5199999999995</v>
      </c>
      <c r="H27" s="50">
        <v>473</v>
      </c>
      <c r="I27" s="50">
        <f t="shared" si="16"/>
        <v>2138205.96</v>
      </c>
      <c r="J27" s="7">
        <f t="shared" si="11"/>
        <v>1267774.8323792797</v>
      </c>
      <c r="K27" s="8">
        <f>References!$C$17*J27</f>
        <v>3169.4370809481929</v>
      </c>
      <c r="L27" s="9">
        <f>K27/References!$F$19</f>
        <v>3246.542464479583</v>
      </c>
      <c r="M27" s="9">
        <f t="shared" si="17"/>
        <v>0.71817898482466247</v>
      </c>
      <c r="N27" s="8">
        <v>33.869999999999997</v>
      </c>
      <c r="O27" s="9">
        <f>MROUND(N27+M27,References!$E$28)</f>
        <v>34.590000000000003</v>
      </c>
      <c r="P27" s="8">
        <f t="shared" si="18"/>
        <v>34.590000000000003</v>
      </c>
      <c r="Q27" s="10">
        <f t="shared" si="19"/>
        <v>153110.01239999998</v>
      </c>
      <c r="R27" s="10">
        <f t="shared" si="20"/>
        <v>156364.7868</v>
      </c>
      <c r="S27" s="10">
        <f t="shared" si="21"/>
        <v>3254.7744000000239</v>
      </c>
      <c r="T27" s="10">
        <f t="shared" si="22"/>
        <v>156364.7868</v>
      </c>
      <c r="U27" s="51">
        <f t="shared" si="23"/>
        <v>3254.7744000000239</v>
      </c>
    </row>
    <row r="28" spans="1:21">
      <c r="A28" s="107"/>
      <c r="B28" s="46" t="s">
        <v>112</v>
      </c>
      <c r="C28" s="46" t="s">
        <v>113</v>
      </c>
      <c r="D28" s="47" t="s">
        <v>105</v>
      </c>
      <c r="E28" s="48">
        <v>3</v>
      </c>
      <c r="F28" s="6">
        <v>1</v>
      </c>
      <c r="G28" s="49">
        <f t="shared" si="15"/>
        <v>36</v>
      </c>
      <c r="H28" s="50">
        <v>473</v>
      </c>
      <c r="I28" s="50">
        <f t="shared" si="16"/>
        <v>17028</v>
      </c>
      <c r="J28" s="7">
        <f t="shared" si="11"/>
        <v>10096.160168665125</v>
      </c>
      <c r="K28" s="8">
        <f>References!$C$17*J28</f>
        <v>25.240400421662763</v>
      </c>
      <c r="L28" s="9">
        <f>K28/References!$F$19</f>
        <v>25.85444345368785</v>
      </c>
      <c r="M28" s="9">
        <f t="shared" si="17"/>
        <v>0.71817898482466247</v>
      </c>
      <c r="N28" s="8">
        <v>37.22</v>
      </c>
      <c r="O28" s="9">
        <f>MROUND(N28+M28,References!$E$28)</f>
        <v>37.94</v>
      </c>
      <c r="P28" s="8">
        <f t="shared" si="18"/>
        <v>37.94</v>
      </c>
      <c r="Q28" s="10">
        <f t="shared" si="19"/>
        <v>1339.92</v>
      </c>
      <c r="R28" s="10">
        <f t="shared" si="20"/>
        <v>1365.84</v>
      </c>
      <c r="S28" s="10">
        <f t="shared" si="21"/>
        <v>25.919999999999845</v>
      </c>
      <c r="T28" s="10">
        <f t="shared" si="22"/>
        <v>1365.84</v>
      </c>
      <c r="U28" s="51">
        <f t="shared" si="23"/>
        <v>25.919999999999845</v>
      </c>
    </row>
    <row r="29" spans="1:21">
      <c r="A29" s="107"/>
      <c r="B29" s="46" t="s">
        <v>112</v>
      </c>
      <c r="C29" s="46" t="s">
        <v>113</v>
      </c>
      <c r="D29" s="47" t="s">
        <v>96</v>
      </c>
      <c r="E29" s="48">
        <v>82</v>
      </c>
      <c r="F29" s="6">
        <f>References!D9</f>
        <v>1</v>
      </c>
      <c r="G29" s="49">
        <f t="shared" si="15"/>
        <v>984</v>
      </c>
      <c r="H29" s="50">
        <v>0</v>
      </c>
      <c r="I29" s="50">
        <f t="shared" si="16"/>
        <v>0</v>
      </c>
      <c r="J29" s="7">
        <f t="shared" si="11"/>
        <v>0</v>
      </c>
      <c r="K29" s="8">
        <f>References!$C$17*J29</f>
        <v>0</v>
      </c>
      <c r="L29" s="9">
        <f>K29/References!$F$19</f>
        <v>0</v>
      </c>
      <c r="M29" s="9">
        <f t="shared" si="17"/>
        <v>0</v>
      </c>
      <c r="N29" s="8">
        <v>8</v>
      </c>
      <c r="O29" s="9">
        <f>MROUND(N29+M29,References!$E$28)</f>
        <v>8</v>
      </c>
      <c r="P29" s="8">
        <f t="shared" si="18"/>
        <v>8</v>
      </c>
      <c r="Q29" s="10">
        <f t="shared" si="19"/>
        <v>7872</v>
      </c>
      <c r="R29" s="10">
        <f t="shared" si="20"/>
        <v>7872</v>
      </c>
      <c r="S29" s="10">
        <f t="shared" si="21"/>
        <v>0</v>
      </c>
      <c r="T29" s="10">
        <f t="shared" si="22"/>
        <v>7872</v>
      </c>
      <c r="U29" s="51">
        <f t="shared" si="23"/>
        <v>0</v>
      </c>
    </row>
    <row r="30" spans="1:21">
      <c r="A30" s="107"/>
      <c r="B30" s="46" t="s">
        <v>112</v>
      </c>
      <c r="C30" s="46" t="s">
        <v>113</v>
      </c>
      <c r="D30" s="47" t="s">
        <v>97</v>
      </c>
      <c r="E30" s="48">
        <v>106</v>
      </c>
      <c r="F30" s="6">
        <v>4.33</v>
      </c>
      <c r="G30" s="49">
        <f t="shared" si="15"/>
        <v>5507.76</v>
      </c>
      <c r="H30" s="50">
        <v>613</v>
      </c>
      <c r="I30" s="50">
        <f t="shared" si="16"/>
        <v>3376256.8800000004</v>
      </c>
      <c r="J30" s="7">
        <f t="shared" si="11"/>
        <v>2001834.0516230674</v>
      </c>
      <c r="K30" s="8">
        <f>References!$C$17*J30</f>
        <v>5004.5851290576593</v>
      </c>
      <c r="L30" s="9">
        <f>K30/References!$F$19</f>
        <v>5126.3355995468983</v>
      </c>
      <c r="M30" s="9">
        <f t="shared" si="17"/>
        <v>0.93074781754232172</v>
      </c>
      <c r="N30" s="8">
        <v>43.79</v>
      </c>
      <c r="O30" s="9">
        <f>MROUND(N30+M30,References!$E$28)</f>
        <v>44.72</v>
      </c>
      <c r="P30" s="8">
        <f t="shared" si="18"/>
        <v>44.72</v>
      </c>
      <c r="Q30" s="10">
        <f t="shared" si="19"/>
        <v>241184.81040000002</v>
      </c>
      <c r="R30" s="10">
        <f t="shared" si="20"/>
        <v>246307.02720000001</v>
      </c>
      <c r="S30" s="10">
        <f t="shared" si="21"/>
        <v>5122.2167999999947</v>
      </c>
      <c r="T30" s="10">
        <f t="shared" si="22"/>
        <v>246307.02720000001</v>
      </c>
      <c r="U30" s="51">
        <f t="shared" si="23"/>
        <v>5122.2167999999947</v>
      </c>
    </row>
    <row r="31" spans="1:21">
      <c r="A31" s="107"/>
      <c r="B31" s="46" t="s">
        <v>112</v>
      </c>
      <c r="C31" s="46" t="s">
        <v>113</v>
      </c>
      <c r="D31" s="47" t="s">
        <v>106</v>
      </c>
      <c r="E31" s="48">
        <v>3</v>
      </c>
      <c r="F31" s="6">
        <v>1</v>
      </c>
      <c r="G31" s="49">
        <f t="shared" si="15"/>
        <v>36</v>
      </c>
      <c r="H31" s="50">
        <v>613</v>
      </c>
      <c r="I31" s="50">
        <f t="shared" si="16"/>
        <v>22068</v>
      </c>
      <c r="J31" s="7">
        <f t="shared" si="11"/>
        <v>13084.452819009981</v>
      </c>
      <c r="K31" s="8">
        <f>References!$C$17*J31</f>
        <v>32.711132047524892</v>
      </c>
      <c r="L31" s="9">
        <f>K31/References!$F$19</f>
        <v>33.50692143152358</v>
      </c>
      <c r="M31" s="9">
        <f t="shared" si="17"/>
        <v>0.93074781754232161</v>
      </c>
      <c r="N31" s="8">
        <v>46.69</v>
      </c>
      <c r="O31" s="9">
        <f>MROUND(N31+M31,References!$E$28)</f>
        <v>47.62</v>
      </c>
      <c r="P31" s="8">
        <f t="shared" si="18"/>
        <v>47.62</v>
      </c>
      <c r="Q31" s="10">
        <f t="shared" si="19"/>
        <v>1680.84</v>
      </c>
      <c r="R31" s="10">
        <f t="shared" si="20"/>
        <v>1714.32</v>
      </c>
      <c r="S31" s="10">
        <f t="shared" si="21"/>
        <v>33.480000000000018</v>
      </c>
      <c r="T31" s="10">
        <f t="shared" si="22"/>
        <v>1714.32</v>
      </c>
      <c r="U31" s="51">
        <f t="shared" si="23"/>
        <v>33.480000000000018</v>
      </c>
    </row>
    <row r="32" spans="1:21">
      <c r="A32" s="107"/>
      <c r="B32" s="46" t="s">
        <v>112</v>
      </c>
      <c r="C32" s="46" t="s">
        <v>113</v>
      </c>
      <c r="D32" s="47" t="s">
        <v>98</v>
      </c>
      <c r="E32" s="48">
        <v>147</v>
      </c>
      <c r="F32" s="6">
        <f>References!D9</f>
        <v>1</v>
      </c>
      <c r="G32" s="49">
        <f t="shared" si="15"/>
        <v>1764</v>
      </c>
      <c r="H32" s="50">
        <v>0</v>
      </c>
      <c r="I32" s="50">
        <f t="shared" si="16"/>
        <v>0</v>
      </c>
      <c r="J32" s="7">
        <f t="shared" si="11"/>
        <v>0</v>
      </c>
      <c r="K32" s="8">
        <f>References!$C$17*J32</f>
        <v>0</v>
      </c>
      <c r="L32" s="9">
        <f>K32/References!$F$19</f>
        <v>0</v>
      </c>
      <c r="M32" s="9">
        <f t="shared" si="17"/>
        <v>0</v>
      </c>
      <c r="N32" s="8">
        <v>12.3</v>
      </c>
      <c r="O32" s="9">
        <f>MROUND(N32+M32,References!$E$28)</f>
        <v>12.3</v>
      </c>
      <c r="P32" s="8">
        <f t="shared" si="18"/>
        <v>12.3</v>
      </c>
      <c r="Q32" s="10">
        <f t="shared" si="19"/>
        <v>21697.200000000001</v>
      </c>
      <c r="R32" s="10">
        <f t="shared" si="20"/>
        <v>21697.200000000001</v>
      </c>
      <c r="S32" s="10">
        <f t="shared" si="21"/>
        <v>0</v>
      </c>
      <c r="T32" s="10">
        <f t="shared" si="22"/>
        <v>21697.200000000001</v>
      </c>
      <c r="U32" s="51">
        <f t="shared" si="23"/>
        <v>0</v>
      </c>
    </row>
    <row r="33" spans="1:21">
      <c r="A33" s="107"/>
      <c r="B33" s="46" t="s">
        <v>112</v>
      </c>
      <c r="C33" s="46" t="s">
        <v>113</v>
      </c>
      <c r="D33" s="47" t="s">
        <v>99</v>
      </c>
      <c r="E33" s="48">
        <v>214</v>
      </c>
      <c r="F33" s="6">
        <v>4.33</v>
      </c>
      <c r="G33" s="49">
        <f t="shared" si="15"/>
        <v>11119.44</v>
      </c>
      <c r="H33" s="50">
        <v>840</v>
      </c>
      <c r="I33" s="50">
        <f t="shared" si="16"/>
        <v>9340329.5999999996</v>
      </c>
      <c r="J33" s="7">
        <f t="shared" si="11"/>
        <v>5538023.4713251032</v>
      </c>
      <c r="K33" s="8">
        <f>References!$C$17*J33</f>
        <v>13845.058678312731</v>
      </c>
      <c r="L33" s="9">
        <f>K33/References!$F$19</f>
        <v>14181.878287644284</v>
      </c>
      <c r="M33" s="9">
        <f t="shared" si="17"/>
        <v>1.2754129963059546</v>
      </c>
      <c r="N33" s="8">
        <v>62.12</v>
      </c>
      <c r="O33" s="9">
        <f>MROUND(N33+M33,References!$E$28)</f>
        <v>63.4</v>
      </c>
      <c r="P33" s="8">
        <f t="shared" si="18"/>
        <v>63.4</v>
      </c>
      <c r="Q33" s="10">
        <f t="shared" si="19"/>
        <v>690739.6128</v>
      </c>
      <c r="R33" s="10">
        <f t="shared" si="20"/>
        <v>704972.49600000004</v>
      </c>
      <c r="S33" s="10">
        <f t="shared" si="21"/>
        <v>14232.88320000004</v>
      </c>
      <c r="T33" s="10">
        <f t="shared" si="22"/>
        <v>704972.49600000004</v>
      </c>
      <c r="U33" s="51">
        <f t="shared" si="23"/>
        <v>14232.88320000004</v>
      </c>
    </row>
    <row r="34" spans="1:21">
      <c r="A34" s="107"/>
      <c r="B34" s="46" t="s">
        <v>112</v>
      </c>
      <c r="C34" s="46" t="s">
        <v>113</v>
      </c>
      <c r="D34" s="47" t="s">
        <v>107</v>
      </c>
      <c r="E34" s="48">
        <v>14</v>
      </c>
      <c r="F34" s="6">
        <v>1</v>
      </c>
      <c r="G34" s="49">
        <f t="shared" si="15"/>
        <v>168</v>
      </c>
      <c r="H34" s="50">
        <v>840</v>
      </c>
      <c r="I34" s="50">
        <f t="shared" si="16"/>
        <v>141120</v>
      </c>
      <c r="J34" s="7">
        <f t="shared" si="11"/>
        <v>83672.194209655994</v>
      </c>
      <c r="K34" s="8">
        <f>References!$C$17*J34</f>
        <v>209.18048552413958</v>
      </c>
      <c r="L34" s="9">
        <f>K34/References!$F$19</f>
        <v>214.26938337940035</v>
      </c>
      <c r="M34" s="9">
        <f t="shared" si="17"/>
        <v>1.2754129963059544</v>
      </c>
      <c r="N34" s="8">
        <v>64.37</v>
      </c>
      <c r="O34" s="9">
        <f>MROUND(N34+M34,References!$E$28)</f>
        <v>65.650000000000006</v>
      </c>
      <c r="P34" s="8">
        <f t="shared" si="18"/>
        <v>65.650000000000006</v>
      </c>
      <c r="Q34" s="10">
        <f t="shared" si="19"/>
        <v>10814.16</v>
      </c>
      <c r="R34" s="10">
        <f t="shared" si="20"/>
        <v>11029.2</v>
      </c>
      <c r="S34" s="10">
        <f t="shared" si="21"/>
        <v>215.04000000000087</v>
      </c>
      <c r="T34" s="10">
        <f t="shared" si="22"/>
        <v>11029.2</v>
      </c>
      <c r="U34" s="51">
        <f t="shared" si="23"/>
        <v>215.04000000000087</v>
      </c>
    </row>
    <row r="35" spans="1:21">
      <c r="A35" s="107"/>
      <c r="B35" s="46" t="s">
        <v>112</v>
      </c>
      <c r="C35" s="46" t="s">
        <v>135</v>
      </c>
      <c r="D35" s="47" t="s">
        <v>100</v>
      </c>
      <c r="E35" s="48">
        <v>79</v>
      </c>
      <c r="F35" s="6">
        <f>References!D9</f>
        <v>1</v>
      </c>
      <c r="G35" s="49">
        <f t="shared" si="15"/>
        <v>948</v>
      </c>
      <c r="H35" s="50">
        <v>0</v>
      </c>
      <c r="I35" s="50">
        <f t="shared" si="16"/>
        <v>0</v>
      </c>
      <c r="J35" s="7">
        <f t="shared" si="11"/>
        <v>0</v>
      </c>
      <c r="K35" s="8">
        <f>References!$C$17*J35</f>
        <v>0</v>
      </c>
      <c r="L35" s="9">
        <f>K35/References!$F$19</f>
        <v>0</v>
      </c>
      <c r="M35" s="9">
        <f t="shared" si="17"/>
        <v>0</v>
      </c>
      <c r="N35" s="8">
        <v>14.6</v>
      </c>
      <c r="O35" s="9">
        <f>MROUND(N35+M35,References!$E$28)</f>
        <v>14.6</v>
      </c>
      <c r="P35" s="8">
        <f t="shared" si="18"/>
        <v>14.6</v>
      </c>
      <c r="Q35" s="10">
        <f t="shared" si="19"/>
        <v>13840.8</v>
      </c>
      <c r="R35" s="10">
        <f t="shared" si="20"/>
        <v>13840.8</v>
      </c>
      <c r="S35" s="10">
        <f t="shared" si="21"/>
        <v>0</v>
      </c>
      <c r="T35" s="10">
        <f t="shared" si="22"/>
        <v>13840.8</v>
      </c>
      <c r="U35" s="51">
        <f t="shared" si="23"/>
        <v>0</v>
      </c>
    </row>
    <row r="36" spans="1:21">
      <c r="A36" s="107"/>
      <c r="B36" s="46" t="s">
        <v>112</v>
      </c>
      <c r="C36" s="46" t="s">
        <v>135</v>
      </c>
      <c r="D36" s="47" t="s">
        <v>101</v>
      </c>
      <c r="E36" s="48">
        <v>115</v>
      </c>
      <c r="F36" s="6">
        <v>4.33</v>
      </c>
      <c r="G36" s="49">
        <f t="shared" si="15"/>
        <v>5975.4</v>
      </c>
      <c r="H36" s="50">
        <v>980</v>
      </c>
      <c r="I36" s="50">
        <f t="shared" si="16"/>
        <v>5855892</v>
      </c>
      <c r="J36" s="7">
        <f t="shared" si="11"/>
        <v>3472047.4255581838</v>
      </c>
      <c r="K36" s="8">
        <f>References!$C$17*J36</f>
        <v>8680.118563895443</v>
      </c>
      <c r="L36" s="9">
        <f>K36/References!$F$19</f>
        <v>8891.2866211477012</v>
      </c>
      <c r="M36" s="9">
        <f t="shared" si="17"/>
        <v>1.4879818290236138</v>
      </c>
      <c r="N36" s="8">
        <v>81.19</v>
      </c>
      <c r="O36" s="9">
        <f>MROUND(N36+M36,References!$E$28)</f>
        <v>82.68</v>
      </c>
      <c r="P36" s="8">
        <f t="shared" si="18"/>
        <v>82.68</v>
      </c>
      <c r="Q36" s="10">
        <f t="shared" si="19"/>
        <v>485142.72599999997</v>
      </c>
      <c r="R36" s="10">
        <f t="shared" si="20"/>
        <v>494046.07199999999</v>
      </c>
      <c r="S36" s="10">
        <f t="shared" si="21"/>
        <v>8903.3460000000196</v>
      </c>
      <c r="T36" s="10">
        <f t="shared" si="22"/>
        <v>494046.07199999999</v>
      </c>
      <c r="U36" s="51">
        <f t="shared" si="23"/>
        <v>8903.3460000000196</v>
      </c>
    </row>
    <row r="37" spans="1:21">
      <c r="A37" s="107"/>
      <c r="B37" s="46" t="s">
        <v>112</v>
      </c>
      <c r="C37" s="46" t="s">
        <v>135</v>
      </c>
      <c r="D37" s="47" t="s">
        <v>108</v>
      </c>
      <c r="E37" s="48">
        <v>14</v>
      </c>
      <c r="F37" s="6">
        <v>1</v>
      </c>
      <c r="G37" s="49">
        <f t="shared" si="15"/>
        <v>168</v>
      </c>
      <c r="H37" s="50">
        <v>980</v>
      </c>
      <c r="I37" s="50">
        <f t="shared" si="16"/>
        <v>164640</v>
      </c>
      <c r="J37" s="7">
        <f t="shared" si="11"/>
        <v>97617.559911265329</v>
      </c>
      <c r="K37" s="8">
        <f>References!$C$17*J37</f>
        <v>244.04389977816285</v>
      </c>
      <c r="L37" s="9">
        <f>K37/References!$F$19</f>
        <v>249.98094727596708</v>
      </c>
      <c r="M37" s="9">
        <f t="shared" si="17"/>
        <v>1.4879818290236135</v>
      </c>
      <c r="N37" s="8">
        <v>83.04</v>
      </c>
      <c r="O37" s="9">
        <f>MROUND(N37+M37,References!$E$28)</f>
        <v>84.53</v>
      </c>
      <c r="P37" s="8">
        <f t="shared" si="18"/>
        <v>84.53</v>
      </c>
      <c r="Q37" s="10">
        <f t="shared" si="19"/>
        <v>13950.720000000001</v>
      </c>
      <c r="R37" s="10">
        <f t="shared" si="20"/>
        <v>14201.04</v>
      </c>
      <c r="S37" s="10">
        <f t="shared" si="21"/>
        <v>250.31999999999971</v>
      </c>
      <c r="T37" s="10">
        <f t="shared" si="22"/>
        <v>14201.04</v>
      </c>
      <c r="U37" s="51">
        <f t="shared" si="23"/>
        <v>250.31999999999971</v>
      </c>
    </row>
    <row r="38" spans="1:21">
      <c r="A38" s="107"/>
      <c r="B38" s="46" t="s">
        <v>112</v>
      </c>
      <c r="C38" s="46" t="s">
        <v>113</v>
      </c>
      <c r="D38" s="47" t="s">
        <v>109</v>
      </c>
      <c r="E38" s="48">
        <v>1</v>
      </c>
      <c r="F38" s="6">
        <v>1</v>
      </c>
      <c r="G38" s="49">
        <f t="shared" si="15"/>
        <v>12</v>
      </c>
      <c r="H38" s="50">
        <v>0</v>
      </c>
      <c r="I38" s="50">
        <f t="shared" si="16"/>
        <v>0</v>
      </c>
      <c r="J38" s="7">
        <f t="shared" si="11"/>
        <v>0</v>
      </c>
      <c r="K38" s="8">
        <f>References!$C$17*J38</f>
        <v>0</v>
      </c>
      <c r="L38" s="9">
        <f>K38/References!$F$19</f>
        <v>0</v>
      </c>
      <c r="M38" s="9">
        <f t="shared" si="17"/>
        <v>0</v>
      </c>
      <c r="N38" s="8">
        <v>5.25</v>
      </c>
      <c r="O38" s="9">
        <f>MROUND(N38+M38,References!$E$28)</f>
        <v>5.25</v>
      </c>
      <c r="P38" s="8">
        <f t="shared" si="18"/>
        <v>5.25</v>
      </c>
      <c r="Q38" s="10">
        <f t="shared" si="19"/>
        <v>63</v>
      </c>
      <c r="R38" s="10">
        <f t="shared" si="20"/>
        <v>63</v>
      </c>
      <c r="S38" s="10">
        <f t="shared" si="21"/>
        <v>0</v>
      </c>
      <c r="T38" s="10">
        <f t="shared" si="22"/>
        <v>63</v>
      </c>
      <c r="U38" s="51">
        <f t="shared" si="23"/>
        <v>0</v>
      </c>
    </row>
    <row r="39" spans="1:21">
      <c r="A39" s="107"/>
      <c r="B39" s="46">
        <v>240</v>
      </c>
      <c r="C39" s="46">
        <v>43</v>
      </c>
      <c r="D39" s="47" t="s">
        <v>115</v>
      </c>
      <c r="E39" s="48">
        <v>747</v>
      </c>
      <c r="F39" s="6">
        <v>4.33</v>
      </c>
      <c r="G39" s="49">
        <f t="shared" si="15"/>
        <v>38814.120000000003</v>
      </c>
      <c r="H39" s="50">
        <v>34</v>
      </c>
      <c r="I39" s="50">
        <f t="shared" si="16"/>
        <v>1319680.08</v>
      </c>
      <c r="J39" s="7">
        <f t="shared" si="11"/>
        <v>782458.38965684792</v>
      </c>
      <c r="K39" s="8">
        <f>References!$C$17*J39</f>
        <v>1956.1459741421161</v>
      </c>
      <c r="L39" s="9">
        <f>K39/References!$F$19</f>
        <v>2003.7346726167643</v>
      </c>
      <c r="M39" s="9">
        <f t="shared" si="17"/>
        <v>5.1623859374288643E-2</v>
      </c>
      <c r="N39" s="8">
        <v>3.34</v>
      </c>
      <c r="O39" s="9">
        <f>MROUND(N39+M39,References!$E$28)</f>
        <v>3.39</v>
      </c>
      <c r="P39" s="8">
        <f t="shared" si="18"/>
        <v>3.39</v>
      </c>
      <c r="Q39" s="10">
        <f t="shared" si="19"/>
        <v>129639.1608</v>
      </c>
      <c r="R39" s="10">
        <f t="shared" si="20"/>
        <v>131579.86680000002</v>
      </c>
      <c r="S39" s="10">
        <f t="shared" si="21"/>
        <v>1940.7060000000201</v>
      </c>
      <c r="T39" s="10">
        <f t="shared" si="22"/>
        <v>131579.86680000002</v>
      </c>
      <c r="U39" s="51">
        <f t="shared" si="23"/>
        <v>1940.7060000000201</v>
      </c>
    </row>
    <row r="40" spans="1:21">
      <c r="A40" s="107"/>
      <c r="B40" s="46">
        <v>240</v>
      </c>
      <c r="C40" s="46">
        <v>43</v>
      </c>
      <c r="D40" s="47" t="s">
        <v>116</v>
      </c>
      <c r="E40" s="48">
        <v>1</v>
      </c>
      <c r="F40" s="6">
        <v>1</v>
      </c>
      <c r="G40" s="49">
        <f t="shared" si="15"/>
        <v>12</v>
      </c>
      <c r="H40" s="50">
        <v>34</v>
      </c>
      <c r="I40" s="50">
        <f t="shared" si="16"/>
        <v>408</v>
      </c>
      <c r="J40" s="7">
        <f t="shared" si="11"/>
        <v>241.90940502791702</v>
      </c>
      <c r="K40" s="8">
        <f>References!$C$17*J40</f>
        <v>0.60477351256979139</v>
      </c>
      <c r="L40" s="9">
        <f>K40/References!$F$19</f>
        <v>0.61948631249146369</v>
      </c>
      <c r="M40" s="9">
        <f t="shared" si="17"/>
        <v>5.1623859374288643E-2</v>
      </c>
      <c r="N40" s="8">
        <v>6.85</v>
      </c>
      <c r="O40" s="9">
        <f>MROUND(N40+M40,References!$E$28)</f>
        <v>6.9</v>
      </c>
      <c r="P40" s="8">
        <f t="shared" si="18"/>
        <v>6.9</v>
      </c>
      <c r="Q40" s="10">
        <f t="shared" si="19"/>
        <v>82.199999999999989</v>
      </c>
      <c r="R40" s="10">
        <f t="shared" si="20"/>
        <v>82.800000000000011</v>
      </c>
      <c r="S40" s="10">
        <f t="shared" si="21"/>
        <v>0.60000000000002274</v>
      </c>
      <c r="T40" s="10">
        <f t="shared" si="22"/>
        <v>82.800000000000011</v>
      </c>
      <c r="U40" s="51">
        <f t="shared" si="23"/>
        <v>0.60000000000002274</v>
      </c>
    </row>
    <row r="41" spans="1:21">
      <c r="A41" s="107"/>
      <c r="B41" s="46">
        <v>240</v>
      </c>
      <c r="C41" s="46">
        <v>43</v>
      </c>
      <c r="D41" s="47" t="s">
        <v>117</v>
      </c>
      <c r="E41" s="48"/>
      <c r="F41" s="6"/>
      <c r="G41" s="49"/>
      <c r="H41" s="50"/>
      <c r="I41" s="50"/>
      <c r="J41" s="7"/>
      <c r="K41" s="8"/>
      <c r="L41" s="9"/>
      <c r="M41" s="9"/>
      <c r="N41" s="8">
        <v>14.46</v>
      </c>
      <c r="O41" s="8">
        <f>+O39*4.33</f>
        <v>14.678700000000001</v>
      </c>
      <c r="P41" s="8">
        <f>+P39*4.33</f>
        <v>14.678700000000001</v>
      </c>
      <c r="Q41" s="10">
        <f t="shared" si="19"/>
        <v>0</v>
      </c>
      <c r="R41" s="10">
        <f t="shared" si="20"/>
        <v>0</v>
      </c>
      <c r="S41" s="10">
        <f t="shared" si="21"/>
        <v>0</v>
      </c>
      <c r="T41" s="10">
        <f t="shared" si="22"/>
        <v>0</v>
      </c>
      <c r="U41" s="51">
        <f t="shared" si="23"/>
        <v>0</v>
      </c>
    </row>
    <row r="42" spans="1:21">
      <c r="A42" s="107"/>
      <c r="B42" s="46">
        <v>240</v>
      </c>
      <c r="C42" s="46">
        <v>43</v>
      </c>
      <c r="D42" s="47" t="s">
        <v>118</v>
      </c>
      <c r="E42" s="48">
        <v>165</v>
      </c>
      <c r="F42" s="6">
        <v>4.33</v>
      </c>
      <c r="G42" s="49">
        <f t="shared" si="15"/>
        <v>8573.4000000000015</v>
      </c>
      <c r="H42" s="50">
        <v>47</v>
      </c>
      <c r="I42" s="50">
        <f t="shared" si="16"/>
        <v>402949.80000000005</v>
      </c>
      <c r="J42" s="7">
        <f>$E$150*I42</f>
        <v>238915.06464244649</v>
      </c>
      <c r="K42" s="8">
        <f>References!$C$17*J42</f>
        <v>597.28766160611508</v>
      </c>
      <c r="L42" s="9">
        <f>K42/References!$F$19</f>
        <v>611.81834735581572</v>
      </c>
      <c r="M42" s="9">
        <f t="shared" si="17"/>
        <v>7.1362393840928406E-2</v>
      </c>
      <c r="N42" s="8">
        <v>4.91</v>
      </c>
      <c r="O42" s="9">
        <f>MROUND(N42+M42,References!$E$28)</f>
        <v>4.9800000000000004</v>
      </c>
      <c r="P42" s="8">
        <f t="shared" si="18"/>
        <v>4.9800000000000004</v>
      </c>
      <c r="Q42" s="10">
        <f t="shared" si="19"/>
        <v>42095.394000000008</v>
      </c>
      <c r="R42" s="10">
        <f t="shared" si="20"/>
        <v>42695.532000000014</v>
      </c>
      <c r="S42" s="10">
        <f t="shared" si="21"/>
        <v>600.13800000000629</v>
      </c>
      <c r="T42" s="10">
        <f t="shared" si="22"/>
        <v>42695.532000000014</v>
      </c>
      <c r="U42" s="51">
        <f t="shared" si="23"/>
        <v>600.13800000000629</v>
      </c>
    </row>
    <row r="43" spans="1:21">
      <c r="A43" s="107"/>
      <c r="B43" s="46">
        <v>240</v>
      </c>
      <c r="C43" s="46">
        <v>43</v>
      </c>
      <c r="D43" s="47" t="s">
        <v>119</v>
      </c>
      <c r="E43" s="48">
        <v>1</v>
      </c>
      <c r="F43" s="6">
        <v>1</v>
      </c>
      <c r="G43" s="49">
        <f t="shared" si="15"/>
        <v>12</v>
      </c>
      <c r="H43" s="50">
        <v>47</v>
      </c>
      <c r="I43" s="50">
        <f t="shared" si="16"/>
        <v>564</v>
      </c>
      <c r="J43" s="7">
        <f>$E$150*I43</f>
        <v>334.40417753859117</v>
      </c>
      <c r="K43" s="8">
        <f>References!$C$17*J43</f>
        <v>0.83601044384647638</v>
      </c>
      <c r="L43" s="9">
        <f>K43/References!$F$19</f>
        <v>0.85634872609114099</v>
      </c>
      <c r="M43" s="9">
        <f t="shared" si="17"/>
        <v>7.136239384092842E-2</v>
      </c>
      <c r="N43" s="8">
        <v>8.42</v>
      </c>
      <c r="O43" s="9">
        <f>MROUND(N43+M43,References!$E$28)</f>
        <v>8.49</v>
      </c>
      <c r="P43" s="8">
        <f t="shared" si="18"/>
        <v>8.49</v>
      </c>
      <c r="Q43" s="10">
        <f t="shared" si="19"/>
        <v>101.03999999999999</v>
      </c>
      <c r="R43" s="10">
        <f t="shared" si="20"/>
        <v>101.88</v>
      </c>
      <c r="S43" s="10">
        <f t="shared" si="21"/>
        <v>0.84000000000000341</v>
      </c>
      <c r="T43" s="10">
        <f t="shared" si="22"/>
        <v>101.88</v>
      </c>
      <c r="U43" s="51">
        <f t="shared" si="23"/>
        <v>0.84000000000000341</v>
      </c>
    </row>
    <row r="44" spans="1:21">
      <c r="A44" s="107"/>
      <c r="B44" s="46">
        <v>240</v>
      </c>
      <c r="C44" s="46">
        <v>43</v>
      </c>
      <c r="D44" s="47" t="s">
        <v>120</v>
      </c>
      <c r="E44" s="48"/>
      <c r="F44" s="6"/>
      <c r="G44" s="49"/>
      <c r="H44" s="50"/>
      <c r="I44" s="50"/>
      <c r="J44" s="7"/>
      <c r="K44" s="8"/>
      <c r="L44" s="9"/>
      <c r="M44" s="9"/>
      <c r="N44" s="8">
        <v>21.26</v>
      </c>
      <c r="O44" s="8">
        <f>+O42*4.33</f>
        <v>21.563400000000001</v>
      </c>
      <c r="P44" s="8">
        <f>+P42*4.33</f>
        <v>21.563400000000001</v>
      </c>
      <c r="Q44" s="10">
        <f t="shared" si="19"/>
        <v>0</v>
      </c>
      <c r="R44" s="10">
        <f t="shared" si="20"/>
        <v>0</v>
      </c>
      <c r="S44" s="10">
        <f t="shared" si="21"/>
        <v>0</v>
      </c>
      <c r="T44" s="10">
        <f t="shared" si="22"/>
        <v>0</v>
      </c>
      <c r="U44" s="51">
        <f t="shared" si="23"/>
        <v>0</v>
      </c>
    </row>
    <row r="45" spans="1:21">
      <c r="A45" s="107"/>
      <c r="B45" s="46">
        <v>240</v>
      </c>
      <c r="C45" s="46">
        <v>43</v>
      </c>
      <c r="D45" s="47" t="s">
        <v>121</v>
      </c>
      <c r="E45" s="48">
        <v>48</v>
      </c>
      <c r="F45" s="6">
        <v>4.33</v>
      </c>
      <c r="G45" s="49">
        <f t="shared" si="15"/>
        <v>2494.08</v>
      </c>
      <c r="H45" s="50">
        <v>68</v>
      </c>
      <c r="I45" s="50">
        <f t="shared" si="16"/>
        <v>169597.44</v>
      </c>
      <c r="J45" s="7">
        <f>$E$150*I45</f>
        <v>100556.90148200454</v>
      </c>
      <c r="K45" s="8">
        <f>References!$C$17*J45</f>
        <v>251.39225370501089</v>
      </c>
      <c r="L45" s="9">
        <f>K45/References!$F$19</f>
        <v>257.5080703764516</v>
      </c>
      <c r="M45" s="9">
        <f t="shared" si="17"/>
        <v>0.10324771874857727</v>
      </c>
      <c r="N45" s="8">
        <v>6.58</v>
      </c>
      <c r="O45" s="9">
        <f>MROUND(N45+M45,References!$E$28)</f>
        <v>6.68</v>
      </c>
      <c r="P45" s="8">
        <f t="shared" si="18"/>
        <v>6.68</v>
      </c>
      <c r="Q45" s="10">
        <f t="shared" si="19"/>
        <v>16411.046399999999</v>
      </c>
      <c r="R45" s="10">
        <f t="shared" si="20"/>
        <v>16660.454399999999</v>
      </c>
      <c r="S45" s="10">
        <f t="shared" si="21"/>
        <v>249.40799999999945</v>
      </c>
      <c r="T45" s="10">
        <f t="shared" si="22"/>
        <v>16660.454399999999</v>
      </c>
      <c r="U45" s="51">
        <f t="shared" si="23"/>
        <v>249.40799999999945</v>
      </c>
    </row>
    <row r="46" spans="1:21">
      <c r="A46" s="107"/>
      <c r="B46" s="46">
        <v>240</v>
      </c>
      <c r="C46" s="46">
        <v>43</v>
      </c>
      <c r="D46" s="47" t="s">
        <v>187</v>
      </c>
      <c r="E46" s="48">
        <v>1</v>
      </c>
      <c r="F46" s="6">
        <v>1</v>
      </c>
      <c r="G46" s="49">
        <f t="shared" si="15"/>
        <v>12</v>
      </c>
      <c r="H46" s="50">
        <v>68</v>
      </c>
      <c r="I46" s="50">
        <f t="shared" si="16"/>
        <v>816</v>
      </c>
      <c r="J46" s="7">
        <f>$E$150*I46</f>
        <v>483.81881005583404</v>
      </c>
      <c r="K46" s="8">
        <f>References!$C$17*J46</f>
        <v>1.2095470251395828</v>
      </c>
      <c r="L46" s="9">
        <f>K46/References!$F$19</f>
        <v>1.2389726249829274</v>
      </c>
      <c r="M46" s="9">
        <f t="shared" si="17"/>
        <v>0.10324771874857729</v>
      </c>
      <c r="N46" s="8">
        <v>10.119999999999999</v>
      </c>
      <c r="O46" s="9">
        <f>MROUND(N46+M46,References!$E$28)</f>
        <v>10.220000000000001</v>
      </c>
      <c r="P46" s="8">
        <f t="shared" si="18"/>
        <v>10.220000000000001</v>
      </c>
      <c r="Q46" s="10">
        <f t="shared" si="19"/>
        <v>121.44</v>
      </c>
      <c r="R46" s="10">
        <f t="shared" si="20"/>
        <v>122.64000000000001</v>
      </c>
      <c r="S46" s="10">
        <f t="shared" si="21"/>
        <v>1.2000000000000171</v>
      </c>
      <c r="T46" s="10">
        <f t="shared" si="22"/>
        <v>122.64000000000001</v>
      </c>
      <c r="U46" s="51">
        <f t="shared" si="23"/>
        <v>1.2000000000000171</v>
      </c>
    </row>
    <row r="47" spans="1:21">
      <c r="A47" s="107"/>
      <c r="B47" s="46">
        <v>240</v>
      </c>
      <c r="C47" s="46">
        <v>43</v>
      </c>
      <c r="D47" s="47" t="s">
        <v>122</v>
      </c>
      <c r="E47" s="48"/>
      <c r="F47" s="6"/>
      <c r="G47" s="49"/>
      <c r="H47" s="50"/>
      <c r="I47" s="50"/>
      <c r="J47" s="7"/>
      <c r="K47" s="8"/>
      <c r="L47" s="9"/>
      <c r="M47" s="9"/>
      <c r="N47" s="8">
        <v>28.49</v>
      </c>
      <c r="O47" s="8">
        <f>+O45*4.33</f>
        <v>28.924399999999999</v>
      </c>
      <c r="P47" s="8">
        <f>+P45*4.33</f>
        <v>28.924399999999999</v>
      </c>
      <c r="Q47" s="10">
        <f t="shared" si="19"/>
        <v>0</v>
      </c>
      <c r="R47" s="10">
        <f t="shared" si="20"/>
        <v>0</v>
      </c>
      <c r="S47" s="10">
        <f t="shared" si="21"/>
        <v>0</v>
      </c>
      <c r="T47" s="10">
        <f t="shared" si="22"/>
        <v>0</v>
      </c>
      <c r="U47" s="51">
        <f t="shared" si="23"/>
        <v>0</v>
      </c>
    </row>
    <row r="48" spans="1:21" ht="14.45" customHeight="1">
      <c r="A48" s="107" t="s">
        <v>110</v>
      </c>
      <c r="B48" s="46">
        <v>240</v>
      </c>
      <c r="C48" s="46">
        <v>42</v>
      </c>
      <c r="D48" s="47" t="s">
        <v>92</v>
      </c>
      <c r="E48" s="48">
        <v>3</v>
      </c>
      <c r="F48" s="6">
        <v>1</v>
      </c>
      <c r="G48" s="49">
        <f t="shared" si="15"/>
        <v>36</v>
      </c>
      <c r="H48" s="50">
        <v>0</v>
      </c>
      <c r="I48" s="50">
        <f t="shared" ref="I48:I49" si="24">G48*H48</f>
        <v>0</v>
      </c>
      <c r="J48" s="7">
        <f t="shared" ref="J48:J58" si="25">$E$150*I48</f>
        <v>0</v>
      </c>
      <c r="K48" s="8">
        <f>References!$C$17*J48</f>
        <v>0</v>
      </c>
      <c r="L48" s="9">
        <f>K48/References!$F$19</f>
        <v>0</v>
      </c>
      <c r="M48" s="9">
        <f t="shared" ref="M48:M49" si="26">L48/G48</f>
        <v>0</v>
      </c>
      <c r="N48" s="8">
        <v>6.3</v>
      </c>
      <c r="O48" s="9">
        <f>MROUND(N48+M48,References!$E$28)</f>
        <v>6.3</v>
      </c>
      <c r="P48" s="8">
        <f t="shared" si="18"/>
        <v>6.3</v>
      </c>
      <c r="Q48" s="10">
        <f t="shared" ref="Q48" si="27">G48*N48</f>
        <v>226.79999999999998</v>
      </c>
      <c r="R48" s="10">
        <f t="shared" ref="R48" si="28">G48*P48</f>
        <v>226.79999999999998</v>
      </c>
      <c r="S48" s="10">
        <f t="shared" ref="S48" si="29">R48-Q48</f>
        <v>0</v>
      </c>
      <c r="T48" s="10">
        <f t="shared" ref="T48" si="30">G48*O48</f>
        <v>226.79999999999998</v>
      </c>
      <c r="U48" s="51">
        <f t="shared" ref="U48" si="31">T48-Q48</f>
        <v>0</v>
      </c>
    </row>
    <row r="49" spans="1:21">
      <c r="A49" s="107"/>
      <c r="B49" s="46">
        <v>240</v>
      </c>
      <c r="C49" s="46">
        <v>42</v>
      </c>
      <c r="D49" s="47" t="s">
        <v>93</v>
      </c>
      <c r="E49" s="48">
        <v>6</v>
      </c>
      <c r="F49" s="6">
        <v>1</v>
      </c>
      <c r="G49" s="49">
        <f t="shared" si="15"/>
        <v>72</v>
      </c>
      <c r="H49" s="50">
        <v>324</v>
      </c>
      <c r="I49" s="50">
        <f t="shared" si="24"/>
        <v>23328</v>
      </c>
      <c r="J49" s="7">
        <f t="shared" si="25"/>
        <v>13831.525981596196</v>
      </c>
      <c r="K49" s="8">
        <f>References!$C$17*J49</f>
        <v>34.578814953990424</v>
      </c>
      <c r="L49" s="9">
        <f>K49/References!$F$19</f>
        <v>35.420040925982512</v>
      </c>
      <c r="M49" s="9">
        <f t="shared" si="26"/>
        <v>0.49194501286086822</v>
      </c>
      <c r="N49" s="8">
        <v>27.74</v>
      </c>
      <c r="O49" s="9">
        <f>MROUND(N49+M49,References!$E$28)</f>
        <v>28.23</v>
      </c>
      <c r="P49" s="8">
        <f t="shared" si="18"/>
        <v>28.23</v>
      </c>
      <c r="Q49" s="10">
        <f t="shared" ref="Q49:Q58" si="32">G49*N49</f>
        <v>1997.28</v>
      </c>
      <c r="R49" s="10">
        <f t="shared" ref="R49:R58" si="33">G49*P49</f>
        <v>2032.56</v>
      </c>
      <c r="S49" s="10">
        <f t="shared" ref="S49:S58" si="34">R49-Q49</f>
        <v>35.279999999999973</v>
      </c>
      <c r="T49" s="10">
        <f t="shared" ref="T49:T58" si="35">G49*O49</f>
        <v>2032.56</v>
      </c>
      <c r="U49" s="51">
        <f t="shared" ref="U49:U58" si="36">T49-Q49</f>
        <v>35.279999999999973</v>
      </c>
    </row>
    <row r="50" spans="1:21">
      <c r="A50" s="107"/>
      <c r="B50" s="46">
        <v>240</v>
      </c>
      <c r="C50" s="46">
        <v>42</v>
      </c>
      <c r="D50" s="47" t="s">
        <v>94</v>
      </c>
      <c r="E50" s="48">
        <v>2</v>
      </c>
      <c r="F50" s="6">
        <v>1</v>
      </c>
      <c r="G50" s="49">
        <f t="shared" si="15"/>
        <v>24</v>
      </c>
      <c r="H50" s="50">
        <v>0</v>
      </c>
      <c r="I50" s="50">
        <f t="shared" ref="I50:I52" si="37">G50*H50</f>
        <v>0</v>
      </c>
      <c r="J50" s="7">
        <f t="shared" si="25"/>
        <v>0</v>
      </c>
      <c r="K50" s="8">
        <f>References!$C$17*J50</f>
        <v>0</v>
      </c>
      <c r="L50" s="9">
        <f>K50/References!$F$19</f>
        <v>0</v>
      </c>
      <c r="M50" s="9">
        <f t="shared" ref="M50:M52" si="38">L50/G50</f>
        <v>0</v>
      </c>
      <c r="N50" s="8">
        <v>7.45</v>
      </c>
      <c r="O50" s="9">
        <f>MROUND(N50+M50,References!$E$28)</f>
        <v>7.45</v>
      </c>
      <c r="P50" s="8">
        <f t="shared" si="18"/>
        <v>7.45</v>
      </c>
      <c r="Q50" s="10">
        <f t="shared" si="32"/>
        <v>178.8</v>
      </c>
      <c r="R50" s="10">
        <f t="shared" si="33"/>
        <v>178.8</v>
      </c>
      <c r="S50" s="10">
        <f t="shared" si="34"/>
        <v>0</v>
      </c>
      <c r="T50" s="10">
        <f t="shared" si="35"/>
        <v>178.8</v>
      </c>
      <c r="U50" s="51">
        <f t="shared" si="36"/>
        <v>0</v>
      </c>
    </row>
    <row r="51" spans="1:21">
      <c r="A51" s="107"/>
      <c r="B51" s="46">
        <v>240</v>
      </c>
      <c r="C51" s="46">
        <v>42</v>
      </c>
      <c r="D51" s="47" t="s">
        <v>95</v>
      </c>
      <c r="E51" s="48">
        <v>1</v>
      </c>
      <c r="F51" s="6">
        <v>1</v>
      </c>
      <c r="G51" s="49">
        <f t="shared" si="15"/>
        <v>12</v>
      </c>
      <c r="H51" s="50">
        <v>473</v>
      </c>
      <c r="I51" s="50">
        <f t="shared" si="37"/>
        <v>5676</v>
      </c>
      <c r="J51" s="7">
        <f t="shared" si="25"/>
        <v>3365.3867228883751</v>
      </c>
      <c r="K51" s="8">
        <f>References!$C$17*J51</f>
        <v>8.4134668072209227</v>
      </c>
      <c r="L51" s="9">
        <f>K51/References!$F$19</f>
        <v>8.6181478178959523</v>
      </c>
      <c r="M51" s="9">
        <f t="shared" si="38"/>
        <v>0.71817898482466269</v>
      </c>
      <c r="N51" s="8">
        <v>37.22</v>
      </c>
      <c r="O51" s="9">
        <f>MROUND(N51+M51,References!$E$28)</f>
        <v>37.94</v>
      </c>
      <c r="P51" s="8">
        <f t="shared" si="18"/>
        <v>37.94</v>
      </c>
      <c r="Q51" s="10">
        <f t="shared" si="32"/>
        <v>446.64</v>
      </c>
      <c r="R51" s="10">
        <f t="shared" si="33"/>
        <v>455.28</v>
      </c>
      <c r="S51" s="10">
        <f t="shared" si="34"/>
        <v>8.6399999999999864</v>
      </c>
      <c r="T51" s="10">
        <f t="shared" si="35"/>
        <v>455.28</v>
      </c>
      <c r="U51" s="51">
        <f t="shared" si="36"/>
        <v>8.6399999999999864</v>
      </c>
    </row>
    <row r="52" spans="1:21">
      <c r="A52" s="107"/>
      <c r="B52" s="46">
        <v>240</v>
      </c>
      <c r="C52" s="46">
        <v>42</v>
      </c>
      <c r="D52" s="47" t="s">
        <v>96</v>
      </c>
      <c r="E52" s="48">
        <v>6</v>
      </c>
      <c r="F52" s="6">
        <v>1</v>
      </c>
      <c r="G52" s="49">
        <f t="shared" si="15"/>
        <v>72</v>
      </c>
      <c r="H52" s="50">
        <v>0</v>
      </c>
      <c r="I52" s="50">
        <f t="shared" si="37"/>
        <v>0</v>
      </c>
      <c r="J52" s="7">
        <f t="shared" si="25"/>
        <v>0</v>
      </c>
      <c r="K52" s="8">
        <f>References!$C$17*J52</f>
        <v>0</v>
      </c>
      <c r="L52" s="9">
        <f>K52/References!$F$19</f>
        <v>0</v>
      </c>
      <c r="M52" s="9">
        <f t="shared" si="38"/>
        <v>0</v>
      </c>
      <c r="N52" s="8">
        <v>8.1</v>
      </c>
      <c r="O52" s="9">
        <f>MROUND(N52+M52,References!$E$28)</f>
        <v>8.1</v>
      </c>
      <c r="P52" s="8">
        <f t="shared" si="18"/>
        <v>8.1</v>
      </c>
      <c r="Q52" s="10">
        <f t="shared" si="32"/>
        <v>583.19999999999993</v>
      </c>
      <c r="R52" s="10">
        <f t="shared" si="33"/>
        <v>583.19999999999993</v>
      </c>
      <c r="S52" s="10">
        <f t="shared" si="34"/>
        <v>0</v>
      </c>
      <c r="T52" s="10">
        <f t="shared" si="35"/>
        <v>583.19999999999993</v>
      </c>
      <c r="U52" s="51">
        <f t="shared" si="36"/>
        <v>0</v>
      </c>
    </row>
    <row r="53" spans="1:21">
      <c r="A53" s="107"/>
      <c r="B53" s="46">
        <v>240</v>
      </c>
      <c r="C53" s="46">
        <v>42</v>
      </c>
      <c r="D53" s="47" t="s">
        <v>97</v>
      </c>
      <c r="E53" s="48">
        <v>5</v>
      </c>
      <c r="F53" s="6">
        <v>1</v>
      </c>
      <c r="G53" s="49">
        <f t="shared" si="15"/>
        <v>60</v>
      </c>
      <c r="H53" s="50">
        <v>613</v>
      </c>
      <c r="I53" s="50">
        <f t="shared" ref="I53:I58" si="39">G53*H53</f>
        <v>36780</v>
      </c>
      <c r="J53" s="7">
        <f t="shared" si="25"/>
        <v>21807.421365016635</v>
      </c>
      <c r="K53" s="8">
        <f>References!$C$17*J53</f>
        <v>54.518553412541486</v>
      </c>
      <c r="L53" s="9">
        <f>K53/References!$F$19</f>
        <v>55.844869052539295</v>
      </c>
      <c r="M53" s="9">
        <f t="shared" ref="M53:M58" si="40">L53/G53</f>
        <v>0.93074781754232161</v>
      </c>
      <c r="N53" s="8">
        <v>46.69</v>
      </c>
      <c r="O53" s="9">
        <f>MROUND(N53+M53,References!$E$28)</f>
        <v>47.62</v>
      </c>
      <c r="P53" s="8">
        <f t="shared" si="18"/>
        <v>47.62</v>
      </c>
      <c r="Q53" s="10">
        <f t="shared" si="32"/>
        <v>2801.3999999999996</v>
      </c>
      <c r="R53" s="10">
        <f t="shared" si="33"/>
        <v>2857.2</v>
      </c>
      <c r="S53" s="10">
        <f t="shared" si="34"/>
        <v>55.800000000000182</v>
      </c>
      <c r="T53" s="10">
        <f t="shared" si="35"/>
        <v>2857.2</v>
      </c>
      <c r="U53" s="51">
        <f t="shared" si="36"/>
        <v>55.800000000000182</v>
      </c>
    </row>
    <row r="54" spans="1:21">
      <c r="A54" s="107"/>
      <c r="B54" s="46">
        <v>240</v>
      </c>
      <c r="C54" s="46">
        <v>42</v>
      </c>
      <c r="D54" s="47" t="s">
        <v>98</v>
      </c>
      <c r="E54" s="48">
        <v>4</v>
      </c>
      <c r="F54" s="6">
        <v>1</v>
      </c>
      <c r="G54" s="49">
        <f t="shared" si="15"/>
        <v>48</v>
      </c>
      <c r="H54" s="50">
        <v>0</v>
      </c>
      <c r="I54" s="50">
        <f t="shared" si="39"/>
        <v>0</v>
      </c>
      <c r="J54" s="7">
        <f t="shared" si="25"/>
        <v>0</v>
      </c>
      <c r="K54" s="8">
        <f>References!$C$17*J54</f>
        <v>0</v>
      </c>
      <c r="L54" s="9">
        <f>K54/References!$F$19</f>
        <v>0</v>
      </c>
      <c r="M54" s="9">
        <f t="shared" si="40"/>
        <v>0</v>
      </c>
      <c r="N54" s="8">
        <v>12.5</v>
      </c>
      <c r="O54" s="9">
        <f>MROUND(N54+M54,References!$E$28)</f>
        <v>12.5</v>
      </c>
      <c r="P54" s="8">
        <f t="shared" si="18"/>
        <v>12.5</v>
      </c>
      <c r="Q54" s="10">
        <f t="shared" si="32"/>
        <v>600</v>
      </c>
      <c r="R54" s="10">
        <f t="shared" si="33"/>
        <v>600</v>
      </c>
      <c r="S54" s="10">
        <f t="shared" si="34"/>
        <v>0</v>
      </c>
      <c r="T54" s="10">
        <f t="shared" si="35"/>
        <v>600</v>
      </c>
      <c r="U54" s="51">
        <f t="shared" si="36"/>
        <v>0</v>
      </c>
    </row>
    <row r="55" spans="1:21">
      <c r="A55" s="107"/>
      <c r="B55" s="46">
        <v>240</v>
      </c>
      <c r="C55" s="46">
        <v>42</v>
      </c>
      <c r="D55" s="47" t="s">
        <v>99</v>
      </c>
      <c r="E55" s="48">
        <v>7</v>
      </c>
      <c r="F55" s="6">
        <v>1</v>
      </c>
      <c r="G55" s="49">
        <f t="shared" si="15"/>
        <v>84</v>
      </c>
      <c r="H55" s="50">
        <v>840</v>
      </c>
      <c r="I55" s="50">
        <f t="shared" si="39"/>
        <v>70560</v>
      </c>
      <c r="J55" s="7">
        <f t="shared" si="25"/>
        <v>41836.097104827997</v>
      </c>
      <c r="K55" s="8">
        <f>References!$C$17*J55</f>
        <v>104.59024276206979</v>
      </c>
      <c r="L55" s="9">
        <f>K55/References!$F$19</f>
        <v>107.13469168970018</v>
      </c>
      <c r="M55" s="9">
        <f t="shared" si="40"/>
        <v>1.2754129963059544</v>
      </c>
      <c r="N55" s="8">
        <v>64.37</v>
      </c>
      <c r="O55" s="9">
        <f>MROUND(N55+M55,References!$E$28)</f>
        <v>65.650000000000006</v>
      </c>
      <c r="P55" s="8">
        <f t="shared" si="18"/>
        <v>65.650000000000006</v>
      </c>
      <c r="Q55" s="10">
        <f t="shared" si="32"/>
        <v>5407.08</v>
      </c>
      <c r="R55" s="10">
        <f t="shared" si="33"/>
        <v>5514.6</v>
      </c>
      <c r="S55" s="10">
        <f t="shared" si="34"/>
        <v>107.52000000000044</v>
      </c>
      <c r="T55" s="10">
        <f t="shared" si="35"/>
        <v>5514.6</v>
      </c>
      <c r="U55" s="51">
        <f t="shared" si="36"/>
        <v>107.52000000000044</v>
      </c>
    </row>
    <row r="56" spans="1:21">
      <c r="A56" s="107"/>
      <c r="B56" s="46">
        <v>240</v>
      </c>
      <c r="C56" s="46">
        <v>43</v>
      </c>
      <c r="D56" s="47" t="s">
        <v>100</v>
      </c>
      <c r="E56" s="48">
        <v>4</v>
      </c>
      <c r="F56" s="6">
        <v>1</v>
      </c>
      <c r="G56" s="49">
        <f t="shared" si="15"/>
        <v>48</v>
      </c>
      <c r="H56" s="50">
        <v>0</v>
      </c>
      <c r="I56" s="50">
        <f t="shared" si="39"/>
        <v>0</v>
      </c>
      <c r="J56" s="7">
        <f t="shared" si="25"/>
        <v>0</v>
      </c>
      <c r="K56" s="8">
        <f>References!$C$17*J56</f>
        <v>0</v>
      </c>
      <c r="L56" s="9">
        <f>K56/References!$F$19</f>
        <v>0</v>
      </c>
      <c r="M56" s="9">
        <f t="shared" si="40"/>
        <v>0</v>
      </c>
      <c r="N56" s="8">
        <v>14.8</v>
      </c>
      <c r="O56" s="9">
        <f>MROUND(N56+M56,References!$E$28)</f>
        <v>14.8</v>
      </c>
      <c r="P56" s="8">
        <f t="shared" si="18"/>
        <v>14.8</v>
      </c>
      <c r="Q56" s="10">
        <f t="shared" si="32"/>
        <v>710.40000000000009</v>
      </c>
      <c r="R56" s="10">
        <f t="shared" si="33"/>
        <v>710.40000000000009</v>
      </c>
      <c r="S56" s="10">
        <f t="shared" si="34"/>
        <v>0</v>
      </c>
      <c r="T56" s="10">
        <f t="shared" si="35"/>
        <v>710.40000000000009</v>
      </c>
      <c r="U56" s="51">
        <f t="shared" si="36"/>
        <v>0</v>
      </c>
    </row>
    <row r="57" spans="1:21">
      <c r="A57" s="107"/>
      <c r="B57" s="46">
        <v>240</v>
      </c>
      <c r="C57" s="46">
        <v>43</v>
      </c>
      <c r="D57" s="47" t="s">
        <v>101</v>
      </c>
      <c r="E57" s="48">
        <v>21</v>
      </c>
      <c r="F57" s="6">
        <v>1</v>
      </c>
      <c r="G57" s="49">
        <f t="shared" si="15"/>
        <v>252</v>
      </c>
      <c r="H57" s="50">
        <v>980</v>
      </c>
      <c r="I57" s="50">
        <f t="shared" si="39"/>
        <v>246960</v>
      </c>
      <c r="J57" s="7">
        <f t="shared" si="25"/>
        <v>146426.33986689799</v>
      </c>
      <c r="K57" s="8">
        <f>References!$C$17*J57</f>
        <v>366.06584966724427</v>
      </c>
      <c r="L57" s="9">
        <f>K57/References!$F$19</f>
        <v>374.97142091395062</v>
      </c>
      <c r="M57" s="9">
        <f t="shared" si="40"/>
        <v>1.4879818290236135</v>
      </c>
      <c r="N57" s="8">
        <v>83.04</v>
      </c>
      <c r="O57" s="9">
        <f>MROUND(N57+M57,References!$E$28)</f>
        <v>84.53</v>
      </c>
      <c r="P57" s="8">
        <f t="shared" si="18"/>
        <v>84.53</v>
      </c>
      <c r="Q57" s="10">
        <f t="shared" si="32"/>
        <v>20926.080000000002</v>
      </c>
      <c r="R57" s="10">
        <f t="shared" si="33"/>
        <v>21301.56</v>
      </c>
      <c r="S57" s="10">
        <f t="shared" si="34"/>
        <v>375.47999999999956</v>
      </c>
      <c r="T57" s="10">
        <f t="shared" si="35"/>
        <v>21301.56</v>
      </c>
      <c r="U57" s="51">
        <f t="shared" si="36"/>
        <v>375.47999999999956</v>
      </c>
    </row>
    <row r="58" spans="1:21">
      <c r="A58" s="107"/>
      <c r="B58" s="46">
        <v>240</v>
      </c>
      <c r="C58" s="46">
        <v>42</v>
      </c>
      <c r="D58" s="47" t="s">
        <v>109</v>
      </c>
      <c r="E58" s="48">
        <v>12</v>
      </c>
      <c r="F58" s="6">
        <v>1</v>
      </c>
      <c r="G58" s="49">
        <f t="shared" si="15"/>
        <v>144</v>
      </c>
      <c r="H58" s="50">
        <v>0</v>
      </c>
      <c r="I58" s="50">
        <f t="shared" si="39"/>
        <v>0</v>
      </c>
      <c r="J58" s="7">
        <f t="shared" si="25"/>
        <v>0</v>
      </c>
      <c r="K58" s="8">
        <f>References!$C$17*J58</f>
        <v>0</v>
      </c>
      <c r="L58" s="9">
        <f>K58/References!$F$19</f>
        <v>0</v>
      </c>
      <c r="M58" s="9">
        <f t="shared" si="40"/>
        <v>0</v>
      </c>
      <c r="N58" s="8">
        <v>14.85</v>
      </c>
      <c r="O58" s="9">
        <f>MROUND(N58+M58,References!$E$28)</f>
        <v>14.85</v>
      </c>
      <c r="P58" s="8">
        <f t="shared" si="18"/>
        <v>14.85</v>
      </c>
      <c r="Q58" s="10">
        <f t="shared" si="32"/>
        <v>2138.4</v>
      </c>
      <c r="R58" s="10">
        <f t="shared" si="33"/>
        <v>2138.4</v>
      </c>
      <c r="S58" s="10">
        <f t="shared" si="34"/>
        <v>0</v>
      </c>
      <c r="T58" s="10">
        <f t="shared" si="35"/>
        <v>2138.4</v>
      </c>
      <c r="U58" s="51">
        <f t="shared" si="36"/>
        <v>0</v>
      </c>
    </row>
    <row r="59" spans="1:21">
      <c r="A59" s="114"/>
      <c r="B59" s="72"/>
      <c r="C59" s="7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>
      <c r="A60" s="60"/>
      <c r="B60" s="53"/>
      <c r="C60" s="72"/>
      <c r="D60" s="73" t="s">
        <v>14</v>
      </c>
      <c r="E60" s="64">
        <f>SUM(E18:E58)</f>
        <v>2685</v>
      </c>
      <c r="F60" s="11"/>
      <c r="G60" s="74">
        <f>SUM(G18:G58)</f>
        <v>107304.84000000001</v>
      </c>
      <c r="H60" s="58"/>
      <c r="I60" s="64">
        <f>SUM(I18:I58)</f>
        <v>28401308.520000003</v>
      </c>
      <c r="J60" s="64">
        <f>SUM(J18:J58)</f>
        <v>16839567.760018408</v>
      </c>
      <c r="K60" s="11"/>
      <c r="L60" s="11"/>
      <c r="M60" s="11"/>
      <c r="N60" s="11"/>
      <c r="O60" s="11"/>
      <c r="P60" s="11"/>
      <c r="Q60" s="66">
        <f>SUM(Q18:Q58)</f>
        <v>2271876.8135999995</v>
      </c>
      <c r="R60" s="66">
        <f>SUM(R18:R58)</f>
        <v>2315013.4547999999</v>
      </c>
      <c r="S60" s="66">
        <f>SUM(S18:S58)</f>
        <v>43136.641200000115</v>
      </c>
      <c r="T60" s="66">
        <f>SUM(T18:T58)</f>
        <v>2315013.4547999999</v>
      </c>
      <c r="U60" s="66">
        <f>SUM(U18:U58)</f>
        <v>43136.641200000115</v>
      </c>
    </row>
    <row r="61" spans="1:21" ht="24" customHeight="1">
      <c r="A61" s="75"/>
      <c r="B61" s="76"/>
      <c r="C61" s="77"/>
      <c r="D61" s="78" t="s">
        <v>29</v>
      </c>
      <c r="E61" s="79"/>
      <c r="F61" s="79"/>
      <c r="G61" s="79"/>
      <c r="H61" s="80"/>
      <c r="I61" s="18"/>
      <c r="J61" s="81"/>
      <c r="K61" s="79"/>
      <c r="L61" s="79"/>
      <c r="M61" s="79"/>
      <c r="N61" s="79"/>
      <c r="O61" s="79"/>
      <c r="P61" s="79"/>
      <c r="Q61" s="82"/>
      <c r="R61" s="82"/>
      <c r="S61" s="82"/>
      <c r="T61" s="82"/>
      <c r="U61" s="79"/>
    </row>
    <row r="62" spans="1:21" ht="14.45" customHeight="1">
      <c r="A62" s="113" t="s">
        <v>12</v>
      </c>
      <c r="B62" s="46">
        <v>100</v>
      </c>
      <c r="C62" s="46" t="s">
        <v>123</v>
      </c>
      <c r="D62" s="47" t="s">
        <v>134</v>
      </c>
      <c r="E62" s="48">
        <v>3</v>
      </c>
      <c r="F62" s="6">
        <v>1</v>
      </c>
      <c r="G62" s="49">
        <f t="shared" ref="G62:G66" si="41">E62*F62*12</f>
        <v>36</v>
      </c>
      <c r="H62" s="50">
        <v>34</v>
      </c>
      <c r="I62" s="50">
        <f t="shared" ref="I62" si="42">G62*H62</f>
        <v>1224</v>
      </c>
      <c r="J62" s="7">
        <f>$E$150*I62</f>
        <v>725.72821508375102</v>
      </c>
      <c r="K62" s="8">
        <f>References!$C$17*J62</f>
        <v>1.8143205377093741</v>
      </c>
      <c r="L62" s="8">
        <f>K62/References!$F$19</f>
        <v>1.8584589374743909</v>
      </c>
      <c r="M62" s="9">
        <f t="shared" ref="M62:M63" si="43">L62/G62</f>
        <v>5.1623859374288636E-2</v>
      </c>
      <c r="N62" s="30">
        <v>5.09</v>
      </c>
      <c r="O62" s="9">
        <f>MROUND(N62+M62,References!$E$28)</f>
        <v>5.14</v>
      </c>
      <c r="P62" s="8">
        <f>O62</f>
        <v>5.14</v>
      </c>
      <c r="Q62" s="10">
        <f>N62*G62</f>
        <v>183.24</v>
      </c>
      <c r="R62" s="10">
        <f>P62*G62</f>
        <v>185.04</v>
      </c>
      <c r="S62" s="10">
        <f>R62-Q62</f>
        <v>1.7999999999999829</v>
      </c>
      <c r="T62" s="19">
        <f>O62*G62</f>
        <v>185.04</v>
      </c>
      <c r="U62" s="51">
        <f t="shared" ref="U62:U66" si="44">T62-Q62</f>
        <v>1.7999999999999829</v>
      </c>
    </row>
    <row r="63" spans="1:21">
      <c r="A63" s="107"/>
      <c r="B63" s="46">
        <v>100</v>
      </c>
      <c r="C63" s="46" t="s">
        <v>123</v>
      </c>
      <c r="D63" s="47" t="s">
        <v>195</v>
      </c>
      <c r="E63" s="83">
        <v>7</v>
      </c>
      <c r="F63" s="20">
        <v>1</v>
      </c>
      <c r="G63" s="49">
        <f t="shared" si="41"/>
        <v>84</v>
      </c>
      <c r="H63" s="7">
        <v>47</v>
      </c>
      <c r="I63" s="50">
        <f>G63*H63</f>
        <v>3948</v>
      </c>
      <c r="J63" s="7">
        <f>$E$150*I63</f>
        <v>2340.8292427701381</v>
      </c>
      <c r="K63" s="8">
        <f>References!$C$17*J63</f>
        <v>5.8520731069253342</v>
      </c>
      <c r="L63" s="8">
        <f>K63/References!$F$19</f>
        <v>5.9944410826379864</v>
      </c>
      <c r="M63" s="9">
        <f t="shared" si="43"/>
        <v>7.1362393840928406E-2</v>
      </c>
      <c r="N63" s="30">
        <v>4.66</v>
      </c>
      <c r="O63" s="9">
        <f>MROUND(N63+M63,References!$E$28)</f>
        <v>4.7300000000000004</v>
      </c>
      <c r="P63" s="8">
        <f t="shared" ref="P63:P66" si="45">O63</f>
        <v>4.7300000000000004</v>
      </c>
      <c r="Q63" s="10">
        <f t="shared" ref="Q63:Q66" si="46">N63*G63</f>
        <v>391.44</v>
      </c>
      <c r="R63" s="10">
        <f t="shared" ref="R63:R66" si="47">P63*G63</f>
        <v>397.32000000000005</v>
      </c>
      <c r="S63" s="10">
        <f t="shared" ref="S63:S66" si="48">R63-Q63</f>
        <v>5.8800000000000523</v>
      </c>
      <c r="T63" s="19">
        <f>O63*G63</f>
        <v>397.32000000000005</v>
      </c>
      <c r="U63" s="51">
        <f t="shared" si="44"/>
        <v>5.8800000000000523</v>
      </c>
    </row>
    <row r="64" spans="1:21" ht="18" customHeight="1">
      <c r="A64" s="107"/>
      <c r="B64" s="46">
        <v>100</v>
      </c>
      <c r="C64" s="46" t="s">
        <v>123</v>
      </c>
      <c r="D64" s="47" t="s">
        <v>196</v>
      </c>
      <c r="E64" s="83">
        <v>29</v>
      </c>
      <c r="F64" s="20">
        <v>1</v>
      </c>
      <c r="G64" s="49">
        <f t="shared" si="41"/>
        <v>348</v>
      </c>
      <c r="H64" s="7">
        <v>68</v>
      </c>
      <c r="I64" s="50">
        <f>G64*H64</f>
        <v>23664</v>
      </c>
      <c r="J64" s="7">
        <f>$E$150*I64</f>
        <v>14030.745491619187</v>
      </c>
      <c r="K64" s="8">
        <f>References!$C$17*J64</f>
        <v>35.076863729047901</v>
      </c>
      <c r="L64" s="8">
        <f>K64/References!$F$19</f>
        <v>35.930206124504892</v>
      </c>
      <c r="M64" s="9">
        <f t="shared" ref="M64" si="49">L64/G64</f>
        <v>0.10324771874857727</v>
      </c>
      <c r="N64" s="30">
        <v>6.88</v>
      </c>
      <c r="O64" s="9">
        <f>MROUND(N64+M64,References!$E$28)</f>
        <v>6.98</v>
      </c>
      <c r="P64" s="8">
        <f t="shared" ref="P64" si="50">O64</f>
        <v>6.98</v>
      </c>
      <c r="Q64" s="10">
        <f t="shared" ref="Q64" si="51">N64*G64</f>
        <v>2394.2399999999998</v>
      </c>
      <c r="R64" s="10">
        <f t="shared" ref="R64" si="52">P64*G64</f>
        <v>2429.04</v>
      </c>
      <c r="S64" s="10">
        <f t="shared" ref="S64" si="53">R64-Q64</f>
        <v>34.800000000000182</v>
      </c>
      <c r="T64" s="19">
        <f t="shared" ref="T64" si="54">O64*G64</f>
        <v>2429.04</v>
      </c>
      <c r="U64" s="51">
        <f t="shared" ref="U64" si="55">T64-Q64</f>
        <v>34.800000000000182</v>
      </c>
    </row>
    <row r="65" spans="1:21">
      <c r="A65" s="107"/>
      <c r="B65" s="46">
        <v>150</v>
      </c>
      <c r="C65" s="46">
        <v>35</v>
      </c>
      <c r="D65" s="47" t="s">
        <v>137</v>
      </c>
      <c r="E65" s="83">
        <v>305</v>
      </c>
      <c r="F65" s="20">
        <v>1</v>
      </c>
      <c r="G65" s="49">
        <f t="shared" ref="G65" si="56">E65*F65*12</f>
        <v>3660</v>
      </c>
      <c r="H65" s="50">
        <v>125</v>
      </c>
      <c r="I65" s="50">
        <f t="shared" ref="I65" si="57">G65*H65</f>
        <v>457500</v>
      </c>
      <c r="J65" s="7">
        <f>$E$150*I65</f>
        <v>271258.70784380398</v>
      </c>
      <c r="K65" s="8">
        <f>References!$C$17*J65</f>
        <v>678.14676960950862</v>
      </c>
      <c r="L65" s="8">
        <f>K65/References!$F$19</f>
        <v>694.64457834520738</v>
      </c>
      <c r="M65" s="9">
        <f t="shared" ref="M65" si="58">L65/G65</f>
        <v>0.18979360064076703</v>
      </c>
      <c r="N65" s="30">
        <v>21.55</v>
      </c>
      <c r="O65" s="9">
        <f>MROUND(N65+M65,References!$E$28)</f>
        <v>21.740000000000002</v>
      </c>
      <c r="P65" s="8">
        <f t="shared" ref="P65" si="59">O65</f>
        <v>21.740000000000002</v>
      </c>
      <c r="Q65" s="10">
        <f t="shared" ref="Q65" si="60">N65*G65</f>
        <v>78873</v>
      </c>
      <c r="R65" s="10">
        <f t="shared" ref="R65" si="61">P65*G65</f>
        <v>79568.400000000009</v>
      </c>
      <c r="S65" s="10">
        <f t="shared" ref="S65" si="62">R65-Q65</f>
        <v>695.40000000000873</v>
      </c>
      <c r="T65" s="19">
        <f t="shared" ref="T65" si="63">O65*G65</f>
        <v>79568.400000000009</v>
      </c>
      <c r="U65" s="51">
        <f t="shared" ref="U65" si="64">T65-Q65</f>
        <v>695.40000000000873</v>
      </c>
    </row>
    <row r="66" spans="1:21" ht="14.45" customHeight="1">
      <c r="A66" s="114"/>
      <c r="B66" s="54">
        <v>55</v>
      </c>
      <c r="C66" s="54">
        <v>20</v>
      </c>
      <c r="D66" s="55" t="s">
        <v>124</v>
      </c>
      <c r="E66" s="45">
        <v>677</v>
      </c>
      <c r="F66" s="21">
        <v>1</v>
      </c>
      <c r="G66" s="57">
        <f t="shared" si="41"/>
        <v>8124</v>
      </c>
      <c r="H66" s="12">
        <v>34</v>
      </c>
      <c r="I66" s="58">
        <f>G66*H66</f>
        <v>276216</v>
      </c>
      <c r="J66" s="12">
        <f>$E$150*I66</f>
        <v>163772.66720389982</v>
      </c>
      <c r="K66" s="8">
        <f>References!$C$17*J66</f>
        <v>409.43166800974876</v>
      </c>
      <c r="L66" s="13">
        <f>K66/References!$F$19</f>
        <v>419.3922335567209</v>
      </c>
      <c r="M66" s="14">
        <f>L66/G66</f>
        <v>5.1623859374288636E-2</v>
      </c>
      <c r="N66" s="84">
        <v>3.44</v>
      </c>
      <c r="O66" s="9">
        <f>MROUND(N66+M66,References!$E$28)</f>
        <v>3.49</v>
      </c>
      <c r="P66" s="13">
        <f t="shared" si="45"/>
        <v>3.49</v>
      </c>
      <c r="Q66" s="15">
        <f t="shared" si="46"/>
        <v>27946.560000000001</v>
      </c>
      <c r="R66" s="15">
        <f t="shared" si="47"/>
        <v>28352.760000000002</v>
      </c>
      <c r="S66" s="15">
        <f t="shared" si="48"/>
        <v>406.20000000000073</v>
      </c>
      <c r="T66" s="15">
        <f>O66*G66</f>
        <v>28352.760000000002</v>
      </c>
      <c r="U66" s="51">
        <f t="shared" si="44"/>
        <v>406.20000000000073</v>
      </c>
    </row>
    <row r="67" spans="1:21">
      <c r="A67" s="75"/>
      <c r="B67" s="76"/>
      <c r="C67" s="85"/>
      <c r="D67" s="86" t="s">
        <v>14</v>
      </c>
      <c r="E67" s="22">
        <f>SUM(E62:E66)</f>
        <v>1021</v>
      </c>
      <c r="F67" s="87"/>
      <c r="G67" s="22">
        <f>SUM(G62:G66)</f>
        <v>12252</v>
      </c>
      <c r="H67" s="23"/>
      <c r="I67" s="23">
        <f>SUM(I62:I66)</f>
        <v>762552</v>
      </c>
      <c r="J67" s="23">
        <f>SUM(J62:J66)</f>
        <v>452128.67799717688</v>
      </c>
      <c r="K67" s="24"/>
      <c r="L67" s="25"/>
      <c r="M67" s="25"/>
      <c r="N67" s="25"/>
      <c r="O67" s="25"/>
      <c r="P67" s="25"/>
      <c r="Q67" s="26">
        <f>SUM(Q62:Q66)</f>
        <v>109788.48</v>
      </c>
      <c r="R67" s="27">
        <f>SUM(R62:R66)</f>
        <v>110932.56</v>
      </c>
      <c r="S67" s="27">
        <f>SUM(S62:S66)</f>
        <v>1144.0800000000097</v>
      </c>
      <c r="T67" s="27">
        <f>SUM(T62:T66)</f>
        <v>110932.56</v>
      </c>
      <c r="U67" s="27">
        <f>SUM(U62:U66)</f>
        <v>1144.0800000000097</v>
      </c>
    </row>
    <row r="68" spans="1:21" ht="20.45" customHeight="1">
      <c r="A68" s="110" t="s">
        <v>193</v>
      </c>
      <c r="B68" s="46" t="s">
        <v>194</v>
      </c>
      <c r="C68" s="46" t="s">
        <v>190</v>
      </c>
      <c r="D68" s="47" t="s">
        <v>125</v>
      </c>
      <c r="E68" s="48">
        <v>17</v>
      </c>
      <c r="F68" s="6">
        <v>4.33</v>
      </c>
      <c r="G68" s="49">
        <f>E68*F68*12</f>
        <v>883.31999999999994</v>
      </c>
      <c r="H68" s="50">
        <v>34</v>
      </c>
      <c r="I68" s="50">
        <f>G68*H68</f>
        <v>30032.879999999997</v>
      </c>
      <c r="J68" s="7">
        <f>$E$150*I68</f>
        <v>17806.951304104969</v>
      </c>
      <c r="K68" s="8">
        <f>References!$C$17*J68</f>
        <v>44.51737826026234</v>
      </c>
      <c r="L68" s="8">
        <f>K68/References!$F$19</f>
        <v>45.600387462496634</v>
      </c>
      <c r="M68" s="9">
        <f>L68/G68</f>
        <v>5.1623859374288636E-2</v>
      </c>
      <c r="N68" s="8">
        <v>3.89</v>
      </c>
      <c r="O68" s="9">
        <f>MROUND(N68+M68,References!$E$28)</f>
        <v>3.94</v>
      </c>
      <c r="P68" s="8">
        <f>O68</f>
        <v>3.94</v>
      </c>
      <c r="Q68" s="10">
        <f>N68*G68</f>
        <v>3436.1147999999998</v>
      </c>
      <c r="R68" s="10">
        <f>P68*G68</f>
        <v>3480.2807999999995</v>
      </c>
      <c r="S68" s="10">
        <f>R68-Q68</f>
        <v>44.165999999999713</v>
      </c>
      <c r="T68" s="19">
        <f>O68*G68</f>
        <v>3480.2807999999995</v>
      </c>
      <c r="U68" s="51">
        <f>T68-Q68</f>
        <v>44.165999999999713</v>
      </c>
    </row>
    <row r="69" spans="1:21">
      <c r="A69" s="111"/>
      <c r="B69" s="46" t="s">
        <v>112</v>
      </c>
      <c r="C69" s="46" t="s">
        <v>191</v>
      </c>
      <c r="D69" s="47" t="s">
        <v>134</v>
      </c>
      <c r="E69" s="48">
        <v>201</v>
      </c>
      <c r="F69" s="6">
        <v>1</v>
      </c>
      <c r="G69" s="49">
        <f>E69*F69*12</f>
        <v>2412</v>
      </c>
      <c r="H69" s="50">
        <v>34</v>
      </c>
      <c r="I69" s="50">
        <f>G69*H69</f>
        <v>82008</v>
      </c>
      <c r="J69" s="7">
        <f>$E$150*I69</f>
        <v>48623.79041061132</v>
      </c>
      <c r="K69" s="8">
        <f>References!$C$17*J69</f>
        <v>121.55947602652807</v>
      </c>
      <c r="L69" s="8">
        <f>K69/References!$F$19</f>
        <v>124.51674881078421</v>
      </c>
      <c r="M69" s="9">
        <f>L69/G69</f>
        <v>5.1623859374288643E-2</v>
      </c>
      <c r="N69" s="8">
        <v>5.09</v>
      </c>
      <c r="O69" s="9">
        <f>MROUND(N69+M69,References!$E$28)</f>
        <v>5.14</v>
      </c>
      <c r="P69" s="8">
        <f t="shared" ref="P69" si="65">O69</f>
        <v>5.14</v>
      </c>
      <c r="Q69" s="10">
        <f>N69*G69</f>
        <v>12277.08</v>
      </c>
      <c r="R69" s="10">
        <f>P69*G69</f>
        <v>12397.679999999998</v>
      </c>
      <c r="S69" s="10">
        <f>R69-Q69</f>
        <v>120.59999999999854</v>
      </c>
      <c r="T69" s="10">
        <f>O69*G69</f>
        <v>12397.679999999998</v>
      </c>
      <c r="U69" s="51">
        <f>T69-Q69</f>
        <v>120.59999999999854</v>
      </c>
    </row>
    <row r="70" spans="1:21">
      <c r="A70" s="111"/>
      <c r="B70" s="46"/>
      <c r="C70" s="46"/>
      <c r="D70" s="47"/>
      <c r="E70" s="48"/>
      <c r="F70" s="6"/>
      <c r="G70" s="49"/>
      <c r="H70" s="50"/>
      <c r="I70" s="50"/>
      <c r="J70" s="7"/>
      <c r="K70" s="8"/>
      <c r="L70" s="8"/>
      <c r="M70" s="9"/>
      <c r="N70" s="8"/>
      <c r="O70" s="9"/>
      <c r="P70" s="8"/>
      <c r="Q70" s="10"/>
      <c r="R70" s="10"/>
      <c r="S70" s="10"/>
      <c r="T70" s="10"/>
      <c r="U70" s="51"/>
    </row>
    <row r="71" spans="1:21">
      <c r="A71" s="112"/>
      <c r="B71" s="72"/>
    </row>
    <row r="72" spans="1:21">
      <c r="A72" s="60"/>
      <c r="B72" s="53"/>
      <c r="C72" s="77"/>
      <c r="D72" s="86" t="s">
        <v>14</v>
      </c>
      <c r="E72" s="88">
        <f>SUM(E68:E69)</f>
        <v>218</v>
      </c>
      <c r="F72" s="89"/>
      <c r="G72" s="88">
        <f>SUM(G68:G69)</f>
        <v>3295.3199999999997</v>
      </c>
      <c r="H72" s="90"/>
      <c r="I72" s="88">
        <f>SUM(I68:I69)</f>
        <v>112040.88</v>
      </c>
      <c r="J72" s="88">
        <f>SUM(J68:J69)</f>
        <v>66430.741714716292</v>
      </c>
      <c r="K72" s="89"/>
      <c r="L72" s="90"/>
      <c r="M72" s="90"/>
      <c r="N72" s="90"/>
      <c r="O72" s="90"/>
      <c r="P72" s="90"/>
      <c r="Q72" s="91">
        <f>SUM(Q68:Q69)</f>
        <v>15713.194799999999</v>
      </c>
      <c r="R72" s="91">
        <f>SUM(R68:R69)</f>
        <v>15877.960799999997</v>
      </c>
      <c r="S72" s="91">
        <f>SUM(S68:S69)</f>
        <v>164.76599999999826</v>
      </c>
      <c r="T72" s="91">
        <f>SUM(T68:T69)</f>
        <v>15877.960799999997</v>
      </c>
      <c r="U72" s="91">
        <f>SUM(U68:U69)</f>
        <v>164.76599999999826</v>
      </c>
    </row>
    <row r="73" spans="1:21" ht="26.45" customHeight="1" thickBot="1">
      <c r="A73" s="92"/>
      <c r="B73" s="93"/>
      <c r="C73" s="93"/>
      <c r="D73" s="94" t="s">
        <v>3</v>
      </c>
      <c r="E73" s="95">
        <f>E72+E67+E60+E17</f>
        <v>9652</v>
      </c>
      <c r="F73" s="92"/>
      <c r="G73" s="95">
        <f>G72+G67+G60+G17</f>
        <v>420416.4</v>
      </c>
      <c r="H73" s="92"/>
      <c r="I73" s="95">
        <f>I72+I67+I60+I17</f>
        <v>41512107.719999999</v>
      </c>
      <c r="J73" s="95">
        <f>J72+J67+J60+J17</f>
        <v>24613160</v>
      </c>
      <c r="K73" s="96"/>
      <c r="L73" s="96"/>
      <c r="M73" s="96"/>
      <c r="N73" s="92"/>
      <c r="O73" s="92"/>
      <c r="P73" s="92"/>
      <c r="Q73" s="97">
        <f>Q72+Q67+Q60+Q17</f>
        <v>3573286.9283999996</v>
      </c>
      <c r="R73" s="97">
        <f>R72+R67+R60+R17</f>
        <v>3636297.6156000001</v>
      </c>
      <c r="S73" s="97">
        <f>S72+S67+S60+S17</f>
        <v>63010.687200000139</v>
      </c>
      <c r="T73" s="97">
        <f>T72+T67+T60+T17</f>
        <v>3636297.6156000001</v>
      </c>
      <c r="U73" s="97">
        <f>U72+U67+U60+U17</f>
        <v>63010.687200000139</v>
      </c>
    </row>
    <row r="74" spans="1:21" ht="26.45" customHeight="1" thickTop="1">
      <c r="I74" s="37">
        <v>41128984</v>
      </c>
      <c r="J74" s="50"/>
      <c r="T74" s="51"/>
    </row>
    <row r="75" spans="1:21" ht="14.45" customHeight="1">
      <c r="A75" s="98"/>
      <c r="D75" s="99" t="s">
        <v>34</v>
      </c>
      <c r="H75" s="41"/>
      <c r="I75" s="28">
        <f>+I73-I74</f>
        <v>383123.71999999881</v>
      </c>
      <c r="J75" s="50"/>
    </row>
    <row r="76" spans="1:21">
      <c r="A76" s="98"/>
      <c r="D76" s="99" t="s">
        <v>141</v>
      </c>
      <c r="H76" s="41"/>
      <c r="I76" s="29">
        <f>+I75/I74</f>
        <v>9.315175886669089E-3</v>
      </c>
      <c r="J76" s="50"/>
    </row>
    <row r="77" spans="1:21">
      <c r="B77" s="52"/>
      <c r="C77" s="46"/>
      <c r="D77" s="47"/>
      <c r="E77" s="83"/>
      <c r="F77" s="20"/>
      <c r="G77" s="50"/>
      <c r="H77" s="7"/>
      <c r="I77" s="7"/>
      <c r="J77" s="7"/>
      <c r="K77" s="8"/>
      <c r="L77" s="8"/>
      <c r="M77" s="8"/>
      <c r="N77" s="30"/>
      <c r="O77" s="8"/>
      <c r="P77" s="30"/>
      <c r="Q77" s="31"/>
      <c r="R77" s="31"/>
      <c r="S77" s="31"/>
      <c r="T77" s="31"/>
    </row>
    <row r="78" spans="1:21">
      <c r="A78" s="107" t="s">
        <v>12</v>
      </c>
      <c r="B78" s="46">
        <v>100</v>
      </c>
      <c r="C78" s="46" t="s">
        <v>133</v>
      </c>
      <c r="D78" s="47" t="s">
        <v>84</v>
      </c>
      <c r="E78" s="48">
        <v>1</v>
      </c>
      <c r="F78" s="6">
        <v>4.33</v>
      </c>
      <c r="G78" s="49">
        <f>E78*F78*12</f>
        <v>51.96</v>
      </c>
      <c r="H78" s="50">
        <v>97</v>
      </c>
      <c r="I78" s="50">
        <f t="shared" ref="I78:I83" si="66">G78*H78</f>
        <v>5040.12</v>
      </c>
      <c r="J78" s="7">
        <f t="shared" ref="J78:J109" si="67">$E$150*I78</f>
        <v>2988.3638001698655</v>
      </c>
      <c r="K78" s="8">
        <f>References!$C$17*J78</f>
        <v>7.47090950042465</v>
      </c>
      <c r="L78" s="9">
        <f>K78/References!$F$19</f>
        <v>7.6526601796923437</v>
      </c>
      <c r="M78" s="32">
        <f t="shared" ref="M78:M83" si="68">L78/G78*F78</f>
        <v>0.6377216816410286</v>
      </c>
      <c r="N78" s="8">
        <v>34.86</v>
      </c>
      <c r="O78" s="9">
        <f>MROUND(N78+M78,References!$E$28)</f>
        <v>35.5</v>
      </c>
      <c r="P78" s="8">
        <f t="shared" ref="P78:P83" si="69">O78</f>
        <v>35.5</v>
      </c>
      <c r="Q78" s="10">
        <f>E78*N78*12</f>
        <v>418.32</v>
      </c>
      <c r="R78" s="10">
        <f t="shared" ref="R78:R83" si="70">E78*P78*12</f>
        <v>426</v>
      </c>
      <c r="S78" s="10">
        <f t="shared" ref="S78:S83" si="71">R78-Q78</f>
        <v>7.6800000000000068</v>
      </c>
      <c r="T78" s="10">
        <f t="shared" ref="T78:T83" si="72">E78*O78*12</f>
        <v>426</v>
      </c>
      <c r="U78" s="51">
        <f t="shared" ref="U78:U83" si="73">T78-Q78</f>
        <v>7.6800000000000068</v>
      </c>
    </row>
    <row r="79" spans="1:21">
      <c r="A79" s="107"/>
      <c r="B79" s="46">
        <v>100</v>
      </c>
      <c r="C79" s="46" t="s">
        <v>133</v>
      </c>
      <c r="D79" s="47" t="s">
        <v>192</v>
      </c>
      <c r="E79" s="48">
        <v>1</v>
      </c>
      <c r="F79" s="6">
        <v>1</v>
      </c>
      <c r="G79" s="49">
        <f>E79*F79*12</f>
        <v>12</v>
      </c>
      <c r="H79" s="50">
        <v>97</v>
      </c>
      <c r="I79" s="50">
        <f>G79*H79</f>
        <v>1164</v>
      </c>
      <c r="J79" s="7">
        <f t="shared" si="67"/>
        <v>690.15330257964558</v>
      </c>
      <c r="K79" s="8">
        <f>References!$C$17*J79</f>
        <v>1.7253832564491107</v>
      </c>
      <c r="L79" s="9">
        <f>K79/References!$F$19</f>
        <v>1.7673580091668228</v>
      </c>
      <c r="M79" s="9">
        <f t="shared" si="68"/>
        <v>0.14727983409723525</v>
      </c>
      <c r="N79" s="8">
        <v>11.57</v>
      </c>
      <c r="O79" s="9">
        <f>MROUND(N79+M79,References!$E$28)</f>
        <v>11.72</v>
      </c>
      <c r="P79" s="8">
        <f t="shared" si="69"/>
        <v>11.72</v>
      </c>
      <c r="Q79" s="10">
        <f>E79*N79*12</f>
        <v>138.84</v>
      </c>
      <c r="R79" s="10">
        <f t="shared" si="70"/>
        <v>140.64000000000001</v>
      </c>
      <c r="S79" s="10">
        <f t="shared" si="71"/>
        <v>1.8000000000000114</v>
      </c>
      <c r="T79" s="10">
        <f t="shared" si="72"/>
        <v>140.64000000000001</v>
      </c>
      <c r="U79" s="51">
        <f t="shared" si="73"/>
        <v>1.8000000000000114</v>
      </c>
    </row>
    <row r="80" spans="1:21">
      <c r="A80" s="107"/>
      <c r="B80" s="46">
        <v>100</v>
      </c>
      <c r="C80" s="46" t="s">
        <v>133</v>
      </c>
      <c r="D80" s="47" t="s">
        <v>85</v>
      </c>
      <c r="E80" s="48">
        <v>1</v>
      </c>
      <c r="F80" s="6">
        <v>4.33</v>
      </c>
      <c r="G80" s="49">
        <f t="shared" ref="G80:G83" si="74">E80*F80*12</f>
        <v>51.96</v>
      </c>
      <c r="H80" s="50">
        <v>117</v>
      </c>
      <c r="I80" s="50">
        <f t="shared" si="66"/>
        <v>6079.32</v>
      </c>
      <c r="J80" s="7">
        <f t="shared" si="67"/>
        <v>3604.5212847409716</v>
      </c>
      <c r="K80" s="8">
        <f>References!$C$17*J80</f>
        <v>9.0113032118524128</v>
      </c>
      <c r="L80" s="9">
        <f>K80/References!$F$19</f>
        <v>9.2305282579794241</v>
      </c>
      <c r="M80" s="9">
        <f t="shared" si="68"/>
        <v>0.76921068816495208</v>
      </c>
      <c r="N80" s="8">
        <v>41.66</v>
      </c>
      <c r="O80" s="9">
        <f>MROUND(N80+M80,References!$E$28)</f>
        <v>42.43</v>
      </c>
      <c r="P80" s="8">
        <f t="shared" si="69"/>
        <v>42.43</v>
      </c>
      <c r="Q80" s="10">
        <f t="shared" ref="Q80:Q83" si="75">E80*N80*12</f>
        <v>499.91999999999996</v>
      </c>
      <c r="R80" s="10">
        <f t="shared" si="70"/>
        <v>509.15999999999997</v>
      </c>
      <c r="S80" s="10">
        <f t="shared" si="71"/>
        <v>9.2400000000000091</v>
      </c>
      <c r="T80" s="10">
        <f t="shared" si="72"/>
        <v>509.15999999999997</v>
      </c>
      <c r="U80" s="51">
        <f t="shared" si="73"/>
        <v>9.2400000000000091</v>
      </c>
    </row>
    <row r="81" spans="1:21">
      <c r="A81" s="107"/>
      <c r="B81" s="46">
        <v>100</v>
      </c>
      <c r="C81" s="46" t="s">
        <v>133</v>
      </c>
      <c r="D81" s="47" t="s">
        <v>130</v>
      </c>
      <c r="E81" s="48">
        <v>1</v>
      </c>
      <c r="F81" s="6">
        <v>1</v>
      </c>
      <c r="G81" s="49">
        <f t="shared" si="74"/>
        <v>12</v>
      </c>
      <c r="H81" s="50">
        <v>117</v>
      </c>
      <c r="I81" s="50">
        <f t="shared" si="66"/>
        <v>1404</v>
      </c>
      <c r="J81" s="7">
        <f t="shared" si="67"/>
        <v>832.45295259606735</v>
      </c>
      <c r="K81" s="8">
        <f>References!$C$17*J81</f>
        <v>2.0811323814901646</v>
      </c>
      <c r="L81" s="9">
        <f>K81/References!$F$19</f>
        <v>2.1317617223970955</v>
      </c>
      <c r="M81" s="9">
        <f t="shared" si="68"/>
        <v>0.17764681019975795</v>
      </c>
      <c r="N81" s="8">
        <v>13.14</v>
      </c>
      <c r="O81" s="9">
        <f>MROUND(N81+M81,References!$E$28)</f>
        <v>13.32</v>
      </c>
      <c r="P81" s="8">
        <f t="shared" si="69"/>
        <v>13.32</v>
      </c>
      <c r="Q81" s="10">
        <f t="shared" si="75"/>
        <v>157.68</v>
      </c>
      <c r="R81" s="10">
        <f t="shared" si="70"/>
        <v>159.84</v>
      </c>
      <c r="S81" s="10">
        <f t="shared" si="71"/>
        <v>2.1599999999999966</v>
      </c>
      <c r="T81" s="10">
        <f t="shared" si="72"/>
        <v>159.84</v>
      </c>
      <c r="U81" s="51">
        <f t="shared" si="73"/>
        <v>2.1599999999999966</v>
      </c>
    </row>
    <row r="82" spans="1:21">
      <c r="A82" s="107"/>
      <c r="B82" s="46">
        <v>100</v>
      </c>
      <c r="C82" s="46" t="s">
        <v>133</v>
      </c>
      <c r="D82" s="47" t="s">
        <v>80</v>
      </c>
      <c r="E82" s="48">
        <v>1</v>
      </c>
      <c r="F82" s="6">
        <v>4.33</v>
      </c>
      <c r="G82" s="49">
        <f t="shared" si="74"/>
        <v>51.96</v>
      </c>
      <c r="H82" s="50">
        <v>137</v>
      </c>
      <c r="I82" s="50">
        <f t="shared" si="66"/>
        <v>7118.52</v>
      </c>
      <c r="J82" s="7">
        <f t="shared" si="67"/>
        <v>4220.6787693120777</v>
      </c>
      <c r="K82" s="8">
        <f>References!$C$17*J82</f>
        <v>10.551696923280174</v>
      </c>
      <c r="L82" s="9">
        <f>K82/References!$F$19</f>
        <v>10.808396336266505</v>
      </c>
      <c r="M82" s="9">
        <f t="shared" si="68"/>
        <v>0.90069969468887534</v>
      </c>
      <c r="N82" s="8">
        <v>48.47</v>
      </c>
      <c r="O82" s="9">
        <f>MROUND(N82+M82,References!$E$28)</f>
        <v>49.370000000000005</v>
      </c>
      <c r="P82" s="8">
        <f t="shared" si="69"/>
        <v>49.370000000000005</v>
      </c>
      <c r="Q82" s="10">
        <f t="shared" si="75"/>
        <v>581.64</v>
      </c>
      <c r="R82" s="10">
        <f t="shared" si="70"/>
        <v>592.44000000000005</v>
      </c>
      <c r="S82" s="10">
        <f t="shared" si="71"/>
        <v>10.800000000000068</v>
      </c>
      <c r="T82" s="10">
        <f t="shared" si="72"/>
        <v>592.44000000000005</v>
      </c>
      <c r="U82" s="51">
        <f t="shared" si="73"/>
        <v>10.800000000000068</v>
      </c>
    </row>
    <row r="83" spans="1:21">
      <c r="A83" s="107"/>
      <c r="B83" s="46">
        <v>100</v>
      </c>
      <c r="C83" s="46" t="s">
        <v>133</v>
      </c>
      <c r="D83" s="47" t="s">
        <v>131</v>
      </c>
      <c r="E83" s="48">
        <v>1</v>
      </c>
      <c r="F83" s="6">
        <v>1</v>
      </c>
      <c r="G83" s="49">
        <f t="shared" si="74"/>
        <v>12</v>
      </c>
      <c r="H83" s="50">
        <v>137</v>
      </c>
      <c r="I83" s="50">
        <f t="shared" si="66"/>
        <v>1644</v>
      </c>
      <c r="J83" s="7">
        <f t="shared" si="67"/>
        <v>974.75260261248911</v>
      </c>
      <c r="K83" s="8">
        <f>References!$C$17*J83</f>
        <v>2.4368815065312184</v>
      </c>
      <c r="L83" s="9">
        <f>K83/References!$F$19</f>
        <v>2.4961654356273684</v>
      </c>
      <c r="M83" s="9">
        <f t="shared" si="68"/>
        <v>0.20801378630228071</v>
      </c>
      <c r="N83" s="8">
        <v>14.72</v>
      </c>
      <c r="O83" s="9">
        <f>MROUND(N83+M83,References!$E$28)</f>
        <v>14.93</v>
      </c>
      <c r="P83" s="8">
        <f t="shared" si="69"/>
        <v>14.93</v>
      </c>
      <c r="Q83" s="10">
        <f t="shared" si="75"/>
        <v>176.64000000000001</v>
      </c>
      <c r="R83" s="10">
        <f t="shared" si="70"/>
        <v>179.16</v>
      </c>
      <c r="S83" s="10">
        <f t="shared" si="71"/>
        <v>2.5199999999999818</v>
      </c>
      <c r="T83" s="10">
        <f t="shared" si="72"/>
        <v>179.16</v>
      </c>
      <c r="U83" s="51">
        <f t="shared" si="73"/>
        <v>2.5199999999999818</v>
      </c>
    </row>
    <row r="84" spans="1:21">
      <c r="A84" s="107"/>
      <c r="B84" s="46">
        <v>100</v>
      </c>
      <c r="C84" s="38" t="s">
        <v>123</v>
      </c>
      <c r="D84" s="47" t="s">
        <v>139</v>
      </c>
      <c r="E84" s="48">
        <v>1</v>
      </c>
      <c r="F84" s="6">
        <v>1</v>
      </c>
      <c r="G84" s="49">
        <f t="shared" ref="G84" si="76">E84*F84*12</f>
        <v>12</v>
      </c>
      <c r="H84" s="50">
        <v>34</v>
      </c>
      <c r="I84" s="50">
        <f t="shared" ref="I84" si="77">G84*H84</f>
        <v>408</v>
      </c>
      <c r="J84" s="7">
        <f t="shared" si="67"/>
        <v>241.90940502791702</v>
      </c>
      <c r="K84" s="8">
        <f>References!$C$17*J84</f>
        <v>0.60477351256979139</v>
      </c>
      <c r="L84" s="9">
        <f>K84/References!$F$19</f>
        <v>0.61948631249146369</v>
      </c>
      <c r="M84" s="9">
        <f>L84/G84*F84</f>
        <v>5.1623859374288643E-2</v>
      </c>
      <c r="N84" s="8">
        <v>7.79</v>
      </c>
      <c r="O84" s="9">
        <f>MROUND(N84+M84,References!$E$28)</f>
        <v>7.84</v>
      </c>
      <c r="P84" s="8">
        <f t="shared" ref="P84" si="78">O84</f>
        <v>7.84</v>
      </c>
      <c r="Q84" s="10">
        <f t="shared" ref="Q84" si="79">E84*N84*12</f>
        <v>93.48</v>
      </c>
      <c r="R84" s="10">
        <f t="shared" ref="R84" si="80">E84*P84*12</f>
        <v>94.08</v>
      </c>
      <c r="S84" s="10">
        <f t="shared" ref="S84" si="81">R84-Q84</f>
        <v>0.59999999999999432</v>
      </c>
      <c r="T84" s="10">
        <f t="shared" ref="T84" si="82">E84*O84*12</f>
        <v>94.08</v>
      </c>
      <c r="U84" s="51">
        <f t="shared" ref="U84" si="83">T84-Q84</f>
        <v>0.59999999999999432</v>
      </c>
    </row>
    <row r="85" spans="1:21">
      <c r="A85" s="107"/>
      <c r="B85" s="46">
        <v>100</v>
      </c>
      <c r="C85" s="46" t="s">
        <v>123</v>
      </c>
      <c r="D85" s="47" t="s">
        <v>125</v>
      </c>
      <c r="E85" s="83">
        <v>1</v>
      </c>
      <c r="F85" s="20">
        <v>1</v>
      </c>
      <c r="G85" s="49">
        <f t="shared" ref="G85" si="84">E85*F85*12</f>
        <v>12</v>
      </c>
      <c r="H85" s="50">
        <v>34</v>
      </c>
      <c r="I85" s="50">
        <f t="shared" ref="I85" si="85">G85*H85</f>
        <v>408</v>
      </c>
      <c r="J85" s="7">
        <f t="shared" si="67"/>
        <v>241.90940502791702</v>
      </c>
      <c r="K85" s="8">
        <f>References!$C$17*J85</f>
        <v>0.60477351256979139</v>
      </c>
      <c r="L85" s="8">
        <f>K85/References!$F$19</f>
        <v>0.61948631249146369</v>
      </c>
      <c r="M85" s="9">
        <f t="shared" ref="M85" si="86">L85/G85</f>
        <v>5.1623859374288643E-2</v>
      </c>
      <c r="N85" s="8">
        <v>3.89</v>
      </c>
      <c r="O85" s="9">
        <f>MROUND(N85+M85,References!$E$28)</f>
        <v>3.94</v>
      </c>
      <c r="P85" s="8">
        <f t="shared" ref="P85" si="87">O85</f>
        <v>3.94</v>
      </c>
      <c r="Q85" s="10">
        <f t="shared" ref="Q85" si="88">N85*G85</f>
        <v>46.68</v>
      </c>
      <c r="R85" s="10">
        <f t="shared" ref="R85" si="89">P85*G85</f>
        <v>47.28</v>
      </c>
      <c r="S85" s="10">
        <f t="shared" ref="S85" si="90">R85-Q85</f>
        <v>0.60000000000000142</v>
      </c>
      <c r="T85" s="19">
        <f>O85*G85</f>
        <v>47.28</v>
      </c>
      <c r="U85" s="51">
        <f t="shared" ref="U85" si="91">T85-Q85</f>
        <v>0.60000000000000142</v>
      </c>
    </row>
    <row r="86" spans="1:21">
      <c r="A86" s="107" t="s">
        <v>181</v>
      </c>
      <c r="B86" s="46">
        <v>240</v>
      </c>
      <c r="C86" s="46">
        <v>42</v>
      </c>
      <c r="D86" s="47" t="s">
        <v>114</v>
      </c>
      <c r="E86" s="48">
        <v>1</v>
      </c>
      <c r="F86" s="6">
        <v>1</v>
      </c>
      <c r="G86" s="49">
        <f t="shared" ref="G86:G90" si="92">E86*F86*12</f>
        <v>12</v>
      </c>
      <c r="H86" s="50">
        <v>0</v>
      </c>
      <c r="I86" s="50">
        <f t="shared" ref="I86:I90" si="93">G86*H86</f>
        <v>0</v>
      </c>
      <c r="J86" s="7">
        <f t="shared" si="67"/>
        <v>0</v>
      </c>
      <c r="K86" s="8">
        <f>References!$C$17*J86</f>
        <v>0</v>
      </c>
      <c r="L86" s="9">
        <f>K86/References!$F$19</f>
        <v>0</v>
      </c>
      <c r="M86" s="9">
        <f t="shared" ref="M86:M90" si="94">L86/G86</f>
        <v>0</v>
      </c>
      <c r="N86" s="8">
        <v>1.25</v>
      </c>
      <c r="O86" s="9">
        <f>MROUND(N86+M86,References!$E$28)</f>
        <v>1.25</v>
      </c>
      <c r="P86" s="8">
        <f t="shared" ref="P86:P90" si="95">O86</f>
        <v>1.25</v>
      </c>
      <c r="Q86" s="10">
        <f t="shared" ref="Q86:Q90" si="96">G86*N86</f>
        <v>15</v>
      </c>
      <c r="R86" s="10">
        <f t="shared" ref="R86:R90" si="97">G86*P86</f>
        <v>15</v>
      </c>
      <c r="S86" s="10">
        <f t="shared" ref="S86:S90" si="98">R86-Q86</f>
        <v>0</v>
      </c>
      <c r="T86" s="10">
        <f t="shared" ref="T86:T90" si="99">G86*O86</f>
        <v>15</v>
      </c>
      <c r="U86" s="51">
        <f t="shared" ref="U86:U90" si="100">T86-Q86</f>
        <v>0</v>
      </c>
    </row>
    <row r="87" spans="1:21">
      <c r="A87" s="107"/>
      <c r="B87" s="46">
        <v>240</v>
      </c>
      <c r="C87" s="46">
        <v>42</v>
      </c>
      <c r="D87" s="47" t="s">
        <v>183</v>
      </c>
      <c r="E87" s="48">
        <v>1</v>
      </c>
      <c r="F87" s="6">
        <v>1</v>
      </c>
      <c r="G87" s="49">
        <f t="shared" si="92"/>
        <v>12</v>
      </c>
      <c r="H87" s="50">
        <v>0</v>
      </c>
      <c r="I87" s="50">
        <f t="shared" si="93"/>
        <v>0</v>
      </c>
      <c r="J87" s="7">
        <f t="shared" si="67"/>
        <v>0</v>
      </c>
      <c r="K87" s="8">
        <f>References!$C$17*J87</f>
        <v>0</v>
      </c>
      <c r="L87" s="9">
        <f>K87/References!$F$19</f>
        <v>0</v>
      </c>
      <c r="M87" s="9">
        <f t="shared" si="94"/>
        <v>0</v>
      </c>
      <c r="N87" s="8">
        <v>4.59</v>
      </c>
      <c r="O87" s="9">
        <f>MROUND(N87+M87,References!$E$28)</f>
        <v>4.59</v>
      </c>
      <c r="P87" s="8">
        <f t="shared" si="95"/>
        <v>4.59</v>
      </c>
      <c r="Q87" s="10">
        <f t="shared" si="96"/>
        <v>55.08</v>
      </c>
      <c r="R87" s="10">
        <f t="shared" si="97"/>
        <v>55.08</v>
      </c>
      <c r="S87" s="10">
        <f t="shared" si="98"/>
        <v>0</v>
      </c>
      <c r="T87" s="10">
        <f t="shared" si="99"/>
        <v>55.08</v>
      </c>
      <c r="U87" s="51">
        <f t="shared" si="100"/>
        <v>0</v>
      </c>
    </row>
    <row r="88" spans="1:21">
      <c r="A88" s="107"/>
      <c r="B88" s="46">
        <v>240</v>
      </c>
      <c r="C88" s="46">
        <v>42</v>
      </c>
      <c r="D88" s="47" t="s">
        <v>184</v>
      </c>
      <c r="E88" s="48">
        <v>1</v>
      </c>
      <c r="F88" s="6">
        <v>4.33</v>
      </c>
      <c r="G88" s="49">
        <f t="shared" si="92"/>
        <v>51.96</v>
      </c>
      <c r="H88" s="50">
        <v>175</v>
      </c>
      <c r="I88" s="50">
        <f t="shared" si="93"/>
        <v>9093</v>
      </c>
      <c r="J88" s="7">
        <f t="shared" si="67"/>
        <v>5391.3779899971796</v>
      </c>
      <c r="K88" s="8">
        <f>References!$C$17*J88</f>
        <v>13.478444974992923</v>
      </c>
      <c r="L88" s="9">
        <f>K88/References!$F$19</f>
        <v>13.806345685011959</v>
      </c>
      <c r="M88" s="9">
        <f t="shared" si="94"/>
        <v>0.26571104089707387</v>
      </c>
      <c r="N88" s="8">
        <v>17.46</v>
      </c>
      <c r="O88" s="9">
        <f>MROUND(N88+M88,References!$E$28)</f>
        <v>17.73</v>
      </c>
      <c r="P88" s="8">
        <f t="shared" si="95"/>
        <v>17.73</v>
      </c>
      <c r="Q88" s="10">
        <f t="shared" si="96"/>
        <v>907.22160000000008</v>
      </c>
      <c r="R88" s="10">
        <f t="shared" si="97"/>
        <v>921.25080000000003</v>
      </c>
      <c r="S88" s="10">
        <f t="shared" si="98"/>
        <v>14.029199999999946</v>
      </c>
      <c r="T88" s="10">
        <f t="shared" si="99"/>
        <v>921.25080000000003</v>
      </c>
      <c r="U88" s="51">
        <f t="shared" si="100"/>
        <v>14.029199999999946</v>
      </c>
    </row>
    <row r="89" spans="1:21">
      <c r="A89" s="107"/>
      <c r="B89" s="46">
        <v>240</v>
      </c>
      <c r="C89" s="46">
        <v>42</v>
      </c>
      <c r="D89" s="47" t="s">
        <v>185</v>
      </c>
      <c r="E89" s="48">
        <v>1</v>
      </c>
      <c r="F89" s="6">
        <v>1</v>
      </c>
      <c r="G89" s="49">
        <f t="shared" si="92"/>
        <v>12</v>
      </c>
      <c r="H89" s="50">
        <v>0</v>
      </c>
      <c r="I89" s="50">
        <f t="shared" si="93"/>
        <v>0</v>
      </c>
      <c r="J89" s="7">
        <f t="shared" si="67"/>
        <v>0</v>
      </c>
      <c r="K89" s="8">
        <f>References!$C$17*J89</f>
        <v>0</v>
      </c>
      <c r="L89" s="9">
        <f>K89/References!$F$19</f>
        <v>0</v>
      </c>
      <c r="M89" s="9">
        <f t="shared" si="94"/>
        <v>0</v>
      </c>
      <c r="N89" s="8">
        <v>5.23</v>
      </c>
      <c r="O89" s="9">
        <f>MROUND(N89+M89,References!$E$28)</f>
        <v>5.23</v>
      </c>
      <c r="P89" s="8">
        <f t="shared" si="95"/>
        <v>5.23</v>
      </c>
      <c r="Q89" s="10">
        <f t="shared" si="96"/>
        <v>62.760000000000005</v>
      </c>
      <c r="R89" s="10">
        <f t="shared" si="97"/>
        <v>62.760000000000005</v>
      </c>
      <c r="S89" s="10">
        <f t="shared" si="98"/>
        <v>0</v>
      </c>
      <c r="T89" s="10">
        <f t="shared" si="99"/>
        <v>62.760000000000005</v>
      </c>
      <c r="U89" s="51">
        <f t="shared" si="100"/>
        <v>0</v>
      </c>
    </row>
    <row r="90" spans="1:21">
      <c r="A90" s="107"/>
      <c r="B90" s="46">
        <v>240</v>
      </c>
      <c r="C90" s="46">
        <v>42</v>
      </c>
      <c r="D90" s="47" t="s">
        <v>186</v>
      </c>
      <c r="E90" s="48">
        <v>1</v>
      </c>
      <c r="F90" s="6">
        <v>4.33</v>
      </c>
      <c r="G90" s="49">
        <f t="shared" si="92"/>
        <v>51.96</v>
      </c>
      <c r="H90" s="50">
        <v>250</v>
      </c>
      <c r="I90" s="50">
        <f t="shared" si="93"/>
        <v>12990</v>
      </c>
      <c r="J90" s="7">
        <f t="shared" si="67"/>
        <v>7701.9685571388281</v>
      </c>
      <c r="K90" s="8">
        <f>References!$C$17*J90</f>
        <v>19.254921392847034</v>
      </c>
      <c r="L90" s="9">
        <f>K90/References!$F$19</f>
        <v>19.723350978588513</v>
      </c>
      <c r="M90" s="9">
        <f t="shared" si="94"/>
        <v>0.37958720128153411</v>
      </c>
      <c r="N90" s="8">
        <v>22.85</v>
      </c>
      <c r="O90" s="9">
        <f>MROUND(N90+M90,References!$E$28)</f>
        <v>23.23</v>
      </c>
      <c r="P90" s="8">
        <f t="shared" si="95"/>
        <v>23.23</v>
      </c>
      <c r="Q90" s="10">
        <f t="shared" si="96"/>
        <v>1187.2860000000001</v>
      </c>
      <c r="R90" s="10">
        <f t="shared" si="97"/>
        <v>1207.0308</v>
      </c>
      <c r="S90" s="10">
        <f t="shared" si="98"/>
        <v>19.744799999999941</v>
      </c>
      <c r="T90" s="10">
        <f t="shared" si="99"/>
        <v>1207.0308</v>
      </c>
      <c r="U90" s="51">
        <f t="shared" si="100"/>
        <v>19.744799999999941</v>
      </c>
    </row>
    <row r="91" spans="1:21">
      <c r="A91" s="107"/>
      <c r="B91" s="46" t="s">
        <v>112</v>
      </c>
      <c r="C91" s="46" t="s">
        <v>113</v>
      </c>
      <c r="D91" s="47" t="s">
        <v>138</v>
      </c>
      <c r="E91" s="48">
        <v>1</v>
      </c>
      <c r="F91" s="6">
        <v>1</v>
      </c>
      <c r="G91" s="49">
        <f>E91*F91*12</f>
        <v>12</v>
      </c>
      <c r="H91" s="50">
        <v>250</v>
      </c>
      <c r="I91" s="50">
        <f>G91*H91</f>
        <v>3000</v>
      </c>
      <c r="J91" s="7">
        <f t="shared" si="67"/>
        <v>1778.7456252052721</v>
      </c>
      <c r="K91" s="8">
        <f>References!$C$17*J91</f>
        <v>4.4468640630131722</v>
      </c>
      <c r="L91" s="9">
        <f>K91/References!$F$19</f>
        <v>4.5550464153784098</v>
      </c>
      <c r="M91" s="9">
        <f>L91/G91</f>
        <v>0.37958720128153417</v>
      </c>
      <c r="N91" s="8">
        <v>22.85</v>
      </c>
      <c r="O91" s="9">
        <f>MROUND(N91+M91,References!$E$28)</f>
        <v>23.23</v>
      </c>
      <c r="P91" s="8">
        <f>O91</f>
        <v>23.23</v>
      </c>
      <c r="Q91" s="10">
        <f>G91*N91</f>
        <v>274.20000000000005</v>
      </c>
      <c r="R91" s="10">
        <f>G91*P91</f>
        <v>278.76</v>
      </c>
      <c r="S91" s="10">
        <f>R91-Q91</f>
        <v>4.5599999999999454</v>
      </c>
      <c r="T91" s="10">
        <f>G91*O91</f>
        <v>278.76</v>
      </c>
      <c r="U91" s="51">
        <f>T91-Q91</f>
        <v>4.5599999999999454</v>
      </c>
    </row>
    <row r="92" spans="1:21" ht="14.45" customHeight="1">
      <c r="A92" s="107" t="s">
        <v>175</v>
      </c>
      <c r="B92" s="46">
        <v>241</v>
      </c>
      <c r="C92" s="46">
        <v>44</v>
      </c>
      <c r="D92" s="47" t="s">
        <v>142</v>
      </c>
      <c r="E92" s="48">
        <v>1</v>
      </c>
      <c r="F92" s="6">
        <v>1</v>
      </c>
      <c r="G92" s="49">
        <f t="shared" ref="G92:G93" si="101">E92*F92*12</f>
        <v>12</v>
      </c>
      <c r="H92" s="50"/>
      <c r="I92" s="50">
        <f t="shared" ref="I92:I93" si="102">G92*H92</f>
        <v>0</v>
      </c>
      <c r="J92" s="7">
        <f t="shared" si="67"/>
        <v>0</v>
      </c>
      <c r="K92" s="8">
        <f>References!$C$17*J92</f>
        <v>0</v>
      </c>
      <c r="L92" s="9">
        <f>K92/References!$F$19</f>
        <v>0</v>
      </c>
      <c r="M92" s="9">
        <f t="shared" ref="M92:M93" si="103">L92/G92</f>
        <v>0</v>
      </c>
      <c r="N92" s="30">
        <v>4.55</v>
      </c>
      <c r="O92" s="9">
        <f>MROUND(N92+M92,References!$E$28)</f>
        <v>4.55</v>
      </c>
      <c r="P92" s="8">
        <f t="shared" ref="P92:P93" si="104">O92</f>
        <v>4.55</v>
      </c>
      <c r="Q92" s="10">
        <f t="shared" ref="Q92:Q93" si="105">G92*N92</f>
        <v>54.599999999999994</v>
      </c>
      <c r="R92" s="10">
        <f t="shared" ref="R92:R93" si="106">G92*P92</f>
        <v>54.599999999999994</v>
      </c>
      <c r="S92" s="10">
        <f t="shared" ref="S92:S93" si="107">R92-Q92</f>
        <v>0</v>
      </c>
      <c r="T92" s="10">
        <f t="shared" ref="T92:T93" si="108">G92*O92</f>
        <v>54.599999999999994</v>
      </c>
      <c r="U92" s="51">
        <f t="shared" ref="U92:U93" si="109">T92-Q92</f>
        <v>0</v>
      </c>
    </row>
    <row r="93" spans="1:21">
      <c r="A93" s="107"/>
      <c r="B93" s="46">
        <v>241</v>
      </c>
      <c r="C93" s="46">
        <v>44</v>
      </c>
      <c r="D93" s="47" t="s">
        <v>143</v>
      </c>
      <c r="E93" s="48">
        <v>1</v>
      </c>
      <c r="F93" s="6">
        <v>2.17</v>
      </c>
      <c r="G93" s="49">
        <f t="shared" si="101"/>
        <v>26.04</v>
      </c>
      <c r="H93" s="50">
        <v>175</v>
      </c>
      <c r="I93" s="50">
        <f t="shared" si="102"/>
        <v>4557</v>
      </c>
      <c r="J93" s="7">
        <f t="shared" si="67"/>
        <v>2701.9146046868082</v>
      </c>
      <c r="K93" s="8">
        <f>References!$C$17*J93</f>
        <v>6.7547865117170076</v>
      </c>
      <c r="L93" s="9">
        <f>K93/References!$F$19</f>
        <v>6.9191155049598034</v>
      </c>
      <c r="M93" s="9">
        <f t="shared" si="103"/>
        <v>0.26571104089707387</v>
      </c>
      <c r="N93" s="30">
        <v>15.9</v>
      </c>
      <c r="O93" s="9">
        <f>MROUND(N93+M93,References!$E$28)</f>
        <v>16.170000000000002</v>
      </c>
      <c r="P93" s="8">
        <f t="shared" si="104"/>
        <v>16.170000000000002</v>
      </c>
      <c r="Q93" s="10">
        <f t="shared" si="105"/>
        <v>414.036</v>
      </c>
      <c r="R93" s="10">
        <f t="shared" si="106"/>
        <v>421.06680000000006</v>
      </c>
      <c r="S93" s="10">
        <f t="shared" si="107"/>
        <v>7.0308000000000561</v>
      </c>
      <c r="T93" s="10">
        <f t="shared" si="108"/>
        <v>421.06680000000006</v>
      </c>
      <c r="U93" s="51">
        <f t="shared" si="109"/>
        <v>7.0308000000000561</v>
      </c>
    </row>
    <row r="94" spans="1:21">
      <c r="A94" s="107"/>
      <c r="B94" s="46">
        <v>241</v>
      </c>
      <c r="C94" s="46">
        <v>44</v>
      </c>
      <c r="D94" s="47" t="s">
        <v>144</v>
      </c>
      <c r="E94" s="48">
        <v>1</v>
      </c>
      <c r="F94" s="6">
        <v>1</v>
      </c>
      <c r="G94" s="49">
        <f t="shared" ref="G94:G144" si="110">E94*F94*12</f>
        <v>12</v>
      </c>
      <c r="H94" s="50">
        <v>175</v>
      </c>
      <c r="I94" s="50">
        <f t="shared" ref="I94:I144" si="111">G94*H94</f>
        <v>2100</v>
      </c>
      <c r="J94" s="7">
        <f t="shared" si="67"/>
        <v>1245.1219376436904</v>
      </c>
      <c r="K94" s="8">
        <f>References!$C$17*J94</f>
        <v>3.1128048441092204</v>
      </c>
      <c r="L94" s="9">
        <f>K94/References!$F$19</f>
        <v>3.1885324907648864</v>
      </c>
      <c r="M94" s="9">
        <f t="shared" ref="M94:M144" si="112">L94/G94</f>
        <v>0.26571104089707387</v>
      </c>
      <c r="N94" s="30">
        <v>20.78</v>
      </c>
      <c r="O94" s="9">
        <f>MROUND(N94+M94,References!$E$28)</f>
        <v>21.05</v>
      </c>
      <c r="P94" s="8">
        <f t="shared" ref="P94:P144" si="113">O94</f>
        <v>21.05</v>
      </c>
      <c r="Q94" s="10">
        <f t="shared" ref="Q94:Q144" si="114">G94*N94</f>
        <v>249.36</v>
      </c>
      <c r="R94" s="10">
        <f t="shared" ref="R94:R144" si="115">G94*P94</f>
        <v>252.60000000000002</v>
      </c>
      <c r="S94" s="10">
        <f t="shared" ref="S94:S144" si="116">R94-Q94</f>
        <v>3.2400000000000091</v>
      </c>
      <c r="T94" s="10">
        <f t="shared" ref="T94:T144" si="117">G94*O94</f>
        <v>252.60000000000002</v>
      </c>
      <c r="U94" s="51">
        <f t="shared" ref="U94:U144" si="118">T94-Q94</f>
        <v>3.2400000000000091</v>
      </c>
    </row>
    <row r="95" spans="1:21">
      <c r="A95" s="107"/>
      <c r="B95" s="46">
        <v>241</v>
      </c>
      <c r="C95" s="46">
        <v>44</v>
      </c>
      <c r="D95" s="47" t="s">
        <v>145</v>
      </c>
      <c r="E95" s="48">
        <v>1</v>
      </c>
      <c r="F95" s="6">
        <v>1</v>
      </c>
      <c r="G95" s="49">
        <f t="shared" si="110"/>
        <v>12</v>
      </c>
      <c r="H95" s="50"/>
      <c r="I95" s="50">
        <f t="shared" si="111"/>
        <v>0</v>
      </c>
      <c r="J95" s="7">
        <f t="shared" si="67"/>
        <v>0</v>
      </c>
      <c r="K95" s="8">
        <f>References!$C$17*J95</f>
        <v>0</v>
      </c>
      <c r="L95" s="9">
        <f>K95/References!$F$19</f>
        <v>0</v>
      </c>
      <c r="M95" s="9">
        <f t="shared" si="112"/>
        <v>0</v>
      </c>
      <c r="N95" s="30">
        <v>5.2</v>
      </c>
      <c r="O95" s="9">
        <f>MROUND(N95+M95,References!$E$28)</f>
        <v>5.2</v>
      </c>
      <c r="P95" s="8">
        <f t="shared" si="113"/>
        <v>5.2</v>
      </c>
      <c r="Q95" s="10">
        <f t="shared" si="114"/>
        <v>62.400000000000006</v>
      </c>
      <c r="R95" s="10">
        <f t="shared" si="115"/>
        <v>62.400000000000006</v>
      </c>
      <c r="S95" s="10">
        <f t="shared" si="116"/>
        <v>0</v>
      </c>
      <c r="T95" s="10">
        <f t="shared" si="117"/>
        <v>62.400000000000006</v>
      </c>
      <c r="U95" s="51">
        <f t="shared" si="118"/>
        <v>0</v>
      </c>
    </row>
    <row r="96" spans="1:21">
      <c r="A96" s="107"/>
      <c r="B96" s="46">
        <v>241</v>
      </c>
      <c r="C96" s="46">
        <v>44</v>
      </c>
      <c r="D96" s="47" t="s">
        <v>146</v>
      </c>
      <c r="E96" s="48">
        <v>1</v>
      </c>
      <c r="F96" s="6">
        <v>2.17</v>
      </c>
      <c r="G96" s="49">
        <f t="shared" si="110"/>
        <v>26.04</v>
      </c>
      <c r="H96" s="50">
        <v>250</v>
      </c>
      <c r="I96" s="50">
        <f t="shared" si="111"/>
        <v>6510</v>
      </c>
      <c r="J96" s="7">
        <f t="shared" si="67"/>
        <v>3859.8780066954405</v>
      </c>
      <c r="K96" s="8">
        <f>References!$C$17*J96</f>
        <v>9.6496950167385833</v>
      </c>
      <c r="L96" s="9">
        <f>K96/References!$F$19</f>
        <v>9.8844507213711488</v>
      </c>
      <c r="M96" s="9">
        <f t="shared" si="112"/>
        <v>0.37958720128153417</v>
      </c>
      <c r="N96" s="30">
        <v>22.05</v>
      </c>
      <c r="O96" s="9">
        <f>MROUND(N96+M96,References!$E$28)</f>
        <v>22.43</v>
      </c>
      <c r="P96" s="8">
        <f t="shared" si="113"/>
        <v>22.43</v>
      </c>
      <c r="Q96" s="10">
        <f t="shared" si="114"/>
        <v>574.18200000000002</v>
      </c>
      <c r="R96" s="10">
        <f t="shared" si="115"/>
        <v>584.07719999999995</v>
      </c>
      <c r="S96" s="10">
        <f t="shared" si="116"/>
        <v>9.8951999999999316</v>
      </c>
      <c r="T96" s="10">
        <f t="shared" si="117"/>
        <v>584.07719999999995</v>
      </c>
      <c r="U96" s="51">
        <f t="shared" si="118"/>
        <v>9.8951999999999316</v>
      </c>
    </row>
    <row r="97" spans="1:21">
      <c r="A97" s="107"/>
      <c r="B97" s="46">
        <v>241</v>
      </c>
      <c r="C97" s="46">
        <v>44</v>
      </c>
      <c r="D97" s="47" t="s">
        <v>147</v>
      </c>
      <c r="E97" s="48">
        <v>1</v>
      </c>
      <c r="F97" s="6">
        <v>1</v>
      </c>
      <c r="G97" s="49">
        <f t="shared" si="110"/>
        <v>12</v>
      </c>
      <c r="H97" s="50">
        <v>250</v>
      </c>
      <c r="I97" s="50">
        <f t="shared" si="111"/>
        <v>3000</v>
      </c>
      <c r="J97" s="7">
        <f t="shared" si="67"/>
        <v>1778.7456252052721</v>
      </c>
      <c r="K97" s="8">
        <f>References!$C$17*J97</f>
        <v>4.4468640630131722</v>
      </c>
      <c r="L97" s="9">
        <f>K97/References!$F$19</f>
        <v>4.5550464153784098</v>
      </c>
      <c r="M97" s="9">
        <f t="shared" si="112"/>
        <v>0.37958720128153417</v>
      </c>
      <c r="N97" s="30">
        <v>27.22</v>
      </c>
      <c r="O97" s="9">
        <f>MROUND(N97+M97,References!$E$28)</f>
        <v>27.6</v>
      </c>
      <c r="P97" s="8">
        <f t="shared" si="113"/>
        <v>27.6</v>
      </c>
      <c r="Q97" s="10">
        <f t="shared" si="114"/>
        <v>326.64</v>
      </c>
      <c r="R97" s="10">
        <f t="shared" si="115"/>
        <v>331.20000000000005</v>
      </c>
      <c r="S97" s="10">
        <f t="shared" si="116"/>
        <v>4.5600000000000591</v>
      </c>
      <c r="T97" s="10">
        <f t="shared" si="117"/>
        <v>331.20000000000005</v>
      </c>
      <c r="U97" s="51">
        <f t="shared" si="118"/>
        <v>4.5600000000000591</v>
      </c>
    </row>
    <row r="98" spans="1:21">
      <c r="A98" s="107"/>
      <c r="B98" s="46">
        <v>241</v>
      </c>
      <c r="C98" s="46">
        <v>44</v>
      </c>
      <c r="D98" s="47" t="s">
        <v>148</v>
      </c>
      <c r="E98" s="48">
        <v>1</v>
      </c>
      <c r="F98" s="6">
        <v>1</v>
      </c>
      <c r="G98" s="49">
        <f t="shared" si="110"/>
        <v>12</v>
      </c>
      <c r="H98" s="50"/>
      <c r="I98" s="50">
        <f t="shared" si="111"/>
        <v>0</v>
      </c>
      <c r="J98" s="7">
        <f t="shared" si="67"/>
        <v>0</v>
      </c>
      <c r="K98" s="8">
        <f>References!$C$17*J98</f>
        <v>0</v>
      </c>
      <c r="L98" s="9">
        <f>K98/References!$F$19</f>
        <v>0</v>
      </c>
      <c r="M98" s="9">
        <f t="shared" si="112"/>
        <v>0</v>
      </c>
      <c r="N98" s="30">
        <v>6.2</v>
      </c>
      <c r="O98" s="9">
        <f>MROUND(N98+M98,References!$E$28)</f>
        <v>6.2</v>
      </c>
      <c r="P98" s="8">
        <f t="shared" si="113"/>
        <v>6.2</v>
      </c>
      <c r="Q98" s="10">
        <f t="shared" si="114"/>
        <v>74.400000000000006</v>
      </c>
      <c r="R98" s="10">
        <f t="shared" si="115"/>
        <v>74.400000000000006</v>
      </c>
      <c r="S98" s="10">
        <f t="shared" si="116"/>
        <v>0</v>
      </c>
      <c r="T98" s="10">
        <f t="shared" si="117"/>
        <v>74.400000000000006</v>
      </c>
      <c r="U98" s="51">
        <f t="shared" si="118"/>
        <v>0</v>
      </c>
    </row>
    <row r="99" spans="1:21">
      <c r="A99" s="107"/>
      <c r="B99" s="46">
        <v>241</v>
      </c>
      <c r="C99" s="46">
        <v>44</v>
      </c>
      <c r="D99" s="47" t="s">
        <v>149</v>
      </c>
      <c r="E99" s="48">
        <v>1</v>
      </c>
      <c r="F99" s="6">
        <v>2.17</v>
      </c>
      <c r="G99" s="49">
        <f t="shared" si="110"/>
        <v>26.04</v>
      </c>
      <c r="H99" s="50">
        <v>324</v>
      </c>
      <c r="I99" s="50">
        <f t="shared" si="111"/>
        <v>8436.9599999999991</v>
      </c>
      <c r="J99" s="7">
        <f t="shared" si="67"/>
        <v>5002.4018966772901</v>
      </c>
      <c r="K99" s="8">
        <f>References!$C$17*J99</f>
        <v>12.506004741693202</v>
      </c>
      <c r="L99" s="9">
        <f>K99/References!$F$19</f>
        <v>12.810248134897007</v>
      </c>
      <c r="M99" s="9">
        <f t="shared" si="112"/>
        <v>0.49194501286086817</v>
      </c>
      <c r="N99" s="30">
        <v>28.61</v>
      </c>
      <c r="O99" s="9">
        <f>MROUND(N99+M99,References!$E$28)</f>
        <v>29.1</v>
      </c>
      <c r="P99" s="8">
        <f t="shared" si="113"/>
        <v>29.1</v>
      </c>
      <c r="Q99" s="10">
        <f t="shared" si="114"/>
        <v>745.00439999999992</v>
      </c>
      <c r="R99" s="10">
        <f t="shared" si="115"/>
        <v>757.76400000000001</v>
      </c>
      <c r="S99" s="10">
        <f t="shared" si="116"/>
        <v>12.759600000000091</v>
      </c>
      <c r="T99" s="10">
        <f t="shared" si="117"/>
        <v>757.76400000000001</v>
      </c>
      <c r="U99" s="51">
        <f t="shared" si="118"/>
        <v>12.759600000000091</v>
      </c>
    </row>
    <row r="100" spans="1:21">
      <c r="A100" s="107"/>
      <c r="B100" s="46">
        <v>241</v>
      </c>
      <c r="C100" s="46">
        <v>44</v>
      </c>
      <c r="D100" s="47" t="s">
        <v>150</v>
      </c>
      <c r="E100" s="48">
        <v>1</v>
      </c>
      <c r="F100" s="6">
        <v>1</v>
      </c>
      <c r="G100" s="49">
        <f t="shared" si="110"/>
        <v>12</v>
      </c>
      <c r="H100" s="50">
        <v>324</v>
      </c>
      <c r="I100" s="50">
        <f t="shared" si="111"/>
        <v>3888</v>
      </c>
      <c r="J100" s="7">
        <f t="shared" si="67"/>
        <v>2305.2543302660329</v>
      </c>
      <c r="K100" s="8">
        <f>References!$C$17*J100</f>
        <v>5.7631358256650715</v>
      </c>
      <c r="L100" s="9">
        <f>K100/References!$F$19</f>
        <v>5.9033401543304196</v>
      </c>
      <c r="M100" s="9">
        <f t="shared" si="112"/>
        <v>0.49194501286086828</v>
      </c>
      <c r="N100" s="30">
        <v>32.99</v>
      </c>
      <c r="O100" s="9">
        <f>MROUND(N100+M100,References!$E$28)</f>
        <v>33.480000000000004</v>
      </c>
      <c r="P100" s="8">
        <f t="shared" si="113"/>
        <v>33.480000000000004</v>
      </c>
      <c r="Q100" s="10">
        <f t="shared" si="114"/>
        <v>395.88</v>
      </c>
      <c r="R100" s="10">
        <f t="shared" si="115"/>
        <v>401.76000000000005</v>
      </c>
      <c r="S100" s="10">
        <f t="shared" si="116"/>
        <v>5.8800000000000523</v>
      </c>
      <c r="T100" s="10">
        <f t="shared" si="117"/>
        <v>401.76000000000005</v>
      </c>
      <c r="U100" s="51">
        <f t="shared" si="118"/>
        <v>5.8800000000000523</v>
      </c>
    </row>
    <row r="101" spans="1:21">
      <c r="A101" s="107"/>
      <c r="B101" s="46">
        <v>241</v>
      </c>
      <c r="C101" s="46">
        <v>44</v>
      </c>
      <c r="D101" s="47" t="s">
        <v>151</v>
      </c>
      <c r="E101" s="48">
        <v>1</v>
      </c>
      <c r="F101" s="6">
        <v>1</v>
      </c>
      <c r="G101" s="49">
        <f t="shared" si="110"/>
        <v>12</v>
      </c>
      <c r="H101" s="50"/>
      <c r="I101" s="50">
        <f t="shared" si="111"/>
        <v>0</v>
      </c>
      <c r="J101" s="7">
        <f t="shared" si="67"/>
        <v>0</v>
      </c>
      <c r="K101" s="8">
        <f>References!$C$17*J101</f>
        <v>0</v>
      </c>
      <c r="L101" s="9">
        <f>K101/References!$F$19</f>
        <v>0</v>
      </c>
      <c r="M101" s="9">
        <f t="shared" si="112"/>
        <v>0</v>
      </c>
      <c r="N101" s="30">
        <v>7.3</v>
      </c>
      <c r="O101" s="9">
        <f>MROUND(N101+M101,References!$E$28)</f>
        <v>7.3</v>
      </c>
      <c r="P101" s="8">
        <f t="shared" si="113"/>
        <v>7.3</v>
      </c>
      <c r="Q101" s="10">
        <f t="shared" si="114"/>
        <v>87.6</v>
      </c>
      <c r="R101" s="10">
        <f t="shared" si="115"/>
        <v>87.6</v>
      </c>
      <c r="S101" s="10">
        <f t="shared" si="116"/>
        <v>0</v>
      </c>
      <c r="T101" s="10">
        <f t="shared" si="117"/>
        <v>87.6</v>
      </c>
      <c r="U101" s="51">
        <f t="shared" si="118"/>
        <v>0</v>
      </c>
    </row>
    <row r="102" spans="1:21">
      <c r="A102" s="107"/>
      <c r="B102" s="46">
        <v>241</v>
      </c>
      <c r="C102" s="46">
        <v>44</v>
      </c>
      <c r="D102" s="47" t="s">
        <v>152</v>
      </c>
      <c r="E102" s="48">
        <v>1</v>
      </c>
      <c r="F102" s="6">
        <v>2.17</v>
      </c>
      <c r="G102" s="49">
        <f t="shared" si="110"/>
        <v>26.04</v>
      </c>
      <c r="H102" s="50">
        <v>473</v>
      </c>
      <c r="I102" s="50">
        <f t="shared" si="111"/>
        <v>12316.92</v>
      </c>
      <c r="J102" s="7">
        <f t="shared" si="67"/>
        <v>7302.8891886677739</v>
      </c>
      <c r="K102" s="8">
        <f>References!$C$17*J102</f>
        <v>18.2572229716694</v>
      </c>
      <c r="L102" s="9">
        <f>K102/References!$F$19</f>
        <v>18.701380764834212</v>
      </c>
      <c r="M102" s="9">
        <f t="shared" si="112"/>
        <v>0.71817898482466258</v>
      </c>
      <c r="N102" s="30">
        <v>40.25</v>
      </c>
      <c r="O102" s="9">
        <f>MROUND(N102+M102,References!$E$28)</f>
        <v>40.97</v>
      </c>
      <c r="P102" s="8">
        <f t="shared" si="113"/>
        <v>40.97</v>
      </c>
      <c r="Q102" s="10">
        <f t="shared" si="114"/>
        <v>1048.1099999999999</v>
      </c>
      <c r="R102" s="10">
        <f t="shared" si="115"/>
        <v>1066.8588</v>
      </c>
      <c r="S102" s="10">
        <f t="shared" si="116"/>
        <v>18.748800000000074</v>
      </c>
      <c r="T102" s="10">
        <f t="shared" si="117"/>
        <v>1066.8588</v>
      </c>
      <c r="U102" s="51">
        <f t="shared" si="118"/>
        <v>18.748800000000074</v>
      </c>
    </row>
    <row r="103" spans="1:21">
      <c r="A103" s="107"/>
      <c r="B103" s="46">
        <v>241</v>
      </c>
      <c r="C103" s="46">
        <v>44</v>
      </c>
      <c r="D103" s="47" t="s">
        <v>153</v>
      </c>
      <c r="E103" s="48">
        <v>1</v>
      </c>
      <c r="F103" s="6">
        <v>1</v>
      </c>
      <c r="G103" s="49">
        <f t="shared" si="110"/>
        <v>12</v>
      </c>
      <c r="H103" s="50">
        <v>473</v>
      </c>
      <c r="I103" s="50">
        <f t="shared" si="111"/>
        <v>5676</v>
      </c>
      <c r="J103" s="7">
        <f t="shared" si="67"/>
        <v>3365.3867228883751</v>
      </c>
      <c r="K103" s="8">
        <f>References!$C$17*J103</f>
        <v>8.4134668072209227</v>
      </c>
      <c r="L103" s="9">
        <f>K103/References!$F$19</f>
        <v>8.6181478178959523</v>
      </c>
      <c r="M103" s="9">
        <f t="shared" si="112"/>
        <v>0.71817898482466269</v>
      </c>
      <c r="N103" s="30">
        <v>44.24</v>
      </c>
      <c r="O103" s="9">
        <f>MROUND(N103+M103,References!$E$28)</f>
        <v>44.96</v>
      </c>
      <c r="P103" s="8">
        <f t="shared" si="113"/>
        <v>44.96</v>
      </c>
      <c r="Q103" s="10">
        <f t="shared" si="114"/>
        <v>530.88</v>
      </c>
      <c r="R103" s="10">
        <f t="shared" si="115"/>
        <v>539.52</v>
      </c>
      <c r="S103" s="10">
        <f t="shared" si="116"/>
        <v>8.6399999999999864</v>
      </c>
      <c r="T103" s="10">
        <f t="shared" si="117"/>
        <v>539.52</v>
      </c>
      <c r="U103" s="51">
        <f t="shared" si="118"/>
        <v>8.6399999999999864</v>
      </c>
    </row>
    <row r="104" spans="1:21">
      <c r="A104" s="107"/>
      <c r="B104" s="46">
        <v>241</v>
      </c>
      <c r="C104" s="46">
        <v>44</v>
      </c>
      <c r="D104" s="47" t="s">
        <v>154</v>
      </c>
      <c r="E104" s="48">
        <v>1</v>
      </c>
      <c r="F104" s="6">
        <v>1</v>
      </c>
      <c r="G104" s="49">
        <f t="shared" si="110"/>
        <v>12</v>
      </c>
      <c r="H104" s="50"/>
      <c r="I104" s="50">
        <f t="shared" si="111"/>
        <v>0</v>
      </c>
      <c r="J104" s="7">
        <f t="shared" si="67"/>
        <v>0</v>
      </c>
      <c r="K104" s="8">
        <f>References!$C$17*J104</f>
        <v>0</v>
      </c>
      <c r="L104" s="9">
        <f>K104/References!$F$19</f>
        <v>0</v>
      </c>
      <c r="M104" s="9">
        <f t="shared" si="112"/>
        <v>0</v>
      </c>
      <c r="N104" s="30">
        <v>8</v>
      </c>
      <c r="O104" s="9">
        <f>MROUND(N104+M104,References!$E$28)</f>
        <v>8</v>
      </c>
      <c r="P104" s="8">
        <f t="shared" si="113"/>
        <v>8</v>
      </c>
      <c r="Q104" s="10">
        <f t="shared" si="114"/>
        <v>96</v>
      </c>
      <c r="R104" s="10">
        <f t="shared" si="115"/>
        <v>96</v>
      </c>
      <c r="S104" s="10">
        <f t="shared" si="116"/>
        <v>0</v>
      </c>
      <c r="T104" s="10">
        <f t="shared" si="117"/>
        <v>96</v>
      </c>
      <c r="U104" s="51">
        <f t="shared" si="118"/>
        <v>0</v>
      </c>
    </row>
    <row r="105" spans="1:21">
      <c r="A105" s="107"/>
      <c r="B105" s="46">
        <v>241</v>
      </c>
      <c r="C105" s="46">
        <v>44</v>
      </c>
      <c r="D105" s="47" t="s">
        <v>155</v>
      </c>
      <c r="E105" s="48">
        <v>1</v>
      </c>
      <c r="F105" s="6">
        <v>2.17</v>
      </c>
      <c r="G105" s="49">
        <f t="shared" si="110"/>
        <v>26.04</v>
      </c>
      <c r="H105" s="50">
        <v>613</v>
      </c>
      <c r="I105" s="50">
        <f t="shared" si="111"/>
        <v>15962.519999999999</v>
      </c>
      <c r="J105" s="7">
        <f t="shared" si="67"/>
        <v>9464.4208724172186</v>
      </c>
      <c r="K105" s="8">
        <f>References!$C$17*J105</f>
        <v>23.661052181043001</v>
      </c>
      <c r="L105" s="9">
        <f>K105/References!$F$19</f>
        <v>24.236673168802049</v>
      </c>
      <c r="M105" s="9">
        <f t="shared" si="112"/>
        <v>0.93074781754232139</v>
      </c>
      <c r="N105" s="30">
        <v>52.07</v>
      </c>
      <c r="O105" s="9">
        <f>MROUND(N105+M105,References!$E$28)</f>
        <v>53</v>
      </c>
      <c r="P105" s="8">
        <f t="shared" si="113"/>
        <v>53</v>
      </c>
      <c r="Q105" s="10">
        <f t="shared" si="114"/>
        <v>1355.9028000000001</v>
      </c>
      <c r="R105" s="10">
        <f t="shared" si="115"/>
        <v>1380.12</v>
      </c>
      <c r="S105" s="10">
        <f t="shared" si="116"/>
        <v>24.217199999999821</v>
      </c>
      <c r="T105" s="10">
        <f t="shared" si="117"/>
        <v>1380.12</v>
      </c>
      <c r="U105" s="51">
        <f t="shared" si="118"/>
        <v>24.217199999999821</v>
      </c>
    </row>
    <row r="106" spans="1:21">
      <c r="A106" s="107"/>
      <c r="B106" s="46">
        <v>241</v>
      </c>
      <c r="C106" s="46">
        <v>44</v>
      </c>
      <c r="D106" s="47" t="s">
        <v>156</v>
      </c>
      <c r="E106" s="48">
        <v>1</v>
      </c>
      <c r="F106" s="6">
        <v>1</v>
      </c>
      <c r="G106" s="49">
        <f t="shared" si="110"/>
        <v>12</v>
      </c>
      <c r="H106" s="50">
        <v>613</v>
      </c>
      <c r="I106" s="50">
        <f t="shared" si="111"/>
        <v>7356</v>
      </c>
      <c r="J106" s="7">
        <f t="shared" si="67"/>
        <v>4361.484273003327</v>
      </c>
      <c r="K106" s="8">
        <f>References!$C$17*J106</f>
        <v>10.903710682508297</v>
      </c>
      <c r="L106" s="9">
        <f>K106/References!$F$19</f>
        <v>11.168973810507859</v>
      </c>
      <c r="M106" s="9">
        <f t="shared" si="112"/>
        <v>0.93074781754232161</v>
      </c>
      <c r="N106" s="30">
        <v>55.55</v>
      </c>
      <c r="O106" s="9">
        <f>MROUND(N106+M106,References!$E$28)</f>
        <v>56.480000000000004</v>
      </c>
      <c r="P106" s="8">
        <f t="shared" si="113"/>
        <v>56.480000000000004</v>
      </c>
      <c r="Q106" s="10">
        <f t="shared" si="114"/>
        <v>666.59999999999991</v>
      </c>
      <c r="R106" s="10">
        <f t="shared" si="115"/>
        <v>677.76</v>
      </c>
      <c r="S106" s="10">
        <f t="shared" si="116"/>
        <v>11.160000000000082</v>
      </c>
      <c r="T106" s="10">
        <f t="shared" si="117"/>
        <v>677.76</v>
      </c>
      <c r="U106" s="51">
        <f t="shared" si="118"/>
        <v>11.160000000000082</v>
      </c>
    </row>
    <row r="107" spans="1:21">
      <c r="A107" s="107"/>
      <c r="B107" s="46">
        <v>241</v>
      </c>
      <c r="C107" s="46">
        <v>44</v>
      </c>
      <c r="D107" s="47" t="s">
        <v>157</v>
      </c>
      <c r="E107" s="48">
        <v>1</v>
      </c>
      <c r="F107" s="6">
        <v>1</v>
      </c>
      <c r="G107" s="49">
        <f t="shared" si="110"/>
        <v>12</v>
      </c>
      <c r="H107" s="50"/>
      <c r="I107" s="50">
        <f t="shared" si="111"/>
        <v>0</v>
      </c>
      <c r="J107" s="7">
        <f t="shared" si="67"/>
        <v>0</v>
      </c>
      <c r="K107" s="8">
        <f>References!$C$17*J107</f>
        <v>0</v>
      </c>
      <c r="L107" s="9">
        <f>K107/References!$F$19</f>
        <v>0</v>
      </c>
      <c r="M107" s="9">
        <f t="shared" si="112"/>
        <v>0</v>
      </c>
      <c r="N107" s="30">
        <v>12.3</v>
      </c>
      <c r="O107" s="9">
        <f>MROUND(N107+M107,References!$E$28)</f>
        <v>12.3</v>
      </c>
      <c r="P107" s="8">
        <f t="shared" si="113"/>
        <v>12.3</v>
      </c>
      <c r="Q107" s="10">
        <f t="shared" si="114"/>
        <v>147.60000000000002</v>
      </c>
      <c r="R107" s="10">
        <f t="shared" si="115"/>
        <v>147.60000000000002</v>
      </c>
      <c r="S107" s="10">
        <f t="shared" si="116"/>
        <v>0</v>
      </c>
      <c r="T107" s="10">
        <f t="shared" si="117"/>
        <v>147.60000000000002</v>
      </c>
      <c r="U107" s="51">
        <f t="shared" si="118"/>
        <v>0</v>
      </c>
    </row>
    <row r="108" spans="1:21">
      <c r="A108" s="107"/>
      <c r="B108" s="46">
        <v>241</v>
      </c>
      <c r="C108" s="46">
        <v>44</v>
      </c>
      <c r="D108" s="47" t="s">
        <v>158</v>
      </c>
      <c r="E108" s="48">
        <v>1</v>
      </c>
      <c r="F108" s="6">
        <v>2.17</v>
      </c>
      <c r="G108" s="49">
        <f t="shared" si="110"/>
        <v>26.04</v>
      </c>
      <c r="H108" s="50">
        <v>840</v>
      </c>
      <c r="I108" s="50">
        <f t="shared" si="111"/>
        <v>21873.599999999999</v>
      </c>
      <c r="J108" s="7">
        <f t="shared" si="67"/>
        <v>12969.190102496679</v>
      </c>
      <c r="K108" s="8">
        <f>References!$C$17*J108</f>
        <v>32.422975256241635</v>
      </c>
      <c r="L108" s="9">
        <f>K108/References!$F$19</f>
        <v>33.211754423807051</v>
      </c>
      <c r="M108" s="9">
        <f t="shared" si="112"/>
        <v>1.2754129963059544</v>
      </c>
      <c r="N108" s="30">
        <v>73.849999999999994</v>
      </c>
      <c r="O108" s="9">
        <f>MROUND(N108+M108,References!$E$28)</f>
        <v>75.13</v>
      </c>
      <c r="P108" s="8">
        <f t="shared" si="113"/>
        <v>75.13</v>
      </c>
      <c r="Q108" s="10">
        <f t="shared" si="114"/>
        <v>1923.0539999999999</v>
      </c>
      <c r="R108" s="10">
        <f t="shared" si="115"/>
        <v>1956.3851999999997</v>
      </c>
      <c r="S108" s="10">
        <f t="shared" si="116"/>
        <v>33.331199999999853</v>
      </c>
      <c r="T108" s="10">
        <f t="shared" si="117"/>
        <v>1956.3851999999997</v>
      </c>
      <c r="U108" s="51">
        <f t="shared" si="118"/>
        <v>33.331199999999853</v>
      </c>
    </row>
    <row r="109" spans="1:21">
      <c r="A109" s="107"/>
      <c r="B109" s="46">
        <v>241</v>
      </c>
      <c r="C109" s="46">
        <v>44</v>
      </c>
      <c r="D109" s="47" t="s">
        <v>159</v>
      </c>
      <c r="E109" s="48">
        <v>1</v>
      </c>
      <c r="F109" s="6">
        <v>1</v>
      </c>
      <c r="G109" s="49">
        <f t="shared" si="110"/>
        <v>12</v>
      </c>
      <c r="H109" s="50">
        <v>840</v>
      </c>
      <c r="I109" s="50">
        <f t="shared" si="111"/>
        <v>10080</v>
      </c>
      <c r="J109" s="7">
        <f t="shared" si="67"/>
        <v>5976.5853006897141</v>
      </c>
      <c r="K109" s="8">
        <f>References!$C$17*J109</f>
        <v>14.941463251724256</v>
      </c>
      <c r="L109" s="9">
        <f>K109/References!$F$19</f>
        <v>15.304955955671455</v>
      </c>
      <c r="M109" s="9">
        <f t="shared" si="112"/>
        <v>1.2754129963059546</v>
      </c>
      <c r="N109" s="30">
        <v>76.59</v>
      </c>
      <c r="O109" s="9">
        <f>MROUND(N109+M109,References!$E$28)</f>
        <v>77.87</v>
      </c>
      <c r="P109" s="8">
        <f t="shared" si="113"/>
        <v>77.87</v>
      </c>
      <c r="Q109" s="10">
        <f t="shared" si="114"/>
        <v>919.08</v>
      </c>
      <c r="R109" s="10">
        <f t="shared" si="115"/>
        <v>934.44</v>
      </c>
      <c r="S109" s="10">
        <f t="shared" si="116"/>
        <v>15.360000000000014</v>
      </c>
      <c r="T109" s="10">
        <f t="shared" si="117"/>
        <v>934.44</v>
      </c>
      <c r="U109" s="51">
        <f t="shared" si="118"/>
        <v>15.360000000000014</v>
      </c>
    </row>
    <row r="110" spans="1:21">
      <c r="A110" s="107"/>
      <c r="B110" s="46">
        <v>241</v>
      </c>
      <c r="C110" s="46">
        <v>45</v>
      </c>
      <c r="D110" s="47" t="s">
        <v>188</v>
      </c>
      <c r="E110" s="48">
        <v>1</v>
      </c>
      <c r="F110" s="6">
        <v>1</v>
      </c>
      <c r="G110" s="49">
        <f t="shared" si="110"/>
        <v>12</v>
      </c>
      <c r="H110" s="50"/>
      <c r="I110" s="50">
        <f t="shared" si="111"/>
        <v>0</v>
      </c>
      <c r="J110" s="7">
        <f t="shared" ref="J110:J141" si="119">$E$150*I110</f>
        <v>0</v>
      </c>
      <c r="K110" s="8">
        <f>References!$C$17*J110</f>
        <v>0</v>
      </c>
      <c r="L110" s="9">
        <f>K110/References!$F$19</f>
        <v>0</v>
      </c>
      <c r="M110" s="9">
        <f t="shared" si="112"/>
        <v>0</v>
      </c>
      <c r="N110" s="30">
        <v>14.6</v>
      </c>
      <c r="O110" s="9">
        <f>MROUND(N110+M110,References!$E$28)</f>
        <v>14.6</v>
      </c>
      <c r="P110" s="8">
        <f t="shared" si="113"/>
        <v>14.6</v>
      </c>
      <c r="Q110" s="10">
        <f t="shared" si="114"/>
        <v>175.2</v>
      </c>
      <c r="R110" s="10">
        <f t="shared" si="115"/>
        <v>175.2</v>
      </c>
      <c r="S110" s="10">
        <f t="shared" si="116"/>
        <v>0</v>
      </c>
      <c r="T110" s="10">
        <f t="shared" si="117"/>
        <v>175.2</v>
      </c>
      <c r="U110" s="51">
        <f t="shared" si="118"/>
        <v>0</v>
      </c>
    </row>
    <row r="111" spans="1:21">
      <c r="A111" s="107"/>
      <c r="B111" s="46">
        <v>241</v>
      </c>
      <c r="C111" s="46">
        <v>45</v>
      </c>
      <c r="D111" s="47" t="s">
        <v>161</v>
      </c>
      <c r="E111" s="48">
        <v>1</v>
      </c>
      <c r="F111" s="6">
        <v>2.17</v>
      </c>
      <c r="G111" s="49">
        <f t="shared" si="110"/>
        <v>26.04</v>
      </c>
      <c r="H111" s="50">
        <v>980</v>
      </c>
      <c r="I111" s="50">
        <f t="shared" si="111"/>
        <v>25519.200000000001</v>
      </c>
      <c r="J111" s="7">
        <f t="shared" si="119"/>
        <v>15130.721786246128</v>
      </c>
      <c r="K111" s="8">
        <f>References!$C$17*J111</f>
        <v>37.826804465615247</v>
      </c>
      <c r="L111" s="9">
        <f>K111/References!$F$19</f>
        <v>38.747046827774902</v>
      </c>
      <c r="M111" s="9">
        <f t="shared" si="112"/>
        <v>1.4879818290236138</v>
      </c>
      <c r="N111" s="30">
        <v>96.61</v>
      </c>
      <c r="O111" s="9">
        <f>MROUND(N111+M111,References!$E$28)</f>
        <v>98.100000000000009</v>
      </c>
      <c r="P111" s="8">
        <f t="shared" si="113"/>
        <v>98.100000000000009</v>
      </c>
      <c r="Q111" s="10">
        <f t="shared" si="114"/>
        <v>2515.7244000000001</v>
      </c>
      <c r="R111" s="10">
        <f t="shared" si="115"/>
        <v>2554.5240000000003</v>
      </c>
      <c r="S111" s="10">
        <f t="shared" si="116"/>
        <v>38.799600000000282</v>
      </c>
      <c r="T111" s="10">
        <f t="shared" si="117"/>
        <v>2554.5240000000003</v>
      </c>
      <c r="U111" s="51">
        <f t="shared" si="118"/>
        <v>38.799600000000282</v>
      </c>
    </row>
    <row r="112" spans="1:21">
      <c r="A112" s="107"/>
      <c r="B112" s="46">
        <v>241</v>
      </c>
      <c r="C112" s="46">
        <v>45</v>
      </c>
      <c r="D112" s="47" t="s">
        <v>162</v>
      </c>
      <c r="E112" s="48">
        <v>1</v>
      </c>
      <c r="F112" s="6">
        <v>1</v>
      </c>
      <c r="G112" s="49">
        <f t="shared" si="110"/>
        <v>12</v>
      </c>
      <c r="H112" s="50">
        <v>980</v>
      </c>
      <c r="I112" s="50">
        <f t="shared" si="111"/>
        <v>11760</v>
      </c>
      <c r="J112" s="7">
        <f t="shared" si="119"/>
        <v>6972.6828508046665</v>
      </c>
      <c r="K112" s="8">
        <f>References!$C$17*J112</f>
        <v>17.431707127011634</v>
      </c>
      <c r="L112" s="9">
        <f>K112/References!$F$19</f>
        <v>17.855781948283365</v>
      </c>
      <c r="M112" s="9">
        <f t="shared" si="112"/>
        <v>1.4879818290236138</v>
      </c>
      <c r="N112" s="30">
        <v>98.79</v>
      </c>
      <c r="O112" s="9">
        <f>MROUND(N112+M112,References!$E$28)</f>
        <v>100.28</v>
      </c>
      <c r="P112" s="8">
        <f t="shared" si="113"/>
        <v>100.28</v>
      </c>
      <c r="Q112" s="10">
        <f t="shared" si="114"/>
        <v>1185.48</v>
      </c>
      <c r="R112" s="10">
        <f t="shared" si="115"/>
        <v>1203.3600000000001</v>
      </c>
      <c r="S112" s="10">
        <f t="shared" si="116"/>
        <v>17.880000000000109</v>
      </c>
      <c r="T112" s="10">
        <f t="shared" si="117"/>
        <v>1203.3600000000001</v>
      </c>
      <c r="U112" s="51">
        <f t="shared" si="118"/>
        <v>17.880000000000109</v>
      </c>
    </row>
    <row r="113" spans="1:21">
      <c r="A113" s="107" t="s">
        <v>178</v>
      </c>
      <c r="B113" s="46">
        <v>241</v>
      </c>
      <c r="C113" s="46" t="s">
        <v>189</v>
      </c>
      <c r="D113" s="47" t="s">
        <v>176</v>
      </c>
      <c r="E113" s="48">
        <v>1</v>
      </c>
      <c r="F113" s="6">
        <v>1</v>
      </c>
      <c r="G113" s="49">
        <f t="shared" ref="G113:G129" si="120">E113*F113*12</f>
        <v>12</v>
      </c>
      <c r="H113" s="50"/>
      <c r="I113" s="50">
        <f t="shared" ref="I113:I129" si="121">G113*H113</f>
        <v>0</v>
      </c>
      <c r="J113" s="7">
        <f t="shared" si="119"/>
        <v>0</v>
      </c>
      <c r="K113" s="8">
        <f>References!$C$17*J113</f>
        <v>0</v>
      </c>
      <c r="L113" s="9">
        <f>K113/References!$F$19</f>
        <v>0</v>
      </c>
      <c r="M113" s="9">
        <f t="shared" ref="M113:M128" si="122">L113/G113</f>
        <v>0</v>
      </c>
      <c r="N113" s="30">
        <v>14.6</v>
      </c>
      <c r="O113" s="9">
        <f>MROUND(N113+M113,References!$E$28)</f>
        <v>14.6</v>
      </c>
      <c r="P113" s="8">
        <f t="shared" ref="P113:P128" si="123">O113</f>
        <v>14.6</v>
      </c>
      <c r="Q113" s="10">
        <f t="shared" ref="Q113:Q128" si="124">G113*N113</f>
        <v>175.2</v>
      </c>
      <c r="R113" s="10">
        <f t="shared" ref="R113:R128" si="125">G113*P113</f>
        <v>175.2</v>
      </c>
      <c r="S113" s="10">
        <f t="shared" ref="S113:S128" si="126">R113-Q113</f>
        <v>0</v>
      </c>
      <c r="T113" s="10">
        <f t="shared" ref="T113:T128" si="127">G113*O113</f>
        <v>175.2</v>
      </c>
      <c r="U113" s="51">
        <f t="shared" ref="U113:U128" si="128">T113-Q113</f>
        <v>0</v>
      </c>
    </row>
    <row r="114" spans="1:21">
      <c r="A114" s="107"/>
      <c r="B114" s="46">
        <v>241</v>
      </c>
      <c r="C114" s="46" t="s">
        <v>189</v>
      </c>
      <c r="D114" s="47" t="s">
        <v>177</v>
      </c>
      <c r="E114" s="48">
        <v>1</v>
      </c>
      <c r="F114" s="6">
        <v>1</v>
      </c>
      <c r="G114" s="49">
        <f t="shared" si="120"/>
        <v>12</v>
      </c>
      <c r="H114" s="50"/>
      <c r="I114" s="50">
        <f t="shared" si="121"/>
        <v>0</v>
      </c>
      <c r="J114" s="7">
        <f t="shared" si="119"/>
        <v>0</v>
      </c>
      <c r="K114" s="8">
        <f>References!$C$17*J114</f>
        <v>0</v>
      </c>
      <c r="L114" s="9">
        <f>K114/References!$F$19</f>
        <v>0</v>
      </c>
      <c r="M114" s="9">
        <f t="shared" si="122"/>
        <v>0</v>
      </c>
      <c r="N114" s="30">
        <v>1.25</v>
      </c>
      <c r="O114" s="9">
        <f>MROUND(N114+M114,References!$E$28)</f>
        <v>1.25</v>
      </c>
      <c r="P114" s="8">
        <f t="shared" si="123"/>
        <v>1.25</v>
      </c>
      <c r="Q114" s="10">
        <f t="shared" si="124"/>
        <v>15</v>
      </c>
      <c r="R114" s="10">
        <f t="shared" si="125"/>
        <v>15</v>
      </c>
      <c r="S114" s="10">
        <f t="shared" si="126"/>
        <v>0</v>
      </c>
      <c r="T114" s="10">
        <f t="shared" si="127"/>
        <v>15</v>
      </c>
      <c r="U114" s="51">
        <f t="shared" si="128"/>
        <v>0</v>
      </c>
    </row>
    <row r="115" spans="1:21">
      <c r="A115" s="107"/>
      <c r="B115" s="46">
        <v>241</v>
      </c>
      <c r="C115" s="46">
        <v>44</v>
      </c>
      <c r="D115" s="47" t="s">
        <v>143</v>
      </c>
      <c r="E115" s="48">
        <v>1</v>
      </c>
      <c r="F115" s="6">
        <v>2.17</v>
      </c>
      <c r="G115" s="49">
        <f t="shared" si="120"/>
        <v>26.04</v>
      </c>
      <c r="H115" s="50">
        <v>175</v>
      </c>
      <c r="I115" s="50">
        <f t="shared" si="121"/>
        <v>4557</v>
      </c>
      <c r="J115" s="7">
        <f t="shared" si="119"/>
        <v>2701.9146046868082</v>
      </c>
      <c r="K115" s="8">
        <f>References!$C$17*J115</f>
        <v>6.7547865117170076</v>
      </c>
      <c r="L115" s="9">
        <f>K115/References!$F$19</f>
        <v>6.9191155049598034</v>
      </c>
      <c r="M115" s="9">
        <f t="shared" si="122"/>
        <v>0.26571104089707387</v>
      </c>
      <c r="N115" s="30">
        <v>20.78</v>
      </c>
      <c r="O115" s="9">
        <f>MROUND(N115+M115,References!$E$28)</f>
        <v>21.05</v>
      </c>
      <c r="P115" s="8">
        <f t="shared" si="123"/>
        <v>21.05</v>
      </c>
      <c r="Q115" s="10">
        <f t="shared" si="124"/>
        <v>541.11120000000005</v>
      </c>
      <c r="R115" s="10">
        <f t="shared" si="125"/>
        <v>548.14200000000005</v>
      </c>
      <c r="S115" s="10">
        <f t="shared" si="126"/>
        <v>7.0307999999999993</v>
      </c>
      <c r="T115" s="10">
        <f t="shared" si="127"/>
        <v>548.14200000000005</v>
      </c>
      <c r="U115" s="51">
        <f t="shared" si="128"/>
        <v>7.0307999999999993</v>
      </c>
    </row>
    <row r="116" spans="1:21">
      <c r="A116" s="107"/>
      <c r="B116" s="46">
        <v>241</v>
      </c>
      <c r="C116" s="46">
        <v>44</v>
      </c>
      <c r="D116" s="47" t="s">
        <v>142</v>
      </c>
      <c r="E116" s="48">
        <v>1</v>
      </c>
      <c r="F116" s="6">
        <v>1</v>
      </c>
      <c r="G116" s="49">
        <f t="shared" si="120"/>
        <v>12</v>
      </c>
      <c r="H116" s="50"/>
      <c r="I116" s="50">
        <f t="shared" si="121"/>
        <v>0</v>
      </c>
      <c r="J116" s="7">
        <f t="shared" si="119"/>
        <v>0</v>
      </c>
      <c r="K116" s="8">
        <f>References!$C$17*J116</f>
        <v>0</v>
      </c>
      <c r="L116" s="9">
        <f>K116/References!$F$19</f>
        <v>0</v>
      </c>
      <c r="M116" s="9">
        <f t="shared" si="122"/>
        <v>0</v>
      </c>
      <c r="N116" s="30">
        <v>4.59</v>
      </c>
      <c r="O116" s="9">
        <f>MROUND(N116+M116,References!$E$28)</f>
        <v>4.59</v>
      </c>
      <c r="P116" s="8">
        <f t="shared" si="123"/>
        <v>4.59</v>
      </c>
      <c r="Q116" s="10">
        <f t="shared" si="124"/>
        <v>55.08</v>
      </c>
      <c r="R116" s="10">
        <f t="shared" si="125"/>
        <v>55.08</v>
      </c>
      <c r="S116" s="10">
        <f t="shared" si="126"/>
        <v>0</v>
      </c>
      <c r="T116" s="10">
        <f t="shared" si="127"/>
        <v>55.08</v>
      </c>
      <c r="U116" s="51">
        <f t="shared" si="128"/>
        <v>0</v>
      </c>
    </row>
    <row r="117" spans="1:21">
      <c r="A117" s="107"/>
      <c r="B117" s="46">
        <v>241</v>
      </c>
      <c r="C117" s="46">
        <v>44</v>
      </c>
      <c r="D117" s="47" t="s">
        <v>146</v>
      </c>
      <c r="E117" s="48">
        <v>1</v>
      </c>
      <c r="F117" s="6">
        <v>2.17</v>
      </c>
      <c r="G117" s="49">
        <f t="shared" si="120"/>
        <v>26.04</v>
      </c>
      <c r="H117" s="50">
        <v>250</v>
      </c>
      <c r="I117" s="50">
        <f t="shared" si="121"/>
        <v>6510</v>
      </c>
      <c r="J117" s="7">
        <f t="shared" si="119"/>
        <v>3859.8780066954405</v>
      </c>
      <c r="K117" s="8">
        <f>References!$C$17*J117</f>
        <v>9.6496950167385833</v>
      </c>
      <c r="L117" s="9">
        <f>K117/References!$F$19</f>
        <v>9.8844507213711488</v>
      </c>
      <c r="M117" s="9">
        <f t="shared" si="122"/>
        <v>0.37958720128153417</v>
      </c>
      <c r="N117" s="30">
        <v>27.22</v>
      </c>
      <c r="O117" s="9">
        <f>MROUND(N117+M117,References!$E$28)</f>
        <v>27.6</v>
      </c>
      <c r="P117" s="8">
        <f t="shared" si="123"/>
        <v>27.6</v>
      </c>
      <c r="Q117" s="10">
        <f t="shared" si="124"/>
        <v>708.80879999999991</v>
      </c>
      <c r="R117" s="10">
        <f t="shared" si="125"/>
        <v>718.70400000000006</v>
      </c>
      <c r="S117" s="10">
        <f t="shared" si="126"/>
        <v>9.895200000000159</v>
      </c>
      <c r="T117" s="10">
        <f t="shared" si="127"/>
        <v>718.70400000000006</v>
      </c>
      <c r="U117" s="51">
        <f t="shared" si="128"/>
        <v>9.895200000000159</v>
      </c>
    </row>
    <row r="118" spans="1:21">
      <c r="A118" s="107"/>
      <c r="B118" s="46">
        <v>241</v>
      </c>
      <c r="C118" s="46">
        <v>44</v>
      </c>
      <c r="D118" s="47" t="s">
        <v>145</v>
      </c>
      <c r="E118" s="48">
        <v>1</v>
      </c>
      <c r="F118" s="6">
        <v>1</v>
      </c>
      <c r="G118" s="49">
        <f t="shared" si="120"/>
        <v>12</v>
      </c>
      <c r="H118" s="50"/>
      <c r="I118" s="50">
        <f t="shared" si="121"/>
        <v>0</v>
      </c>
      <c r="J118" s="7">
        <f t="shared" si="119"/>
        <v>0</v>
      </c>
      <c r="K118" s="8">
        <f>References!$C$17*J118</f>
        <v>0</v>
      </c>
      <c r="L118" s="9">
        <f>K118/References!$F$19</f>
        <v>0</v>
      </c>
      <c r="M118" s="9">
        <f t="shared" si="122"/>
        <v>0</v>
      </c>
      <c r="N118" s="30">
        <v>5.23</v>
      </c>
      <c r="O118" s="9">
        <f>MROUND(N118+M118,References!$E$28)</f>
        <v>5.23</v>
      </c>
      <c r="P118" s="8">
        <f t="shared" si="123"/>
        <v>5.23</v>
      </c>
      <c r="Q118" s="10">
        <f t="shared" si="124"/>
        <v>62.760000000000005</v>
      </c>
      <c r="R118" s="10">
        <f t="shared" si="125"/>
        <v>62.760000000000005</v>
      </c>
      <c r="S118" s="10">
        <f t="shared" si="126"/>
        <v>0</v>
      </c>
      <c r="T118" s="10">
        <f t="shared" si="127"/>
        <v>62.760000000000005</v>
      </c>
      <c r="U118" s="51">
        <f t="shared" si="128"/>
        <v>0</v>
      </c>
    </row>
    <row r="119" spans="1:21">
      <c r="A119" s="107"/>
      <c r="B119" s="46">
        <v>241</v>
      </c>
      <c r="C119" s="46">
        <v>44</v>
      </c>
      <c r="D119" s="47" t="s">
        <v>149</v>
      </c>
      <c r="E119" s="48">
        <v>1</v>
      </c>
      <c r="F119" s="6">
        <v>2.17</v>
      </c>
      <c r="G119" s="49">
        <f t="shared" si="120"/>
        <v>26.04</v>
      </c>
      <c r="H119" s="50">
        <v>324</v>
      </c>
      <c r="I119" s="50">
        <f t="shared" si="121"/>
        <v>8436.9599999999991</v>
      </c>
      <c r="J119" s="7">
        <f t="shared" si="119"/>
        <v>5002.4018966772901</v>
      </c>
      <c r="K119" s="8">
        <f>References!$C$17*J119</f>
        <v>12.506004741693202</v>
      </c>
      <c r="L119" s="9">
        <f>K119/References!$F$19</f>
        <v>12.810248134897007</v>
      </c>
      <c r="M119" s="9">
        <f t="shared" si="122"/>
        <v>0.49194501286086817</v>
      </c>
      <c r="N119" s="30">
        <v>32.99</v>
      </c>
      <c r="O119" s="9">
        <f>MROUND(N119+M119,References!$E$28)</f>
        <v>33.480000000000004</v>
      </c>
      <c r="P119" s="8">
        <f t="shared" si="123"/>
        <v>33.480000000000004</v>
      </c>
      <c r="Q119" s="10">
        <f t="shared" si="124"/>
        <v>859.05960000000005</v>
      </c>
      <c r="R119" s="10">
        <f t="shared" si="125"/>
        <v>871.81920000000002</v>
      </c>
      <c r="S119" s="10">
        <f t="shared" si="126"/>
        <v>12.759599999999978</v>
      </c>
      <c r="T119" s="10">
        <f t="shared" si="127"/>
        <v>871.81920000000002</v>
      </c>
      <c r="U119" s="51">
        <f t="shared" si="128"/>
        <v>12.759599999999978</v>
      </c>
    </row>
    <row r="120" spans="1:21">
      <c r="A120" s="107"/>
      <c r="B120" s="46">
        <v>241</v>
      </c>
      <c r="C120" s="46">
        <v>44</v>
      </c>
      <c r="D120" s="47" t="s">
        <v>148</v>
      </c>
      <c r="E120" s="48">
        <v>1</v>
      </c>
      <c r="F120" s="6">
        <v>1</v>
      </c>
      <c r="G120" s="49">
        <f t="shared" si="120"/>
        <v>12</v>
      </c>
      <c r="H120" s="50"/>
      <c r="I120" s="50">
        <f t="shared" si="121"/>
        <v>0</v>
      </c>
      <c r="J120" s="7">
        <f t="shared" si="119"/>
        <v>0</v>
      </c>
      <c r="K120" s="8">
        <f>References!$C$17*J120</f>
        <v>0</v>
      </c>
      <c r="L120" s="9">
        <f>K120/References!$F$19</f>
        <v>0</v>
      </c>
      <c r="M120" s="9">
        <f t="shared" si="122"/>
        <v>0</v>
      </c>
      <c r="N120" s="30">
        <v>6.3</v>
      </c>
      <c r="O120" s="9">
        <f>MROUND(N120+M120,References!$E$28)</f>
        <v>6.3</v>
      </c>
      <c r="P120" s="8">
        <f t="shared" si="123"/>
        <v>6.3</v>
      </c>
      <c r="Q120" s="10">
        <f t="shared" si="124"/>
        <v>75.599999999999994</v>
      </c>
      <c r="R120" s="10">
        <f t="shared" si="125"/>
        <v>75.599999999999994</v>
      </c>
      <c r="S120" s="10">
        <f t="shared" si="126"/>
        <v>0</v>
      </c>
      <c r="T120" s="10">
        <f t="shared" si="127"/>
        <v>75.599999999999994</v>
      </c>
      <c r="U120" s="51">
        <f t="shared" si="128"/>
        <v>0</v>
      </c>
    </row>
    <row r="121" spans="1:21">
      <c r="A121" s="107"/>
      <c r="B121" s="46">
        <v>241</v>
      </c>
      <c r="C121" s="46">
        <v>44</v>
      </c>
      <c r="D121" s="47" t="s">
        <v>152</v>
      </c>
      <c r="E121" s="48">
        <v>1</v>
      </c>
      <c r="F121" s="6">
        <v>2.17</v>
      </c>
      <c r="G121" s="49">
        <f t="shared" si="120"/>
        <v>26.04</v>
      </c>
      <c r="H121" s="50">
        <v>473</v>
      </c>
      <c r="I121" s="50">
        <f t="shared" si="121"/>
        <v>12316.92</v>
      </c>
      <c r="J121" s="7">
        <f t="shared" si="119"/>
        <v>7302.8891886677739</v>
      </c>
      <c r="K121" s="8">
        <f>References!$C$17*J121</f>
        <v>18.2572229716694</v>
      </c>
      <c r="L121" s="9">
        <f>K121/References!$F$19</f>
        <v>18.701380764834212</v>
      </c>
      <c r="M121" s="9">
        <f t="shared" si="122"/>
        <v>0.71817898482466258</v>
      </c>
      <c r="N121" s="30">
        <v>44.24</v>
      </c>
      <c r="O121" s="9">
        <f>MROUND(N121+M121,References!$E$28)</f>
        <v>44.96</v>
      </c>
      <c r="P121" s="8">
        <f t="shared" si="123"/>
        <v>44.96</v>
      </c>
      <c r="Q121" s="10">
        <f t="shared" si="124"/>
        <v>1152.0096000000001</v>
      </c>
      <c r="R121" s="10">
        <f t="shared" si="125"/>
        <v>1170.7583999999999</v>
      </c>
      <c r="S121" s="10">
        <f t="shared" si="126"/>
        <v>18.748799999999846</v>
      </c>
      <c r="T121" s="10">
        <f t="shared" si="127"/>
        <v>1170.7583999999999</v>
      </c>
      <c r="U121" s="51">
        <f t="shared" si="128"/>
        <v>18.748799999999846</v>
      </c>
    </row>
    <row r="122" spans="1:21">
      <c r="A122" s="107"/>
      <c r="B122" s="46">
        <v>241</v>
      </c>
      <c r="C122" s="46">
        <v>44</v>
      </c>
      <c r="D122" s="47" t="s">
        <v>151</v>
      </c>
      <c r="E122" s="48">
        <v>1</v>
      </c>
      <c r="F122" s="6">
        <v>1</v>
      </c>
      <c r="G122" s="49">
        <f t="shared" si="120"/>
        <v>12</v>
      </c>
      <c r="H122" s="50"/>
      <c r="I122" s="50">
        <f t="shared" si="121"/>
        <v>0</v>
      </c>
      <c r="J122" s="7">
        <f t="shared" si="119"/>
        <v>0</v>
      </c>
      <c r="K122" s="8">
        <f>References!$C$17*J122</f>
        <v>0</v>
      </c>
      <c r="L122" s="9">
        <f>K122/References!$F$19</f>
        <v>0</v>
      </c>
      <c r="M122" s="9">
        <f t="shared" si="122"/>
        <v>0</v>
      </c>
      <c r="N122" s="30">
        <v>7.45</v>
      </c>
      <c r="O122" s="9">
        <f>MROUND(N122+M122,References!$E$28)</f>
        <v>7.45</v>
      </c>
      <c r="P122" s="8">
        <f t="shared" si="123"/>
        <v>7.45</v>
      </c>
      <c r="Q122" s="10">
        <f t="shared" si="124"/>
        <v>89.4</v>
      </c>
      <c r="R122" s="10">
        <f t="shared" si="125"/>
        <v>89.4</v>
      </c>
      <c r="S122" s="10">
        <f t="shared" si="126"/>
        <v>0</v>
      </c>
      <c r="T122" s="10">
        <f t="shared" si="127"/>
        <v>89.4</v>
      </c>
      <c r="U122" s="51">
        <f t="shared" si="128"/>
        <v>0</v>
      </c>
    </row>
    <row r="123" spans="1:21">
      <c r="A123" s="107"/>
      <c r="B123" s="46">
        <v>241</v>
      </c>
      <c r="C123" s="46">
        <v>44</v>
      </c>
      <c r="D123" s="47" t="s">
        <v>155</v>
      </c>
      <c r="E123" s="48">
        <v>1</v>
      </c>
      <c r="F123" s="6">
        <v>2.17</v>
      </c>
      <c r="G123" s="49">
        <f t="shared" si="120"/>
        <v>26.04</v>
      </c>
      <c r="H123" s="50">
        <v>613</v>
      </c>
      <c r="I123" s="50">
        <f t="shared" si="121"/>
        <v>15962.519999999999</v>
      </c>
      <c r="J123" s="7">
        <f t="shared" si="119"/>
        <v>9464.4208724172186</v>
      </c>
      <c r="K123" s="8">
        <f>References!$C$17*J123</f>
        <v>23.661052181043001</v>
      </c>
      <c r="L123" s="9">
        <f>K123/References!$F$19</f>
        <v>24.236673168802049</v>
      </c>
      <c r="M123" s="9">
        <f t="shared" si="122"/>
        <v>0.93074781754232139</v>
      </c>
      <c r="N123" s="30">
        <v>55.55</v>
      </c>
      <c r="O123" s="9">
        <f>MROUND(N123+M123,References!$E$28)</f>
        <v>56.480000000000004</v>
      </c>
      <c r="P123" s="8">
        <f t="shared" si="123"/>
        <v>56.480000000000004</v>
      </c>
      <c r="Q123" s="10">
        <f t="shared" si="124"/>
        <v>1446.5219999999999</v>
      </c>
      <c r="R123" s="10">
        <f t="shared" si="125"/>
        <v>1470.7392</v>
      </c>
      <c r="S123" s="10">
        <f t="shared" si="126"/>
        <v>24.217200000000048</v>
      </c>
      <c r="T123" s="10">
        <f t="shared" si="127"/>
        <v>1470.7392</v>
      </c>
      <c r="U123" s="51">
        <f t="shared" si="128"/>
        <v>24.217200000000048</v>
      </c>
    </row>
    <row r="124" spans="1:21">
      <c r="A124" s="107"/>
      <c r="B124" s="46">
        <v>241</v>
      </c>
      <c r="C124" s="46">
        <v>44</v>
      </c>
      <c r="D124" s="47" t="s">
        <v>154</v>
      </c>
      <c r="E124" s="48">
        <v>1</v>
      </c>
      <c r="F124" s="6">
        <v>1</v>
      </c>
      <c r="G124" s="49">
        <f t="shared" si="120"/>
        <v>12</v>
      </c>
      <c r="H124" s="50"/>
      <c r="I124" s="50">
        <f t="shared" si="121"/>
        <v>0</v>
      </c>
      <c r="J124" s="7">
        <f t="shared" si="119"/>
        <v>0</v>
      </c>
      <c r="K124" s="8">
        <f>References!$C$17*J124</f>
        <v>0</v>
      </c>
      <c r="L124" s="9">
        <f>K124/References!$F$19</f>
        <v>0</v>
      </c>
      <c r="M124" s="9">
        <f t="shared" si="122"/>
        <v>0</v>
      </c>
      <c r="N124" s="30">
        <v>8.1</v>
      </c>
      <c r="O124" s="9">
        <f>MROUND(N124+M124,References!$E$28)</f>
        <v>8.1</v>
      </c>
      <c r="P124" s="8">
        <f t="shared" si="123"/>
        <v>8.1</v>
      </c>
      <c r="Q124" s="10">
        <f t="shared" si="124"/>
        <v>97.199999999999989</v>
      </c>
      <c r="R124" s="10">
        <f t="shared" si="125"/>
        <v>97.199999999999989</v>
      </c>
      <c r="S124" s="10">
        <f t="shared" si="126"/>
        <v>0</v>
      </c>
      <c r="T124" s="10">
        <f t="shared" si="127"/>
        <v>97.199999999999989</v>
      </c>
      <c r="U124" s="51">
        <f t="shared" si="128"/>
        <v>0</v>
      </c>
    </row>
    <row r="125" spans="1:21">
      <c r="A125" s="107"/>
      <c r="B125" s="46">
        <v>241</v>
      </c>
      <c r="C125" s="46">
        <v>44</v>
      </c>
      <c r="D125" s="47" t="s">
        <v>158</v>
      </c>
      <c r="E125" s="48">
        <v>1</v>
      </c>
      <c r="F125" s="6">
        <v>2.17</v>
      </c>
      <c r="G125" s="49">
        <f t="shared" si="120"/>
        <v>26.04</v>
      </c>
      <c r="H125" s="50">
        <v>840</v>
      </c>
      <c r="I125" s="50">
        <f t="shared" si="121"/>
        <v>21873.599999999999</v>
      </c>
      <c r="J125" s="7">
        <f t="shared" si="119"/>
        <v>12969.190102496679</v>
      </c>
      <c r="K125" s="8">
        <f>References!$C$17*J125</f>
        <v>32.422975256241635</v>
      </c>
      <c r="L125" s="9">
        <f>K125/References!$F$19</f>
        <v>33.211754423807051</v>
      </c>
      <c r="M125" s="9">
        <f t="shared" si="122"/>
        <v>1.2754129963059544</v>
      </c>
      <c r="N125" s="30">
        <v>76.59</v>
      </c>
      <c r="O125" s="9">
        <f>MROUND(N125+M125,References!$E$28)</f>
        <v>77.87</v>
      </c>
      <c r="P125" s="8">
        <f t="shared" si="123"/>
        <v>77.87</v>
      </c>
      <c r="Q125" s="10">
        <f t="shared" si="124"/>
        <v>1994.4036000000001</v>
      </c>
      <c r="R125" s="10">
        <f t="shared" si="125"/>
        <v>2027.7348</v>
      </c>
      <c r="S125" s="10">
        <f t="shared" si="126"/>
        <v>33.331199999999853</v>
      </c>
      <c r="T125" s="10">
        <f t="shared" si="127"/>
        <v>2027.7348</v>
      </c>
      <c r="U125" s="51">
        <f t="shared" si="128"/>
        <v>33.331199999999853</v>
      </c>
    </row>
    <row r="126" spans="1:21">
      <c r="A126" s="107"/>
      <c r="B126" s="46">
        <v>241</v>
      </c>
      <c r="C126" s="46">
        <v>44</v>
      </c>
      <c r="D126" s="47" t="s">
        <v>157</v>
      </c>
      <c r="E126" s="48">
        <v>1</v>
      </c>
      <c r="F126" s="6">
        <v>1</v>
      </c>
      <c r="G126" s="49">
        <f t="shared" si="120"/>
        <v>12</v>
      </c>
      <c r="H126" s="50"/>
      <c r="I126" s="50">
        <f t="shared" si="121"/>
        <v>0</v>
      </c>
      <c r="J126" s="7">
        <f t="shared" si="119"/>
        <v>0</v>
      </c>
      <c r="K126" s="8">
        <f>References!$C$17*J126</f>
        <v>0</v>
      </c>
      <c r="L126" s="9">
        <f>K126/References!$F$19</f>
        <v>0</v>
      </c>
      <c r="M126" s="9">
        <f t="shared" si="122"/>
        <v>0</v>
      </c>
      <c r="N126" s="30">
        <v>12.5</v>
      </c>
      <c r="O126" s="9">
        <f>MROUND(N126+M126,References!$E$28)</f>
        <v>12.5</v>
      </c>
      <c r="P126" s="8">
        <f t="shared" si="123"/>
        <v>12.5</v>
      </c>
      <c r="Q126" s="10">
        <f t="shared" si="124"/>
        <v>150</v>
      </c>
      <c r="R126" s="10">
        <f t="shared" si="125"/>
        <v>150</v>
      </c>
      <c r="S126" s="10">
        <f t="shared" si="126"/>
        <v>0</v>
      </c>
      <c r="T126" s="10">
        <f t="shared" si="127"/>
        <v>150</v>
      </c>
      <c r="U126" s="51">
        <f t="shared" si="128"/>
        <v>0</v>
      </c>
    </row>
    <row r="127" spans="1:21">
      <c r="A127" s="107"/>
      <c r="B127" s="46">
        <v>241</v>
      </c>
      <c r="C127" s="46">
        <v>45</v>
      </c>
      <c r="D127" s="47" t="s">
        <v>161</v>
      </c>
      <c r="E127" s="48">
        <v>1</v>
      </c>
      <c r="F127" s="6">
        <v>2.17</v>
      </c>
      <c r="G127" s="49">
        <f t="shared" si="120"/>
        <v>26.04</v>
      </c>
      <c r="H127" s="50">
        <v>980</v>
      </c>
      <c r="I127" s="50">
        <f t="shared" si="121"/>
        <v>25519.200000000001</v>
      </c>
      <c r="J127" s="7">
        <f t="shared" si="119"/>
        <v>15130.721786246128</v>
      </c>
      <c r="K127" s="8">
        <f>References!$C$17*J127</f>
        <v>37.826804465615247</v>
      </c>
      <c r="L127" s="9">
        <f>K127/References!$F$19</f>
        <v>38.747046827774902</v>
      </c>
      <c r="M127" s="9">
        <f t="shared" si="122"/>
        <v>1.4879818290236138</v>
      </c>
      <c r="N127" s="30">
        <v>98.79</v>
      </c>
      <c r="O127" s="9">
        <f>MROUND(N127+M127,References!$E$28)</f>
        <v>100.28</v>
      </c>
      <c r="P127" s="8">
        <f t="shared" si="123"/>
        <v>100.28</v>
      </c>
      <c r="Q127" s="10">
        <f t="shared" si="124"/>
        <v>2572.4916000000003</v>
      </c>
      <c r="R127" s="10">
        <f t="shared" si="125"/>
        <v>2611.2912000000001</v>
      </c>
      <c r="S127" s="10">
        <f t="shared" si="126"/>
        <v>38.799599999999828</v>
      </c>
      <c r="T127" s="10">
        <f t="shared" si="127"/>
        <v>2611.2912000000001</v>
      </c>
      <c r="U127" s="51">
        <f t="shared" si="128"/>
        <v>38.799599999999828</v>
      </c>
    </row>
    <row r="128" spans="1:21">
      <c r="A128" s="107"/>
      <c r="B128" s="46">
        <v>241</v>
      </c>
      <c r="C128" s="46">
        <v>45</v>
      </c>
      <c r="D128" s="47" t="s">
        <v>160</v>
      </c>
      <c r="E128" s="48">
        <v>1</v>
      </c>
      <c r="F128" s="6">
        <v>1</v>
      </c>
      <c r="G128" s="49">
        <f t="shared" si="120"/>
        <v>12</v>
      </c>
      <c r="H128" s="50"/>
      <c r="I128" s="50">
        <f t="shared" si="121"/>
        <v>0</v>
      </c>
      <c r="J128" s="7">
        <f t="shared" si="119"/>
        <v>0</v>
      </c>
      <c r="K128" s="8">
        <f>References!$C$17*J128</f>
        <v>0</v>
      </c>
      <c r="L128" s="9">
        <f>K128/References!$F$19</f>
        <v>0</v>
      </c>
      <c r="M128" s="9">
        <f t="shared" si="122"/>
        <v>0</v>
      </c>
      <c r="N128" s="30">
        <v>14.8</v>
      </c>
      <c r="O128" s="9">
        <f>MROUND(N128+M128,References!$E$28)</f>
        <v>14.8</v>
      </c>
      <c r="P128" s="8">
        <f t="shared" si="123"/>
        <v>14.8</v>
      </c>
      <c r="Q128" s="10">
        <f t="shared" si="124"/>
        <v>177.60000000000002</v>
      </c>
      <c r="R128" s="10">
        <f t="shared" si="125"/>
        <v>177.60000000000002</v>
      </c>
      <c r="S128" s="10">
        <f t="shared" si="126"/>
        <v>0</v>
      </c>
      <c r="T128" s="10">
        <f t="shared" si="127"/>
        <v>177.60000000000002</v>
      </c>
      <c r="U128" s="51">
        <f t="shared" si="128"/>
        <v>0</v>
      </c>
    </row>
    <row r="129" spans="1:21" ht="19.149999999999999" customHeight="1">
      <c r="A129" s="107" t="s">
        <v>180</v>
      </c>
      <c r="B129" s="46">
        <v>245</v>
      </c>
      <c r="C129" s="46">
        <v>46</v>
      </c>
      <c r="D129" s="47" t="s">
        <v>182</v>
      </c>
      <c r="E129" s="48">
        <v>1</v>
      </c>
      <c r="F129" s="6">
        <v>2.17</v>
      </c>
      <c r="G129" s="49">
        <f t="shared" si="120"/>
        <v>26.04</v>
      </c>
      <c r="H129" s="50">
        <v>34</v>
      </c>
      <c r="I129" s="50">
        <f t="shared" si="121"/>
        <v>885.36</v>
      </c>
      <c r="J129" s="7">
        <f t="shared" si="119"/>
        <v>524.94340891057993</v>
      </c>
      <c r="K129" s="8">
        <f>References!$C$17*J129</f>
        <v>1.3123585222764473</v>
      </c>
      <c r="L129" s="9">
        <f>K129/References!$F$19</f>
        <v>1.3442852981064761</v>
      </c>
      <c r="M129" s="9">
        <f t="shared" ref="M129" si="129">L129/G129</f>
        <v>5.1623859374288636E-2</v>
      </c>
      <c r="N129" s="30">
        <v>3.24</v>
      </c>
      <c r="O129" s="9">
        <f>MROUND(N129+M129,References!$E$28)</f>
        <v>3.29</v>
      </c>
      <c r="P129" s="8">
        <f t="shared" ref="P129" si="130">O129</f>
        <v>3.29</v>
      </c>
      <c r="Q129" s="10">
        <f t="shared" ref="Q129:Q130" si="131">G129*N129</f>
        <v>84.369600000000005</v>
      </c>
      <c r="R129" s="10">
        <f t="shared" ref="R129:R130" si="132">G129*P129</f>
        <v>85.671599999999998</v>
      </c>
      <c r="S129" s="10">
        <f t="shared" ref="S129:S130" si="133">R129-Q129</f>
        <v>1.3019999999999925</v>
      </c>
      <c r="T129" s="10">
        <f t="shared" ref="T129:T130" si="134">G129*O129</f>
        <v>85.671599999999998</v>
      </c>
      <c r="U129" s="51">
        <f t="shared" ref="U129:U130" si="135">T129-Q129</f>
        <v>1.3019999999999925</v>
      </c>
    </row>
    <row r="130" spans="1:21" s="121" customFormat="1">
      <c r="A130" s="107"/>
      <c r="B130" s="115">
        <v>245</v>
      </c>
      <c r="C130" s="115">
        <v>46</v>
      </c>
      <c r="D130" s="116" t="s">
        <v>197</v>
      </c>
      <c r="E130" s="117"/>
      <c r="F130" s="6"/>
      <c r="G130" s="118"/>
      <c r="H130" s="119"/>
      <c r="I130" s="119"/>
      <c r="J130" s="7"/>
      <c r="K130" s="8"/>
      <c r="L130" s="9"/>
      <c r="M130" s="9"/>
      <c r="N130" s="8">
        <v>14.03</v>
      </c>
      <c r="O130" s="8">
        <f>+O129*4.33</f>
        <v>14.245700000000001</v>
      </c>
      <c r="P130" s="8">
        <f>+P129*4.33</f>
        <v>14.245700000000001</v>
      </c>
      <c r="Q130" s="10">
        <f t="shared" si="131"/>
        <v>0</v>
      </c>
      <c r="R130" s="10">
        <f t="shared" si="132"/>
        <v>0</v>
      </c>
      <c r="S130" s="10">
        <f t="shared" si="133"/>
        <v>0</v>
      </c>
      <c r="T130" s="10">
        <f t="shared" si="134"/>
        <v>0</v>
      </c>
      <c r="U130" s="120">
        <f t="shared" si="135"/>
        <v>0</v>
      </c>
    </row>
    <row r="131" spans="1:21" s="121" customFormat="1">
      <c r="A131" s="107"/>
      <c r="B131" s="115">
        <v>245</v>
      </c>
      <c r="C131" s="115">
        <v>46</v>
      </c>
      <c r="D131" s="116" t="s">
        <v>163</v>
      </c>
      <c r="E131" s="117">
        <v>1</v>
      </c>
      <c r="F131" s="6">
        <v>2.17</v>
      </c>
      <c r="G131" s="118">
        <f t="shared" si="110"/>
        <v>26.04</v>
      </c>
      <c r="H131" s="119">
        <v>175</v>
      </c>
      <c r="I131" s="119">
        <f t="shared" si="111"/>
        <v>4557</v>
      </c>
      <c r="J131" s="7">
        <f>$E$150*I131</f>
        <v>2701.9146046868082</v>
      </c>
      <c r="K131" s="8">
        <f>References!$C$17*J131</f>
        <v>6.7547865117170076</v>
      </c>
      <c r="L131" s="9">
        <f>K131/References!$F$19</f>
        <v>6.9191155049598034</v>
      </c>
      <c r="M131" s="9">
        <f t="shared" si="112"/>
        <v>0.26571104089707387</v>
      </c>
      <c r="N131" s="30">
        <v>12.96</v>
      </c>
      <c r="O131" s="9">
        <f>MROUND(N131+M131,References!$E$28)</f>
        <v>13.23</v>
      </c>
      <c r="P131" s="8">
        <f t="shared" si="113"/>
        <v>13.23</v>
      </c>
      <c r="Q131" s="10">
        <f t="shared" si="114"/>
        <v>337.47840000000002</v>
      </c>
      <c r="R131" s="10">
        <f t="shared" si="115"/>
        <v>344.50920000000002</v>
      </c>
      <c r="S131" s="10">
        <f t="shared" si="116"/>
        <v>7.0307999999999993</v>
      </c>
      <c r="T131" s="10">
        <f t="shared" si="117"/>
        <v>344.50920000000002</v>
      </c>
      <c r="U131" s="120">
        <f t="shared" si="118"/>
        <v>7.0307999999999993</v>
      </c>
    </row>
    <row r="132" spans="1:21" s="121" customFormat="1">
      <c r="A132" s="107"/>
      <c r="B132" s="115">
        <v>245</v>
      </c>
      <c r="C132" s="115">
        <v>46</v>
      </c>
      <c r="D132" s="116" t="s">
        <v>198</v>
      </c>
      <c r="E132" s="117"/>
      <c r="F132" s="6"/>
      <c r="G132" s="118"/>
      <c r="H132" s="119"/>
      <c r="I132" s="119"/>
      <c r="J132" s="7"/>
      <c r="K132" s="8"/>
      <c r="L132" s="9"/>
      <c r="M132" s="9"/>
      <c r="N132" s="8">
        <v>56.12</v>
      </c>
      <c r="O132" s="8">
        <f>+O131*4.33</f>
        <v>57.285900000000005</v>
      </c>
      <c r="P132" s="8">
        <f>+P131*4.33</f>
        <v>57.285900000000005</v>
      </c>
      <c r="Q132" s="10">
        <f t="shared" si="114"/>
        <v>0</v>
      </c>
      <c r="R132" s="10">
        <f t="shared" si="115"/>
        <v>0</v>
      </c>
      <c r="S132" s="10">
        <f t="shared" si="116"/>
        <v>0</v>
      </c>
      <c r="T132" s="10">
        <f t="shared" si="117"/>
        <v>0</v>
      </c>
      <c r="U132" s="120">
        <f t="shared" si="118"/>
        <v>0</v>
      </c>
    </row>
    <row r="133" spans="1:21" s="121" customFormat="1">
      <c r="A133" s="107"/>
      <c r="B133" s="115">
        <v>245</v>
      </c>
      <c r="C133" s="115">
        <v>46</v>
      </c>
      <c r="D133" s="116" t="s">
        <v>164</v>
      </c>
      <c r="E133" s="117">
        <v>1</v>
      </c>
      <c r="F133" s="6">
        <v>2.17</v>
      </c>
      <c r="G133" s="118">
        <f t="shared" si="110"/>
        <v>26.04</v>
      </c>
      <c r="H133" s="119">
        <v>250</v>
      </c>
      <c r="I133" s="119">
        <f t="shared" si="111"/>
        <v>6510</v>
      </c>
      <c r="J133" s="7">
        <f>$E$150*I133</f>
        <v>3859.8780066954405</v>
      </c>
      <c r="K133" s="8">
        <f>References!$C$17*J133</f>
        <v>9.6496950167385833</v>
      </c>
      <c r="L133" s="9">
        <f>K133/References!$F$19</f>
        <v>9.8844507213711488</v>
      </c>
      <c r="M133" s="9">
        <f t="shared" si="112"/>
        <v>0.37958720128153417</v>
      </c>
      <c r="N133" s="30">
        <v>17.95</v>
      </c>
      <c r="O133" s="9">
        <f>MROUND(N133+M133,References!$E$28)</f>
        <v>18.330000000000002</v>
      </c>
      <c r="P133" s="8">
        <f t="shared" si="113"/>
        <v>18.330000000000002</v>
      </c>
      <c r="Q133" s="10">
        <f t="shared" si="114"/>
        <v>467.41799999999995</v>
      </c>
      <c r="R133" s="10">
        <f t="shared" si="115"/>
        <v>477.31320000000005</v>
      </c>
      <c r="S133" s="10">
        <f t="shared" si="116"/>
        <v>9.8952000000001021</v>
      </c>
      <c r="T133" s="10">
        <f t="shared" si="117"/>
        <v>477.31320000000005</v>
      </c>
      <c r="U133" s="120">
        <f t="shared" si="118"/>
        <v>9.8952000000001021</v>
      </c>
    </row>
    <row r="134" spans="1:21" s="121" customFormat="1">
      <c r="A134" s="107"/>
      <c r="B134" s="115">
        <v>245</v>
      </c>
      <c r="C134" s="115">
        <v>46</v>
      </c>
      <c r="D134" s="116" t="s">
        <v>199</v>
      </c>
      <c r="E134" s="117"/>
      <c r="F134" s="6"/>
      <c r="G134" s="118"/>
      <c r="H134" s="119"/>
      <c r="I134" s="119"/>
      <c r="J134" s="7"/>
      <c r="K134" s="8"/>
      <c r="L134" s="9"/>
      <c r="M134" s="9"/>
      <c r="N134" s="8">
        <v>77.72</v>
      </c>
      <c r="O134" s="8">
        <f>+O133*4.33</f>
        <v>79.368900000000011</v>
      </c>
      <c r="P134" s="8">
        <f>+P133*4.33</f>
        <v>79.368900000000011</v>
      </c>
      <c r="Q134" s="10">
        <f t="shared" si="114"/>
        <v>0</v>
      </c>
      <c r="R134" s="10">
        <f t="shared" si="115"/>
        <v>0</v>
      </c>
      <c r="S134" s="10">
        <f t="shared" si="116"/>
        <v>0</v>
      </c>
      <c r="T134" s="10">
        <f t="shared" si="117"/>
        <v>0</v>
      </c>
      <c r="U134" s="120">
        <f t="shared" si="118"/>
        <v>0</v>
      </c>
    </row>
    <row r="135" spans="1:21" s="121" customFormat="1">
      <c r="A135" s="107"/>
      <c r="B135" s="115">
        <v>245</v>
      </c>
      <c r="C135" s="115">
        <v>46</v>
      </c>
      <c r="D135" s="116" t="s">
        <v>165</v>
      </c>
      <c r="E135" s="117">
        <v>1</v>
      </c>
      <c r="F135" s="6">
        <v>2.17</v>
      </c>
      <c r="G135" s="118">
        <f t="shared" si="110"/>
        <v>26.04</v>
      </c>
      <c r="H135" s="119">
        <v>324</v>
      </c>
      <c r="I135" s="119">
        <f t="shared" si="111"/>
        <v>8436.9599999999991</v>
      </c>
      <c r="J135" s="7">
        <f>$E$150*I135</f>
        <v>5002.4018966772901</v>
      </c>
      <c r="K135" s="8">
        <f>References!$C$17*J135</f>
        <v>12.506004741693202</v>
      </c>
      <c r="L135" s="9">
        <f>K135/References!$F$19</f>
        <v>12.810248134897007</v>
      </c>
      <c r="M135" s="9">
        <f t="shared" si="112"/>
        <v>0.49194501286086817</v>
      </c>
      <c r="N135" s="30">
        <v>23.34</v>
      </c>
      <c r="O135" s="9">
        <f>MROUND(N135+M135,References!$E$28)</f>
        <v>23.830000000000002</v>
      </c>
      <c r="P135" s="8">
        <f t="shared" si="113"/>
        <v>23.830000000000002</v>
      </c>
      <c r="Q135" s="10">
        <f t="shared" si="114"/>
        <v>607.77359999999999</v>
      </c>
      <c r="R135" s="10">
        <f t="shared" si="115"/>
        <v>620.53320000000008</v>
      </c>
      <c r="S135" s="10">
        <f t="shared" si="116"/>
        <v>12.759600000000091</v>
      </c>
      <c r="T135" s="10">
        <f t="shared" si="117"/>
        <v>620.53320000000008</v>
      </c>
      <c r="U135" s="120">
        <f t="shared" si="118"/>
        <v>12.759600000000091</v>
      </c>
    </row>
    <row r="136" spans="1:21" s="121" customFormat="1">
      <c r="A136" s="107"/>
      <c r="B136" s="115">
        <v>245</v>
      </c>
      <c r="C136" s="115">
        <v>46</v>
      </c>
      <c r="D136" s="116" t="s">
        <v>200</v>
      </c>
      <c r="E136" s="117"/>
      <c r="F136" s="6"/>
      <c r="G136" s="118"/>
      <c r="H136" s="119"/>
      <c r="I136" s="119"/>
      <c r="J136" s="7"/>
      <c r="K136" s="8"/>
      <c r="L136" s="9"/>
      <c r="M136" s="9"/>
      <c r="N136" s="8">
        <v>101.06</v>
      </c>
      <c r="O136" s="8">
        <f>+O135*4.33</f>
        <v>103.18390000000001</v>
      </c>
      <c r="P136" s="8">
        <f>+P135*4.33</f>
        <v>103.18390000000001</v>
      </c>
      <c r="Q136" s="10">
        <f t="shared" si="114"/>
        <v>0</v>
      </c>
      <c r="R136" s="10">
        <f t="shared" si="115"/>
        <v>0</v>
      </c>
      <c r="S136" s="10">
        <f t="shared" si="116"/>
        <v>0</v>
      </c>
      <c r="T136" s="10">
        <f t="shared" si="117"/>
        <v>0</v>
      </c>
      <c r="U136" s="120">
        <f t="shared" si="118"/>
        <v>0</v>
      </c>
    </row>
    <row r="137" spans="1:21">
      <c r="A137" s="107" t="s">
        <v>179</v>
      </c>
      <c r="B137" s="46">
        <v>255</v>
      </c>
      <c r="C137" s="46" t="s">
        <v>166</v>
      </c>
      <c r="D137" s="47" t="s">
        <v>167</v>
      </c>
      <c r="E137" s="48">
        <v>1</v>
      </c>
      <c r="F137" s="6">
        <v>2.17</v>
      </c>
      <c r="G137" s="49">
        <f t="shared" si="110"/>
        <v>26.04</v>
      </c>
      <c r="H137" s="50">
        <v>892</v>
      </c>
      <c r="I137" s="50">
        <f t="shared" si="111"/>
        <v>23227.68</v>
      </c>
      <c r="J137" s="7">
        <f t="shared" ref="J137:J144" si="136">$E$150*I137</f>
        <v>13772.044727889332</v>
      </c>
      <c r="K137" s="8">
        <f>References!$C$17*J137</f>
        <v>34.430111819723265</v>
      </c>
      <c r="L137" s="9">
        <f>K137/References!$F$19</f>
        <v>35.267720173852261</v>
      </c>
      <c r="M137" s="9">
        <f t="shared" si="112"/>
        <v>1.3543671341725139</v>
      </c>
      <c r="N137" s="30">
        <v>74.53</v>
      </c>
      <c r="O137" s="9">
        <f>MROUND(N137+M137,References!$E$28)</f>
        <v>75.88</v>
      </c>
      <c r="P137" s="8">
        <f t="shared" si="113"/>
        <v>75.88</v>
      </c>
      <c r="Q137" s="10">
        <f t="shared" si="114"/>
        <v>1940.7611999999999</v>
      </c>
      <c r="R137" s="10">
        <f t="shared" si="115"/>
        <v>1975.9151999999999</v>
      </c>
      <c r="S137" s="10">
        <f t="shared" si="116"/>
        <v>35.153999999999996</v>
      </c>
      <c r="T137" s="10">
        <f t="shared" si="117"/>
        <v>1975.9151999999999</v>
      </c>
      <c r="U137" s="51">
        <f t="shared" si="118"/>
        <v>35.153999999999996</v>
      </c>
    </row>
    <row r="138" spans="1:21">
      <c r="A138" s="107"/>
      <c r="B138" s="46">
        <v>255</v>
      </c>
      <c r="C138" s="46" t="s">
        <v>166</v>
      </c>
      <c r="D138" s="47" t="s">
        <v>168</v>
      </c>
      <c r="E138" s="48">
        <v>1</v>
      </c>
      <c r="F138" s="6">
        <v>1</v>
      </c>
      <c r="G138" s="49">
        <f t="shared" si="110"/>
        <v>12</v>
      </c>
      <c r="H138" s="50">
        <v>892</v>
      </c>
      <c r="I138" s="50">
        <f t="shared" si="111"/>
        <v>10704</v>
      </c>
      <c r="J138" s="7">
        <f t="shared" si="136"/>
        <v>6346.5643907324111</v>
      </c>
      <c r="K138" s="8">
        <f>References!$C$17*J138</f>
        <v>15.866410976830998</v>
      </c>
      <c r="L138" s="9">
        <f>K138/References!$F$19</f>
        <v>16.252405610070166</v>
      </c>
      <c r="M138" s="9">
        <f t="shared" si="112"/>
        <v>1.3543671341725139</v>
      </c>
      <c r="N138" s="30">
        <v>90.08</v>
      </c>
      <c r="O138" s="9">
        <f>MROUND(N138+M138,References!$E$28)</f>
        <v>91.43</v>
      </c>
      <c r="P138" s="8">
        <f t="shared" si="113"/>
        <v>91.43</v>
      </c>
      <c r="Q138" s="10">
        <f t="shared" si="114"/>
        <v>1080.96</v>
      </c>
      <c r="R138" s="10">
        <f t="shared" si="115"/>
        <v>1097.1600000000001</v>
      </c>
      <c r="S138" s="10">
        <f t="shared" si="116"/>
        <v>16.200000000000045</v>
      </c>
      <c r="T138" s="10">
        <f t="shared" si="117"/>
        <v>1097.1600000000001</v>
      </c>
      <c r="U138" s="51">
        <f t="shared" si="118"/>
        <v>16.200000000000045</v>
      </c>
    </row>
    <row r="139" spans="1:21">
      <c r="A139" s="107"/>
      <c r="B139" s="46">
        <v>255</v>
      </c>
      <c r="C139" s="46" t="s">
        <v>166</v>
      </c>
      <c r="D139" s="47" t="s">
        <v>169</v>
      </c>
      <c r="E139" s="48">
        <v>1</v>
      </c>
      <c r="F139" s="6">
        <v>2.17</v>
      </c>
      <c r="G139" s="49">
        <f t="shared" si="110"/>
        <v>26.04</v>
      </c>
      <c r="H139" s="50">
        <v>1301</v>
      </c>
      <c r="I139" s="50">
        <f t="shared" si="111"/>
        <v>33878.04</v>
      </c>
      <c r="J139" s="7">
        <f t="shared" si="136"/>
        <v>20086.805146843071</v>
      </c>
      <c r="K139" s="8">
        <f>References!$C$17*J139</f>
        <v>50.217012867107584</v>
      </c>
      <c r="L139" s="9">
        <f>K139/References!$F$19</f>
        <v>51.438681554015453</v>
      </c>
      <c r="M139" s="9">
        <f t="shared" si="112"/>
        <v>1.9753717954691035</v>
      </c>
      <c r="N139" s="30">
        <v>108.58</v>
      </c>
      <c r="O139" s="9">
        <f>MROUND(N139+M139,References!$E$28)</f>
        <v>110.56</v>
      </c>
      <c r="P139" s="8">
        <f t="shared" si="113"/>
        <v>110.56</v>
      </c>
      <c r="Q139" s="10">
        <f t="shared" si="114"/>
        <v>2827.4231999999997</v>
      </c>
      <c r="R139" s="10">
        <f t="shared" si="115"/>
        <v>2878.9823999999999</v>
      </c>
      <c r="S139" s="10">
        <f t="shared" si="116"/>
        <v>51.559200000000146</v>
      </c>
      <c r="T139" s="10">
        <f t="shared" si="117"/>
        <v>2878.9823999999999</v>
      </c>
      <c r="U139" s="51">
        <f t="shared" si="118"/>
        <v>51.559200000000146</v>
      </c>
    </row>
    <row r="140" spans="1:21">
      <c r="A140" s="107"/>
      <c r="B140" s="46">
        <v>255</v>
      </c>
      <c r="C140" s="46" t="s">
        <v>166</v>
      </c>
      <c r="D140" s="47" t="s">
        <v>170</v>
      </c>
      <c r="E140" s="48">
        <v>1</v>
      </c>
      <c r="F140" s="6">
        <v>1</v>
      </c>
      <c r="G140" s="49">
        <f t="shared" si="110"/>
        <v>12</v>
      </c>
      <c r="H140" s="50">
        <v>1301</v>
      </c>
      <c r="I140" s="50">
        <f t="shared" si="111"/>
        <v>15612</v>
      </c>
      <c r="J140" s="7">
        <f t="shared" si="136"/>
        <v>9256.5922335682353</v>
      </c>
      <c r="K140" s="8">
        <f>References!$C$17*J140</f>
        <v>23.141480583920544</v>
      </c>
      <c r="L140" s="9">
        <f>K140/References!$F$19</f>
        <v>23.70446154562924</v>
      </c>
      <c r="M140" s="9">
        <f t="shared" si="112"/>
        <v>1.9753717954691032</v>
      </c>
      <c r="N140" s="30">
        <v>124.28</v>
      </c>
      <c r="O140" s="9">
        <f>MROUND(N140+M140,References!$E$28)</f>
        <v>126.26</v>
      </c>
      <c r="P140" s="8">
        <f t="shared" si="113"/>
        <v>126.26</v>
      </c>
      <c r="Q140" s="10">
        <f t="shared" si="114"/>
        <v>1491.3600000000001</v>
      </c>
      <c r="R140" s="10">
        <f t="shared" si="115"/>
        <v>1515.1200000000001</v>
      </c>
      <c r="S140" s="10">
        <f t="shared" si="116"/>
        <v>23.759999999999991</v>
      </c>
      <c r="T140" s="10">
        <f t="shared" si="117"/>
        <v>1515.1200000000001</v>
      </c>
      <c r="U140" s="51">
        <f t="shared" si="118"/>
        <v>23.759999999999991</v>
      </c>
    </row>
    <row r="141" spans="1:21">
      <c r="A141" s="107"/>
      <c r="B141" s="46">
        <v>255</v>
      </c>
      <c r="C141" s="46" t="s">
        <v>166</v>
      </c>
      <c r="D141" s="47" t="s">
        <v>171</v>
      </c>
      <c r="E141" s="48">
        <v>1</v>
      </c>
      <c r="F141" s="6">
        <v>2.17</v>
      </c>
      <c r="G141" s="49">
        <f t="shared" si="110"/>
        <v>26.04</v>
      </c>
      <c r="H141" s="50">
        <v>1686</v>
      </c>
      <c r="I141" s="50">
        <f t="shared" si="111"/>
        <v>43903.439999999995</v>
      </c>
      <c r="J141" s="7">
        <f t="shared" si="136"/>
        <v>26031.017277154049</v>
      </c>
      <c r="K141" s="8">
        <f>References!$C$17*J141</f>
        <v>65.077543192885003</v>
      </c>
      <c r="L141" s="9">
        <f>K141/References!$F$19</f>
        <v>66.660735664927017</v>
      </c>
      <c r="M141" s="9">
        <f t="shared" si="112"/>
        <v>2.5599360854426658</v>
      </c>
      <c r="N141" s="30">
        <v>145.04</v>
      </c>
      <c r="O141" s="9">
        <f>MROUND(N141+M141,References!$E$28)</f>
        <v>147.6</v>
      </c>
      <c r="P141" s="8">
        <f t="shared" si="113"/>
        <v>147.6</v>
      </c>
      <c r="Q141" s="10">
        <f t="shared" si="114"/>
        <v>3776.8415999999997</v>
      </c>
      <c r="R141" s="10">
        <f t="shared" si="115"/>
        <v>3843.5039999999999</v>
      </c>
      <c r="S141" s="10">
        <f t="shared" si="116"/>
        <v>66.662400000000162</v>
      </c>
      <c r="T141" s="10">
        <f t="shared" si="117"/>
        <v>3843.5039999999999</v>
      </c>
      <c r="U141" s="51">
        <f t="shared" si="118"/>
        <v>66.662400000000162</v>
      </c>
    </row>
    <row r="142" spans="1:21">
      <c r="A142" s="107"/>
      <c r="B142" s="46">
        <v>255</v>
      </c>
      <c r="C142" s="46" t="s">
        <v>166</v>
      </c>
      <c r="D142" s="47" t="s">
        <v>172</v>
      </c>
      <c r="E142" s="48">
        <v>1</v>
      </c>
      <c r="F142" s="6">
        <v>1</v>
      </c>
      <c r="G142" s="49">
        <f t="shared" si="110"/>
        <v>12</v>
      </c>
      <c r="H142" s="50">
        <v>1686</v>
      </c>
      <c r="I142" s="50">
        <f t="shared" si="111"/>
        <v>20232</v>
      </c>
      <c r="J142" s="7">
        <f t="shared" si="136"/>
        <v>11995.860496384355</v>
      </c>
      <c r="K142" s="8">
        <f>References!$C$17*J142</f>
        <v>29.989651240960832</v>
      </c>
      <c r="L142" s="9">
        <f>K142/References!$F$19</f>
        <v>30.719233025311993</v>
      </c>
      <c r="M142" s="9">
        <f t="shared" si="112"/>
        <v>2.5599360854426663</v>
      </c>
      <c r="N142" s="30">
        <v>160.84</v>
      </c>
      <c r="O142" s="9">
        <f>MROUND(N142+M142,References!$E$28)</f>
        <v>163.4</v>
      </c>
      <c r="P142" s="8">
        <f t="shared" si="113"/>
        <v>163.4</v>
      </c>
      <c r="Q142" s="10">
        <f t="shared" si="114"/>
        <v>1930.08</v>
      </c>
      <c r="R142" s="10">
        <f t="shared" si="115"/>
        <v>1960.8000000000002</v>
      </c>
      <c r="S142" s="10">
        <f t="shared" si="116"/>
        <v>30.720000000000255</v>
      </c>
      <c r="T142" s="10">
        <f t="shared" si="117"/>
        <v>1960.8000000000002</v>
      </c>
      <c r="U142" s="51">
        <f t="shared" si="118"/>
        <v>30.720000000000255</v>
      </c>
    </row>
    <row r="143" spans="1:21">
      <c r="A143" s="107"/>
      <c r="B143" s="46">
        <v>255</v>
      </c>
      <c r="C143" s="46" t="s">
        <v>166</v>
      </c>
      <c r="D143" s="47" t="s">
        <v>173</v>
      </c>
      <c r="E143" s="48">
        <v>1</v>
      </c>
      <c r="F143" s="6">
        <v>2.17</v>
      </c>
      <c r="G143" s="49">
        <f t="shared" si="110"/>
        <v>26.04</v>
      </c>
      <c r="H143" s="50">
        <v>2380</v>
      </c>
      <c r="I143" s="50">
        <f t="shared" si="111"/>
        <v>61975.199999999997</v>
      </c>
      <c r="J143" s="7">
        <f t="shared" si="136"/>
        <v>36746.038623740591</v>
      </c>
      <c r="K143" s="8">
        <f>References!$C$17*J143</f>
        <v>91.865096559351301</v>
      </c>
      <c r="L143" s="9">
        <f>K143/References!$F$19</f>
        <v>94.099970867453322</v>
      </c>
      <c r="M143" s="9">
        <f t="shared" si="112"/>
        <v>3.6136701562002047</v>
      </c>
      <c r="N143" s="30">
        <v>213.73</v>
      </c>
      <c r="O143" s="9">
        <f>MROUND(N143+M143,References!$E$28)</f>
        <v>217.34</v>
      </c>
      <c r="P143" s="8">
        <f t="shared" si="113"/>
        <v>217.34</v>
      </c>
      <c r="Q143" s="10">
        <f t="shared" si="114"/>
        <v>5565.5291999999999</v>
      </c>
      <c r="R143" s="10">
        <f t="shared" si="115"/>
        <v>5659.5335999999998</v>
      </c>
      <c r="S143" s="10">
        <f t="shared" si="116"/>
        <v>94.004399999999805</v>
      </c>
      <c r="T143" s="10">
        <f t="shared" si="117"/>
        <v>5659.5335999999998</v>
      </c>
      <c r="U143" s="51">
        <f t="shared" si="118"/>
        <v>94.004399999999805</v>
      </c>
    </row>
    <row r="144" spans="1:21">
      <c r="A144" s="107"/>
      <c r="B144" s="46">
        <v>255</v>
      </c>
      <c r="C144" s="46" t="s">
        <v>166</v>
      </c>
      <c r="D144" s="47" t="s">
        <v>174</v>
      </c>
      <c r="E144" s="48">
        <v>1</v>
      </c>
      <c r="F144" s="6">
        <v>1</v>
      </c>
      <c r="G144" s="49">
        <f t="shared" si="110"/>
        <v>12</v>
      </c>
      <c r="H144" s="50">
        <v>2380</v>
      </c>
      <c r="I144" s="50">
        <f t="shared" si="111"/>
        <v>28560</v>
      </c>
      <c r="J144" s="7">
        <f t="shared" si="136"/>
        <v>16933.658351954189</v>
      </c>
      <c r="K144" s="8">
        <f>References!$C$17*J144</f>
        <v>42.334145879885391</v>
      </c>
      <c r="L144" s="9">
        <f>K144/References!$F$19</f>
        <v>43.364041874402453</v>
      </c>
      <c r="M144" s="9">
        <f t="shared" si="112"/>
        <v>3.6136701562002043</v>
      </c>
      <c r="N144" s="30">
        <v>229.63</v>
      </c>
      <c r="O144" s="9">
        <f>MROUND(N144+M144,References!$E$28)</f>
        <v>233.24</v>
      </c>
      <c r="P144" s="8">
        <f t="shared" si="113"/>
        <v>233.24</v>
      </c>
      <c r="Q144" s="10">
        <f t="shared" si="114"/>
        <v>2755.56</v>
      </c>
      <c r="R144" s="10">
        <f t="shared" si="115"/>
        <v>2798.88</v>
      </c>
      <c r="S144" s="10">
        <f t="shared" si="116"/>
        <v>43.320000000000164</v>
      </c>
      <c r="T144" s="10">
        <f t="shared" si="117"/>
        <v>2798.88</v>
      </c>
      <c r="U144" s="51">
        <f t="shared" si="118"/>
        <v>43.320000000000164</v>
      </c>
    </row>
    <row r="145" spans="2:21">
      <c r="B145" s="46"/>
      <c r="C145" s="46"/>
      <c r="D145" s="47"/>
      <c r="E145" s="83"/>
      <c r="F145" s="20"/>
      <c r="G145" s="49"/>
      <c r="H145" s="50"/>
      <c r="I145" s="50"/>
      <c r="J145" s="7"/>
      <c r="K145" s="8"/>
      <c r="L145" s="8"/>
      <c r="M145" s="9"/>
      <c r="N145" s="30"/>
      <c r="O145" s="9"/>
      <c r="P145" s="8"/>
      <c r="Q145" s="10"/>
      <c r="R145" s="10"/>
      <c r="S145" s="10"/>
      <c r="T145" s="19"/>
      <c r="U145" s="51"/>
    </row>
    <row r="146" spans="2:21">
      <c r="E146" s="33"/>
      <c r="H146" s="47"/>
      <c r="I146" s="6"/>
      <c r="J146" s="6"/>
      <c r="K146" s="50"/>
      <c r="Q146" s="41"/>
      <c r="R146" s="50"/>
    </row>
    <row r="147" spans="2:21">
      <c r="D147" s="37" t="s">
        <v>30</v>
      </c>
      <c r="E147" s="33">
        <v>12306.58</v>
      </c>
      <c r="H147" s="47"/>
      <c r="I147" s="6"/>
      <c r="J147" s="6"/>
      <c r="K147" s="50"/>
      <c r="Q147" s="41"/>
      <c r="R147" s="9"/>
    </row>
    <row r="148" spans="2:21">
      <c r="D148" s="37" t="s">
        <v>31</v>
      </c>
      <c r="E148" s="49">
        <f>E147*2000</f>
        <v>24613160</v>
      </c>
      <c r="H148" s="47"/>
      <c r="I148" s="6"/>
      <c r="J148" s="6"/>
      <c r="K148" s="50"/>
      <c r="R148" s="9"/>
    </row>
    <row r="149" spans="2:21">
      <c r="D149" s="37" t="s">
        <v>5</v>
      </c>
      <c r="E149" s="50">
        <f>G72+G67+G60+G17</f>
        <v>420416.4</v>
      </c>
      <c r="H149" s="47"/>
      <c r="I149" s="6"/>
      <c r="J149" s="6"/>
      <c r="K149" s="50"/>
      <c r="Q149" s="41"/>
      <c r="R149" s="9"/>
    </row>
    <row r="150" spans="2:21">
      <c r="D150" s="100" t="s">
        <v>10</v>
      </c>
      <c r="E150" s="34">
        <f>E148/I73</f>
        <v>0.59291520840175738</v>
      </c>
      <c r="H150" s="47"/>
      <c r="I150" s="6"/>
      <c r="J150" s="6"/>
      <c r="K150" s="50"/>
      <c r="N150" s="101"/>
      <c r="O150" s="101"/>
      <c r="P150" s="101"/>
      <c r="Q150" s="102"/>
      <c r="R150" s="102"/>
    </row>
    <row r="151" spans="2:21">
      <c r="H151" s="47"/>
      <c r="I151" s="6"/>
      <c r="J151" s="6"/>
      <c r="K151" s="50"/>
      <c r="N151" s="103"/>
      <c r="O151" s="35"/>
      <c r="P151" s="35"/>
      <c r="Q151" s="51"/>
      <c r="R151" s="34"/>
    </row>
    <row r="152" spans="2:21">
      <c r="E152" s="9"/>
      <c r="F152" s="36"/>
      <c r="H152" s="47"/>
      <c r="I152" s="6"/>
      <c r="J152" s="6"/>
      <c r="K152" s="50"/>
      <c r="N152" s="103"/>
      <c r="O152" s="35"/>
      <c r="P152" s="35"/>
      <c r="Q152" s="51"/>
      <c r="R152" s="34"/>
    </row>
    <row r="153" spans="2:21">
      <c r="E153" s="9"/>
      <c r="F153" s="36"/>
      <c r="H153" s="47"/>
      <c r="I153" s="6"/>
      <c r="J153" s="6"/>
      <c r="K153" s="50"/>
      <c r="N153" s="103"/>
      <c r="O153" s="35"/>
      <c r="P153" s="35"/>
      <c r="Q153" s="51"/>
      <c r="R153" s="34"/>
    </row>
    <row r="154" spans="2:21">
      <c r="E154" s="9"/>
      <c r="F154" s="36"/>
      <c r="H154" s="104"/>
      <c r="J154" s="105"/>
      <c r="K154" s="50"/>
      <c r="N154" s="103"/>
      <c r="O154" s="35"/>
      <c r="P154" s="35"/>
      <c r="Q154" s="34"/>
      <c r="R154" s="34"/>
    </row>
    <row r="155" spans="2:21">
      <c r="E155" s="106"/>
      <c r="J155" s="105"/>
      <c r="O155" s="51"/>
      <c r="P155" s="51"/>
      <c r="Q155" s="51"/>
      <c r="R155" s="34"/>
    </row>
  </sheetData>
  <mergeCells count="12">
    <mergeCell ref="O3:O4"/>
    <mergeCell ref="A68:A71"/>
    <mergeCell ref="A6:A16"/>
    <mergeCell ref="A62:A66"/>
    <mergeCell ref="A48:A59"/>
    <mergeCell ref="A18:A47"/>
    <mergeCell ref="A78:A85"/>
    <mergeCell ref="A86:A91"/>
    <mergeCell ref="A92:A112"/>
    <mergeCell ref="A113:A128"/>
    <mergeCell ref="A137:A144"/>
    <mergeCell ref="A129:A136"/>
  </mergeCells>
  <pageMargins left="0.2" right="0.22" top="0.38" bottom="0.34" header="0.19" footer="0.17"/>
  <pageSetup scale="33" orientation="portrait" r:id="rId1"/>
  <headerFooter>
    <oddFooter>&amp;L&amp;F&amp;A&amp;R&amp;D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151D39262A4914AAC898743E5E10485" ma:contentTypeVersion="28" ma:contentTypeDescription="" ma:contentTypeScope="" ma:versionID="bad9242be596b1fc52917564a4d69dc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2022-11-15T08:00:00+00:00</OpenedDate>
    <SignificantOrder xmlns="dc463f71-b30c-4ab2-9473-d307f9d35888">false</SignificantOrder>
    <Date1 xmlns="dc463f71-b30c-4ab2-9473-d307f9d35888">2022-11-16T08:00:00+00:00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220844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52E34F-E0CE-4B15-9430-09B7C7A7864C}"/>
</file>

<file path=customXml/itemProps2.xml><?xml version="1.0" encoding="utf-8"?>
<ds:datastoreItem xmlns:ds="http://schemas.openxmlformats.org/officeDocument/2006/customXml" ds:itemID="{0D8C24FE-0551-4989-AAB5-26F9CA8CE19B}"/>
</file>

<file path=customXml/itemProps3.xml><?xml version="1.0" encoding="utf-8"?>
<ds:datastoreItem xmlns:ds="http://schemas.openxmlformats.org/officeDocument/2006/customXml" ds:itemID="{F4849582-C7D1-4BEF-A166-ECF15AAB56E6}"/>
</file>

<file path=customXml/itemProps4.xml><?xml version="1.0" encoding="utf-8"?>
<ds:datastoreItem xmlns:ds="http://schemas.openxmlformats.org/officeDocument/2006/customXml" ds:itemID="{4989788B-8AD6-49DD-BDAA-8A81C8616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References</vt:lpstr>
      <vt:lpstr>Staff Calcs 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Logan Davis</cp:lastModifiedBy>
  <cp:lastPrinted>2022-11-15T23:33:55Z</cp:lastPrinted>
  <dcterms:created xsi:type="dcterms:W3CDTF">2013-10-29T22:33:54Z</dcterms:created>
  <dcterms:modified xsi:type="dcterms:W3CDTF">2022-11-15T23:33:59Z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0x0101006E56B4D1795A2E4DB2F0B01679ED314A002151D39262A4914AAC898743E5E10485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